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1b751852d1dd4e2/Program Excel (New)/RAB/"/>
    </mc:Choice>
  </mc:AlternateContent>
  <xr:revisionPtr revIDLastSave="47" documentId="14_{78C8E51E-FDAB-4E82-BA43-4E8ECA4204B6}" xr6:coauthVersionLast="47" xr6:coauthVersionMax="47" xr10:uidLastSave="{8700F25C-66E6-4FBC-ACA9-26DAC90C367C}"/>
  <bookViews>
    <workbookView xWindow="-120" yWindow="-120" windowWidth="29040" windowHeight="15720" xr2:uid="{BACD1F87-45EC-4438-BDAF-B7442EC84E74}"/>
  </bookViews>
  <sheets>
    <sheet name="About" sheetId="10" r:id="rId1"/>
    <sheet name="Rekap. RAB" sheetId="8" r:id="rId2"/>
    <sheet name="Rekap. Upah" sheetId="9" r:id="rId3"/>
    <sheet name="RAB" sheetId="6" r:id="rId4"/>
    <sheet name="Bahan" sheetId="1" r:id="rId5"/>
    <sheet name="Upah" sheetId="2" r:id="rId6"/>
    <sheet name="Rekap. Analisa RAB" sheetId="4" r:id="rId7"/>
    <sheet name="Rekap. Upah Pekerja" sheetId="5" r:id="rId8"/>
    <sheet name="RAB Upah" sheetId="7" r:id="rId9"/>
    <sheet name="Analisa RAB" sheetId="3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5" l="1"/>
  <c r="C9" i="5"/>
  <c r="D9" i="5" s="1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3" i="5"/>
  <c r="C44" i="5"/>
  <c r="C45" i="5"/>
  <c r="C46" i="5"/>
  <c r="C47" i="5"/>
  <c r="C48" i="5"/>
  <c r="C49" i="5"/>
  <c r="C50" i="5"/>
  <c r="C51" i="5"/>
  <c r="C52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113" i="5" s="1"/>
  <c r="C73" i="5"/>
  <c r="C74" i="5"/>
  <c r="C75" i="5"/>
  <c r="C122" i="5" s="1"/>
  <c r="C76" i="5"/>
  <c r="C104" i="5" s="1"/>
  <c r="C77" i="5"/>
  <c r="C78" i="5"/>
  <c r="C79" i="5" s="1"/>
  <c r="C80" i="5"/>
  <c r="C81" i="5"/>
  <c r="C82" i="5"/>
  <c r="C83" i="5"/>
  <c r="C84" i="5"/>
  <c r="C171" i="5"/>
  <c r="C172" i="5"/>
  <c r="C173" i="5"/>
  <c r="C174" i="5"/>
  <c r="C175" i="5" s="1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219" i="5"/>
  <c r="C220" i="5"/>
  <c r="C221" i="5"/>
  <c r="C223" i="5"/>
  <c r="C224" i="5"/>
  <c r="C225" i="5"/>
  <c r="C228" i="5"/>
  <c r="C229" i="5"/>
  <c r="C230" i="5"/>
  <c r="C231" i="5"/>
  <c r="C232" i="5"/>
  <c r="C233" i="5"/>
  <c r="C234" i="5"/>
  <c r="C235" i="5"/>
  <c r="C236" i="5"/>
  <c r="C237" i="5"/>
  <c r="C238" i="5"/>
  <c r="C239" i="5"/>
  <c r="C240" i="5"/>
  <c r="C241" i="5"/>
  <c r="C242" i="5"/>
  <c r="C243" i="5"/>
  <c r="C244" i="5"/>
  <c r="C245" i="5"/>
  <c r="C246" i="5"/>
  <c r="C247" i="5"/>
  <c r="C248" i="5"/>
  <c r="C249" i="5"/>
  <c r="C250" i="5"/>
  <c r="C251" i="5"/>
  <c r="C252" i="5"/>
  <c r="C253" i="5"/>
  <c r="C254" i="5"/>
  <c r="C257" i="5"/>
  <c r="C258" i="5"/>
  <c r="C259" i="5"/>
  <c r="C260" i="5"/>
  <c r="C261" i="5"/>
  <c r="C262" i="5"/>
  <c r="C263" i="5"/>
  <c r="C264" i="5"/>
  <c r="C265" i="5"/>
  <c r="C266" i="5"/>
  <c r="C267" i="5"/>
  <c r="C268" i="5"/>
  <c r="C269" i="5"/>
  <c r="C270" i="5"/>
  <c r="C271" i="5"/>
  <c r="C272" i="5"/>
  <c r="C273" i="5"/>
  <c r="C274" i="5"/>
  <c r="C275" i="5"/>
  <c r="C276" i="5"/>
  <c r="C277" i="5"/>
  <c r="C278" i="5"/>
  <c r="C279" i="5"/>
  <c r="C280" i="5"/>
  <c r="C281" i="5"/>
  <c r="C282" i="5"/>
  <c r="C283" i="5"/>
  <c r="C284" i="5"/>
  <c r="C285" i="5"/>
  <c r="C286" i="5"/>
  <c r="C287" i="5"/>
  <c r="C288" i="5"/>
  <c r="C289" i="5"/>
  <c r="C291" i="5"/>
  <c r="C292" i="5" s="1"/>
  <c r="C293" i="5"/>
  <c r="C294" i="5"/>
  <c r="C295" i="5"/>
  <c r="C296" i="5"/>
  <c r="C297" i="5"/>
  <c r="C298" i="5"/>
  <c r="C299" i="5"/>
  <c r="C300" i="5"/>
  <c r="C301" i="5"/>
  <c r="C302" i="5"/>
  <c r="C303" i="5"/>
  <c r="C304" i="5"/>
  <c r="C305" i="5"/>
  <c r="C306" i="5"/>
  <c r="C307" i="5"/>
  <c r="C308" i="5"/>
  <c r="C309" i="5"/>
  <c r="C310" i="5"/>
  <c r="C311" i="5"/>
  <c r="C312" i="5"/>
  <c r="C313" i="5"/>
  <c r="C314" i="5"/>
  <c r="C315" i="5"/>
  <c r="C318" i="5"/>
  <c r="C319" i="5"/>
  <c r="C320" i="5"/>
  <c r="C321" i="5"/>
  <c r="C322" i="5"/>
  <c r="C323" i="5"/>
  <c r="C324" i="5"/>
  <c r="C325" i="5"/>
  <c r="C326" i="5"/>
  <c r="C327" i="5"/>
  <c r="C328" i="5"/>
  <c r="C329" i="5"/>
  <c r="C331" i="5"/>
  <c r="C332" i="5"/>
  <c r="C335" i="5"/>
  <c r="C336" i="5"/>
  <c r="C337" i="5"/>
  <c r="C338" i="5"/>
  <c r="C339" i="5"/>
  <c r="C340" i="5"/>
  <c r="C341" i="5"/>
  <c r="C342" i="5"/>
  <c r="C343" i="5"/>
  <c r="C344" i="5"/>
  <c r="C345" i="5"/>
  <c r="C346" i="5"/>
  <c r="C347" i="5"/>
  <c r="C348" i="5"/>
  <c r="C349" i="5"/>
  <c r="C350" i="5"/>
  <c r="C351" i="5"/>
  <c r="C352" i="5"/>
  <c r="C353" i="5"/>
  <c r="C354" i="5"/>
  <c r="C355" i="5"/>
  <c r="C356" i="5"/>
  <c r="C359" i="5"/>
  <c r="C360" i="5"/>
  <c r="C361" i="5"/>
  <c r="C362" i="5"/>
  <c r="C363" i="5"/>
  <c r="C364" i="5"/>
  <c r="C365" i="5"/>
  <c r="C366" i="5"/>
  <c r="C367" i="5"/>
  <c r="C368" i="5"/>
  <c r="C369" i="5"/>
  <c r="C370" i="5"/>
  <c r="C371" i="5"/>
  <c r="C372" i="5"/>
  <c r="C373" i="5"/>
  <c r="C375" i="5"/>
  <c r="C378" i="5"/>
  <c r="C379" i="5"/>
  <c r="C380" i="5"/>
  <c r="C381" i="5"/>
  <c r="C382" i="5"/>
  <c r="C383" i="5"/>
  <c r="C384" i="5"/>
  <c r="C385" i="5"/>
  <c r="C386" i="5"/>
  <c r="C387" i="5"/>
  <c r="C388" i="5"/>
  <c r="C389" i="5"/>
  <c r="C391" i="5"/>
  <c r="C392" i="5"/>
  <c r="C393" i="5"/>
  <c r="C394" i="5"/>
  <c r="C395" i="5"/>
  <c r="C396" i="5"/>
  <c r="C397" i="5"/>
  <c r="C398" i="5"/>
  <c r="C399" i="5"/>
  <c r="C400" i="5"/>
  <c r="C401" i="5"/>
  <c r="C402" i="5"/>
  <c r="C403" i="5"/>
  <c r="C404" i="5"/>
  <c r="C405" i="5"/>
  <c r="C406" i="5"/>
  <c r="C407" i="5"/>
  <c r="C408" i="5"/>
  <c r="C409" i="5"/>
  <c r="C410" i="5"/>
  <c r="C411" i="5"/>
  <c r="C412" i="5"/>
  <c r="C413" i="5"/>
  <c r="C414" i="5"/>
  <c r="C415" i="5"/>
  <c r="C416" i="5"/>
  <c r="C417" i="5"/>
  <c r="C418" i="5"/>
  <c r="C419" i="5"/>
  <c r="C420" i="5"/>
  <c r="C421" i="5"/>
  <c r="C422" i="5"/>
  <c r="C423" i="5"/>
  <c r="C424" i="5"/>
  <c r="C425" i="5"/>
  <c r="C426" i="5"/>
  <c r="C427" i="5"/>
  <c r="C428" i="5"/>
  <c r="C429" i="5"/>
  <c r="C430" i="5"/>
  <c r="C431" i="5"/>
  <c r="C434" i="5"/>
  <c r="C435" i="5"/>
  <c r="C436" i="5"/>
  <c r="C437" i="5"/>
  <c r="C438" i="5"/>
  <c r="C439" i="5"/>
  <c r="C440" i="5"/>
  <c r="C441" i="5"/>
  <c r="C442" i="5"/>
  <c r="C443" i="5"/>
  <c r="C444" i="5"/>
  <c r="C445" i="5"/>
  <c r="C446" i="5"/>
  <c r="C447" i="5"/>
  <c r="C448" i="5"/>
  <c r="C449" i="5"/>
  <c r="C450" i="5"/>
  <c r="C451" i="5"/>
  <c r="C452" i="5"/>
  <c r="C453" i="5"/>
  <c r="C454" i="5"/>
  <c r="C455" i="5"/>
  <c r="C458" i="5"/>
  <c r="C459" i="5"/>
  <c r="C460" i="5"/>
  <c r="C461" i="5"/>
  <c r="C462" i="5" s="1"/>
  <c r="C463" i="5"/>
  <c r="C464" i="5"/>
  <c r="C465" i="5"/>
  <c r="C466" i="5"/>
  <c r="C467" i="5"/>
  <c r="C468" i="5"/>
  <c r="C469" i="5"/>
  <c r="C470" i="5"/>
  <c r="C471" i="5"/>
  <c r="C472" i="5"/>
  <c r="C473" i="5"/>
  <c r="C474" i="5"/>
  <c r="C475" i="5"/>
  <c r="C476" i="5"/>
  <c r="C477" i="5"/>
  <c r="C478" i="5"/>
  <c r="C479" i="5"/>
  <c r="C480" i="5"/>
  <c r="C483" i="5"/>
  <c r="C484" i="5"/>
  <c r="C485" i="5"/>
  <c r="C486" i="5"/>
  <c r="C487" i="5"/>
  <c r="C488" i="5"/>
  <c r="C489" i="5"/>
  <c r="C490" i="5"/>
  <c r="C491" i="5"/>
  <c r="C492" i="5"/>
  <c r="C493" i="5"/>
  <c r="C494" i="5"/>
  <c r="C495" i="5"/>
  <c r="C496" i="5"/>
  <c r="C497" i="5"/>
  <c r="C498" i="5"/>
  <c r="C499" i="5"/>
  <c r="C500" i="5"/>
  <c r="C501" i="5"/>
  <c r="C502" i="5"/>
  <c r="C503" i="5"/>
  <c r="C504" i="5"/>
  <c r="C505" i="5"/>
  <c r="C506" i="5"/>
  <c r="C507" i="5"/>
  <c r="C508" i="5"/>
  <c r="C509" i="5"/>
  <c r="C512" i="5"/>
  <c r="C513" i="5"/>
  <c r="C516" i="5"/>
  <c r="C517" i="5"/>
  <c r="C518" i="5"/>
  <c r="C519" i="5"/>
  <c r="C520" i="5"/>
  <c r="C521" i="5"/>
  <c r="C522" i="5"/>
  <c r="C525" i="5"/>
  <c r="C526" i="5"/>
  <c r="C527" i="5"/>
  <c r="C528" i="5"/>
  <c r="C529" i="5"/>
  <c r="C530" i="5"/>
  <c r="C531" i="5"/>
  <c r="C532" i="5"/>
  <c r="F7750" i="3"/>
  <c r="F7749" i="3"/>
  <c r="F7748" i="3"/>
  <c r="F7747" i="3"/>
  <c r="F7726" i="3"/>
  <c r="F7725" i="3"/>
  <c r="F7724" i="3"/>
  <c r="F7723" i="3"/>
  <c r="F7206" i="3"/>
  <c r="F7205" i="3"/>
  <c r="F7204" i="3"/>
  <c r="F7203" i="3"/>
  <c r="F7180" i="3"/>
  <c r="F7179" i="3"/>
  <c r="F7178" i="3"/>
  <c r="F7177" i="3"/>
  <c r="F7155" i="3"/>
  <c r="F7154" i="3"/>
  <c r="F7153" i="3"/>
  <c r="F7152" i="3"/>
  <c r="F7130" i="3"/>
  <c r="F7129" i="3"/>
  <c r="F7128" i="3"/>
  <c r="F7127" i="3"/>
  <c r="F7097" i="3"/>
  <c r="F7096" i="3"/>
  <c r="F7095" i="3"/>
  <c r="F7094" i="3"/>
  <c r="F7071" i="3"/>
  <c r="F7070" i="3"/>
  <c r="F7069" i="3"/>
  <c r="F7068" i="3"/>
  <c r="F7043" i="3"/>
  <c r="F7021" i="3"/>
  <c r="F7020" i="3"/>
  <c r="F7019" i="3"/>
  <c r="F7018" i="3"/>
  <c r="F6995" i="3"/>
  <c r="F6994" i="3"/>
  <c r="F6993" i="3"/>
  <c r="F6992" i="3"/>
  <c r="F6969" i="3"/>
  <c r="F6968" i="3"/>
  <c r="F6967" i="3"/>
  <c r="F6966" i="3"/>
  <c r="F6944" i="3"/>
  <c r="F6943" i="3"/>
  <c r="F6942" i="3"/>
  <c r="F6941" i="3"/>
  <c r="F6906" i="3"/>
  <c r="F6905" i="3"/>
  <c r="F6904" i="3"/>
  <c r="F6903" i="3"/>
  <c r="F6866" i="3"/>
  <c r="F6865" i="3"/>
  <c r="F6864" i="3"/>
  <c r="F6863" i="3"/>
  <c r="F6837" i="3"/>
  <c r="F6836" i="3"/>
  <c r="F6835" i="3"/>
  <c r="F6834" i="3"/>
  <c r="F6810" i="3"/>
  <c r="F6809" i="3"/>
  <c r="F6808" i="3"/>
  <c r="F6807" i="3"/>
  <c r="F6786" i="3"/>
  <c r="F6785" i="3"/>
  <c r="F6784" i="3"/>
  <c r="F6783" i="3"/>
  <c r="F6759" i="3"/>
  <c r="F6758" i="3"/>
  <c r="F6757" i="3"/>
  <c r="F6756" i="3"/>
  <c r="F6732" i="3"/>
  <c r="F6731" i="3"/>
  <c r="F6730" i="3"/>
  <c r="F6729" i="3"/>
  <c r="F6704" i="3"/>
  <c r="F6703" i="3"/>
  <c r="F6702" i="3"/>
  <c r="F6701" i="3"/>
  <c r="F6678" i="3"/>
  <c r="F6677" i="3"/>
  <c r="F6676" i="3"/>
  <c r="F6675" i="3"/>
  <c r="F6653" i="3"/>
  <c r="F6652" i="3"/>
  <c r="F6651" i="3"/>
  <c r="F6650" i="3"/>
  <c r="F6627" i="3"/>
  <c r="F6626" i="3"/>
  <c r="F6625" i="3"/>
  <c r="F6624" i="3"/>
  <c r="F6602" i="3"/>
  <c r="F6601" i="3"/>
  <c r="F6600" i="3"/>
  <c r="F6599" i="3"/>
  <c r="F6577" i="3"/>
  <c r="F6576" i="3"/>
  <c r="F6575" i="3"/>
  <c r="F6574" i="3"/>
  <c r="F6551" i="3"/>
  <c r="F6550" i="3"/>
  <c r="F6549" i="3"/>
  <c r="F6548" i="3"/>
  <c r="F6525" i="3"/>
  <c r="F6524" i="3"/>
  <c r="F6523" i="3"/>
  <c r="F6522" i="3"/>
  <c r="F6500" i="3"/>
  <c r="F6499" i="3"/>
  <c r="F6498" i="3"/>
  <c r="F6497" i="3"/>
  <c r="F6476" i="3"/>
  <c r="F6475" i="3"/>
  <c r="F6474" i="3"/>
  <c r="F6473" i="3"/>
  <c r="F6452" i="3"/>
  <c r="F6451" i="3"/>
  <c r="F6450" i="3"/>
  <c r="F6449" i="3"/>
  <c r="F6428" i="3"/>
  <c r="F6427" i="3"/>
  <c r="F6426" i="3"/>
  <c r="F6425" i="3"/>
  <c r="F6403" i="3"/>
  <c r="F6402" i="3"/>
  <c r="F6401" i="3"/>
  <c r="F6400" i="3"/>
  <c r="F6376" i="3"/>
  <c r="F6375" i="3"/>
  <c r="F6374" i="3"/>
  <c r="F6373" i="3"/>
  <c r="F6351" i="3"/>
  <c r="F6350" i="3"/>
  <c r="F6349" i="3"/>
  <c r="F6348" i="3"/>
  <c r="F6326" i="3"/>
  <c r="F6325" i="3"/>
  <c r="F6324" i="3"/>
  <c r="F6323" i="3"/>
  <c r="F6300" i="3"/>
  <c r="F6299" i="3"/>
  <c r="F6298" i="3"/>
  <c r="F6297" i="3"/>
  <c r="F6273" i="3"/>
  <c r="F6272" i="3"/>
  <c r="F6271" i="3"/>
  <c r="F6270" i="3"/>
  <c r="F6248" i="3"/>
  <c r="F6247" i="3"/>
  <c r="F6246" i="3"/>
  <c r="F6245" i="3"/>
  <c r="F6223" i="3"/>
  <c r="F6222" i="3"/>
  <c r="F6221" i="3"/>
  <c r="F6220" i="3"/>
  <c r="F6198" i="3"/>
  <c r="F6197" i="3"/>
  <c r="F6196" i="3"/>
  <c r="F6195" i="3"/>
  <c r="F6173" i="3"/>
  <c r="F6172" i="3"/>
  <c r="F6171" i="3"/>
  <c r="F6170" i="3"/>
  <c r="F6148" i="3"/>
  <c r="F6147" i="3"/>
  <c r="F6146" i="3"/>
  <c r="F6145" i="3"/>
  <c r="F6123" i="3"/>
  <c r="F6122" i="3"/>
  <c r="F6121" i="3"/>
  <c r="F6120" i="3"/>
  <c r="F6097" i="3"/>
  <c r="F6096" i="3"/>
  <c r="F6095" i="3"/>
  <c r="F6094" i="3"/>
  <c r="F6071" i="3"/>
  <c r="F6070" i="3"/>
  <c r="F6069" i="3"/>
  <c r="F6068" i="3"/>
  <c r="F6046" i="3"/>
  <c r="F6045" i="3"/>
  <c r="F6044" i="3"/>
  <c r="F6043" i="3"/>
  <c r="F6022" i="3"/>
  <c r="F6021" i="3"/>
  <c r="F6020" i="3"/>
  <c r="F6019" i="3"/>
  <c r="F5998" i="3"/>
  <c r="F5997" i="3"/>
  <c r="F5996" i="3"/>
  <c r="F5995" i="3"/>
  <c r="F5974" i="3"/>
  <c r="F5973" i="3"/>
  <c r="F5972" i="3"/>
  <c r="F5971" i="3"/>
  <c r="F5947" i="3"/>
  <c r="F5946" i="3"/>
  <c r="F5945" i="3"/>
  <c r="F5944" i="3"/>
  <c r="F5921" i="3"/>
  <c r="F5920" i="3"/>
  <c r="F5919" i="3"/>
  <c r="F5918" i="3"/>
  <c r="F5890" i="3"/>
  <c r="F5889" i="3"/>
  <c r="F5888" i="3"/>
  <c r="F5887" i="3"/>
  <c r="F5862" i="3"/>
  <c r="F5861" i="3"/>
  <c r="F5860" i="3"/>
  <c r="F5859" i="3"/>
  <c r="F5837" i="3"/>
  <c r="F5836" i="3"/>
  <c r="F5835" i="3"/>
  <c r="F5834" i="3"/>
  <c r="F5812" i="3"/>
  <c r="F5811" i="3"/>
  <c r="F5810" i="3"/>
  <c r="F5809" i="3"/>
  <c r="F5787" i="3"/>
  <c r="F5786" i="3"/>
  <c r="F5785" i="3"/>
  <c r="F5784" i="3"/>
  <c r="F5762" i="3"/>
  <c r="F5761" i="3"/>
  <c r="F5760" i="3"/>
  <c r="F5759" i="3"/>
  <c r="F5736" i="3"/>
  <c r="F5735" i="3"/>
  <c r="F5734" i="3"/>
  <c r="F5733" i="3"/>
  <c r="F5710" i="3"/>
  <c r="F5709" i="3"/>
  <c r="F5708" i="3"/>
  <c r="F5707" i="3"/>
  <c r="F5686" i="3"/>
  <c r="F5685" i="3"/>
  <c r="F5684" i="3"/>
  <c r="F5683" i="3"/>
  <c r="F5661" i="3"/>
  <c r="F5660" i="3"/>
  <c r="F5659" i="3"/>
  <c r="F5658" i="3"/>
  <c r="F5636" i="3"/>
  <c r="F5635" i="3"/>
  <c r="F5634" i="3"/>
  <c r="F5633" i="3"/>
  <c r="F5612" i="3"/>
  <c r="F5611" i="3"/>
  <c r="F5610" i="3"/>
  <c r="F5609" i="3"/>
  <c r="F5586" i="3"/>
  <c r="F5585" i="3"/>
  <c r="F5584" i="3"/>
  <c r="F5583" i="3"/>
  <c r="F5561" i="3"/>
  <c r="F5560" i="3"/>
  <c r="F5559" i="3"/>
  <c r="F5558" i="3"/>
  <c r="F5537" i="3"/>
  <c r="F5536" i="3"/>
  <c r="F5535" i="3"/>
  <c r="F5534" i="3"/>
  <c r="F5510" i="3"/>
  <c r="F5509" i="3"/>
  <c r="F5508" i="3"/>
  <c r="F5507" i="3"/>
  <c r="F5482" i="3"/>
  <c r="F5481" i="3"/>
  <c r="F5480" i="3"/>
  <c r="F5479" i="3"/>
  <c r="F5455" i="3"/>
  <c r="F5454" i="3"/>
  <c r="F5453" i="3"/>
  <c r="F5452" i="3"/>
  <c r="F5428" i="3"/>
  <c r="F5427" i="3"/>
  <c r="F5426" i="3"/>
  <c r="F5425" i="3"/>
  <c r="F5401" i="3"/>
  <c r="F5400" i="3"/>
  <c r="F5399" i="3"/>
  <c r="F5398" i="3"/>
  <c r="F5374" i="3"/>
  <c r="F5373" i="3"/>
  <c r="F5372" i="3"/>
  <c r="F5371" i="3"/>
  <c r="F5347" i="3"/>
  <c r="F5346" i="3"/>
  <c r="F5345" i="3"/>
  <c r="F5344" i="3"/>
  <c r="F5320" i="3"/>
  <c r="F5319" i="3"/>
  <c r="F5318" i="3"/>
  <c r="F5317" i="3"/>
  <c r="F5293" i="3"/>
  <c r="F5292" i="3"/>
  <c r="F5291" i="3"/>
  <c r="F5290" i="3"/>
  <c r="F5268" i="3"/>
  <c r="F5267" i="3"/>
  <c r="F5266" i="3"/>
  <c r="F5265" i="3"/>
  <c r="F5243" i="3"/>
  <c r="F5242" i="3"/>
  <c r="F5241" i="3"/>
  <c r="F5240" i="3"/>
  <c r="F5219" i="3"/>
  <c r="F5218" i="3"/>
  <c r="F5217" i="3"/>
  <c r="F5216" i="3"/>
  <c r="F5192" i="3"/>
  <c r="F5191" i="3"/>
  <c r="F5190" i="3"/>
  <c r="F5189" i="3"/>
  <c r="F5165" i="3"/>
  <c r="F5164" i="3"/>
  <c r="F5163" i="3"/>
  <c r="F5162" i="3"/>
  <c r="F5141" i="3"/>
  <c r="F5140" i="3"/>
  <c r="F5139" i="3"/>
  <c r="F5138" i="3"/>
  <c r="F5109" i="3"/>
  <c r="F5108" i="3"/>
  <c r="F5107" i="3"/>
  <c r="F5106" i="3"/>
  <c r="F5073" i="3"/>
  <c r="F5072" i="3"/>
  <c r="F5071" i="3"/>
  <c r="F5070" i="3"/>
  <c r="F5045" i="3"/>
  <c r="F5044" i="3"/>
  <c r="F5043" i="3"/>
  <c r="F5042" i="3"/>
  <c r="F5012" i="3"/>
  <c r="F5011" i="3"/>
  <c r="F5010" i="3"/>
  <c r="F5009" i="3"/>
  <c r="F4978" i="3"/>
  <c r="F4977" i="3"/>
  <c r="F4976" i="3"/>
  <c r="F4975" i="3"/>
  <c r="F4950" i="3"/>
  <c r="F4949" i="3"/>
  <c r="F4948" i="3"/>
  <c r="F4947" i="3"/>
  <c r="F4924" i="3"/>
  <c r="F4923" i="3"/>
  <c r="F4922" i="3"/>
  <c r="F4921" i="3"/>
  <c r="F4898" i="3"/>
  <c r="F4897" i="3"/>
  <c r="F4896" i="3"/>
  <c r="F4895" i="3"/>
  <c r="F4873" i="3"/>
  <c r="F4872" i="3"/>
  <c r="F4871" i="3"/>
  <c r="F4870" i="3"/>
  <c r="F4846" i="3"/>
  <c r="F4845" i="3"/>
  <c r="F4844" i="3"/>
  <c r="F4843" i="3"/>
  <c r="F4819" i="3"/>
  <c r="F4818" i="3"/>
  <c r="F4817" i="3"/>
  <c r="F4816" i="3"/>
  <c r="F4792" i="3"/>
  <c r="F4791" i="3"/>
  <c r="F4790" i="3"/>
  <c r="F4789" i="3"/>
  <c r="F4765" i="3"/>
  <c r="F4764" i="3"/>
  <c r="F4763" i="3"/>
  <c r="F4762" i="3"/>
  <c r="F4738" i="3"/>
  <c r="F4737" i="3"/>
  <c r="F4736" i="3"/>
  <c r="F4735" i="3"/>
  <c r="F4711" i="3"/>
  <c r="F4710" i="3"/>
  <c r="F4709" i="3"/>
  <c r="F4708" i="3"/>
  <c r="F4684" i="3"/>
  <c r="F4683" i="3"/>
  <c r="F4682" i="3"/>
  <c r="F4681" i="3"/>
  <c r="F4657" i="3"/>
  <c r="F4656" i="3"/>
  <c r="F4655" i="3"/>
  <c r="F4654" i="3"/>
  <c r="F4630" i="3"/>
  <c r="F4629" i="3"/>
  <c r="F4628" i="3"/>
  <c r="F4627" i="3"/>
  <c r="F4603" i="3"/>
  <c r="F4602" i="3"/>
  <c r="F4601" i="3"/>
  <c r="F4600" i="3"/>
  <c r="F4576" i="3"/>
  <c r="F4575" i="3"/>
  <c r="F4574" i="3"/>
  <c r="F4573" i="3"/>
  <c r="F4549" i="3"/>
  <c r="F4548" i="3"/>
  <c r="F4547" i="3"/>
  <c r="F4546" i="3"/>
  <c r="F4523" i="3"/>
  <c r="F4522" i="3"/>
  <c r="F4521" i="3"/>
  <c r="F4520" i="3"/>
  <c r="F4497" i="3"/>
  <c r="F4496" i="3"/>
  <c r="F4495" i="3"/>
  <c r="F4494" i="3"/>
  <c r="F4471" i="3"/>
  <c r="F4470" i="3"/>
  <c r="F4469" i="3"/>
  <c r="F4468" i="3"/>
  <c r="F4444" i="3"/>
  <c r="F4443" i="3"/>
  <c r="F4442" i="3"/>
  <c r="F4441" i="3"/>
  <c r="F4417" i="3"/>
  <c r="F4416" i="3"/>
  <c r="F4415" i="3"/>
  <c r="F4414" i="3"/>
  <c r="F4390" i="3"/>
  <c r="F4389" i="3"/>
  <c r="F4388" i="3"/>
  <c r="F4387" i="3"/>
  <c r="F4363" i="3"/>
  <c r="F4362" i="3"/>
  <c r="F4361" i="3"/>
  <c r="F4360" i="3"/>
  <c r="F4336" i="3"/>
  <c r="F4335" i="3"/>
  <c r="F4334" i="3"/>
  <c r="F4333" i="3"/>
  <c r="F4309" i="3"/>
  <c r="F4308" i="3"/>
  <c r="F4307" i="3"/>
  <c r="F4306" i="3"/>
  <c r="F4282" i="3"/>
  <c r="F4281" i="3"/>
  <c r="F4280" i="3"/>
  <c r="F4279" i="3"/>
  <c r="F4255" i="3"/>
  <c r="F4254" i="3"/>
  <c r="F4253" i="3"/>
  <c r="F4252" i="3"/>
  <c r="F4228" i="3"/>
  <c r="F4227" i="3"/>
  <c r="F4226" i="3"/>
  <c r="F4225" i="3"/>
  <c r="F4202" i="3"/>
  <c r="F4201" i="3"/>
  <c r="F4200" i="3"/>
  <c r="F4199" i="3"/>
  <c r="F4176" i="3"/>
  <c r="F4175" i="3"/>
  <c r="F4174" i="3"/>
  <c r="F4173" i="3"/>
  <c r="F4151" i="3"/>
  <c r="F4150" i="3"/>
  <c r="F4149" i="3"/>
  <c r="F4148" i="3"/>
  <c r="F4125" i="3"/>
  <c r="F4124" i="3"/>
  <c r="F4123" i="3"/>
  <c r="F4122" i="3"/>
  <c r="F4099" i="3"/>
  <c r="F4098" i="3"/>
  <c r="F4097" i="3"/>
  <c r="F4096" i="3"/>
  <c r="F4076" i="3"/>
  <c r="F4075" i="3"/>
  <c r="F4074" i="3"/>
  <c r="F4073" i="3"/>
  <c r="F4053" i="3"/>
  <c r="F4052" i="3"/>
  <c r="F4051" i="3"/>
  <c r="F4050" i="3"/>
  <c r="F4029" i="3"/>
  <c r="F4028" i="3"/>
  <c r="F4027" i="3"/>
  <c r="F4026" i="3"/>
  <c r="F4004" i="3"/>
  <c r="F4003" i="3"/>
  <c r="F4002" i="3"/>
  <c r="F4001" i="3"/>
  <c r="F3980" i="3"/>
  <c r="F3979" i="3"/>
  <c r="F3978" i="3"/>
  <c r="F3977" i="3"/>
  <c r="F3955" i="3"/>
  <c r="F3954" i="3"/>
  <c r="F3953" i="3"/>
  <c r="F3952" i="3"/>
  <c r="F3930" i="3"/>
  <c r="F3929" i="3"/>
  <c r="F3928" i="3"/>
  <c r="F3927" i="3"/>
  <c r="F3905" i="3"/>
  <c r="F3904" i="3"/>
  <c r="F3903" i="3"/>
  <c r="F3902" i="3"/>
  <c r="F3879" i="3"/>
  <c r="F3878" i="3"/>
  <c r="F3877" i="3"/>
  <c r="F3876" i="3"/>
  <c r="F3854" i="3"/>
  <c r="F3853" i="3"/>
  <c r="F3852" i="3"/>
  <c r="F3851" i="3"/>
  <c r="F3829" i="3"/>
  <c r="F3828" i="3"/>
  <c r="F3827" i="3"/>
  <c r="F3826" i="3"/>
  <c r="F3804" i="3"/>
  <c r="F3803" i="3"/>
  <c r="F3802" i="3"/>
  <c r="F3801" i="3"/>
  <c r="F3779" i="3"/>
  <c r="F3778" i="3"/>
  <c r="F3777" i="3"/>
  <c r="F3776" i="3"/>
  <c r="F3754" i="3"/>
  <c r="F3753" i="3"/>
  <c r="F3752" i="3"/>
  <c r="F3751" i="3"/>
  <c r="F3728" i="3"/>
  <c r="F3727" i="3"/>
  <c r="F3726" i="3"/>
  <c r="F3725" i="3"/>
  <c r="F3702" i="3"/>
  <c r="F3701" i="3"/>
  <c r="F3700" i="3"/>
  <c r="F3699" i="3"/>
  <c r="F3676" i="3"/>
  <c r="F3675" i="3"/>
  <c r="F3674" i="3"/>
  <c r="F3673" i="3"/>
  <c r="F3650" i="3"/>
  <c r="F3649" i="3"/>
  <c r="F3648" i="3"/>
  <c r="F3647" i="3"/>
  <c r="F3625" i="3"/>
  <c r="F3624" i="3"/>
  <c r="F3623" i="3"/>
  <c r="F3622" i="3"/>
  <c r="F3600" i="3"/>
  <c r="F3599" i="3"/>
  <c r="F3598" i="3"/>
  <c r="F3597" i="3"/>
  <c r="F3575" i="3"/>
  <c r="F3574" i="3"/>
  <c r="F3573" i="3"/>
  <c r="F3572" i="3"/>
  <c r="F3550" i="3"/>
  <c r="F3549" i="3"/>
  <c r="F3548" i="3"/>
  <c r="F3547" i="3"/>
  <c r="F3525" i="3"/>
  <c r="F3524" i="3"/>
  <c r="F3523" i="3"/>
  <c r="F3522" i="3"/>
  <c r="F3500" i="3"/>
  <c r="F3499" i="3"/>
  <c r="F3498" i="3"/>
  <c r="F3497" i="3"/>
  <c r="F3476" i="3"/>
  <c r="F3475" i="3"/>
  <c r="F3474" i="3"/>
  <c r="F3473" i="3"/>
  <c r="F3451" i="3"/>
  <c r="F3450" i="3"/>
  <c r="F3449" i="3"/>
  <c r="F3448" i="3"/>
  <c r="F3422" i="3"/>
  <c r="F3421" i="3"/>
  <c r="F3420" i="3"/>
  <c r="F3419" i="3"/>
  <c r="F3396" i="3"/>
  <c r="F3395" i="3"/>
  <c r="F3394" i="3"/>
  <c r="F3393" i="3"/>
  <c r="F3370" i="3"/>
  <c r="F3369" i="3"/>
  <c r="F3368" i="3"/>
  <c r="F3367" i="3"/>
  <c r="F3338" i="3"/>
  <c r="F3337" i="3"/>
  <c r="F3336" i="3"/>
  <c r="F3335" i="3"/>
  <c r="F3309" i="3"/>
  <c r="F3308" i="3"/>
  <c r="F3307" i="3"/>
  <c r="F3306" i="3"/>
  <c r="F3282" i="3"/>
  <c r="F3281" i="3"/>
  <c r="F3280" i="3"/>
  <c r="F3279" i="3"/>
  <c r="F3256" i="3"/>
  <c r="F3255" i="3"/>
  <c r="F3254" i="3"/>
  <c r="F3253" i="3"/>
  <c r="F3229" i="3"/>
  <c r="F3228" i="3"/>
  <c r="F3227" i="3"/>
  <c r="F3226" i="3"/>
  <c r="F3202" i="3"/>
  <c r="F3201" i="3"/>
  <c r="F3200" i="3"/>
  <c r="F3199" i="3"/>
  <c r="F3175" i="3"/>
  <c r="F3174" i="3"/>
  <c r="F3173" i="3"/>
  <c r="F3172" i="3"/>
  <c r="F3148" i="3"/>
  <c r="F3147" i="3"/>
  <c r="F3146" i="3"/>
  <c r="F3145" i="3"/>
  <c r="F3121" i="3"/>
  <c r="F3120" i="3"/>
  <c r="F3119" i="3"/>
  <c r="F3118" i="3"/>
  <c r="F3095" i="3"/>
  <c r="F3094" i="3"/>
  <c r="F3093" i="3"/>
  <c r="F3092" i="3"/>
  <c r="F3069" i="3"/>
  <c r="F3068" i="3"/>
  <c r="F3067" i="3"/>
  <c r="F3066" i="3"/>
  <c r="F3044" i="3"/>
  <c r="F3043" i="3"/>
  <c r="F3042" i="3"/>
  <c r="F3041" i="3"/>
  <c r="F3018" i="3"/>
  <c r="F3017" i="3"/>
  <c r="F3016" i="3"/>
  <c r="F3015" i="3"/>
  <c r="F2992" i="3"/>
  <c r="F2991" i="3"/>
  <c r="F2990" i="3"/>
  <c r="F2989" i="3"/>
  <c r="F2966" i="3"/>
  <c r="F2965" i="3"/>
  <c r="F2964" i="3"/>
  <c r="F2963" i="3"/>
  <c r="F2939" i="3"/>
  <c r="F2938" i="3"/>
  <c r="F2937" i="3"/>
  <c r="F2936" i="3"/>
  <c r="F2913" i="3"/>
  <c r="F2912" i="3"/>
  <c r="F2911" i="3"/>
  <c r="F2910" i="3"/>
  <c r="F2887" i="3"/>
  <c r="F2886" i="3"/>
  <c r="F2885" i="3"/>
  <c r="F2884" i="3"/>
  <c r="F2861" i="3"/>
  <c r="F2860" i="3"/>
  <c r="F2859" i="3"/>
  <c r="F2858" i="3"/>
  <c r="F2835" i="3"/>
  <c r="F2834" i="3"/>
  <c r="F2833" i="3"/>
  <c r="F2832" i="3"/>
  <c r="F2809" i="3"/>
  <c r="F2808" i="3"/>
  <c r="F2807" i="3"/>
  <c r="F2806" i="3"/>
  <c r="F2779" i="3"/>
  <c r="F2778" i="3"/>
  <c r="F2777" i="3"/>
  <c r="F2776" i="3"/>
  <c r="F2751" i="3"/>
  <c r="F2750" i="3"/>
  <c r="F2749" i="3"/>
  <c r="F2748" i="3"/>
  <c r="F2724" i="3"/>
  <c r="F2723" i="3"/>
  <c r="F2722" i="3"/>
  <c r="F2721" i="3"/>
  <c r="F2696" i="3"/>
  <c r="F2695" i="3"/>
  <c r="F2694" i="3"/>
  <c r="F2693" i="3"/>
  <c r="F2671" i="3"/>
  <c r="F2670" i="3"/>
  <c r="F2669" i="3"/>
  <c r="F2668" i="3"/>
  <c r="F2646" i="3"/>
  <c r="F2645" i="3"/>
  <c r="F2644" i="3"/>
  <c r="F2643" i="3"/>
  <c r="F2621" i="3"/>
  <c r="F2620" i="3"/>
  <c r="F2619" i="3"/>
  <c r="F2618" i="3"/>
  <c r="F2595" i="3"/>
  <c r="F2594" i="3"/>
  <c r="F2593" i="3"/>
  <c r="F2592" i="3"/>
  <c r="F2568" i="3"/>
  <c r="F2567" i="3"/>
  <c r="F2566" i="3"/>
  <c r="F2565" i="3"/>
  <c r="F2542" i="3"/>
  <c r="F2541" i="3"/>
  <c r="F2540" i="3"/>
  <c r="F2539" i="3"/>
  <c r="F2517" i="3"/>
  <c r="F2516" i="3"/>
  <c r="F2515" i="3"/>
  <c r="F2514" i="3"/>
  <c r="F2493" i="3"/>
  <c r="F2492" i="3"/>
  <c r="F2491" i="3"/>
  <c r="F2490" i="3"/>
  <c r="F2467" i="3"/>
  <c r="F2466" i="3"/>
  <c r="F2465" i="3"/>
  <c r="F2464" i="3"/>
  <c r="F2442" i="3"/>
  <c r="F2441" i="3"/>
  <c r="F2440" i="3"/>
  <c r="F2439" i="3"/>
  <c r="F2413" i="3"/>
  <c r="F2412" i="3"/>
  <c r="F2411" i="3"/>
  <c r="F2410" i="3"/>
  <c r="F2388" i="3"/>
  <c r="F2387" i="3"/>
  <c r="F2386" i="3"/>
  <c r="F2385" i="3"/>
  <c r="F2363" i="3"/>
  <c r="F2362" i="3"/>
  <c r="F2361" i="3"/>
  <c r="F2360" i="3"/>
  <c r="F2339" i="3"/>
  <c r="F2338" i="3"/>
  <c r="F2337" i="3"/>
  <c r="F2336" i="3"/>
  <c r="F2313" i="3"/>
  <c r="F2312" i="3"/>
  <c r="F2311" i="3"/>
  <c r="F2310" i="3"/>
  <c r="F2286" i="3"/>
  <c r="F2285" i="3"/>
  <c r="F2284" i="3"/>
  <c r="F2283" i="3"/>
  <c r="F2259" i="3"/>
  <c r="F2258" i="3"/>
  <c r="F2257" i="3"/>
  <c r="F2256" i="3"/>
  <c r="F2233" i="3"/>
  <c r="F2232" i="3"/>
  <c r="F2231" i="3"/>
  <c r="F2230" i="3"/>
  <c r="F2194" i="3"/>
  <c r="F2193" i="3"/>
  <c r="F2192" i="3"/>
  <c r="F2191" i="3"/>
  <c r="F2167" i="3"/>
  <c r="F2166" i="3"/>
  <c r="F2165" i="3"/>
  <c r="F2164" i="3"/>
  <c r="F1831" i="3"/>
  <c r="F1830" i="3"/>
  <c r="F1829" i="3"/>
  <c r="F1802" i="3"/>
  <c r="F1801" i="3"/>
  <c r="F1800" i="3"/>
  <c r="F1799" i="3"/>
  <c r="F1798" i="3"/>
  <c r="F1797" i="3"/>
  <c r="F1769" i="3"/>
  <c r="F1768" i="3"/>
  <c r="F1767" i="3"/>
  <c r="F1766" i="3"/>
  <c r="F1765" i="3"/>
  <c r="F1764" i="3"/>
  <c r="F1741" i="3"/>
  <c r="F1740" i="3"/>
  <c r="F1739" i="3"/>
  <c r="F1738" i="3"/>
  <c r="F1709" i="3"/>
  <c r="F1708" i="3"/>
  <c r="F1707" i="3"/>
  <c r="F1706" i="3"/>
  <c r="F1679" i="3"/>
  <c r="F1678" i="3"/>
  <c r="F1677" i="3"/>
  <c r="F1676" i="3"/>
  <c r="F1649" i="3"/>
  <c r="F1648" i="3"/>
  <c r="F1647" i="3"/>
  <c r="F1646" i="3"/>
  <c r="F1619" i="3"/>
  <c r="F1618" i="3"/>
  <c r="F1617" i="3"/>
  <c r="F1616" i="3"/>
  <c r="F1590" i="3"/>
  <c r="F1589" i="3"/>
  <c r="F1588" i="3"/>
  <c r="F1587" i="3"/>
  <c r="F1561" i="3"/>
  <c r="F1560" i="3"/>
  <c r="F1559" i="3"/>
  <c r="F1558" i="3"/>
  <c r="F1535" i="3"/>
  <c r="F1534" i="3"/>
  <c r="F1533" i="3"/>
  <c r="F1532" i="3"/>
  <c r="F1509" i="3"/>
  <c r="F1508" i="3"/>
  <c r="F1507" i="3"/>
  <c r="F1506" i="3"/>
  <c r="F1484" i="3"/>
  <c r="F1483" i="3"/>
  <c r="F1482" i="3"/>
  <c r="F1481" i="3"/>
  <c r="F1459" i="3"/>
  <c r="F1458" i="3"/>
  <c r="F1457" i="3"/>
  <c r="F1456" i="3"/>
  <c r="F1434" i="3"/>
  <c r="F1433" i="3"/>
  <c r="F1432" i="3"/>
  <c r="F1431" i="3"/>
  <c r="F1407" i="3"/>
  <c r="F1406" i="3"/>
  <c r="F1405" i="3"/>
  <c r="F1404" i="3"/>
  <c r="F1381" i="3"/>
  <c r="F1380" i="3"/>
  <c r="F1379" i="3"/>
  <c r="F1378" i="3"/>
  <c r="F1354" i="3"/>
  <c r="F1353" i="3"/>
  <c r="F1352" i="3"/>
  <c r="F1351" i="3"/>
  <c r="F1327" i="3"/>
  <c r="F1326" i="3"/>
  <c r="F1325" i="3"/>
  <c r="F1324" i="3"/>
  <c r="F1300" i="3"/>
  <c r="F1299" i="3"/>
  <c r="F1298" i="3"/>
  <c r="F1297" i="3"/>
  <c r="F1273" i="3"/>
  <c r="F1272" i="3"/>
  <c r="F1271" i="3"/>
  <c r="F1270" i="3"/>
  <c r="F1245" i="3"/>
  <c r="F1244" i="3"/>
  <c r="F1243" i="3"/>
  <c r="F1242" i="3"/>
  <c r="F1218" i="3"/>
  <c r="F1217" i="3"/>
  <c r="F1216" i="3"/>
  <c r="F1215" i="3"/>
  <c r="F1191" i="3"/>
  <c r="F1190" i="3"/>
  <c r="F1189" i="3"/>
  <c r="F1188" i="3"/>
  <c r="F1165" i="3"/>
  <c r="F1164" i="3"/>
  <c r="F1163" i="3"/>
  <c r="F1162" i="3"/>
  <c r="F1136" i="3"/>
  <c r="F1135" i="3"/>
  <c r="F1134" i="3"/>
  <c r="F1133" i="3"/>
  <c r="F1110" i="3"/>
  <c r="F1109" i="3"/>
  <c r="F1108" i="3"/>
  <c r="F1107" i="3"/>
  <c r="F1083" i="3"/>
  <c r="F1082" i="3"/>
  <c r="F1081" i="3"/>
  <c r="F1080" i="3"/>
  <c r="F1048" i="3"/>
  <c r="F1047" i="3"/>
  <c r="F1046" i="3"/>
  <c r="F1045" i="3"/>
  <c r="F1015" i="3"/>
  <c r="F1014" i="3"/>
  <c r="F1013" i="3"/>
  <c r="F1012" i="3"/>
  <c r="F968" i="3"/>
  <c r="F967" i="3"/>
  <c r="F945" i="3"/>
  <c r="F944" i="3"/>
  <c r="F919" i="3"/>
  <c r="F918" i="3"/>
  <c r="F917" i="3"/>
  <c r="F916" i="3"/>
  <c r="F891" i="3"/>
  <c r="F890" i="3"/>
  <c r="F889" i="3"/>
  <c r="F888" i="3"/>
  <c r="F866" i="3"/>
  <c r="F865" i="3"/>
  <c r="F864" i="3"/>
  <c r="F863" i="3"/>
  <c r="F839" i="3"/>
  <c r="F838" i="3"/>
  <c r="F837" i="3"/>
  <c r="F836" i="3"/>
  <c r="F813" i="3"/>
  <c r="F812" i="3"/>
  <c r="F811" i="3"/>
  <c r="F810" i="3"/>
  <c r="F788" i="3"/>
  <c r="F787" i="3"/>
  <c r="F786" i="3"/>
  <c r="F785" i="3"/>
  <c r="F762" i="3"/>
  <c r="F761" i="3"/>
  <c r="F760" i="3"/>
  <c r="F759" i="3"/>
  <c r="F735" i="3"/>
  <c r="F734" i="3"/>
  <c r="F713" i="3"/>
  <c r="F712" i="3"/>
  <c r="F691" i="3"/>
  <c r="F690" i="3"/>
  <c r="F669" i="3"/>
  <c r="F668" i="3"/>
  <c r="F647" i="3"/>
  <c r="F646" i="3"/>
  <c r="F626" i="3"/>
  <c r="F625" i="3"/>
  <c r="F605" i="3"/>
  <c r="F604" i="3"/>
  <c r="F583" i="3"/>
  <c r="F582" i="3"/>
  <c r="F561" i="3"/>
  <c r="F560" i="3"/>
  <c r="F539" i="3"/>
  <c r="F538" i="3"/>
  <c r="F518" i="3"/>
  <c r="F517" i="3"/>
  <c r="F497" i="3"/>
  <c r="F496" i="3"/>
  <c r="F476" i="3"/>
  <c r="F475" i="3"/>
  <c r="F454" i="3"/>
  <c r="F453" i="3"/>
  <c r="F432" i="3"/>
  <c r="F431" i="3"/>
  <c r="F411" i="3"/>
  <c r="F410" i="3"/>
  <c r="F386" i="3"/>
  <c r="F385" i="3"/>
  <c r="F384" i="3"/>
  <c r="F383" i="3"/>
  <c r="F363" i="3"/>
  <c r="F362" i="3"/>
  <c r="F342" i="3"/>
  <c r="F341" i="3"/>
  <c r="F317" i="3"/>
  <c r="F316" i="3"/>
  <c r="F293" i="3"/>
  <c r="F292" i="3"/>
  <c r="F271" i="3"/>
  <c r="F270" i="3"/>
  <c r="F269" i="3"/>
  <c r="F268" i="3"/>
  <c r="F247" i="3"/>
  <c r="F246" i="3"/>
  <c r="F218" i="3"/>
  <c r="F217" i="3"/>
  <c r="F216" i="3"/>
  <c r="F215" i="3"/>
  <c r="F187" i="3"/>
  <c r="F186" i="3"/>
  <c r="F185" i="3"/>
  <c r="F184" i="3"/>
  <c r="F161" i="3"/>
  <c r="F160" i="3"/>
  <c r="F159" i="3"/>
  <c r="F158" i="3"/>
  <c r="F125" i="3"/>
  <c r="F124" i="3"/>
  <c r="F123" i="3"/>
  <c r="F122" i="3"/>
  <c r="F121" i="3"/>
  <c r="F99" i="3"/>
  <c r="F98" i="3"/>
  <c r="F97" i="3"/>
  <c r="F96" i="3"/>
  <c r="F70" i="3"/>
  <c r="F69" i="3"/>
  <c r="F68" i="3"/>
  <c r="F67" i="3"/>
  <c r="F41" i="3"/>
  <c r="F40" i="3"/>
  <c r="F39" i="3"/>
  <c r="F38" i="3"/>
  <c r="F13" i="3"/>
  <c r="F12" i="3"/>
  <c r="F11" i="3"/>
  <c r="F10" i="3"/>
  <c r="M10467" i="3"/>
  <c r="M10442" i="3"/>
  <c r="M10416" i="3"/>
  <c r="M10390" i="3"/>
  <c r="M10364" i="3"/>
  <c r="M10359" i="3"/>
  <c r="M10385" i="3" s="1"/>
  <c r="M10411" i="3" s="1"/>
  <c r="M10338" i="3"/>
  <c r="M10333" i="3"/>
  <c r="M10312" i="3"/>
  <c r="M10286" i="3"/>
  <c r="M10281" i="3"/>
  <c r="M10307" i="3" s="1"/>
  <c r="M10256" i="3"/>
  <c r="M10231" i="3"/>
  <c r="M10206" i="3"/>
  <c r="M10180" i="3"/>
  <c r="M10154" i="3"/>
  <c r="M10129" i="3"/>
  <c r="M10125" i="3"/>
  <c r="M10095" i="3"/>
  <c r="M10065" i="3"/>
  <c r="M10034" i="3"/>
  <c r="M10009" i="3"/>
  <c r="M9984" i="3"/>
  <c r="M9958" i="3"/>
  <c r="M9933" i="3"/>
  <c r="M9908" i="3"/>
  <c r="M9883" i="3"/>
  <c r="M9858" i="3"/>
  <c r="M9833" i="3"/>
  <c r="M9808" i="3"/>
  <c r="M9783" i="3"/>
  <c r="M9758" i="3"/>
  <c r="M9733" i="3"/>
  <c r="M9704" i="3"/>
  <c r="M9675" i="3"/>
  <c r="M9646" i="3"/>
  <c r="M9622" i="3"/>
  <c r="M9595" i="3"/>
  <c r="M9570" i="3"/>
  <c r="M9542" i="3"/>
  <c r="M9517" i="3"/>
  <c r="M9489" i="3"/>
  <c r="M9464" i="3"/>
  <c r="M9438" i="3"/>
  <c r="M9411" i="3"/>
  <c r="M9384" i="3"/>
  <c r="M9357" i="3"/>
  <c r="M9330" i="3"/>
  <c r="M9302" i="3"/>
  <c r="M9288" i="3"/>
  <c r="M9287" i="3"/>
  <c r="M9285" i="3"/>
  <c r="M9276" i="3"/>
  <c r="M9248" i="3"/>
  <c r="M9222" i="3"/>
  <c r="M9207" i="3"/>
  <c r="M9206" i="3"/>
  <c r="M9205" i="3"/>
  <c r="M9196" i="3"/>
  <c r="M9170" i="3"/>
  <c r="M9143" i="3"/>
  <c r="M9118" i="3"/>
  <c r="M9092" i="3"/>
  <c r="M9066" i="3"/>
  <c r="M9042" i="3"/>
  <c r="M9017" i="3"/>
  <c r="M8991" i="3"/>
  <c r="M8965" i="3"/>
  <c r="M8942" i="3"/>
  <c r="M8916" i="3"/>
  <c r="M8892" i="3"/>
  <c r="M8862" i="3"/>
  <c r="M8858" i="3"/>
  <c r="M8826" i="3"/>
  <c r="M8804" i="3"/>
  <c r="M8782" i="3"/>
  <c r="M8758" i="3"/>
  <c r="M8733" i="3"/>
  <c r="M8708" i="3"/>
  <c r="M8684" i="3"/>
  <c r="M8660" i="3"/>
  <c r="M8636" i="3"/>
  <c r="M8611" i="3"/>
  <c r="M8586" i="3"/>
  <c r="M8561" i="3"/>
  <c r="M8536" i="3"/>
  <c r="M8512" i="3"/>
  <c r="M8488" i="3"/>
  <c r="M8464" i="3"/>
  <c r="M8441" i="3"/>
  <c r="M8417" i="3"/>
  <c r="M8393" i="3"/>
  <c r="M8369" i="3"/>
  <c r="M8345" i="3"/>
  <c r="M8321" i="3"/>
  <c r="M8297" i="3"/>
  <c r="M8273" i="3"/>
  <c r="M8249" i="3"/>
  <c r="M8222" i="3"/>
  <c r="M8200" i="3"/>
  <c r="M8178" i="3"/>
  <c r="M8156" i="3"/>
  <c r="M8134" i="3"/>
  <c r="M8112" i="3"/>
  <c r="M8090" i="3"/>
  <c r="M8067" i="3"/>
  <c r="M8045" i="3"/>
  <c r="M8023" i="3"/>
  <c r="M8001" i="3"/>
  <c r="M7979" i="3"/>
  <c r="M7957" i="3"/>
  <c r="M7935" i="3"/>
  <c r="M7913" i="3"/>
  <c r="M7890" i="3"/>
  <c r="M7866" i="3"/>
  <c r="M7840" i="3"/>
  <c r="M7816" i="3"/>
  <c r="M7790" i="3"/>
  <c r="M7763" i="3"/>
  <c r="M7738" i="3"/>
  <c r="M7714" i="3"/>
  <c r="M7689" i="3"/>
  <c r="M7663" i="3"/>
  <c r="M7639" i="3"/>
  <c r="M7615" i="3"/>
  <c r="M7587" i="3"/>
  <c r="M7561" i="3"/>
  <c r="M7537" i="3"/>
  <c r="M7513" i="3"/>
  <c r="M7489" i="3"/>
  <c r="M7462" i="3"/>
  <c r="M7435" i="3"/>
  <c r="M7408" i="3"/>
  <c r="M7383" i="3"/>
  <c r="M7357" i="3"/>
  <c r="M7330" i="3"/>
  <c r="M7303" i="3"/>
  <c r="M7277" i="3"/>
  <c r="M7262" i="3"/>
  <c r="M7260" i="3"/>
  <c r="M7251" i="3"/>
  <c r="M7238" i="3"/>
  <c r="M7263" i="3" s="1"/>
  <c r="M7237" i="3"/>
  <c r="M7236" i="3"/>
  <c r="M7261" i="3" s="1"/>
  <c r="M7235" i="3"/>
  <c r="M7226" i="3"/>
  <c r="M7222" i="3"/>
  <c r="M7193" i="3"/>
  <c r="M7168" i="3"/>
  <c r="M7143" i="3"/>
  <c r="M7118" i="3"/>
  <c r="M7114" i="3"/>
  <c r="M7084" i="3"/>
  <c r="M7059" i="3"/>
  <c r="M7050" i="3"/>
  <c r="M7046" i="3"/>
  <c r="F7046" i="3" s="1"/>
  <c r="M7045" i="3"/>
  <c r="F7045" i="3" s="1"/>
  <c r="M7044" i="3"/>
  <c r="F7044" i="3" s="1"/>
  <c r="M7043" i="3"/>
  <c r="M7034" i="3"/>
  <c r="M7009" i="3"/>
  <c r="M7001" i="3"/>
  <c r="M7000" i="3"/>
  <c r="M6999" i="3"/>
  <c r="M6983" i="3"/>
  <c r="M6957" i="3"/>
  <c r="M6949" i="3"/>
  <c r="M6948" i="3"/>
  <c r="M6944" i="3"/>
  <c r="M6932" i="3"/>
  <c r="M6928" i="3"/>
  <c r="M6924" i="3"/>
  <c r="M6892" i="3"/>
  <c r="M6888" i="3"/>
  <c r="M6884" i="3"/>
  <c r="M6852" i="3"/>
  <c r="M6825" i="3"/>
  <c r="M6798" i="3"/>
  <c r="M6774" i="3"/>
  <c r="M6747" i="3"/>
  <c r="M6720" i="3"/>
  <c r="M6692" i="3"/>
  <c r="M6666" i="3"/>
  <c r="M6641" i="3"/>
  <c r="M6615" i="3"/>
  <c r="M6590" i="3"/>
  <c r="M6565" i="3"/>
  <c r="M6539" i="3"/>
  <c r="M6511" i="3"/>
  <c r="M6488" i="3"/>
  <c r="M6464" i="3"/>
  <c r="M6440" i="3"/>
  <c r="M6416" i="3"/>
  <c r="M6391" i="3"/>
  <c r="M6364" i="3"/>
  <c r="M6339" i="3"/>
  <c r="M6314" i="3"/>
  <c r="M6288" i="3"/>
  <c r="M6261" i="3"/>
  <c r="M6236" i="3"/>
  <c r="M6211" i="3"/>
  <c r="M6186" i="3"/>
  <c r="M6161" i="3"/>
  <c r="M6136" i="3"/>
  <c r="M6111" i="3"/>
  <c r="M6085" i="3"/>
  <c r="M6059" i="3"/>
  <c r="M6034" i="3"/>
  <c r="M6010" i="3"/>
  <c r="M5986" i="3"/>
  <c r="M5960" i="3"/>
  <c r="M5935" i="3"/>
  <c r="M5909" i="3"/>
  <c r="M5905" i="3"/>
  <c r="M5877" i="3"/>
  <c r="M5850" i="3"/>
  <c r="M5825" i="3"/>
  <c r="M5800" i="3"/>
  <c r="M5775" i="3"/>
  <c r="M5750" i="3"/>
  <c r="M5724" i="3"/>
  <c r="M5698" i="3"/>
  <c r="M5674" i="3"/>
  <c r="M5649" i="3"/>
  <c r="M5624" i="3"/>
  <c r="M5598" i="3"/>
  <c r="M5574" i="3"/>
  <c r="M5549" i="3"/>
  <c r="M5525" i="3"/>
  <c r="M5498" i="3"/>
  <c r="M5470" i="3"/>
  <c r="M5443" i="3"/>
  <c r="M5416" i="3"/>
  <c r="M5389" i="3"/>
  <c r="M5362" i="3"/>
  <c r="M5335" i="3"/>
  <c r="M5308" i="3"/>
  <c r="M5281" i="3"/>
  <c r="M5256" i="3"/>
  <c r="M5231" i="3"/>
  <c r="M5207" i="3"/>
  <c r="M5180" i="3"/>
  <c r="M5153" i="3"/>
  <c r="M5129" i="3"/>
  <c r="M5125" i="3"/>
  <c r="M5096" i="3"/>
  <c r="M5092" i="3"/>
  <c r="M5060" i="3"/>
  <c r="M5033" i="3"/>
  <c r="M5029" i="3"/>
  <c r="M4999" i="3"/>
  <c r="M4995" i="3"/>
  <c r="M4965" i="3"/>
  <c r="M4938" i="3"/>
  <c r="M4912" i="3"/>
  <c r="M4886" i="3"/>
  <c r="M4861" i="3"/>
  <c r="M4834" i="3"/>
  <c r="M4807" i="3"/>
  <c r="M4780" i="3"/>
  <c r="M4753" i="3"/>
  <c r="M4726" i="3"/>
  <c r="M4699" i="3"/>
  <c r="M4672" i="3"/>
  <c r="M4645" i="3"/>
  <c r="M4618" i="3"/>
  <c r="M4591" i="3"/>
  <c r="M4564" i="3"/>
  <c r="M4537" i="3"/>
  <c r="M4511" i="3"/>
  <c r="M4485" i="3"/>
  <c r="M4459" i="3"/>
  <c r="M4432" i="3"/>
  <c r="M4405" i="3"/>
  <c r="M4378" i="3"/>
  <c r="M4351" i="3"/>
  <c r="M4324" i="3"/>
  <c r="M4297" i="3"/>
  <c r="M4270" i="3"/>
  <c r="M4243" i="3"/>
  <c r="M4216" i="3"/>
  <c r="M4190" i="3"/>
  <c r="M4181" i="3"/>
  <c r="M4164" i="3"/>
  <c r="M4139" i="3"/>
  <c r="M4110" i="3"/>
  <c r="M4087" i="3"/>
  <c r="M4064" i="3"/>
  <c r="M4041" i="3"/>
  <c r="M4017" i="3"/>
  <c r="M3992" i="3"/>
  <c r="M3968" i="3"/>
  <c r="M3943" i="3"/>
  <c r="M3918" i="3"/>
  <c r="M3893" i="3"/>
  <c r="M3867" i="3"/>
  <c r="M3842" i="3"/>
  <c r="M3817" i="3"/>
  <c r="M3792" i="3"/>
  <c r="M3767" i="3"/>
  <c r="M3742" i="3"/>
  <c r="M3716" i="3"/>
  <c r="M3690" i="3"/>
  <c r="M3664" i="3"/>
  <c r="M3638" i="3"/>
  <c r="M3613" i="3"/>
  <c r="M3588" i="3"/>
  <c r="M3563" i="3"/>
  <c r="M3538" i="3"/>
  <c r="M3513" i="3"/>
  <c r="M3488" i="3"/>
  <c r="M3464" i="3"/>
  <c r="M3436" i="3"/>
  <c r="M3410" i="3"/>
  <c r="M3384" i="3"/>
  <c r="M3358" i="3"/>
  <c r="M3354" i="3"/>
  <c r="M3324" i="3"/>
  <c r="M3297" i="3"/>
  <c r="M3270" i="3"/>
  <c r="M3244" i="3"/>
  <c r="M3217" i="3"/>
  <c r="M3190" i="3"/>
  <c r="M3163" i="3"/>
  <c r="M3136" i="3"/>
  <c r="M3109" i="3"/>
  <c r="M3083" i="3"/>
  <c r="M3057" i="3"/>
  <c r="M3032" i="3"/>
  <c r="M3006" i="3"/>
  <c r="M2980" i="3"/>
  <c r="M2954" i="3"/>
  <c r="M2927" i="3"/>
  <c r="M2901" i="3"/>
  <c r="M2875" i="3"/>
  <c r="M2849" i="3"/>
  <c r="M2823" i="3"/>
  <c r="M2794" i="3"/>
  <c r="M2767" i="3"/>
  <c r="M2739" i="3"/>
  <c r="M2712" i="3"/>
  <c r="M2684" i="3"/>
  <c r="M2659" i="3"/>
  <c r="M2634" i="3"/>
  <c r="M2609" i="3"/>
  <c r="M2583" i="3"/>
  <c r="M2556" i="3"/>
  <c r="M2530" i="3"/>
  <c r="M2505" i="3"/>
  <c r="M2481" i="3"/>
  <c r="M2455" i="3"/>
  <c r="M2429" i="3"/>
  <c r="M2400" i="3"/>
  <c r="M2375" i="3"/>
  <c r="M2351" i="3"/>
  <c r="M2327" i="3"/>
  <c r="M2301" i="3"/>
  <c r="M2274" i="3"/>
  <c r="M2247" i="3"/>
  <c r="M2218" i="3"/>
  <c r="M2217" i="3"/>
  <c r="M2216" i="3"/>
  <c r="M2215" i="3"/>
  <c r="M2179" i="3"/>
  <c r="M1864" i="3"/>
  <c r="M1844" i="3"/>
  <c r="M1820" i="3"/>
  <c r="M1788" i="3"/>
  <c r="M1755" i="3"/>
  <c r="M1729" i="3"/>
  <c r="M1725" i="3"/>
  <c r="M1696" i="3"/>
  <c r="M1667" i="3"/>
  <c r="M1636" i="3"/>
  <c r="M1607" i="3"/>
  <c r="M1578" i="3"/>
  <c r="M1549" i="3"/>
  <c r="M1523" i="3"/>
  <c r="M1497" i="3"/>
  <c r="M1472" i="3"/>
  <c r="M1447" i="3"/>
  <c r="M1422" i="3"/>
  <c r="M1395" i="3"/>
  <c r="M1369" i="3"/>
  <c r="M1342" i="3"/>
  <c r="M1315" i="3"/>
  <c r="M1288" i="3"/>
  <c r="M1261" i="3"/>
  <c r="M1233" i="3"/>
  <c r="M1206" i="3"/>
  <c r="M1179" i="3"/>
  <c r="M1150" i="3"/>
  <c r="M1124" i="3"/>
  <c r="M1098" i="3"/>
  <c r="M1068" i="3"/>
  <c r="M1036" i="3"/>
  <c r="M1002" i="3"/>
  <c r="M981" i="3"/>
  <c r="M958" i="3"/>
  <c r="M934" i="3"/>
  <c r="M907" i="3"/>
  <c r="M879" i="3"/>
  <c r="M853" i="3"/>
  <c r="M827" i="3"/>
  <c r="M801" i="3"/>
  <c r="M776" i="3"/>
  <c r="M747" i="3"/>
  <c r="M725" i="3"/>
  <c r="M703" i="3"/>
  <c r="M681" i="3"/>
  <c r="M659" i="3"/>
  <c r="M637" i="3"/>
  <c r="M616" i="3"/>
  <c r="M594" i="3"/>
  <c r="M573" i="3"/>
  <c r="M551" i="3"/>
  <c r="M529" i="3"/>
  <c r="M508" i="3"/>
  <c r="M487" i="3"/>
  <c r="M466" i="3"/>
  <c r="M444" i="3"/>
  <c r="M422" i="3"/>
  <c r="M398" i="3"/>
  <c r="M374" i="3"/>
  <c r="M353" i="3"/>
  <c r="M331" i="3"/>
  <c r="M307" i="3"/>
  <c r="M283" i="3"/>
  <c r="M259" i="3"/>
  <c r="M237" i="3"/>
  <c r="M206" i="3"/>
  <c r="M175" i="3"/>
  <c r="M149" i="3"/>
  <c r="M112" i="3"/>
  <c r="M87" i="3"/>
  <c r="M58" i="3"/>
  <c r="M29" i="3"/>
  <c r="F10281" i="3"/>
  <c r="F10307" i="3" s="1"/>
  <c r="B5990" i="3"/>
  <c r="B6014" i="3" s="1"/>
  <c r="B6038" i="3" s="1"/>
  <c r="B6063" i="3" s="1"/>
  <c r="B6089" i="3" s="1"/>
  <c r="B6115" i="3" s="1"/>
  <c r="B6140" i="3" s="1"/>
  <c r="B6165" i="3" s="1"/>
  <c r="B6190" i="3" s="1"/>
  <c r="B6215" i="3" s="1"/>
  <c r="B6240" i="3" s="1"/>
  <c r="B6265" i="3" s="1"/>
  <c r="B6292" i="3" s="1"/>
  <c r="A482" i="5"/>
  <c r="A511" i="5"/>
  <c r="A515" i="5"/>
  <c r="C148" i="5" l="1"/>
  <c r="C154" i="5"/>
  <c r="C87" i="5"/>
  <c r="C165" i="5"/>
  <c r="C164" i="5"/>
  <c r="C155" i="5"/>
  <c r="C147" i="5"/>
  <c r="C138" i="5"/>
  <c r="C129" i="5"/>
  <c r="C120" i="5"/>
  <c r="C112" i="5"/>
  <c r="C103" i="5"/>
  <c r="C94" i="5"/>
  <c r="C86" i="5"/>
  <c r="C163" i="5"/>
  <c r="C137" i="5"/>
  <c r="C111" i="5"/>
  <c r="C102" i="5"/>
  <c r="C146" i="5"/>
  <c r="C119" i="5"/>
  <c r="C93" i="5"/>
  <c r="C376" i="5"/>
  <c r="C290" i="5"/>
  <c r="C222" i="5"/>
  <c r="C162" i="5"/>
  <c r="C153" i="5"/>
  <c r="C144" i="5"/>
  <c r="C136" i="5"/>
  <c r="C127" i="5"/>
  <c r="C118" i="5"/>
  <c r="C110" i="5"/>
  <c r="C101" i="5"/>
  <c r="C92" i="5"/>
  <c r="C161" i="5"/>
  <c r="C152" i="5"/>
  <c r="C143" i="5"/>
  <c r="C135" i="5"/>
  <c r="C126" i="5"/>
  <c r="C117" i="5"/>
  <c r="C108" i="5"/>
  <c r="C100" i="5"/>
  <c r="C91" i="5"/>
  <c r="C128" i="5"/>
  <c r="C390" i="5"/>
  <c r="C374" i="5"/>
  <c r="C330" i="5"/>
  <c r="C168" i="5"/>
  <c r="C160" i="5"/>
  <c r="C151" i="5"/>
  <c r="C142" i="5"/>
  <c r="C134" i="5"/>
  <c r="C125" i="5"/>
  <c r="C116" i="5"/>
  <c r="C107" i="5"/>
  <c r="C99" i="5"/>
  <c r="C90" i="5"/>
  <c r="C167" i="5"/>
  <c r="C159" i="5"/>
  <c r="C150" i="5"/>
  <c r="C141" i="5"/>
  <c r="C132" i="5"/>
  <c r="C124" i="5"/>
  <c r="C115" i="5"/>
  <c r="C106" i="5"/>
  <c r="C98" i="5"/>
  <c r="C89" i="5"/>
  <c r="C166" i="5"/>
  <c r="C158" i="5"/>
  <c r="C149" i="5"/>
  <c r="C140" i="5"/>
  <c r="C131" i="5"/>
  <c r="C123" i="5"/>
  <c r="C114" i="5"/>
  <c r="C105" i="5"/>
  <c r="C96" i="5"/>
  <c r="C88" i="5"/>
  <c r="C156" i="5"/>
  <c r="C139" i="5"/>
  <c r="C130" i="5"/>
  <c r="C95" i="5"/>
  <c r="M10462" i="3"/>
  <c r="M10437" i="3"/>
  <c r="C27" i="7"/>
  <c r="D27" i="7"/>
  <c r="C28" i="7"/>
  <c r="D28" i="7"/>
  <c r="C29" i="7"/>
  <c r="D29" i="7"/>
  <c r="C30" i="7"/>
  <c r="D30" i="7"/>
  <c r="C31" i="7"/>
  <c r="D31" i="7"/>
  <c r="C32" i="7"/>
  <c r="D32" i="7"/>
  <c r="C33" i="7"/>
  <c r="D33" i="7"/>
  <c r="C34" i="7"/>
  <c r="D34" i="7"/>
  <c r="C35" i="7"/>
  <c r="D35" i="7"/>
  <c r="C36" i="7"/>
  <c r="D36" i="7"/>
  <c r="C37" i="7"/>
  <c r="D37" i="7"/>
  <c r="C38" i="7"/>
  <c r="D38" i="7"/>
  <c r="C39" i="7"/>
  <c r="D39" i="7"/>
  <c r="C40" i="7"/>
  <c r="D40" i="7"/>
  <c r="C41" i="7"/>
  <c r="D41" i="7"/>
  <c r="C46" i="7"/>
  <c r="D46" i="7"/>
  <c r="C47" i="7"/>
  <c r="D47" i="7"/>
  <c r="C48" i="7"/>
  <c r="D48" i="7"/>
  <c r="C49" i="7"/>
  <c r="D49" i="7"/>
  <c r="C50" i="7"/>
  <c r="D50" i="7"/>
  <c r="C51" i="7"/>
  <c r="D51" i="7"/>
  <c r="C52" i="7"/>
  <c r="D52" i="7"/>
  <c r="C53" i="7"/>
  <c r="D53" i="7"/>
  <c r="C54" i="7"/>
  <c r="D54" i="7"/>
  <c r="C90" i="7"/>
  <c r="D90" i="7"/>
  <c r="C91" i="7"/>
  <c r="D91" i="7"/>
  <c r="C92" i="7"/>
  <c r="D92" i="7"/>
  <c r="C93" i="7"/>
  <c r="D93" i="7"/>
  <c r="C94" i="7"/>
  <c r="D94" i="7"/>
  <c r="C95" i="7"/>
  <c r="D95" i="7"/>
  <c r="C96" i="7"/>
  <c r="D96" i="7"/>
  <c r="C97" i="7"/>
  <c r="D97" i="7"/>
  <c r="C98" i="7"/>
  <c r="D98" i="7"/>
  <c r="C99" i="7"/>
  <c r="D99" i="7"/>
  <c r="C102" i="7"/>
  <c r="D102" i="7"/>
  <c r="C103" i="7"/>
  <c r="D103" i="7"/>
  <c r="C104" i="7"/>
  <c r="D104" i="7"/>
  <c r="C105" i="7"/>
  <c r="D105" i="7"/>
  <c r="C106" i="7"/>
  <c r="D106" i="7"/>
  <c r="C107" i="7"/>
  <c r="D107" i="7"/>
  <c r="C108" i="7"/>
  <c r="D108" i="7"/>
  <c r="C109" i="7"/>
  <c r="D109" i="7"/>
  <c r="C110" i="7"/>
  <c r="D110" i="7"/>
  <c r="C111" i="7"/>
  <c r="D111" i="7"/>
  <c r="C114" i="7"/>
  <c r="D114" i="7"/>
  <c r="C115" i="7"/>
  <c r="D115" i="7"/>
  <c r="C116" i="7"/>
  <c r="D116" i="7"/>
  <c r="C117" i="7"/>
  <c r="D117" i="7"/>
  <c r="C118" i="7"/>
  <c r="D118" i="7"/>
  <c r="C119" i="7"/>
  <c r="D119" i="7"/>
  <c r="C120" i="7"/>
  <c r="D120" i="7"/>
  <c r="C121" i="7"/>
  <c r="D121" i="7"/>
  <c r="C122" i="7"/>
  <c r="D122" i="7"/>
  <c r="C123" i="7"/>
  <c r="D123" i="7"/>
  <c r="C126" i="7"/>
  <c r="D126" i="7"/>
  <c r="C127" i="7"/>
  <c r="D127" i="7"/>
  <c r="C128" i="7"/>
  <c r="D128" i="7"/>
  <c r="C129" i="7"/>
  <c r="D129" i="7"/>
  <c r="C130" i="7"/>
  <c r="D130" i="7"/>
  <c r="C131" i="7"/>
  <c r="D131" i="7"/>
  <c r="C132" i="7"/>
  <c r="D132" i="7"/>
  <c r="C133" i="7"/>
  <c r="D133" i="7"/>
  <c r="C134" i="7"/>
  <c r="D134" i="7"/>
  <c r="C135" i="7"/>
  <c r="D135" i="7"/>
  <c r="C138" i="7"/>
  <c r="D138" i="7"/>
  <c r="C139" i="7"/>
  <c r="D139" i="7"/>
  <c r="C140" i="7"/>
  <c r="D140" i="7"/>
  <c r="C141" i="7"/>
  <c r="D141" i="7"/>
  <c r="C142" i="7"/>
  <c r="D142" i="7"/>
  <c r="C143" i="7"/>
  <c r="D143" i="7"/>
  <c r="C144" i="7"/>
  <c r="D144" i="7"/>
  <c r="C145" i="7"/>
  <c r="D145" i="7"/>
  <c r="C146" i="7"/>
  <c r="D146" i="7"/>
  <c r="C147" i="7"/>
  <c r="D147" i="7"/>
  <c r="C150" i="7"/>
  <c r="D150" i="7"/>
  <c r="C151" i="7"/>
  <c r="D151" i="7"/>
  <c r="C152" i="7"/>
  <c r="D152" i="7"/>
  <c r="C153" i="7"/>
  <c r="D153" i="7"/>
  <c r="C154" i="7"/>
  <c r="D154" i="7"/>
  <c r="C155" i="7"/>
  <c r="D155" i="7"/>
  <c r="C156" i="7"/>
  <c r="D156" i="7"/>
  <c r="C157" i="7"/>
  <c r="D157" i="7"/>
  <c r="C158" i="7"/>
  <c r="D158" i="7"/>
  <c r="C159" i="7"/>
  <c r="D159" i="7"/>
  <c r="C162" i="7"/>
  <c r="D162" i="7"/>
  <c r="C163" i="7"/>
  <c r="D163" i="7"/>
  <c r="C164" i="7"/>
  <c r="D164" i="7"/>
  <c r="C165" i="7"/>
  <c r="D165" i="7"/>
  <c r="C166" i="7"/>
  <c r="D166" i="7"/>
  <c r="C167" i="7"/>
  <c r="D167" i="7"/>
  <c r="C168" i="7"/>
  <c r="D168" i="7"/>
  <c r="C169" i="7"/>
  <c r="D169" i="7"/>
  <c r="C170" i="7"/>
  <c r="D170" i="7"/>
  <c r="C171" i="7"/>
  <c r="D171" i="7"/>
  <c r="D161" i="7"/>
  <c r="C161" i="7"/>
  <c r="D149" i="7"/>
  <c r="C149" i="7"/>
  <c r="D137" i="7"/>
  <c r="C137" i="7"/>
  <c r="D125" i="7"/>
  <c r="C125" i="7"/>
  <c r="D113" i="7"/>
  <c r="C113" i="7"/>
  <c r="D101" i="7"/>
  <c r="C101" i="7"/>
  <c r="D89" i="7"/>
  <c r="C89" i="7"/>
  <c r="C59" i="7"/>
  <c r="D59" i="7"/>
  <c r="C60" i="7"/>
  <c r="D60" i="7"/>
  <c r="C61" i="7"/>
  <c r="D61" i="7"/>
  <c r="C62" i="7"/>
  <c r="D62" i="7"/>
  <c r="C63" i="7"/>
  <c r="D63" i="7"/>
  <c r="C64" i="7"/>
  <c r="D64" i="7"/>
  <c r="C65" i="7"/>
  <c r="D65" i="7"/>
  <c r="C66" i="7"/>
  <c r="D66" i="7"/>
  <c r="C67" i="7"/>
  <c r="D67" i="7"/>
  <c r="C68" i="7"/>
  <c r="D68" i="7"/>
  <c r="C69" i="7"/>
  <c r="D69" i="7"/>
  <c r="C70" i="7"/>
  <c r="D70" i="7"/>
  <c r="C71" i="7"/>
  <c r="D71" i="7"/>
  <c r="C72" i="7"/>
  <c r="D72" i="7"/>
  <c r="C73" i="7"/>
  <c r="D73" i="7"/>
  <c r="C74" i="7"/>
  <c r="D74" i="7"/>
  <c r="C75" i="7"/>
  <c r="D75" i="7"/>
  <c r="C76" i="7"/>
  <c r="D76" i="7"/>
  <c r="C77" i="7"/>
  <c r="D77" i="7"/>
  <c r="C78" i="7"/>
  <c r="D78" i="7"/>
  <c r="C79" i="7"/>
  <c r="D79" i="7"/>
  <c r="C80" i="7"/>
  <c r="D80" i="7"/>
  <c r="C81" i="7"/>
  <c r="D81" i="7"/>
  <c r="C82" i="7"/>
  <c r="D82" i="7"/>
  <c r="C83" i="7"/>
  <c r="D83" i="7"/>
  <c r="C84" i="7"/>
  <c r="D84" i="7"/>
  <c r="C85" i="7"/>
  <c r="D85" i="7"/>
  <c r="C86" i="7"/>
  <c r="D86" i="7"/>
  <c r="C87" i="7"/>
  <c r="D87" i="7"/>
  <c r="C176" i="7"/>
  <c r="D176" i="7"/>
  <c r="C177" i="7"/>
  <c r="D177" i="7"/>
  <c r="C178" i="7"/>
  <c r="D178" i="7"/>
  <c r="C179" i="7"/>
  <c r="D179" i="7"/>
  <c r="C180" i="7"/>
  <c r="D180" i="7"/>
  <c r="C181" i="7"/>
  <c r="D181" i="7"/>
  <c r="C182" i="7"/>
  <c r="D182" i="7"/>
  <c r="C183" i="7"/>
  <c r="D183" i="7"/>
  <c r="C184" i="7"/>
  <c r="D184" i="7"/>
  <c r="C185" i="7"/>
  <c r="D185" i="7"/>
  <c r="C186" i="7"/>
  <c r="D186" i="7"/>
  <c r="C187" i="7"/>
  <c r="D187" i="7"/>
  <c r="C188" i="7"/>
  <c r="D188" i="7"/>
  <c r="C189" i="7"/>
  <c r="D189" i="7"/>
  <c r="C190" i="7"/>
  <c r="D190" i="7"/>
  <c r="C191" i="7"/>
  <c r="D191" i="7"/>
  <c r="C192" i="7"/>
  <c r="D192" i="7"/>
  <c r="C193" i="7"/>
  <c r="D193" i="7"/>
  <c r="C194" i="7"/>
  <c r="D194" i="7"/>
  <c r="C195" i="7"/>
  <c r="D195" i="7"/>
  <c r="C196" i="7"/>
  <c r="D196" i="7"/>
  <c r="C197" i="7"/>
  <c r="D197" i="7"/>
  <c r="C198" i="7"/>
  <c r="D198" i="7"/>
  <c r="C199" i="7"/>
  <c r="D199" i="7"/>
  <c r="C200" i="7"/>
  <c r="D200" i="7"/>
  <c r="C201" i="7"/>
  <c r="D201" i="7"/>
  <c r="C202" i="7"/>
  <c r="D202" i="7"/>
  <c r="C207" i="7"/>
  <c r="D207" i="7"/>
  <c r="C208" i="7"/>
  <c r="D208" i="7"/>
  <c r="C209" i="7"/>
  <c r="D209" i="7"/>
  <c r="C210" i="7"/>
  <c r="D210" i="7"/>
  <c r="C211" i="7"/>
  <c r="D211" i="7"/>
  <c r="C212" i="7"/>
  <c r="D212" i="7"/>
  <c r="C213" i="7"/>
  <c r="D213" i="7"/>
  <c r="C214" i="7"/>
  <c r="D214" i="7"/>
  <c r="C215" i="7"/>
  <c r="D215" i="7"/>
  <c r="C216" i="7"/>
  <c r="D216" i="7"/>
  <c r="C217" i="7"/>
  <c r="D217" i="7"/>
  <c r="C218" i="7"/>
  <c r="D218" i="7"/>
  <c r="C219" i="7"/>
  <c r="D219" i="7"/>
  <c r="C220" i="7"/>
  <c r="D220" i="7"/>
  <c r="C221" i="7"/>
  <c r="D221" i="7"/>
  <c r="C222" i="7"/>
  <c r="D222" i="7"/>
  <c r="C223" i="7"/>
  <c r="D223" i="7"/>
  <c r="C224" i="7"/>
  <c r="D224" i="7"/>
  <c r="C225" i="7"/>
  <c r="D225" i="7"/>
  <c r="C226" i="7"/>
  <c r="D226" i="7"/>
  <c r="C227" i="7"/>
  <c r="D227" i="7"/>
  <c r="C228" i="7"/>
  <c r="D228" i="7"/>
  <c r="C229" i="7"/>
  <c r="D229" i="7"/>
  <c r="C230" i="7"/>
  <c r="D230" i="7"/>
  <c r="C235" i="7"/>
  <c r="D235" i="7"/>
  <c r="C236" i="7"/>
  <c r="D236" i="7"/>
  <c r="C237" i="7"/>
  <c r="D237" i="7"/>
  <c r="C238" i="7"/>
  <c r="D238" i="7"/>
  <c r="C239" i="7"/>
  <c r="D239" i="7"/>
  <c r="C240" i="7"/>
  <c r="D240" i="7"/>
  <c r="C241" i="7"/>
  <c r="D241" i="7"/>
  <c r="C242" i="7"/>
  <c r="D242" i="7"/>
  <c r="C243" i="7"/>
  <c r="D243" i="7"/>
  <c r="C244" i="7"/>
  <c r="D244" i="7"/>
  <c r="C245" i="7"/>
  <c r="D245" i="7"/>
  <c r="C246" i="7"/>
  <c r="D246" i="7"/>
  <c r="C247" i="7"/>
  <c r="D247" i="7"/>
  <c r="C248" i="7"/>
  <c r="D248" i="7"/>
  <c r="C249" i="7"/>
  <c r="D249" i="7"/>
  <c r="C250" i="7"/>
  <c r="D250" i="7"/>
  <c r="C251" i="7"/>
  <c r="D251" i="7"/>
  <c r="C252" i="7"/>
  <c r="D252" i="7"/>
  <c r="C253" i="7"/>
  <c r="D253" i="7"/>
  <c r="C254" i="7"/>
  <c r="D254" i="7"/>
  <c r="C255" i="7"/>
  <c r="D255" i="7"/>
  <c r="C256" i="7"/>
  <c r="D256" i="7"/>
  <c r="C257" i="7"/>
  <c r="D257" i="7"/>
  <c r="C258" i="7"/>
  <c r="D258" i="7"/>
  <c r="C259" i="7"/>
  <c r="D259" i="7"/>
  <c r="C260" i="7"/>
  <c r="D260" i="7"/>
  <c r="C265" i="7"/>
  <c r="D265" i="7"/>
  <c r="C266" i="7"/>
  <c r="D266" i="7"/>
  <c r="C267" i="7"/>
  <c r="D267" i="7"/>
  <c r="C268" i="7"/>
  <c r="D268" i="7"/>
  <c r="C269" i="7"/>
  <c r="D269" i="7"/>
  <c r="C270" i="7"/>
  <c r="D270" i="7"/>
  <c r="C271" i="7"/>
  <c r="D271" i="7"/>
  <c r="C272" i="7"/>
  <c r="D272" i="7"/>
  <c r="C273" i="7"/>
  <c r="D273" i="7"/>
  <c r="C274" i="7"/>
  <c r="D274" i="7"/>
  <c r="C275" i="7"/>
  <c r="D275" i="7"/>
  <c r="C276" i="7"/>
  <c r="D276" i="7"/>
  <c r="C277" i="7"/>
  <c r="D277" i="7"/>
  <c r="C278" i="7"/>
  <c r="D278" i="7"/>
  <c r="C279" i="7"/>
  <c r="D279" i="7"/>
  <c r="C280" i="7"/>
  <c r="D280" i="7"/>
  <c r="C281" i="7"/>
  <c r="D281" i="7"/>
  <c r="C282" i="7"/>
  <c r="D282" i="7"/>
  <c r="C283" i="7"/>
  <c r="D283" i="7"/>
  <c r="C284" i="7"/>
  <c r="D284" i="7"/>
  <c r="C285" i="7"/>
  <c r="D285" i="7"/>
  <c r="C286" i="7"/>
  <c r="D286" i="7"/>
  <c r="C287" i="7"/>
  <c r="D287" i="7"/>
  <c r="C288" i="7"/>
  <c r="D288" i="7"/>
  <c r="C289" i="7"/>
  <c r="D289" i="7"/>
  <c r="C290" i="7"/>
  <c r="D290" i="7"/>
  <c r="C291" i="7"/>
  <c r="D291" i="7"/>
  <c r="C292" i="7"/>
  <c r="D292" i="7"/>
  <c r="C293" i="7"/>
  <c r="D293" i="7"/>
  <c r="C294" i="7"/>
  <c r="D294" i="7"/>
  <c r="C295" i="7"/>
  <c r="D295" i="7"/>
  <c r="C296" i="7"/>
  <c r="D296" i="7"/>
  <c r="C297" i="7"/>
  <c r="D297" i="7"/>
  <c r="C298" i="7"/>
  <c r="D298" i="7"/>
  <c r="C299" i="7"/>
  <c r="D299" i="7"/>
  <c r="C300" i="7"/>
  <c r="D300" i="7"/>
  <c r="C301" i="7"/>
  <c r="D301" i="7"/>
  <c r="C302" i="7"/>
  <c r="D302" i="7"/>
  <c r="C303" i="7"/>
  <c r="D303" i="7"/>
  <c r="C304" i="7"/>
  <c r="D304" i="7"/>
  <c r="C305" i="7"/>
  <c r="D305" i="7"/>
  <c r="C306" i="7"/>
  <c r="D306" i="7"/>
  <c r="C307" i="7"/>
  <c r="D307" i="7"/>
  <c r="C308" i="7"/>
  <c r="D308" i="7"/>
  <c r="C309" i="7"/>
  <c r="D309" i="7"/>
  <c r="C310" i="7"/>
  <c r="D310" i="7"/>
  <c r="C311" i="7"/>
  <c r="D311" i="7"/>
  <c r="C312" i="7"/>
  <c r="D312" i="7"/>
  <c r="C313" i="7"/>
  <c r="D313" i="7"/>
  <c r="C314" i="7"/>
  <c r="D314" i="7"/>
  <c r="C315" i="7"/>
  <c r="D315" i="7"/>
  <c r="C316" i="7"/>
  <c r="D316" i="7"/>
  <c r="C317" i="7"/>
  <c r="D317" i="7"/>
  <c r="C318" i="7"/>
  <c r="D318" i="7"/>
  <c r="C319" i="7"/>
  <c r="D319" i="7"/>
  <c r="C320" i="7"/>
  <c r="D320" i="7"/>
  <c r="C321" i="7"/>
  <c r="D321" i="7"/>
  <c r="C322" i="7"/>
  <c r="D322" i="7"/>
  <c r="C327" i="7"/>
  <c r="D327" i="7"/>
  <c r="C328" i="7"/>
  <c r="D328" i="7"/>
  <c r="C329" i="7"/>
  <c r="D329" i="7"/>
  <c r="C330" i="7"/>
  <c r="D330" i="7"/>
  <c r="C331" i="7"/>
  <c r="D331" i="7"/>
  <c r="C332" i="7"/>
  <c r="D332" i="7"/>
  <c r="C333" i="7"/>
  <c r="D333" i="7"/>
  <c r="C334" i="7"/>
  <c r="D334" i="7"/>
  <c r="C335" i="7"/>
  <c r="D335" i="7"/>
  <c r="C336" i="7"/>
  <c r="D336" i="7"/>
  <c r="C337" i="7"/>
  <c r="D337" i="7"/>
  <c r="C338" i="7"/>
  <c r="D338" i="7"/>
  <c r="C339" i="7"/>
  <c r="D339" i="7"/>
  <c r="C340" i="7"/>
  <c r="D340" i="7"/>
  <c r="C345" i="7"/>
  <c r="D345" i="7"/>
  <c r="C346" i="7"/>
  <c r="D346" i="7"/>
  <c r="C347" i="7"/>
  <c r="D347" i="7"/>
  <c r="C348" i="7"/>
  <c r="D348" i="7"/>
  <c r="C349" i="7"/>
  <c r="D349" i="7"/>
  <c r="C350" i="7"/>
  <c r="D350" i="7"/>
  <c r="C351" i="7"/>
  <c r="D351" i="7"/>
  <c r="C352" i="7"/>
  <c r="D352" i="7"/>
  <c r="C353" i="7"/>
  <c r="D353" i="7"/>
  <c r="C354" i="7"/>
  <c r="D354" i="7"/>
  <c r="C355" i="7"/>
  <c r="D355" i="7"/>
  <c r="C356" i="7"/>
  <c r="D356" i="7"/>
  <c r="C357" i="7"/>
  <c r="D357" i="7"/>
  <c r="C358" i="7"/>
  <c r="D358" i="7"/>
  <c r="C359" i="7"/>
  <c r="D359" i="7"/>
  <c r="C360" i="7"/>
  <c r="D360" i="7"/>
  <c r="C361" i="7"/>
  <c r="D361" i="7"/>
  <c r="C362" i="7"/>
  <c r="D362" i="7"/>
  <c r="C363" i="7"/>
  <c r="D363" i="7"/>
  <c r="C364" i="7"/>
  <c r="D364" i="7"/>
  <c r="C365" i="7"/>
  <c r="D365" i="7"/>
  <c r="C370" i="7"/>
  <c r="D370" i="7"/>
  <c r="C371" i="7"/>
  <c r="D371" i="7"/>
  <c r="C372" i="7"/>
  <c r="D372" i="7"/>
  <c r="C373" i="7"/>
  <c r="D373" i="7"/>
  <c r="C374" i="7"/>
  <c r="D374" i="7"/>
  <c r="C375" i="7"/>
  <c r="D375" i="7"/>
  <c r="C376" i="7"/>
  <c r="D376" i="7"/>
  <c r="C377" i="7"/>
  <c r="D377" i="7"/>
  <c r="C378" i="7"/>
  <c r="D378" i="7"/>
  <c r="C379" i="7"/>
  <c r="D379" i="7"/>
  <c r="C380" i="7"/>
  <c r="D380" i="7"/>
  <c r="C381" i="7"/>
  <c r="D381" i="7"/>
  <c r="C382" i="7"/>
  <c r="D382" i="7"/>
  <c r="C383" i="7"/>
  <c r="D383" i="7"/>
  <c r="C384" i="7"/>
  <c r="D384" i="7"/>
  <c r="C385" i="7"/>
  <c r="D385" i="7"/>
  <c r="C386" i="7"/>
  <c r="D386" i="7"/>
  <c r="C387" i="7"/>
  <c r="D387" i="7"/>
  <c r="C388" i="7"/>
  <c r="D388" i="7"/>
  <c r="C389" i="7"/>
  <c r="D389" i="7"/>
  <c r="C390" i="7"/>
  <c r="D390" i="7"/>
  <c r="C391" i="7"/>
  <c r="D391" i="7"/>
  <c r="C392" i="7"/>
  <c r="D392" i="7"/>
  <c r="C393" i="7"/>
  <c r="D393" i="7"/>
  <c r="C394" i="7"/>
  <c r="D394" i="7"/>
  <c r="C395" i="7"/>
  <c r="D395" i="7"/>
  <c r="C396" i="7"/>
  <c r="D396" i="7"/>
  <c r="C397" i="7"/>
  <c r="D397" i="7"/>
  <c r="C398" i="7"/>
  <c r="D398" i="7"/>
  <c r="C399" i="7"/>
  <c r="D399" i="7"/>
  <c r="C400" i="7"/>
  <c r="D400" i="7"/>
  <c r="C401" i="7"/>
  <c r="D401" i="7"/>
  <c r="C402" i="7"/>
  <c r="D402" i="7"/>
  <c r="C403" i="7"/>
  <c r="D403" i="7"/>
  <c r="C404" i="7"/>
  <c r="D404" i="7"/>
  <c r="C405" i="7"/>
  <c r="D405" i="7"/>
  <c r="C406" i="7"/>
  <c r="D406" i="7"/>
  <c r="C407" i="7"/>
  <c r="D407" i="7"/>
  <c r="C408" i="7"/>
  <c r="D408" i="7"/>
  <c r="C409" i="7"/>
  <c r="D409" i="7"/>
  <c r="C410" i="7"/>
  <c r="D410" i="7"/>
  <c r="C411" i="7"/>
  <c r="D411" i="7"/>
  <c r="C412" i="7"/>
  <c r="D412" i="7"/>
  <c r="C413" i="7"/>
  <c r="D413" i="7"/>
  <c r="C414" i="7"/>
  <c r="D414" i="7"/>
  <c r="C415" i="7"/>
  <c r="D415" i="7"/>
  <c r="C416" i="7"/>
  <c r="D416" i="7"/>
  <c r="C417" i="7"/>
  <c r="D417" i="7"/>
  <c r="C418" i="7"/>
  <c r="D418" i="7"/>
  <c r="C419" i="7"/>
  <c r="D419" i="7"/>
  <c r="C420" i="7"/>
  <c r="D420" i="7"/>
  <c r="C421" i="7"/>
  <c r="D421" i="7"/>
  <c r="C422" i="7"/>
  <c r="D422" i="7"/>
  <c r="C423" i="7"/>
  <c r="D423" i="7"/>
  <c r="C424" i="7"/>
  <c r="D424" i="7"/>
  <c r="C425" i="7"/>
  <c r="D425" i="7"/>
  <c r="C426" i="7"/>
  <c r="D426" i="7"/>
  <c r="C427" i="7"/>
  <c r="D427" i="7"/>
  <c r="C428" i="7"/>
  <c r="D428" i="7"/>
  <c r="C429" i="7"/>
  <c r="D429" i="7"/>
  <c r="C430" i="7"/>
  <c r="D430" i="7"/>
  <c r="C431" i="7"/>
  <c r="D431" i="7"/>
  <c r="C432" i="7"/>
  <c r="D432" i="7"/>
  <c r="C433" i="7"/>
  <c r="D433" i="7"/>
  <c r="C434" i="7"/>
  <c r="D434" i="7"/>
  <c r="C435" i="7"/>
  <c r="D435" i="7"/>
  <c r="C436" i="7"/>
  <c r="D436" i="7"/>
  <c r="C437" i="7"/>
  <c r="D437" i="7"/>
  <c r="C438" i="7"/>
  <c r="D438" i="7"/>
  <c r="C439" i="7"/>
  <c r="D439" i="7"/>
  <c r="C440" i="7"/>
  <c r="D440" i="7"/>
  <c r="C441" i="7"/>
  <c r="D441" i="7"/>
  <c r="C446" i="7"/>
  <c r="D446" i="7"/>
  <c r="C447" i="7"/>
  <c r="D447" i="7"/>
  <c r="C448" i="7"/>
  <c r="D448" i="7"/>
  <c r="C449" i="7"/>
  <c r="D449" i="7"/>
  <c r="C450" i="7"/>
  <c r="D450" i="7"/>
  <c r="C451" i="7"/>
  <c r="D451" i="7"/>
  <c r="C452" i="7"/>
  <c r="D452" i="7"/>
  <c r="C453" i="7"/>
  <c r="D453" i="7"/>
  <c r="C454" i="7"/>
  <c r="D454" i="7"/>
  <c r="C455" i="7"/>
  <c r="D455" i="7"/>
  <c r="C456" i="7"/>
  <c r="D456" i="7"/>
  <c r="C457" i="7"/>
  <c r="D457" i="7"/>
  <c r="C458" i="7"/>
  <c r="D458" i="7"/>
  <c r="C459" i="7"/>
  <c r="D459" i="7"/>
  <c r="C460" i="7"/>
  <c r="D460" i="7"/>
  <c r="C461" i="7"/>
  <c r="D461" i="7"/>
  <c r="C462" i="7"/>
  <c r="D462" i="7"/>
  <c r="C463" i="7"/>
  <c r="D463" i="7"/>
  <c r="C464" i="7"/>
  <c r="D464" i="7"/>
  <c r="C465" i="7"/>
  <c r="D465" i="7"/>
  <c r="C466" i="7"/>
  <c r="D466" i="7"/>
  <c r="C471" i="7"/>
  <c r="D471" i="7"/>
  <c r="C472" i="7"/>
  <c r="D472" i="7"/>
  <c r="C473" i="7"/>
  <c r="D473" i="7"/>
  <c r="C474" i="7"/>
  <c r="D474" i="7"/>
  <c r="C475" i="7"/>
  <c r="D475" i="7"/>
  <c r="C476" i="7"/>
  <c r="D476" i="7"/>
  <c r="C477" i="7"/>
  <c r="D477" i="7"/>
  <c r="C478" i="7"/>
  <c r="D478" i="7"/>
  <c r="C479" i="7"/>
  <c r="D479" i="7"/>
  <c r="C480" i="7"/>
  <c r="D480" i="7"/>
  <c r="C481" i="7"/>
  <c r="D481" i="7"/>
  <c r="C482" i="7"/>
  <c r="D482" i="7"/>
  <c r="C483" i="7"/>
  <c r="D483" i="7"/>
  <c r="C484" i="7"/>
  <c r="D484" i="7"/>
  <c r="C485" i="7"/>
  <c r="D485" i="7"/>
  <c r="C486" i="7"/>
  <c r="D486" i="7"/>
  <c r="C487" i="7"/>
  <c r="D487" i="7"/>
  <c r="C488" i="7"/>
  <c r="D488" i="7"/>
  <c r="C489" i="7"/>
  <c r="D489" i="7"/>
  <c r="C490" i="7"/>
  <c r="D490" i="7"/>
  <c r="C491" i="7"/>
  <c r="D491" i="7"/>
  <c r="C492" i="7"/>
  <c r="D492" i="7"/>
  <c r="C497" i="7"/>
  <c r="D497" i="7"/>
  <c r="C498" i="7"/>
  <c r="D498" i="7"/>
  <c r="C499" i="7"/>
  <c r="D499" i="7"/>
  <c r="C500" i="7"/>
  <c r="D500" i="7"/>
  <c r="C501" i="7"/>
  <c r="D501" i="7"/>
  <c r="C502" i="7"/>
  <c r="D502" i="7"/>
  <c r="C503" i="7"/>
  <c r="D503" i="7"/>
  <c r="C504" i="7"/>
  <c r="D504" i="7"/>
  <c r="C505" i="7"/>
  <c r="D505" i="7"/>
  <c r="C506" i="7"/>
  <c r="D506" i="7"/>
  <c r="C507" i="7"/>
  <c r="D507" i="7"/>
  <c r="C508" i="7"/>
  <c r="D508" i="7"/>
  <c r="C509" i="7"/>
  <c r="D509" i="7"/>
  <c r="C510" i="7"/>
  <c r="D510" i="7"/>
  <c r="C511" i="7"/>
  <c r="D511" i="7"/>
  <c r="C512" i="7"/>
  <c r="D512" i="7"/>
  <c r="C513" i="7"/>
  <c r="D513" i="7"/>
  <c r="C514" i="7"/>
  <c r="D514" i="7"/>
  <c r="C515" i="7"/>
  <c r="D515" i="7"/>
  <c r="C516" i="7"/>
  <c r="D516" i="7"/>
  <c r="C517" i="7"/>
  <c r="D517" i="7"/>
  <c r="C518" i="7"/>
  <c r="D518" i="7"/>
  <c r="C519" i="7"/>
  <c r="D519" i="7"/>
  <c r="C520" i="7"/>
  <c r="D520" i="7"/>
  <c r="C521" i="7"/>
  <c r="D521" i="7"/>
  <c r="C522" i="7"/>
  <c r="D522" i="7"/>
  <c r="C527" i="7"/>
  <c r="D527" i="7"/>
  <c r="C532" i="7"/>
  <c r="D532" i="7"/>
  <c r="C533" i="7"/>
  <c r="D533" i="7"/>
  <c r="C534" i="7"/>
  <c r="D534" i="7"/>
  <c r="C535" i="7"/>
  <c r="D535" i="7"/>
  <c r="C536" i="7"/>
  <c r="D536" i="7"/>
  <c r="C537" i="7"/>
  <c r="D537" i="7"/>
  <c r="C542" i="7"/>
  <c r="D542" i="7"/>
  <c r="C543" i="7"/>
  <c r="D543" i="7"/>
  <c r="C544" i="7"/>
  <c r="D544" i="7"/>
  <c r="C545" i="7"/>
  <c r="D545" i="7"/>
  <c r="C546" i="7"/>
  <c r="D546" i="7"/>
  <c r="C547" i="7"/>
  <c r="D547" i="7"/>
  <c r="C548" i="7"/>
  <c r="D548" i="7"/>
  <c r="D541" i="7"/>
  <c r="C541" i="7"/>
  <c r="D531" i="7"/>
  <c r="C531" i="7"/>
  <c r="D526" i="7"/>
  <c r="C526" i="7"/>
  <c r="D496" i="7"/>
  <c r="C496" i="7"/>
  <c r="D470" i="7"/>
  <c r="C470" i="7"/>
  <c r="D445" i="7"/>
  <c r="C445" i="7"/>
  <c r="D369" i="7"/>
  <c r="C369" i="7"/>
  <c r="D344" i="7"/>
  <c r="C344" i="7"/>
  <c r="D326" i="7"/>
  <c r="C326" i="7"/>
  <c r="D264" i="7"/>
  <c r="C264" i="7"/>
  <c r="D234" i="7"/>
  <c r="C234" i="7"/>
  <c r="D206" i="7"/>
  <c r="C206" i="7"/>
  <c r="D175" i="7"/>
  <c r="C175" i="7"/>
  <c r="D58" i="7"/>
  <c r="C58" i="7"/>
  <c r="D45" i="7"/>
  <c r="C45" i="7"/>
  <c r="D26" i="7"/>
  <c r="C26" i="7"/>
  <c r="C9" i="7"/>
  <c r="D9" i="7"/>
  <c r="C10" i="7"/>
  <c r="D10" i="7"/>
  <c r="C11" i="7"/>
  <c r="D11" i="7"/>
  <c r="C12" i="7"/>
  <c r="D12" i="7"/>
  <c r="C13" i="7"/>
  <c r="D13" i="7"/>
  <c r="C14" i="7"/>
  <c r="D14" i="7"/>
  <c r="C15" i="7"/>
  <c r="D15" i="7"/>
  <c r="C16" i="7"/>
  <c r="D16" i="7"/>
  <c r="C17" i="7"/>
  <c r="D17" i="7"/>
  <c r="C18" i="7"/>
  <c r="D18" i="7"/>
  <c r="C19" i="7"/>
  <c r="D19" i="7"/>
  <c r="C20" i="7"/>
  <c r="D20" i="7"/>
  <c r="C21" i="7"/>
  <c r="D21" i="7"/>
  <c r="C22" i="7"/>
  <c r="D22" i="7"/>
  <c r="D8" i="7"/>
  <c r="C8" i="7"/>
  <c r="A530" i="7"/>
  <c r="A525" i="7"/>
  <c r="A495" i="7"/>
  <c r="A171" i="7"/>
  <c r="A170" i="7"/>
  <c r="A169" i="7"/>
  <c r="A168" i="7"/>
  <c r="A167" i="7"/>
  <c r="A166" i="7"/>
  <c r="A165" i="7"/>
  <c r="A164" i="7"/>
  <c r="A163" i="7"/>
  <c r="A162" i="7"/>
  <c r="A161" i="7"/>
  <c r="A159" i="7"/>
  <c r="A158" i="7"/>
  <c r="A157" i="7"/>
  <c r="A156" i="7"/>
  <c r="A155" i="7"/>
  <c r="A154" i="7"/>
  <c r="A153" i="7"/>
  <c r="A152" i="7"/>
  <c r="A151" i="7"/>
  <c r="A150" i="7"/>
  <c r="A149" i="7"/>
  <c r="A147" i="7"/>
  <c r="A146" i="7"/>
  <c r="A145" i="7"/>
  <c r="A144" i="7"/>
  <c r="A143" i="7"/>
  <c r="A142" i="7"/>
  <c r="A141" i="7"/>
  <c r="A140" i="7"/>
  <c r="A139" i="7"/>
  <c r="A138" i="7"/>
  <c r="A137" i="7"/>
  <c r="A135" i="7"/>
  <c r="A134" i="7"/>
  <c r="A133" i="7"/>
  <c r="A132" i="7"/>
  <c r="A131" i="7"/>
  <c r="A130" i="7"/>
  <c r="A129" i="7"/>
  <c r="A128" i="7"/>
  <c r="A127" i="7"/>
  <c r="A126" i="7"/>
  <c r="A125" i="7"/>
  <c r="A123" i="7"/>
  <c r="A122" i="7"/>
  <c r="A121" i="7"/>
  <c r="A120" i="7"/>
  <c r="A119" i="7"/>
  <c r="A118" i="7"/>
  <c r="A117" i="7"/>
  <c r="A116" i="7"/>
  <c r="A115" i="7"/>
  <c r="A114" i="7"/>
  <c r="A113" i="7"/>
  <c r="A111" i="7"/>
  <c r="A110" i="7"/>
  <c r="A109" i="7"/>
  <c r="A108" i="7"/>
  <c r="A107" i="7"/>
  <c r="A106" i="7"/>
  <c r="A105" i="7"/>
  <c r="A104" i="7"/>
  <c r="A103" i="7"/>
  <c r="A102" i="7"/>
  <c r="A101" i="7"/>
  <c r="A99" i="7"/>
  <c r="A98" i="7"/>
  <c r="A97" i="7"/>
  <c r="A96" i="7"/>
  <c r="A95" i="7"/>
  <c r="A94" i="7"/>
  <c r="A93" i="7"/>
  <c r="A92" i="7"/>
  <c r="A91" i="7"/>
  <c r="A90" i="7"/>
  <c r="A89" i="7"/>
  <c r="A525" i="6"/>
  <c r="A530" i="6"/>
  <c r="A495" i="6"/>
  <c r="A89" i="6"/>
  <c r="A90" i="6"/>
  <c r="A91" i="6"/>
  <c r="A92" i="6"/>
  <c r="A93" i="6"/>
  <c r="A94" i="6"/>
  <c r="A95" i="6"/>
  <c r="A96" i="6"/>
  <c r="A97" i="6"/>
  <c r="A98" i="6"/>
  <c r="A99" i="6"/>
  <c r="A101" i="6"/>
  <c r="A102" i="6"/>
  <c r="A103" i="6"/>
  <c r="A104" i="6"/>
  <c r="A105" i="6"/>
  <c r="A106" i="6"/>
  <c r="A107" i="6"/>
  <c r="A108" i="6"/>
  <c r="A109" i="6"/>
  <c r="A110" i="6"/>
  <c r="A111" i="6"/>
  <c r="A113" i="6"/>
  <c r="A114" i="6"/>
  <c r="A115" i="6"/>
  <c r="A116" i="6"/>
  <c r="A117" i="6"/>
  <c r="A118" i="6"/>
  <c r="A119" i="6"/>
  <c r="A120" i="6"/>
  <c r="A121" i="6"/>
  <c r="A122" i="6"/>
  <c r="A123" i="6"/>
  <c r="A125" i="6"/>
  <c r="A126" i="6"/>
  <c r="A127" i="6"/>
  <c r="A128" i="6"/>
  <c r="A129" i="6"/>
  <c r="A130" i="6"/>
  <c r="A131" i="6"/>
  <c r="A132" i="6"/>
  <c r="A133" i="6"/>
  <c r="A134" i="6"/>
  <c r="A135" i="6"/>
  <c r="A137" i="6"/>
  <c r="A138" i="6"/>
  <c r="A139" i="6"/>
  <c r="A140" i="6"/>
  <c r="A141" i="6"/>
  <c r="A142" i="6"/>
  <c r="A143" i="6"/>
  <c r="A144" i="6"/>
  <c r="A145" i="6"/>
  <c r="A146" i="6"/>
  <c r="A147" i="6"/>
  <c r="A149" i="6"/>
  <c r="A150" i="6"/>
  <c r="A151" i="6"/>
  <c r="A152" i="6"/>
  <c r="A153" i="6"/>
  <c r="A154" i="6"/>
  <c r="A155" i="6"/>
  <c r="A156" i="6"/>
  <c r="A157" i="6"/>
  <c r="A158" i="6"/>
  <c r="A159" i="6"/>
  <c r="A161" i="6"/>
  <c r="A162" i="6"/>
  <c r="A163" i="6"/>
  <c r="A164" i="6"/>
  <c r="A165" i="6"/>
  <c r="A166" i="6"/>
  <c r="A167" i="6"/>
  <c r="A168" i="6"/>
  <c r="A169" i="6"/>
  <c r="A170" i="6"/>
  <c r="A171" i="6"/>
  <c r="A80" i="4"/>
  <c r="A79" i="5"/>
  <c r="A82" i="7" s="1"/>
  <c r="C377" i="5" l="1"/>
  <c r="A24" i="8"/>
  <c r="A24" i="9"/>
  <c r="A23" i="8"/>
  <c r="A23" i="9"/>
  <c r="A22" i="8"/>
  <c r="A22" i="9"/>
  <c r="A82" i="6"/>
  <c r="B370" i="4"/>
  <c r="A370" i="4"/>
  <c r="B369" i="5"/>
  <c r="A369" i="5"/>
  <c r="B532" i="5"/>
  <c r="B531" i="5"/>
  <c r="B530" i="5"/>
  <c r="B529" i="5"/>
  <c r="B528" i="5"/>
  <c r="B527" i="5"/>
  <c r="B526" i="5"/>
  <c r="B525" i="5"/>
  <c r="A525" i="5"/>
  <c r="B524" i="5"/>
  <c r="A524" i="5"/>
  <c r="B522" i="5"/>
  <c r="B521" i="5"/>
  <c r="B520" i="5"/>
  <c r="B519" i="5"/>
  <c r="B518" i="5"/>
  <c r="A518" i="5"/>
  <c r="B517" i="5"/>
  <c r="A517" i="5"/>
  <c r="B516" i="5"/>
  <c r="A516" i="5"/>
  <c r="B515" i="5"/>
  <c r="B513" i="5"/>
  <c r="A513" i="5"/>
  <c r="B512" i="5"/>
  <c r="A512" i="5"/>
  <c r="B511" i="5"/>
  <c r="B509" i="5"/>
  <c r="B508" i="5"/>
  <c r="B507" i="5"/>
  <c r="B506" i="5"/>
  <c r="B505" i="5"/>
  <c r="B504" i="5"/>
  <c r="B503" i="5"/>
  <c r="B502" i="5"/>
  <c r="B501" i="5"/>
  <c r="B500" i="5"/>
  <c r="B499" i="5"/>
  <c r="B498" i="5"/>
  <c r="B497" i="5"/>
  <c r="B496" i="5"/>
  <c r="B495" i="5"/>
  <c r="B494" i="5"/>
  <c r="B493" i="5"/>
  <c r="B492" i="5"/>
  <c r="B491" i="5"/>
  <c r="B490" i="5"/>
  <c r="B489" i="5"/>
  <c r="B488" i="5"/>
  <c r="B487" i="5"/>
  <c r="B486" i="5"/>
  <c r="B485" i="5"/>
  <c r="B484" i="5"/>
  <c r="B483" i="5"/>
  <c r="A483" i="5"/>
  <c r="B482" i="5"/>
  <c r="B480" i="5"/>
  <c r="B479" i="5"/>
  <c r="A479" i="5"/>
  <c r="B478" i="5"/>
  <c r="A478" i="5"/>
  <c r="B477" i="5"/>
  <c r="A477" i="5"/>
  <c r="B476" i="5"/>
  <c r="A476" i="5"/>
  <c r="B475" i="5"/>
  <c r="A475" i="5"/>
  <c r="B474" i="5"/>
  <c r="A474" i="5"/>
  <c r="B473" i="5"/>
  <c r="A473" i="5"/>
  <c r="B472" i="5"/>
  <c r="A472" i="5"/>
  <c r="B471" i="5"/>
  <c r="A471" i="5"/>
  <c r="B470" i="5"/>
  <c r="A470" i="5"/>
  <c r="B469" i="5"/>
  <c r="B468" i="5"/>
  <c r="B467" i="5"/>
  <c r="A467" i="5"/>
  <c r="B466" i="5"/>
  <c r="A466" i="5"/>
  <c r="B465" i="5"/>
  <c r="A465" i="5"/>
  <c r="B464" i="5"/>
  <c r="A464" i="5"/>
  <c r="B463" i="5"/>
  <c r="A463" i="5"/>
  <c r="B462" i="5"/>
  <c r="A462" i="5"/>
  <c r="B461" i="5"/>
  <c r="A461" i="5"/>
  <c r="B460" i="5"/>
  <c r="A460" i="5"/>
  <c r="B459" i="5"/>
  <c r="A459" i="5"/>
  <c r="B458" i="5"/>
  <c r="A458" i="5"/>
  <c r="B457" i="5"/>
  <c r="A457" i="5"/>
  <c r="B455" i="5"/>
  <c r="B454" i="5"/>
  <c r="B453" i="5"/>
  <c r="B452" i="5"/>
  <c r="B451" i="5"/>
  <c r="B450" i="5"/>
  <c r="B449" i="5"/>
  <c r="B448" i="5"/>
  <c r="B447" i="5"/>
  <c r="B446" i="5"/>
  <c r="B445" i="5"/>
  <c r="B444" i="5"/>
  <c r="B443" i="5"/>
  <c r="B442" i="5"/>
  <c r="B441" i="5"/>
  <c r="A441" i="5"/>
  <c r="B440" i="5"/>
  <c r="B439" i="5"/>
  <c r="B438" i="5"/>
  <c r="B437" i="5"/>
  <c r="A437" i="5"/>
  <c r="B436" i="5"/>
  <c r="A436" i="5"/>
  <c r="B435" i="5"/>
  <c r="B434" i="5"/>
  <c r="A434" i="5"/>
  <c r="B433" i="5"/>
  <c r="A433" i="5"/>
  <c r="B431" i="5"/>
  <c r="B430" i="5"/>
  <c r="B429" i="5"/>
  <c r="B428" i="5"/>
  <c r="B427" i="5"/>
  <c r="B426" i="5"/>
  <c r="B425" i="5"/>
  <c r="B424" i="5"/>
  <c r="B423" i="5"/>
  <c r="B422" i="5"/>
  <c r="B421" i="5"/>
  <c r="B420" i="5"/>
  <c r="B419" i="5"/>
  <c r="B418" i="5"/>
  <c r="B417" i="5"/>
  <c r="B416" i="5"/>
  <c r="B415" i="5"/>
  <c r="B414" i="5"/>
  <c r="B413" i="5"/>
  <c r="B412" i="5"/>
  <c r="B411" i="5"/>
  <c r="B410" i="5"/>
  <c r="B409" i="5"/>
  <c r="B408" i="5"/>
  <c r="B407" i="5"/>
  <c r="B406" i="5"/>
  <c r="B405" i="5"/>
  <c r="B404" i="5"/>
  <c r="B403" i="5"/>
  <c r="B402" i="5"/>
  <c r="B401" i="5"/>
  <c r="B400" i="5"/>
  <c r="B399" i="5"/>
  <c r="B398" i="5"/>
  <c r="B397" i="5"/>
  <c r="B396" i="5"/>
  <c r="B395" i="5"/>
  <c r="B394" i="5"/>
  <c r="B393" i="5"/>
  <c r="B392" i="5"/>
  <c r="B391" i="5"/>
  <c r="B390" i="5"/>
  <c r="A390" i="5"/>
  <c r="B389" i="5"/>
  <c r="A389" i="5"/>
  <c r="B388" i="5"/>
  <c r="B387" i="5"/>
  <c r="B386" i="5"/>
  <c r="B385" i="5"/>
  <c r="A385" i="5"/>
  <c r="B384" i="5"/>
  <c r="A384" i="5"/>
  <c r="B383" i="5"/>
  <c r="B382" i="5"/>
  <c r="B381" i="5"/>
  <c r="B380" i="5"/>
  <c r="B379" i="5"/>
  <c r="A379" i="5"/>
  <c r="B378" i="5"/>
  <c r="A378" i="5"/>
  <c r="B377" i="5"/>
  <c r="A377" i="5"/>
  <c r="B376" i="5"/>
  <c r="A376" i="5"/>
  <c r="B375" i="5"/>
  <c r="A375" i="5"/>
  <c r="B374" i="5"/>
  <c r="A374" i="5"/>
  <c r="B373" i="5"/>
  <c r="A373" i="5"/>
  <c r="B372" i="5"/>
  <c r="A372" i="5"/>
  <c r="B371" i="5"/>
  <c r="A371" i="5"/>
  <c r="B370" i="5"/>
  <c r="A370" i="5"/>
  <c r="B368" i="5"/>
  <c r="B367" i="5"/>
  <c r="B366" i="5"/>
  <c r="B365" i="5"/>
  <c r="B364" i="5"/>
  <c r="B363" i="5"/>
  <c r="B362" i="5"/>
  <c r="A362" i="5"/>
  <c r="B361" i="5"/>
  <c r="A361" i="5"/>
  <c r="B360" i="5"/>
  <c r="A360" i="5"/>
  <c r="B359" i="5"/>
  <c r="A359" i="5"/>
  <c r="B358" i="5"/>
  <c r="A358" i="5"/>
  <c r="B356" i="5"/>
  <c r="B355" i="5"/>
  <c r="B354" i="5"/>
  <c r="B353" i="5"/>
  <c r="B352" i="5"/>
  <c r="B351" i="5"/>
  <c r="B350" i="5"/>
  <c r="B349" i="5"/>
  <c r="B348" i="5"/>
  <c r="B347" i="5"/>
  <c r="A347" i="5"/>
  <c r="B346" i="5"/>
  <c r="B345" i="5"/>
  <c r="B344" i="5"/>
  <c r="B343" i="5"/>
  <c r="B342" i="5"/>
  <c r="A342" i="5"/>
  <c r="B341" i="5"/>
  <c r="A341" i="5"/>
  <c r="B340" i="5"/>
  <c r="A340" i="5"/>
  <c r="B339" i="5"/>
  <c r="A339" i="5"/>
  <c r="B338" i="5"/>
  <c r="A338" i="5"/>
  <c r="B337" i="5"/>
  <c r="A337" i="5"/>
  <c r="B336" i="5"/>
  <c r="A336" i="5"/>
  <c r="B335" i="5"/>
  <c r="A335" i="5"/>
  <c r="B334" i="5"/>
  <c r="A334" i="5"/>
  <c r="B332" i="5"/>
  <c r="B331" i="5"/>
  <c r="B330" i="5"/>
  <c r="A330" i="5"/>
  <c r="B329" i="5"/>
  <c r="A329" i="5"/>
  <c r="B328" i="5"/>
  <c r="B327" i="5"/>
  <c r="B326" i="5"/>
  <c r="B325" i="5"/>
  <c r="B324" i="5"/>
  <c r="B323" i="5"/>
  <c r="B322" i="5"/>
  <c r="B321" i="5"/>
  <c r="A321" i="5"/>
  <c r="B320" i="5"/>
  <c r="A320" i="5"/>
  <c r="B319" i="5"/>
  <c r="A319" i="5"/>
  <c r="B318" i="5"/>
  <c r="A318" i="5"/>
  <c r="B317" i="5"/>
  <c r="A317" i="5"/>
  <c r="B315" i="5"/>
  <c r="B314" i="5"/>
  <c r="B313" i="5"/>
  <c r="B312" i="5"/>
  <c r="B311" i="5"/>
  <c r="A311" i="5"/>
  <c r="B310" i="5"/>
  <c r="A310" i="5"/>
  <c r="B309" i="5"/>
  <c r="A309" i="5"/>
  <c r="B308" i="5"/>
  <c r="A308" i="5"/>
  <c r="B307" i="5"/>
  <c r="A307" i="5"/>
  <c r="B306" i="5"/>
  <c r="A306" i="5"/>
  <c r="B305" i="5"/>
  <c r="A305" i="5"/>
  <c r="B304" i="5"/>
  <c r="A304" i="5"/>
  <c r="B303" i="5"/>
  <c r="A303" i="5"/>
  <c r="B302" i="5"/>
  <c r="A302" i="5"/>
  <c r="B301" i="5"/>
  <c r="A301" i="5"/>
  <c r="B300" i="5"/>
  <c r="A300" i="5"/>
  <c r="B299" i="5"/>
  <c r="A299" i="5"/>
  <c r="B298" i="5"/>
  <c r="A298" i="5"/>
  <c r="B297" i="5"/>
  <c r="A297" i="5"/>
  <c r="B296" i="5"/>
  <c r="A296" i="5"/>
  <c r="B295" i="5"/>
  <c r="A295" i="5"/>
  <c r="B294" i="5"/>
  <c r="A294" i="5"/>
  <c r="B293" i="5"/>
  <c r="A293" i="5"/>
  <c r="B292" i="5"/>
  <c r="A292" i="5"/>
  <c r="B291" i="5"/>
  <c r="A291" i="5"/>
  <c r="B290" i="5"/>
  <c r="A290" i="5"/>
  <c r="B289" i="5"/>
  <c r="A289" i="5"/>
  <c r="B288" i="5"/>
  <c r="A288" i="5"/>
  <c r="B287" i="5"/>
  <c r="A287" i="5"/>
  <c r="B286" i="5"/>
  <c r="A286" i="5"/>
  <c r="B285" i="5"/>
  <c r="A285" i="5"/>
  <c r="B284" i="5"/>
  <c r="A284" i="5"/>
  <c r="B283" i="5"/>
  <c r="A283" i="5"/>
  <c r="B282" i="5"/>
  <c r="A282" i="5"/>
  <c r="B281" i="5"/>
  <c r="A281" i="5"/>
  <c r="B280" i="5"/>
  <c r="A280" i="5"/>
  <c r="B279" i="5"/>
  <c r="A279" i="5"/>
  <c r="B278" i="5"/>
  <c r="A278" i="5"/>
  <c r="B277" i="5"/>
  <c r="A277" i="5"/>
  <c r="B276" i="5"/>
  <c r="A276" i="5"/>
  <c r="B275" i="5"/>
  <c r="A275" i="5"/>
  <c r="B274" i="5"/>
  <c r="A274" i="5"/>
  <c r="B273" i="5"/>
  <c r="A273" i="5"/>
  <c r="B272" i="5"/>
  <c r="A272" i="5"/>
  <c r="B271" i="5"/>
  <c r="A271" i="5"/>
  <c r="B270" i="5"/>
  <c r="A270" i="5"/>
  <c r="B269" i="5"/>
  <c r="A269" i="5"/>
  <c r="B268" i="5"/>
  <c r="A268" i="5"/>
  <c r="B267" i="5"/>
  <c r="B266" i="5"/>
  <c r="A266" i="5"/>
  <c r="B265" i="5"/>
  <c r="A265" i="5"/>
  <c r="B264" i="5"/>
  <c r="A264" i="5"/>
  <c r="B263" i="5"/>
  <c r="A263" i="5"/>
  <c r="B262" i="5"/>
  <c r="A262" i="5"/>
  <c r="B261" i="5"/>
  <c r="A261" i="5"/>
  <c r="B260" i="5"/>
  <c r="A260" i="5"/>
  <c r="B259" i="5"/>
  <c r="A259" i="5"/>
  <c r="B258" i="5"/>
  <c r="A258" i="5"/>
  <c r="B257" i="5"/>
  <c r="A257" i="5"/>
  <c r="B256" i="5"/>
  <c r="A256" i="5"/>
  <c r="B254" i="5"/>
  <c r="B253" i="5"/>
  <c r="B252" i="5"/>
  <c r="B251" i="5"/>
  <c r="B250" i="5"/>
  <c r="A250" i="5"/>
  <c r="B249" i="5"/>
  <c r="A249" i="5"/>
  <c r="B248" i="5"/>
  <c r="A248" i="5"/>
  <c r="B247" i="5"/>
  <c r="A247" i="5"/>
  <c r="B246" i="5"/>
  <c r="A246" i="5"/>
  <c r="B245" i="5"/>
  <c r="A245" i="5"/>
  <c r="B244" i="5"/>
  <c r="B243" i="5"/>
  <c r="A243" i="5"/>
  <c r="B242" i="5"/>
  <c r="A242" i="5"/>
  <c r="B241" i="5"/>
  <c r="B240" i="5"/>
  <c r="A240" i="5"/>
  <c r="B239" i="5"/>
  <c r="A239" i="5"/>
  <c r="B238" i="5"/>
  <c r="A238" i="5"/>
  <c r="B237" i="5"/>
  <c r="A237" i="5"/>
  <c r="B236" i="5"/>
  <c r="A236" i="5"/>
  <c r="B235" i="5"/>
  <c r="A235" i="5"/>
  <c r="B234" i="5"/>
  <c r="A234" i="5"/>
  <c r="B233" i="5"/>
  <c r="A233" i="5"/>
  <c r="B232" i="5"/>
  <c r="A232" i="5"/>
  <c r="B231" i="5"/>
  <c r="A231" i="5"/>
  <c r="B230" i="5"/>
  <c r="A230" i="5"/>
  <c r="B229" i="5"/>
  <c r="A229" i="5"/>
  <c r="B228" i="5"/>
  <c r="A228" i="5"/>
  <c r="B227" i="5"/>
  <c r="A227" i="5"/>
  <c r="B225" i="5"/>
  <c r="A225" i="5"/>
  <c r="B224" i="5"/>
  <c r="A224" i="5"/>
  <c r="B223" i="5"/>
  <c r="B222" i="5"/>
  <c r="A222" i="5"/>
  <c r="B221" i="5"/>
  <c r="A221" i="5"/>
  <c r="B220" i="5"/>
  <c r="B219" i="5"/>
  <c r="B218" i="5"/>
  <c r="B217" i="5"/>
  <c r="B216" i="5"/>
  <c r="B215" i="5"/>
  <c r="B214" i="5"/>
  <c r="A214" i="5"/>
  <c r="B213" i="5"/>
  <c r="A213" i="5"/>
  <c r="B212" i="5"/>
  <c r="A212" i="5"/>
  <c r="B211" i="5"/>
  <c r="B210" i="5"/>
  <c r="B209" i="5"/>
  <c r="A209" i="5"/>
  <c r="B208" i="5"/>
  <c r="B207" i="5"/>
  <c r="A207" i="5"/>
  <c r="B206" i="5"/>
  <c r="A206" i="5"/>
  <c r="B205" i="5"/>
  <c r="A205" i="5"/>
  <c r="B204" i="5"/>
  <c r="A204" i="5"/>
  <c r="B203" i="5"/>
  <c r="A203" i="5"/>
  <c r="B202" i="5"/>
  <c r="A202" i="5"/>
  <c r="B201" i="5"/>
  <c r="A201" i="5"/>
  <c r="B200" i="5"/>
  <c r="A200" i="5"/>
  <c r="B198" i="5"/>
  <c r="B197" i="5"/>
  <c r="B196" i="5"/>
  <c r="B195" i="5"/>
  <c r="B194" i="5"/>
  <c r="B193" i="5"/>
  <c r="B192" i="5"/>
  <c r="B191" i="5"/>
  <c r="B190" i="5"/>
  <c r="B189" i="5"/>
  <c r="B188" i="5"/>
  <c r="B187" i="5"/>
  <c r="B186" i="5"/>
  <c r="B185" i="5"/>
  <c r="B184" i="5"/>
  <c r="A184" i="5"/>
  <c r="B183" i="5"/>
  <c r="A183" i="5"/>
  <c r="B182" i="5"/>
  <c r="B181" i="5"/>
  <c r="B180" i="5"/>
  <c r="B179" i="5"/>
  <c r="B178" i="5"/>
  <c r="B177" i="5"/>
  <c r="B176" i="5"/>
  <c r="B175" i="5"/>
  <c r="A175" i="5"/>
  <c r="B174" i="5"/>
  <c r="A174" i="5"/>
  <c r="B173" i="5"/>
  <c r="A173" i="5"/>
  <c r="B172" i="5"/>
  <c r="A172" i="5"/>
  <c r="B171" i="5"/>
  <c r="A171" i="5"/>
  <c r="B170" i="5"/>
  <c r="A170" i="5"/>
  <c r="B168" i="5"/>
  <c r="B167" i="5"/>
  <c r="B166" i="5"/>
  <c r="B165" i="5"/>
  <c r="B164" i="5"/>
  <c r="B163" i="5"/>
  <c r="B162" i="5"/>
  <c r="B161" i="5"/>
  <c r="B160" i="5"/>
  <c r="B159" i="5"/>
  <c r="B158" i="5"/>
  <c r="B157" i="5"/>
  <c r="B156" i="5"/>
  <c r="B155" i="5"/>
  <c r="B154" i="5"/>
  <c r="B153" i="5"/>
  <c r="B152" i="5"/>
  <c r="B151" i="5"/>
  <c r="B150" i="5"/>
  <c r="B149" i="5"/>
  <c r="B148" i="5"/>
  <c r="B147" i="5"/>
  <c r="B146" i="5"/>
  <c r="B145" i="5"/>
  <c r="B144" i="5"/>
  <c r="B143" i="5"/>
  <c r="B142" i="5"/>
  <c r="B141" i="5"/>
  <c r="B140" i="5"/>
  <c r="B139" i="5"/>
  <c r="B138" i="5"/>
  <c r="B137" i="5"/>
  <c r="B136" i="5"/>
  <c r="B135" i="5"/>
  <c r="B134" i="5"/>
  <c r="B133" i="5"/>
  <c r="B132" i="5"/>
  <c r="B131" i="5"/>
  <c r="B130" i="5"/>
  <c r="B129" i="5"/>
  <c r="B128" i="5"/>
  <c r="B127" i="5"/>
  <c r="B126" i="5"/>
  <c r="B125" i="5"/>
  <c r="B124" i="5"/>
  <c r="B123" i="5"/>
  <c r="B122" i="5"/>
  <c r="B121" i="5"/>
  <c r="B120" i="5"/>
  <c r="B119" i="5"/>
  <c r="B118" i="5"/>
  <c r="B117" i="5"/>
  <c r="B116" i="5"/>
  <c r="B115" i="5"/>
  <c r="B114" i="5"/>
  <c r="B113" i="5"/>
  <c r="B112" i="5"/>
  <c r="B111" i="5"/>
  <c r="B110" i="5"/>
  <c r="B109" i="5"/>
  <c r="B108" i="5"/>
  <c r="B107" i="5"/>
  <c r="B106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A60" i="5"/>
  <c r="B59" i="5"/>
  <c r="A59" i="5"/>
  <c r="B58" i="5"/>
  <c r="B57" i="5"/>
  <c r="B56" i="5"/>
  <c r="B55" i="5"/>
  <c r="A55" i="5"/>
  <c r="B54" i="5"/>
  <c r="A54" i="5"/>
  <c r="B52" i="5"/>
  <c r="B51" i="5"/>
  <c r="B50" i="5"/>
  <c r="B49" i="5"/>
  <c r="B48" i="5"/>
  <c r="B47" i="5"/>
  <c r="B46" i="5"/>
  <c r="A46" i="5"/>
  <c r="B45" i="5"/>
  <c r="A45" i="5"/>
  <c r="B44" i="5"/>
  <c r="B43" i="5"/>
  <c r="A43" i="5"/>
  <c r="B42" i="5"/>
  <c r="A42" i="5"/>
  <c r="B40" i="5"/>
  <c r="B39" i="5"/>
  <c r="B38" i="5"/>
  <c r="B37" i="5"/>
  <c r="B36" i="5"/>
  <c r="B35" i="5"/>
  <c r="B34" i="5"/>
  <c r="A34" i="5"/>
  <c r="B33" i="5"/>
  <c r="B32" i="5"/>
  <c r="B31" i="5"/>
  <c r="B30" i="5"/>
  <c r="B29" i="5"/>
  <c r="B28" i="5"/>
  <c r="B27" i="5"/>
  <c r="B26" i="5"/>
  <c r="B25" i="5"/>
  <c r="A25" i="5"/>
  <c r="B24" i="5"/>
  <c r="A24" i="5"/>
  <c r="B22" i="5"/>
  <c r="B21" i="5"/>
  <c r="B20" i="5"/>
  <c r="B19" i="5"/>
  <c r="B18" i="5"/>
  <c r="B17" i="5"/>
  <c r="A17" i="5"/>
  <c r="B16" i="5"/>
  <c r="B15" i="5"/>
  <c r="B14" i="5"/>
  <c r="A14" i="5"/>
  <c r="B13" i="5"/>
  <c r="B12" i="5"/>
  <c r="B11" i="5"/>
  <c r="A11" i="5"/>
  <c r="B10" i="5"/>
  <c r="A10" i="5"/>
  <c r="B9" i="5"/>
  <c r="A9" i="5"/>
  <c r="B8" i="5"/>
  <c r="A8" i="5"/>
  <c r="B7" i="5"/>
  <c r="A7" i="5"/>
  <c r="A528" i="1"/>
  <c r="A529" i="1" s="1"/>
  <c r="A512" i="1"/>
  <c r="A504" i="1"/>
  <c r="A505" i="1" s="1"/>
  <c r="A506" i="1" s="1"/>
  <c r="A507" i="1" s="1"/>
  <c r="A508" i="1" s="1"/>
  <c r="A241" i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39" i="1"/>
  <c r="A141" i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3" i="2"/>
  <c r="A14" i="2" s="1"/>
  <c r="A15" i="2" s="1"/>
  <c r="A16" i="2" s="1"/>
  <c r="A17" i="2" s="1"/>
  <c r="A18" i="2" s="1"/>
  <c r="A19" i="2" s="1"/>
  <c r="A20" i="2" s="1"/>
  <c r="A21" i="2" s="1"/>
  <c r="A10" i="2"/>
  <c r="A11" i="2"/>
  <c r="A608" i="1"/>
  <c r="G5459" i="3"/>
  <c r="A183" i="1"/>
  <c r="A66" i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F10467" i="3"/>
  <c r="F10442" i="3"/>
  <c r="F10416" i="3"/>
  <c r="F10390" i="3"/>
  <c r="F10364" i="3"/>
  <c r="F10338" i="3"/>
  <c r="F10312" i="3"/>
  <c r="F10286" i="3"/>
  <c r="B526" i="4"/>
  <c r="B527" i="4"/>
  <c r="B528" i="4"/>
  <c r="B529" i="4"/>
  <c r="B530" i="4"/>
  <c r="B531" i="4"/>
  <c r="B532" i="4"/>
  <c r="B533" i="4"/>
  <c r="A526" i="4"/>
  <c r="G10457" i="3"/>
  <c r="G10432" i="3"/>
  <c r="G10406" i="3"/>
  <c r="G10380" i="3"/>
  <c r="G10354" i="3"/>
  <c r="G10328" i="3"/>
  <c r="G10302" i="3"/>
  <c r="G10277" i="3"/>
  <c r="G10276" i="3"/>
  <c r="G10275" i="3"/>
  <c r="G10271" i="3"/>
  <c r="G10298" i="3" s="1"/>
  <c r="G10270" i="3"/>
  <c r="G10297" i="3" s="1"/>
  <c r="G10269" i="3"/>
  <c r="G10296" i="3" s="1"/>
  <c r="G10268" i="3"/>
  <c r="B525" i="4"/>
  <c r="A525" i="4"/>
  <c r="B517" i="4"/>
  <c r="B518" i="4"/>
  <c r="B519" i="4"/>
  <c r="B520" i="4"/>
  <c r="B521" i="4"/>
  <c r="B522" i="4"/>
  <c r="B523" i="4"/>
  <c r="A519" i="4"/>
  <c r="A518" i="4"/>
  <c r="A517" i="4"/>
  <c r="F10129" i="3"/>
  <c r="F10125" i="3"/>
  <c r="F10256" i="3"/>
  <c r="F10231" i="3"/>
  <c r="F10206" i="3"/>
  <c r="F10180" i="3"/>
  <c r="F10154" i="3"/>
  <c r="G10247" i="3"/>
  <c r="G10222" i="3"/>
  <c r="G10223" i="3"/>
  <c r="G10248" i="3" s="1"/>
  <c r="G10196" i="3"/>
  <c r="G10170" i="3"/>
  <c r="G10145" i="3"/>
  <c r="G10116" i="3"/>
  <c r="G10146" i="3" s="1"/>
  <c r="G10115" i="3"/>
  <c r="G10114" i="3"/>
  <c r="B516" i="4"/>
  <c r="A516" i="4"/>
  <c r="B513" i="4"/>
  <c r="B514" i="4"/>
  <c r="A514" i="4"/>
  <c r="A513" i="4"/>
  <c r="F10095" i="3"/>
  <c r="F10065" i="3"/>
  <c r="G10087" i="3"/>
  <c r="G10057" i="3"/>
  <c r="G10056" i="3"/>
  <c r="G10055" i="3"/>
  <c r="G10054" i="3"/>
  <c r="G10053" i="3"/>
  <c r="G10052" i="3"/>
  <c r="B512" i="4"/>
  <c r="A512" i="4"/>
  <c r="B484" i="4"/>
  <c r="B485" i="4"/>
  <c r="B486" i="4"/>
  <c r="B487" i="4"/>
  <c r="B488" i="4"/>
  <c r="B489" i="4"/>
  <c r="B490" i="4"/>
  <c r="B491" i="4"/>
  <c r="B492" i="4"/>
  <c r="B493" i="4"/>
  <c r="B494" i="4"/>
  <c r="B495" i="4"/>
  <c r="B496" i="4"/>
  <c r="B497" i="4"/>
  <c r="B498" i="4"/>
  <c r="B499" i="4"/>
  <c r="B500" i="4"/>
  <c r="B501" i="4"/>
  <c r="B502" i="4"/>
  <c r="B503" i="4"/>
  <c r="B504" i="4"/>
  <c r="B505" i="4"/>
  <c r="B506" i="4"/>
  <c r="B507" i="4"/>
  <c r="B508" i="4"/>
  <c r="B509" i="4"/>
  <c r="B510" i="4"/>
  <c r="A484" i="4"/>
  <c r="F10034" i="3"/>
  <c r="F10009" i="3"/>
  <c r="F9984" i="3"/>
  <c r="F9958" i="3"/>
  <c r="F9933" i="3"/>
  <c r="F9908" i="3"/>
  <c r="F9883" i="3"/>
  <c r="F9858" i="3"/>
  <c r="F9833" i="3"/>
  <c r="F9808" i="3"/>
  <c r="F9783" i="3"/>
  <c r="F9758" i="3"/>
  <c r="F9733" i="3"/>
  <c r="F9704" i="3"/>
  <c r="F9675" i="3"/>
  <c r="F9646" i="3"/>
  <c r="F9622" i="3"/>
  <c r="F9595" i="3"/>
  <c r="F9570" i="3"/>
  <c r="F9542" i="3"/>
  <c r="F9517" i="3"/>
  <c r="F9489" i="3"/>
  <c r="F9464" i="3"/>
  <c r="F9438" i="3"/>
  <c r="F9411" i="3"/>
  <c r="F9384" i="3"/>
  <c r="F9357" i="3"/>
  <c r="B9361" i="3"/>
  <c r="B9388" i="3" s="1"/>
  <c r="B9415" i="3" s="1"/>
  <c r="B9442" i="3" s="1"/>
  <c r="B9468" i="3" s="1"/>
  <c r="B9493" i="3" s="1"/>
  <c r="B9521" i="3" s="1"/>
  <c r="B9546" i="3" s="1"/>
  <c r="B9574" i="3" s="1"/>
  <c r="B9599" i="3" s="1"/>
  <c r="B9626" i="3" s="1"/>
  <c r="B9650" i="3" s="1"/>
  <c r="B9679" i="3" s="1"/>
  <c r="B9708" i="3" s="1"/>
  <c r="B9737" i="3" s="1"/>
  <c r="B9762" i="3" s="1"/>
  <c r="B9787" i="3" s="1"/>
  <c r="B9812" i="3" s="1"/>
  <c r="B9837" i="3" s="1"/>
  <c r="B9862" i="3" s="1"/>
  <c r="B9887" i="3" s="1"/>
  <c r="B9912" i="3" s="1"/>
  <c r="B9937" i="3" s="1"/>
  <c r="B9962" i="3" s="1"/>
  <c r="B9988" i="3" s="1"/>
  <c r="B10013" i="3" s="1"/>
  <c r="A510" i="4" s="1"/>
  <c r="G10025" i="3"/>
  <c r="G10000" i="3"/>
  <c r="G9974" i="3"/>
  <c r="G9949" i="3"/>
  <c r="G9924" i="3"/>
  <c r="G9899" i="3"/>
  <c r="G9874" i="3"/>
  <c r="G9849" i="3"/>
  <c r="G9799" i="3"/>
  <c r="G9824" i="3"/>
  <c r="G9750" i="3"/>
  <c r="G9749" i="3"/>
  <c r="G9774" i="3"/>
  <c r="G9666" i="3"/>
  <c r="G9665" i="3"/>
  <c r="G9638" i="3"/>
  <c r="G9587" i="3"/>
  <c r="G9586" i="3"/>
  <c r="G9561" i="3"/>
  <c r="G9560" i="3"/>
  <c r="G9559" i="3"/>
  <c r="G9533" i="3"/>
  <c r="G9509" i="3"/>
  <c r="G9508" i="3"/>
  <c r="B15" i="7" l="1"/>
  <c r="B15" i="6"/>
  <c r="B30" i="7"/>
  <c r="B30" i="6"/>
  <c r="B45" i="7"/>
  <c r="B45" i="6"/>
  <c r="B59" i="7"/>
  <c r="B59" i="6"/>
  <c r="B73" i="7"/>
  <c r="B73" i="6"/>
  <c r="B89" i="7"/>
  <c r="B89" i="6"/>
  <c r="B105" i="7"/>
  <c r="B105" i="6"/>
  <c r="B121" i="7"/>
  <c r="B121" i="6"/>
  <c r="B137" i="7"/>
  <c r="B137" i="6"/>
  <c r="B153" i="7"/>
  <c r="B153" i="6"/>
  <c r="B169" i="7"/>
  <c r="B169" i="6"/>
  <c r="B181" i="7"/>
  <c r="B181" i="6"/>
  <c r="B195" i="7"/>
  <c r="B195" i="6"/>
  <c r="A209" i="7"/>
  <c r="A209" i="6"/>
  <c r="B218" i="7"/>
  <c r="B218" i="6"/>
  <c r="A230" i="7"/>
  <c r="A230" i="6"/>
  <c r="A240" i="7"/>
  <c r="A240" i="6"/>
  <c r="B248" i="7"/>
  <c r="B248" i="6"/>
  <c r="B257" i="7"/>
  <c r="B257" i="6"/>
  <c r="A269" i="7"/>
  <c r="A269" i="6"/>
  <c r="B277" i="7"/>
  <c r="B277" i="6"/>
  <c r="B285" i="7"/>
  <c r="B285" i="6"/>
  <c r="B293" i="7"/>
  <c r="B293" i="6"/>
  <c r="B301" i="7"/>
  <c r="B301" i="6"/>
  <c r="B309" i="7"/>
  <c r="B309" i="6"/>
  <c r="B317" i="7"/>
  <c r="B317" i="6"/>
  <c r="B329" i="7"/>
  <c r="B329" i="6"/>
  <c r="A344" i="7"/>
  <c r="A344" i="6"/>
  <c r="B352" i="7"/>
  <c r="B352" i="6"/>
  <c r="B368" i="7"/>
  <c r="B368" i="6"/>
  <c r="B380" i="7"/>
  <c r="B380" i="6"/>
  <c r="B388" i="7"/>
  <c r="B388" i="6"/>
  <c r="A400" i="7"/>
  <c r="A400" i="6"/>
  <c r="B415" i="7"/>
  <c r="B415" i="6"/>
  <c r="B431" i="7"/>
  <c r="B431" i="6"/>
  <c r="A447" i="7"/>
  <c r="A447" i="6"/>
  <c r="B460" i="7"/>
  <c r="B460" i="6"/>
  <c r="B473" i="7"/>
  <c r="B473" i="6"/>
  <c r="B482" i="7"/>
  <c r="B482" i="6"/>
  <c r="B490" i="7"/>
  <c r="B490" i="6"/>
  <c r="B506" i="7"/>
  <c r="B506" i="6"/>
  <c r="B522" i="7"/>
  <c r="B522" i="6"/>
  <c r="B537" i="7"/>
  <c r="B537" i="6"/>
  <c r="B16" i="7"/>
  <c r="B16" i="6"/>
  <c r="B31" i="7"/>
  <c r="B31" i="6"/>
  <c r="B46" i="7"/>
  <c r="B46" i="6"/>
  <c r="B60" i="7"/>
  <c r="B60" i="6"/>
  <c r="B74" i="7"/>
  <c r="B74" i="6"/>
  <c r="B90" i="7"/>
  <c r="B90" i="6"/>
  <c r="B106" i="7"/>
  <c r="B106" i="6"/>
  <c r="B122" i="7"/>
  <c r="B122" i="6"/>
  <c r="B138" i="7"/>
  <c r="B138" i="6"/>
  <c r="B154" i="7"/>
  <c r="B154" i="6"/>
  <c r="B170" i="7"/>
  <c r="B170" i="6"/>
  <c r="B182" i="7"/>
  <c r="B182" i="6"/>
  <c r="B196" i="7"/>
  <c r="B196" i="6"/>
  <c r="B209" i="7"/>
  <c r="B209" i="6"/>
  <c r="A219" i="7"/>
  <c r="A219" i="6"/>
  <c r="B230" i="7"/>
  <c r="B230" i="6"/>
  <c r="B240" i="7"/>
  <c r="B240" i="6"/>
  <c r="A249" i="7"/>
  <c r="A249" i="6"/>
  <c r="B258" i="7"/>
  <c r="B258" i="6"/>
  <c r="B269" i="7"/>
  <c r="B269" i="6"/>
  <c r="A278" i="7"/>
  <c r="A278" i="6"/>
  <c r="A286" i="7"/>
  <c r="A286" i="6"/>
  <c r="A294" i="7"/>
  <c r="A294" i="6"/>
  <c r="A302" i="7"/>
  <c r="A302" i="6"/>
  <c r="A310" i="7"/>
  <c r="A310" i="6"/>
  <c r="A318" i="7"/>
  <c r="A318" i="6"/>
  <c r="B330" i="7"/>
  <c r="B330" i="6"/>
  <c r="B344" i="7"/>
  <c r="B344" i="6"/>
  <c r="B353" i="7"/>
  <c r="B353" i="6"/>
  <c r="A369" i="7"/>
  <c r="A369" i="6"/>
  <c r="A381" i="7"/>
  <c r="A381" i="6"/>
  <c r="A389" i="7"/>
  <c r="A389" i="6"/>
  <c r="B400" i="7"/>
  <c r="B400" i="6"/>
  <c r="B416" i="7"/>
  <c r="B416" i="6"/>
  <c r="B432" i="7"/>
  <c r="B432" i="6"/>
  <c r="B447" i="7"/>
  <c r="B447" i="6"/>
  <c r="B461" i="7"/>
  <c r="B461" i="6"/>
  <c r="A474" i="7"/>
  <c r="A474" i="6"/>
  <c r="A483" i="7"/>
  <c r="A483" i="6"/>
  <c r="A491" i="7"/>
  <c r="A491" i="6"/>
  <c r="B507" i="7"/>
  <c r="B507" i="6"/>
  <c r="B525" i="7"/>
  <c r="B525" i="6"/>
  <c r="A540" i="7"/>
  <c r="A540" i="6"/>
  <c r="A7" i="7"/>
  <c r="A7" i="6"/>
  <c r="A17" i="7"/>
  <c r="A17" i="6"/>
  <c r="B32" i="7"/>
  <c r="B32" i="6"/>
  <c r="A47" i="7"/>
  <c r="A47" i="6"/>
  <c r="B61" i="6"/>
  <c r="B61" i="7"/>
  <c r="B75" i="7"/>
  <c r="B75" i="6"/>
  <c r="B91" i="7"/>
  <c r="B91" i="6"/>
  <c r="B107" i="7"/>
  <c r="B107" i="6"/>
  <c r="B123" i="7"/>
  <c r="B123" i="6"/>
  <c r="B139" i="7"/>
  <c r="B139" i="6"/>
  <c r="B155" i="7"/>
  <c r="B155" i="6"/>
  <c r="B171" i="7"/>
  <c r="B171" i="6"/>
  <c r="B183" i="7"/>
  <c r="B183" i="6"/>
  <c r="B197" i="7"/>
  <c r="B197" i="6"/>
  <c r="A210" i="7"/>
  <c r="A210" i="6"/>
  <c r="B219" i="7"/>
  <c r="B219" i="6"/>
  <c r="A233" i="7"/>
  <c r="A233" i="6"/>
  <c r="A241" i="7"/>
  <c r="A241" i="6"/>
  <c r="B249" i="7"/>
  <c r="B249" i="6"/>
  <c r="B259" i="7"/>
  <c r="B259" i="6"/>
  <c r="A270" i="7"/>
  <c r="A270" i="6"/>
  <c r="B278" i="7"/>
  <c r="B278" i="6"/>
  <c r="B286" i="7"/>
  <c r="B286" i="6"/>
  <c r="B294" i="7"/>
  <c r="B294" i="6"/>
  <c r="B302" i="7"/>
  <c r="B302" i="6"/>
  <c r="B310" i="7"/>
  <c r="B310" i="6"/>
  <c r="B318" i="7"/>
  <c r="B318" i="6"/>
  <c r="B331" i="7"/>
  <c r="B331" i="6"/>
  <c r="A345" i="7"/>
  <c r="A345" i="6"/>
  <c r="B354" i="7"/>
  <c r="B354" i="6"/>
  <c r="B369" i="7"/>
  <c r="B369" i="6"/>
  <c r="B381" i="7"/>
  <c r="B381" i="6"/>
  <c r="B389" i="7"/>
  <c r="B389" i="6"/>
  <c r="B401" i="7"/>
  <c r="B401" i="6"/>
  <c r="B417" i="7"/>
  <c r="B417" i="6"/>
  <c r="B433" i="7"/>
  <c r="B433" i="6"/>
  <c r="A448" i="7"/>
  <c r="A448" i="6"/>
  <c r="B462" i="7"/>
  <c r="B462" i="6"/>
  <c r="B474" i="7"/>
  <c r="B474" i="6"/>
  <c r="B483" i="7"/>
  <c r="B483" i="6"/>
  <c r="B491" i="7"/>
  <c r="B491" i="6"/>
  <c r="B508" i="7"/>
  <c r="B508" i="6"/>
  <c r="A526" i="7"/>
  <c r="A526" i="6"/>
  <c r="B540" i="7"/>
  <c r="B540" i="6"/>
  <c r="B7" i="7"/>
  <c r="B7" i="6"/>
  <c r="B17" i="7"/>
  <c r="B17" i="6"/>
  <c r="B33" i="7"/>
  <c r="B33" i="6"/>
  <c r="B47" i="7"/>
  <c r="B47" i="6"/>
  <c r="A62" i="7"/>
  <c r="A62" i="6"/>
  <c r="B76" i="7"/>
  <c r="B76" i="6"/>
  <c r="B92" i="7"/>
  <c r="B92" i="6"/>
  <c r="B108" i="7"/>
  <c r="B108" i="6"/>
  <c r="B124" i="7"/>
  <c r="B124" i="6"/>
  <c r="B140" i="7"/>
  <c r="B140" i="6"/>
  <c r="B156" i="7"/>
  <c r="B156" i="6"/>
  <c r="A174" i="7"/>
  <c r="A174" i="6"/>
  <c r="B184" i="7"/>
  <c r="B184" i="6"/>
  <c r="B198" i="7"/>
  <c r="B198" i="6"/>
  <c r="B210" i="7"/>
  <c r="B210" i="6"/>
  <c r="B220" i="7"/>
  <c r="B220" i="6"/>
  <c r="B233" i="7"/>
  <c r="B233" i="6"/>
  <c r="B241" i="7"/>
  <c r="B241" i="6"/>
  <c r="B250" i="7"/>
  <c r="B250" i="6"/>
  <c r="B260" i="7"/>
  <c r="B260" i="6"/>
  <c r="B270" i="7"/>
  <c r="B270" i="6"/>
  <c r="A279" i="7"/>
  <c r="A279" i="6"/>
  <c r="A287" i="7"/>
  <c r="A287" i="6"/>
  <c r="A295" i="7"/>
  <c r="A295" i="6"/>
  <c r="A303" i="7"/>
  <c r="A303" i="6"/>
  <c r="A311" i="7"/>
  <c r="A311" i="6"/>
  <c r="B319" i="7"/>
  <c r="B319" i="6"/>
  <c r="B332" i="7"/>
  <c r="B332" i="6"/>
  <c r="B345" i="7"/>
  <c r="B345" i="6"/>
  <c r="B355" i="7"/>
  <c r="B355" i="6"/>
  <c r="A370" i="7"/>
  <c r="A370" i="6"/>
  <c r="A382" i="7"/>
  <c r="A382" i="6"/>
  <c r="B390" i="7"/>
  <c r="B390" i="6"/>
  <c r="B402" i="7"/>
  <c r="B402" i="6"/>
  <c r="B418" i="7"/>
  <c r="B418" i="6"/>
  <c r="B434" i="7"/>
  <c r="B434" i="6"/>
  <c r="B448" i="7"/>
  <c r="B448" i="6"/>
  <c r="B463" i="7"/>
  <c r="B463" i="6"/>
  <c r="A475" i="7"/>
  <c r="A475" i="6"/>
  <c r="A484" i="7"/>
  <c r="A484" i="6"/>
  <c r="B492" i="7"/>
  <c r="B492" i="6"/>
  <c r="B509" i="7"/>
  <c r="B509" i="6"/>
  <c r="B526" i="7"/>
  <c r="B526" i="6"/>
  <c r="A541" i="7"/>
  <c r="A541" i="6"/>
  <c r="A8" i="7"/>
  <c r="A8" i="6"/>
  <c r="B18" i="7"/>
  <c r="B18" i="6"/>
  <c r="B34" i="7"/>
  <c r="B34" i="6"/>
  <c r="A48" i="7"/>
  <c r="A48" i="6"/>
  <c r="B62" i="7"/>
  <c r="B62" i="6"/>
  <c r="B77" i="7"/>
  <c r="B77" i="6"/>
  <c r="B93" i="7"/>
  <c r="B93" i="6"/>
  <c r="B109" i="7"/>
  <c r="B109" i="6"/>
  <c r="B125" i="7"/>
  <c r="B125" i="6"/>
  <c r="B141" i="7"/>
  <c r="B141" i="6"/>
  <c r="B157" i="7"/>
  <c r="B157" i="6"/>
  <c r="B174" i="7"/>
  <c r="B174" i="6"/>
  <c r="B185" i="7"/>
  <c r="B185" i="6"/>
  <c r="B199" i="7"/>
  <c r="B199" i="6"/>
  <c r="A211" i="7"/>
  <c r="A211" i="6"/>
  <c r="B221" i="7"/>
  <c r="B221" i="6"/>
  <c r="A234" i="7"/>
  <c r="A234" i="6"/>
  <c r="A242" i="7"/>
  <c r="A242" i="6"/>
  <c r="A251" i="7"/>
  <c r="A251" i="6"/>
  <c r="A263" i="7"/>
  <c r="A263" i="6"/>
  <c r="A271" i="7"/>
  <c r="A271" i="6"/>
  <c r="B279" i="7"/>
  <c r="B279" i="6"/>
  <c r="B287" i="7"/>
  <c r="B287" i="6"/>
  <c r="B295" i="7"/>
  <c r="B295" i="6"/>
  <c r="B303" i="7"/>
  <c r="B303" i="6"/>
  <c r="B311" i="7"/>
  <c r="B311" i="6"/>
  <c r="B320" i="7"/>
  <c r="B320" i="6"/>
  <c r="B333" i="7"/>
  <c r="B333" i="6"/>
  <c r="A346" i="7"/>
  <c r="A346" i="6"/>
  <c r="A356" i="7"/>
  <c r="A356" i="6"/>
  <c r="B370" i="7"/>
  <c r="B370" i="6"/>
  <c r="B382" i="7"/>
  <c r="B382" i="6"/>
  <c r="B391" i="7"/>
  <c r="B391" i="6"/>
  <c r="B403" i="7"/>
  <c r="B403" i="6"/>
  <c r="B419" i="7"/>
  <c r="B419" i="6"/>
  <c r="B435" i="7"/>
  <c r="B435" i="6"/>
  <c r="B449" i="7"/>
  <c r="B449" i="6"/>
  <c r="B464" i="7"/>
  <c r="B464" i="6"/>
  <c r="B475" i="7"/>
  <c r="B475" i="6"/>
  <c r="B484" i="7"/>
  <c r="B484" i="6"/>
  <c r="B495" i="7"/>
  <c r="B495" i="6"/>
  <c r="B510" i="7"/>
  <c r="B510" i="6"/>
  <c r="A527" i="7"/>
  <c r="A527" i="6"/>
  <c r="B541" i="7"/>
  <c r="B541" i="6"/>
  <c r="B8" i="7"/>
  <c r="B8" i="6"/>
  <c r="B19" i="7"/>
  <c r="B19" i="6"/>
  <c r="A35" i="7"/>
  <c r="A35" i="6"/>
  <c r="B48" i="7"/>
  <c r="B48" i="6"/>
  <c r="A63" i="6"/>
  <c r="A63" i="7"/>
  <c r="B78" i="7"/>
  <c r="B78" i="6"/>
  <c r="B94" i="7"/>
  <c r="B94" i="6"/>
  <c r="B110" i="7"/>
  <c r="B110" i="6"/>
  <c r="B126" i="7"/>
  <c r="B126" i="6"/>
  <c r="B142" i="7"/>
  <c r="B142" i="6"/>
  <c r="B158" i="7"/>
  <c r="B158" i="6"/>
  <c r="A175" i="7"/>
  <c r="A175" i="6"/>
  <c r="B186" i="7"/>
  <c r="B186" i="6"/>
  <c r="B200" i="7"/>
  <c r="B200" i="6"/>
  <c r="B211" i="7"/>
  <c r="B211" i="6"/>
  <c r="B222" i="7"/>
  <c r="B222" i="6"/>
  <c r="B234" i="7"/>
  <c r="B234" i="6"/>
  <c r="B242" i="7"/>
  <c r="B242" i="6"/>
  <c r="B251" i="7"/>
  <c r="B251" i="6"/>
  <c r="B263" i="7"/>
  <c r="B263" i="6"/>
  <c r="B271" i="7"/>
  <c r="B271" i="6"/>
  <c r="A280" i="7"/>
  <c r="A280" i="6"/>
  <c r="A288" i="7"/>
  <c r="A288" i="6"/>
  <c r="A296" i="7"/>
  <c r="A296" i="6"/>
  <c r="A304" i="7"/>
  <c r="A304" i="6"/>
  <c r="A312" i="7"/>
  <c r="A312" i="6"/>
  <c r="B321" i="7"/>
  <c r="B321" i="6"/>
  <c r="B334" i="7"/>
  <c r="B334" i="6"/>
  <c r="B346" i="7"/>
  <c r="B346" i="6"/>
  <c r="B356" i="7"/>
  <c r="B356" i="6"/>
  <c r="A371" i="7"/>
  <c r="A371" i="6"/>
  <c r="A383" i="7"/>
  <c r="A383" i="6"/>
  <c r="B392" i="7"/>
  <c r="B392" i="6"/>
  <c r="B404" i="7"/>
  <c r="B404" i="6"/>
  <c r="B420" i="7"/>
  <c r="B420" i="6"/>
  <c r="B436" i="7"/>
  <c r="B436" i="6"/>
  <c r="B450" i="7"/>
  <c r="B450" i="6"/>
  <c r="B465" i="7"/>
  <c r="B465" i="6"/>
  <c r="A476" i="7"/>
  <c r="A476" i="6"/>
  <c r="A485" i="7"/>
  <c r="A485" i="6"/>
  <c r="A496" i="7"/>
  <c r="A496" i="6"/>
  <c r="B511" i="7"/>
  <c r="B511" i="6"/>
  <c r="B527" i="7"/>
  <c r="B527" i="6"/>
  <c r="B542" i="7"/>
  <c r="B542" i="6"/>
  <c r="A9" i="7"/>
  <c r="A9" i="6"/>
  <c r="B20" i="7"/>
  <c r="B20" i="6"/>
  <c r="B35" i="7"/>
  <c r="B35" i="6"/>
  <c r="B49" i="7"/>
  <c r="B49" i="6"/>
  <c r="B63" i="6"/>
  <c r="B63" i="7"/>
  <c r="B79" i="7"/>
  <c r="B79" i="6"/>
  <c r="B95" i="7"/>
  <c r="B95" i="6"/>
  <c r="B111" i="7"/>
  <c r="B111" i="6"/>
  <c r="B127" i="7"/>
  <c r="B127" i="6"/>
  <c r="B143" i="7"/>
  <c r="B143" i="6"/>
  <c r="B159" i="7"/>
  <c r="B159" i="6"/>
  <c r="B175" i="7"/>
  <c r="B175" i="6"/>
  <c r="A187" i="7"/>
  <c r="A187" i="6"/>
  <c r="B201" i="7"/>
  <c r="B201" i="6"/>
  <c r="A212" i="7"/>
  <c r="A212" i="6"/>
  <c r="B223" i="7"/>
  <c r="B223" i="6"/>
  <c r="A235" i="7"/>
  <c r="A235" i="6"/>
  <c r="A243" i="7"/>
  <c r="A243" i="6"/>
  <c r="A252" i="7"/>
  <c r="A252" i="6"/>
  <c r="A264" i="7"/>
  <c r="A264" i="6"/>
  <c r="A272" i="7"/>
  <c r="A272" i="6"/>
  <c r="B280" i="7"/>
  <c r="B280" i="6"/>
  <c r="B288" i="7"/>
  <c r="B288" i="6"/>
  <c r="B296" i="7"/>
  <c r="B296" i="6"/>
  <c r="B304" i="7"/>
  <c r="B304" i="6"/>
  <c r="B312" i="7"/>
  <c r="B312" i="6"/>
  <c r="B322" i="7"/>
  <c r="B322" i="6"/>
  <c r="B335" i="7"/>
  <c r="B335" i="6"/>
  <c r="A347" i="7"/>
  <c r="A347" i="6"/>
  <c r="B357" i="7"/>
  <c r="B357" i="6"/>
  <c r="B371" i="7"/>
  <c r="B371" i="6"/>
  <c r="B383" i="7"/>
  <c r="B383" i="6"/>
  <c r="B393" i="7"/>
  <c r="B393" i="6"/>
  <c r="B405" i="7"/>
  <c r="B405" i="6"/>
  <c r="B421" i="7"/>
  <c r="B421" i="6"/>
  <c r="B437" i="7"/>
  <c r="B437" i="6"/>
  <c r="B451" i="7"/>
  <c r="B451" i="6"/>
  <c r="B466" i="7"/>
  <c r="B466" i="6"/>
  <c r="B476" i="7"/>
  <c r="B476" i="6"/>
  <c r="B485" i="7"/>
  <c r="B485" i="6"/>
  <c r="B496" i="7"/>
  <c r="B496" i="6"/>
  <c r="B512" i="7"/>
  <c r="B512" i="6"/>
  <c r="B530" i="7"/>
  <c r="B530" i="6"/>
  <c r="B543" i="7"/>
  <c r="B543" i="6"/>
  <c r="B9" i="7"/>
  <c r="B9" i="6"/>
  <c r="B21" i="7"/>
  <c r="B21" i="6"/>
  <c r="B36" i="7"/>
  <c r="B36" i="6"/>
  <c r="B50" i="7"/>
  <c r="B50" i="6"/>
  <c r="B64" i="6"/>
  <c r="B64" i="7"/>
  <c r="B80" i="7"/>
  <c r="B80" i="6"/>
  <c r="B96" i="7"/>
  <c r="B96" i="6"/>
  <c r="B112" i="7"/>
  <c r="B112" i="6"/>
  <c r="B128" i="7"/>
  <c r="B128" i="6"/>
  <c r="B144" i="7"/>
  <c r="B144" i="6"/>
  <c r="B160" i="7"/>
  <c r="B160" i="6"/>
  <c r="A176" i="7"/>
  <c r="A176" i="6"/>
  <c r="B187" i="7"/>
  <c r="B187" i="6"/>
  <c r="B202" i="7"/>
  <c r="B202" i="6"/>
  <c r="B212" i="7"/>
  <c r="B212" i="6"/>
  <c r="B224" i="7"/>
  <c r="B224" i="6"/>
  <c r="B235" i="7"/>
  <c r="B235" i="6"/>
  <c r="B243" i="7"/>
  <c r="B243" i="6"/>
  <c r="B252" i="7"/>
  <c r="B252" i="6"/>
  <c r="B264" i="7"/>
  <c r="B264" i="6"/>
  <c r="B272" i="7"/>
  <c r="B272" i="6"/>
  <c r="A281" i="7"/>
  <c r="A281" i="6"/>
  <c r="A289" i="7"/>
  <c r="A289" i="6"/>
  <c r="A297" i="7"/>
  <c r="A297" i="6"/>
  <c r="A305" i="7"/>
  <c r="A305" i="6"/>
  <c r="A313" i="7"/>
  <c r="A313" i="6"/>
  <c r="A325" i="7"/>
  <c r="A325" i="6"/>
  <c r="B336" i="7"/>
  <c r="B336" i="6"/>
  <c r="B347" i="7"/>
  <c r="B347" i="6"/>
  <c r="B358" i="7"/>
  <c r="B358" i="6"/>
  <c r="A372" i="7"/>
  <c r="A372" i="6"/>
  <c r="A384" i="7"/>
  <c r="A384" i="6"/>
  <c r="A394" i="7"/>
  <c r="A394" i="6"/>
  <c r="B406" i="7"/>
  <c r="B406" i="6"/>
  <c r="B422" i="7"/>
  <c r="B422" i="6"/>
  <c r="B438" i="7"/>
  <c r="B438" i="6"/>
  <c r="A452" i="7"/>
  <c r="A452" i="6"/>
  <c r="A469" i="7"/>
  <c r="A469" i="6"/>
  <c r="A477" i="7"/>
  <c r="A477" i="6"/>
  <c r="A486" i="7"/>
  <c r="A486" i="6"/>
  <c r="B497" i="7"/>
  <c r="B497" i="6"/>
  <c r="B513" i="7"/>
  <c r="B513" i="6"/>
  <c r="A531" i="7"/>
  <c r="A531" i="6"/>
  <c r="B544" i="7"/>
  <c r="B544" i="6"/>
  <c r="A10" i="7"/>
  <c r="A10" i="6"/>
  <c r="B22" i="7"/>
  <c r="B22" i="6"/>
  <c r="B37" i="7"/>
  <c r="B37" i="6"/>
  <c r="B51" i="7"/>
  <c r="B51" i="6"/>
  <c r="B65" i="7"/>
  <c r="B65" i="6"/>
  <c r="B81" i="7"/>
  <c r="B81" i="6"/>
  <c r="B97" i="7"/>
  <c r="B97" i="6"/>
  <c r="B113" i="7"/>
  <c r="B113" i="6"/>
  <c r="B129" i="7"/>
  <c r="B129" i="6"/>
  <c r="B145" i="7"/>
  <c r="B145" i="6"/>
  <c r="B161" i="7"/>
  <c r="B161" i="6"/>
  <c r="B176" i="7"/>
  <c r="B176" i="6"/>
  <c r="A188" i="7"/>
  <c r="A188" i="6"/>
  <c r="A205" i="7"/>
  <c r="A205" i="6"/>
  <c r="B213" i="7"/>
  <c r="B213" i="6"/>
  <c r="B225" i="7"/>
  <c r="B225" i="6"/>
  <c r="A236" i="7"/>
  <c r="A236" i="6"/>
  <c r="A244" i="7"/>
  <c r="A244" i="6"/>
  <c r="A253" i="7"/>
  <c r="A253" i="6"/>
  <c r="A265" i="7"/>
  <c r="A265" i="6"/>
  <c r="A273" i="7"/>
  <c r="A273" i="6"/>
  <c r="B281" i="7"/>
  <c r="B281" i="6"/>
  <c r="B289" i="7"/>
  <c r="B289" i="6"/>
  <c r="B297" i="7"/>
  <c r="B297" i="6"/>
  <c r="B305" i="7"/>
  <c r="B305" i="6"/>
  <c r="B313" i="7"/>
  <c r="B313" i="6"/>
  <c r="B325" i="7"/>
  <c r="B325" i="6"/>
  <c r="A337" i="7"/>
  <c r="A337" i="6"/>
  <c r="A348" i="7"/>
  <c r="A348" i="6"/>
  <c r="B359" i="7"/>
  <c r="B359" i="6"/>
  <c r="B372" i="7"/>
  <c r="B372" i="6"/>
  <c r="B384" i="7"/>
  <c r="B384" i="6"/>
  <c r="B394" i="7"/>
  <c r="B394" i="6"/>
  <c r="B407" i="7"/>
  <c r="B407" i="6"/>
  <c r="B423" i="7"/>
  <c r="B423" i="6"/>
  <c r="B439" i="7"/>
  <c r="B439" i="6"/>
  <c r="B452" i="7"/>
  <c r="B452" i="6"/>
  <c r="B469" i="7"/>
  <c r="B469" i="6"/>
  <c r="B477" i="7"/>
  <c r="B477" i="6"/>
  <c r="B486" i="7"/>
  <c r="B486" i="6"/>
  <c r="B498" i="7"/>
  <c r="B498" i="6"/>
  <c r="B514" i="7"/>
  <c r="B514" i="6"/>
  <c r="B531" i="7"/>
  <c r="B531" i="6"/>
  <c r="B545" i="7"/>
  <c r="B545" i="6"/>
  <c r="B10" i="7"/>
  <c r="B10" i="6"/>
  <c r="A25" i="7"/>
  <c r="A25" i="6"/>
  <c r="B38" i="7"/>
  <c r="B38" i="6"/>
  <c r="B52" i="7"/>
  <c r="B52" i="6"/>
  <c r="B66" i="6"/>
  <c r="B66" i="7"/>
  <c r="B82" i="7"/>
  <c r="B82" i="6"/>
  <c r="B98" i="7"/>
  <c r="B98" i="6"/>
  <c r="B114" i="7"/>
  <c r="B114" i="6"/>
  <c r="B130" i="7"/>
  <c r="B130" i="6"/>
  <c r="B146" i="7"/>
  <c r="B146" i="6"/>
  <c r="B162" i="7"/>
  <c r="B162" i="6"/>
  <c r="A177" i="7"/>
  <c r="A177" i="6"/>
  <c r="B188" i="7"/>
  <c r="B188" i="6"/>
  <c r="B205" i="7"/>
  <c r="B205" i="6"/>
  <c r="A214" i="7"/>
  <c r="A214" i="6"/>
  <c r="A226" i="7"/>
  <c r="A226" i="6"/>
  <c r="B236" i="7"/>
  <c r="B236" i="6"/>
  <c r="B244" i="7"/>
  <c r="B244" i="6"/>
  <c r="B253" i="7"/>
  <c r="B253" i="6"/>
  <c r="B265" i="7"/>
  <c r="B265" i="6"/>
  <c r="B273" i="7"/>
  <c r="B273" i="6"/>
  <c r="A282" i="7"/>
  <c r="A282" i="6"/>
  <c r="A290" i="7"/>
  <c r="A290" i="6"/>
  <c r="A298" i="7"/>
  <c r="A298" i="6"/>
  <c r="A306" i="7"/>
  <c r="A306" i="6"/>
  <c r="A314" i="7"/>
  <c r="A314" i="6"/>
  <c r="A326" i="7"/>
  <c r="A326" i="6"/>
  <c r="B337" i="7"/>
  <c r="B337" i="6"/>
  <c r="B348" i="7"/>
  <c r="B348" i="6"/>
  <c r="B360" i="7"/>
  <c r="B360" i="6"/>
  <c r="B373" i="7"/>
  <c r="B373" i="6"/>
  <c r="A385" i="7"/>
  <c r="A385" i="6"/>
  <c r="A395" i="7"/>
  <c r="A395" i="6"/>
  <c r="B408" i="7"/>
  <c r="B408" i="6"/>
  <c r="B424" i="7"/>
  <c r="B424" i="6"/>
  <c r="B440" i="7"/>
  <c r="B440" i="6"/>
  <c r="B453" i="7"/>
  <c r="B453" i="6"/>
  <c r="A470" i="7"/>
  <c r="A470" i="6"/>
  <c r="A478" i="7"/>
  <c r="A478" i="6"/>
  <c r="A487" i="7"/>
  <c r="A487" i="6"/>
  <c r="B499" i="7"/>
  <c r="B499" i="6"/>
  <c r="B515" i="7"/>
  <c r="B515" i="6"/>
  <c r="A532" i="7"/>
  <c r="A532" i="6"/>
  <c r="B546" i="7"/>
  <c r="B546" i="6"/>
  <c r="A11" i="7"/>
  <c r="A11" i="6"/>
  <c r="B25" i="7"/>
  <c r="B25" i="6"/>
  <c r="B39" i="7"/>
  <c r="B39" i="6"/>
  <c r="B53" i="7"/>
  <c r="B53" i="6"/>
  <c r="B67" i="7"/>
  <c r="B67" i="6"/>
  <c r="B83" i="7"/>
  <c r="B83" i="6"/>
  <c r="B99" i="7"/>
  <c r="B99" i="6"/>
  <c r="B115" i="7"/>
  <c r="B115" i="6"/>
  <c r="B131" i="7"/>
  <c r="B131" i="6"/>
  <c r="B147" i="7"/>
  <c r="B147" i="6"/>
  <c r="B163" i="7"/>
  <c r="B163" i="6"/>
  <c r="B177" i="7"/>
  <c r="B177" i="6"/>
  <c r="B189" i="7"/>
  <c r="B189" i="6"/>
  <c r="A206" i="7"/>
  <c r="A206" i="6"/>
  <c r="B214" i="7"/>
  <c r="B214" i="6"/>
  <c r="B226" i="7"/>
  <c r="B226" i="6"/>
  <c r="A237" i="7"/>
  <c r="A237" i="6"/>
  <c r="A245" i="7"/>
  <c r="A245" i="6"/>
  <c r="A254" i="7"/>
  <c r="A254" i="6"/>
  <c r="A266" i="7"/>
  <c r="A266" i="6"/>
  <c r="B274" i="7"/>
  <c r="B274" i="6"/>
  <c r="B282" i="7"/>
  <c r="B282" i="6"/>
  <c r="B290" i="7"/>
  <c r="B290" i="6"/>
  <c r="B298" i="7"/>
  <c r="B298" i="6"/>
  <c r="B306" i="7"/>
  <c r="B306" i="6"/>
  <c r="B314" i="7"/>
  <c r="B314" i="6"/>
  <c r="B326" i="7"/>
  <c r="B326" i="6"/>
  <c r="A338" i="7"/>
  <c r="A338" i="6"/>
  <c r="A349" i="7"/>
  <c r="A349" i="6"/>
  <c r="B361" i="7"/>
  <c r="B361" i="6"/>
  <c r="B374" i="7"/>
  <c r="B374" i="6"/>
  <c r="B385" i="7"/>
  <c r="B385" i="6"/>
  <c r="B395" i="7"/>
  <c r="B395" i="6"/>
  <c r="B409" i="7"/>
  <c r="B409" i="6"/>
  <c r="B425" i="7"/>
  <c r="B425" i="6"/>
  <c r="B441" i="7"/>
  <c r="B441" i="6"/>
  <c r="B454" i="7"/>
  <c r="B454" i="6"/>
  <c r="B470" i="7"/>
  <c r="B470" i="6"/>
  <c r="B478" i="7"/>
  <c r="B478" i="6"/>
  <c r="B487" i="7"/>
  <c r="B487" i="6"/>
  <c r="B500" i="7"/>
  <c r="B500" i="6"/>
  <c r="B516" i="7"/>
  <c r="B516" i="6"/>
  <c r="B532" i="7"/>
  <c r="B532" i="6"/>
  <c r="B547" i="7"/>
  <c r="B547" i="6"/>
  <c r="B11" i="7"/>
  <c r="B11" i="6"/>
  <c r="A26" i="7"/>
  <c r="A26" i="6"/>
  <c r="B40" i="7"/>
  <c r="B40" i="6"/>
  <c r="B54" i="7"/>
  <c r="B54" i="6"/>
  <c r="B68" i="6"/>
  <c r="B68" i="7"/>
  <c r="B84" i="7"/>
  <c r="B84" i="6"/>
  <c r="B100" i="7"/>
  <c r="B100" i="6"/>
  <c r="B116" i="7"/>
  <c r="B116" i="6"/>
  <c r="B132" i="7"/>
  <c r="B132" i="6"/>
  <c r="B148" i="7"/>
  <c r="B148" i="6"/>
  <c r="B164" i="7"/>
  <c r="B164" i="6"/>
  <c r="A178" i="7"/>
  <c r="A178" i="6"/>
  <c r="B190" i="7"/>
  <c r="B190" i="6"/>
  <c r="B206" i="7"/>
  <c r="B206" i="6"/>
  <c r="B215" i="7"/>
  <c r="B215" i="6"/>
  <c r="A227" i="7"/>
  <c r="A227" i="6"/>
  <c r="B237" i="7"/>
  <c r="B237" i="6"/>
  <c r="B245" i="7"/>
  <c r="B245" i="6"/>
  <c r="B254" i="7"/>
  <c r="B254" i="6"/>
  <c r="B266" i="7"/>
  <c r="B266" i="6"/>
  <c r="A275" i="7"/>
  <c r="A275" i="6"/>
  <c r="A283" i="7"/>
  <c r="A283" i="6"/>
  <c r="A291" i="7"/>
  <c r="A291" i="6"/>
  <c r="A299" i="7"/>
  <c r="A299" i="6"/>
  <c r="A307" i="7"/>
  <c r="A307" i="6"/>
  <c r="A315" i="7"/>
  <c r="A315" i="6"/>
  <c r="A327" i="7"/>
  <c r="A327" i="6"/>
  <c r="B338" i="7"/>
  <c r="B338" i="6"/>
  <c r="B349" i="7"/>
  <c r="B349" i="6"/>
  <c r="B362" i="7"/>
  <c r="B362" i="6"/>
  <c r="B375" i="7"/>
  <c r="B375" i="6"/>
  <c r="A386" i="7"/>
  <c r="A386" i="6"/>
  <c r="B396" i="7"/>
  <c r="B396" i="6"/>
  <c r="B410" i="7"/>
  <c r="B410" i="6"/>
  <c r="B426" i="7"/>
  <c r="B426" i="6"/>
  <c r="A444" i="7"/>
  <c r="A444" i="6"/>
  <c r="B455" i="7"/>
  <c r="B455" i="6"/>
  <c r="A471" i="7"/>
  <c r="A471" i="6"/>
  <c r="A479" i="7"/>
  <c r="A479" i="6"/>
  <c r="A488" i="7"/>
  <c r="A488" i="6"/>
  <c r="B501" i="7"/>
  <c r="B501" i="6"/>
  <c r="B517" i="7"/>
  <c r="B517" i="6"/>
  <c r="A533" i="7"/>
  <c r="A533" i="6"/>
  <c r="B548" i="7"/>
  <c r="B548" i="6"/>
  <c r="B26" i="7"/>
  <c r="B26" i="6"/>
  <c r="B69" i="6"/>
  <c r="B69" i="7"/>
  <c r="B101" i="7"/>
  <c r="B101" i="6"/>
  <c r="B117" i="7"/>
  <c r="B117" i="6"/>
  <c r="B133" i="7"/>
  <c r="B133" i="6"/>
  <c r="B149" i="7"/>
  <c r="B149" i="6"/>
  <c r="B165" i="7"/>
  <c r="B165" i="6"/>
  <c r="B178" i="7"/>
  <c r="B178" i="6"/>
  <c r="B191" i="7"/>
  <c r="B191" i="6"/>
  <c r="A207" i="7"/>
  <c r="A207" i="6"/>
  <c r="B216" i="7"/>
  <c r="B216" i="6"/>
  <c r="B227" i="7"/>
  <c r="B227" i="6"/>
  <c r="A238" i="7"/>
  <c r="A238" i="6"/>
  <c r="A246" i="7"/>
  <c r="A246" i="6"/>
  <c r="A255" i="7"/>
  <c r="A255" i="6"/>
  <c r="A267" i="7"/>
  <c r="A267" i="6"/>
  <c r="B275" i="7"/>
  <c r="B275" i="6"/>
  <c r="B283" i="7"/>
  <c r="B283" i="6"/>
  <c r="B291" i="7"/>
  <c r="B291" i="6"/>
  <c r="B299" i="7"/>
  <c r="B299" i="6"/>
  <c r="B307" i="7"/>
  <c r="B307" i="6"/>
  <c r="B315" i="7"/>
  <c r="B315" i="6"/>
  <c r="B327" i="7"/>
  <c r="B327" i="6"/>
  <c r="B339" i="7"/>
  <c r="B339" i="6"/>
  <c r="A350" i="7"/>
  <c r="A350" i="6"/>
  <c r="B363" i="7"/>
  <c r="B363" i="6"/>
  <c r="B376" i="7"/>
  <c r="B376" i="6"/>
  <c r="B386" i="7"/>
  <c r="B386" i="6"/>
  <c r="B397" i="7"/>
  <c r="B397" i="6"/>
  <c r="B411" i="7"/>
  <c r="B411" i="6"/>
  <c r="B427" i="7"/>
  <c r="B427" i="6"/>
  <c r="B444" i="7"/>
  <c r="B444" i="6"/>
  <c r="B456" i="7"/>
  <c r="B456" i="6"/>
  <c r="B471" i="7"/>
  <c r="B471" i="6"/>
  <c r="B479" i="7"/>
  <c r="B479" i="6"/>
  <c r="B488" i="7"/>
  <c r="B488" i="6"/>
  <c r="B502" i="7"/>
  <c r="B502" i="6"/>
  <c r="B518" i="7"/>
  <c r="B518" i="6"/>
  <c r="B533" i="7"/>
  <c r="B533" i="6"/>
  <c r="A379" i="7"/>
  <c r="A379" i="6"/>
  <c r="A57" i="7"/>
  <c r="A57" i="6"/>
  <c r="B13" i="7"/>
  <c r="B13" i="6"/>
  <c r="B27" i="7"/>
  <c r="B27" i="6"/>
  <c r="A44" i="7"/>
  <c r="A44" i="6"/>
  <c r="B57" i="7"/>
  <c r="B57" i="6"/>
  <c r="B70" i="7"/>
  <c r="B70" i="6"/>
  <c r="B86" i="7"/>
  <c r="B86" i="6"/>
  <c r="B102" i="7"/>
  <c r="B102" i="6"/>
  <c r="B118" i="7"/>
  <c r="B118" i="6"/>
  <c r="B134" i="7"/>
  <c r="B134" i="6"/>
  <c r="B150" i="7"/>
  <c r="B150" i="6"/>
  <c r="B166" i="7"/>
  <c r="B166" i="6"/>
  <c r="A179" i="7"/>
  <c r="A179" i="6"/>
  <c r="B192" i="7"/>
  <c r="B192" i="6"/>
  <c r="B207" i="7"/>
  <c r="B207" i="6"/>
  <c r="A217" i="7"/>
  <c r="A217" i="6"/>
  <c r="B228" i="7"/>
  <c r="B228" i="6"/>
  <c r="B238" i="7"/>
  <c r="B238" i="6"/>
  <c r="B246" i="7"/>
  <c r="B246" i="6"/>
  <c r="B255" i="7"/>
  <c r="B255" i="6"/>
  <c r="B267" i="7"/>
  <c r="B267" i="6"/>
  <c r="A276" i="7"/>
  <c r="A276" i="6"/>
  <c r="A284" i="7"/>
  <c r="A284" i="6"/>
  <c r="A292" i="7"/>
  <c r="A292" i="6"/>
  <c r="A300" i="7"/>
  <c r="A300" i="6"/>
  <c r="A308" i="7"/>
  <c r="A308" i="6"/>
  <c r="A316" i="7"/>
  <c r="A316" i="6"/>
  <c r="A328" i="7"/>
  <c r="A328" i="6"/>
  <c r="B340" i="7"/>
  <c r="B340" i="6"/>
  <c r="B350" i="7"/>
  <c r="B350" i="6"/>
  <c r="B364" i="7"/>
  <c r="B364" i="6"/>
  <c r="B377" i="7"/>
  <c r="B377" i="6"/>
  <c r="A387" i="7"/>
  <c r="A387" i="6"/>
  <c r="B398" i="7"/>
  <c r="B398" i="6"/>
  <c r="B412" i="7"/>
  <c r="B412" i="6"/>
  <c r="B428" i="7"/>
  <c r="B428" i="6"/>
  <c r="A445" i="7"/>
  <c r="A445" i="6"/>
  <c r="B457" i="7"/>
  <c r="B457" i="6"/>
  <c r="A472" i="7"/>
  <c r="A472" i="6"/>
  <c r="B480" i="7"/>
  <c r="B480" i="6"/>
  <c r="A489" i="7"/>
  <c r="A489" i="6"/>
  <c r="B503" i="7"/>
  <c r="B503" i="6"/>
  <c r="B519" i="7"/>
  <c r="B519" i="6"/>
  <c r="B534" i="7"/>
  <c r="B534" i="6"/>
  <c r="B379" i="7"/>
  <c r="B379" i="6"/>
  <c r="B41" i="7"/>
  <c r="B41" i="6"/>
  <c r="A14" i="7"/>
  <c r="A14" i="6"/>
  <c r="B28" i="7"/>
  <c r="B28" i="6"/>
  <c r="B44" i="7"/>
  <c r="B44" i="6"/>
  <c r="A58" i="6"/>
  <c r="A58" i="7"/>
  <c r="B71" i="7"/>
  <c r="B71" i="6"/>
  <c r="B87" i="7"/>
  <c r="B87" i="6"/>
  <c r="B103" i="7"/>
  <c r="B103" i="6"/>
  <c r="B119" i="7"/>
  <c r="B119" i="6"/>
  <c r="B135" i="7"/>
  <c r="B135" i="6"/>
  <c r="B151" i="7"/>
  <c r="B151" i="6"/>
  <c r="B167" i="7"/>
  <c r="B167" i="6"/>
  <c r="B179" i="7"/>
  <c r="B179" i="6"/>
  <c r="B193" i="7"/>
  <c r="B193" i="6"/>
  <c r="A208" i="7"/>
  <c r="A208" i="6"/>
  <c r="B217" i="7"/>
  <c r="B217" i="6"/>
  <c r="A229" i="7"/>
  <c r="A229" i="6"/>
  <c r="A239" i="7"/>
  <c r="A239" i="6"/>
  <c r="B247" i="7"/>
  <c r="B247" i="6"/>
  <c r="A256" i="7"/>
  <c r="A256" i="6"/>
  <c r="A268" i="7"/>
  <c r="A268" i="6"/>
  <c r="B276" i="7"/>
  <c r="B276" i="6"/>
  <c r="B284" i="7"/>
  <c r="B284" i="6"/>
  <c r="B292" i="7"/>
  <c r="B292" i="6"/>
  <c r="B300" i="7"/>
  <c r="B300" i="6"/>
  <c r="B308" i="7"/>
  <c r="B308" i="6"/>
  <c r="B316" i="7"/>
  <c r="B316" i="6"/>
  <c r="B328" i="7"/>
  <c r="B328" i="6"/>
  <c r="A343" i="7"/>
  <c r="A343" i="6"/>
  <c r="A351" i="7"/>
  <c r="A351" i="6"/>
  <c r="B365" i="7"/>
  <c r="B365" i="6"/>
  <c r="B378" i="7"/>
  <c r="B378" i="6"/>
  <c r="B387" i="7"/>
  <c r="B387" i="6"/>
  <c r="A399" i="7"/>
  <c r="A399" i="6"/>
  <c r="B413" i="7"/>
  <c r="B413" i="6"/>
  <c r="B429" i="7"/>
  <c r="B429" i="6"/>
  <c r="B445" i="7"/>
  <c r="B445" i="6"/>
  <c r="B458" i="7"/>
  <c r="B458" i="6"/>
  <c r="B472" i="7"/>
  <c r="B472" i="6"/>
  <c r="B481" i="7"/>
  <c r="B481" i="6"/>
  <c r="B489" i="7"/>
  <c r="B489" i="6"/>
  <c r="B504" i="7"/>
  <c r="B504" i="6"/>
  <c r="B520" i="7"/>
  <c r="B520" i="6"/>
  <c r="B535" i="7"/>
  <c r="B535" i="6"/>
  <c r="B12" i="7"/>
  <c r="B12" i="6"/>
  <c r="B85" i="7"/>
  <c r="B85" i="6"/>
  <c r="B14" i="7"/>
  <c r="B14" i="6"/>
  <c r="B29" i="7"/>
  <c r="B29" i="6"/>
  <c r="A45" i="7"/>
  <c r="A45" i="6"/>
  <c r="B58" i="6"/>
  <c r="B58" i="7"/>
  <c r="B72" i="7"/>
  <c r="B72" i="6"/>
  <c r="B88" i="7"/>
  <c r="B88" i="6"/>
  <c r="B104" i="7"/>
  <c r="B104" i="6"/>
  <c r="B120" i="7"/>
  <c r="B120" i="6"/>
  <c r="B136" i="7"/>
  <c r="B136" i="6"/>
  <c r="B152" i="7"/>
  <c r="B152" i="6"/>
  <c r="B168" i="7"/>
  <c r="B168" i="6"/>
  <c r="B180" i="7"/>
  <c r="B180" i="6"/>
  <c r="B194" i="7"/>
  <c r="B194" i="6"/>
  <c r="B208" i="7"/>
  <c r="B208" i="6"/>
  <c r="A218" i="7"/>
  <c r="A218" i="6"/>
  <c r="B229" i="7"/>
  <c r="B229" i="6"/>
  <c r="B239" i="7"/>
  <c r="B239" i="6"/>
  <c r="A248" i="7"/>
  <c r="A248" i="6"/>
  <c r="B256" i="7"/>
  <c r="B256" i="6"/>
  <c r="B268" i="7"/>
  <c r="B268" i="6"/>
  <c r="A277" i="7"/>
  <c r="A277" i="6"/>
  <c r="A285" i="7"/>
  <c r="A285" i="6"/>
  <c r="A293" i="7"/>
  <c r="A293" i="6"/>
  <c r="A301" i="7"/>
  <c r="A301" i="6"/>
  <c r="A309" i="7"/>
  <c r="A309" i="6"/>
  <c r="A317" i="7"/>
  <c r="A317" i="6"/>
  <c r="A329" i="7"/>
  <c r="A329" i="6"/>
  <c r="B343" i="7"/>
  <c r="B343" i="6"/>
  <c r="B351" i="7"/>
  <c r="B351" i="6"/>
  <c r="A368" i="7"/>
  <c r="A368" i="6"/>
  <c r="A380" i="7"/>
  <c r="A380" i="6"/>
  <c r="A388" i="7"/>
  <c r="A388" i="6"/>
  <c r="B399" i="7"/>
  <c r="B399" i="6"/>
  <c r="B414" i="7"/>
  <c r="B414" i="6"/>
  <c r="B430" i="7"/>
  <c r="B430" i="6"/>
  <c r="B446" i="7"/>
  <c r="B446" i="6"/>
  <c r="B459" i="7"/>
  <c r="B459" i="6"/>
  <c r="A473" i="7"/>
  <c r="A473" i="6"/>
  <c r="A482" i="7"/>
  <c r="A482" i="6"/>
  <c r="A490" i="7"/>
  <c r="A490" i="6"/>
  <c r="B505" i="7"/>
  <c r="B505" i="6"/>
  <c r="B521" i="7"/>
  <c r="B521" i="6"/>
  <c r="B536" i="7"/>
  <c r="B536" i="6"/>
  <c r="A488" i="5"/>
  <c r="A496" i="5"/>
  <c r="A504" i="5"/>
  <c r="A489" i="5"/>
  <c r="A497" i="5"/>
  <c r="A505" i="5"/>
  <c r="A490" i="5"/>
  <c r="A498" i="5"/>
  <c r="A506" i="5"/>
  <c r="A491" i="5"/>
  <c r="A499" i="5"/>
  <c r="A507" i="5"/>
  <c r="A484" i="5"/>
  <c r="A492" i="5"/>
  <c r="A500" i="5"/>
  <c r="A508" i="5"/>
  <c r="A485" i="5"/>
  <c r="A493" i="5"/>
  <c r="A501" i="5"/>
  <c r="A509" i="5"/>
  <c r="A486" i="5"/>
  <c r="A494" i="5"/>
  <c r="A502" i="5"/>
  <c r="A487" i="5"/>
  <c r="A495" i="5"/>
  <c r="A503" i="5"/>
  <c r="A487" i="4"/>
  <c r="A495" i="4"/>
  <c r="A503" i="4"/>
  <c r="A494" i="4"/>
  <c r="A488" i="4"/>
  <c r="A496" i="4"/>
  <c r="A504" i="4"/>
  <c r="A502" i="4"/>
  <c r="A489" i="4"/>
  <c r="A497" i="4"/>
  <c r="A505" i="4"/>
  <c r="A490" i="4"/>
  <c r="A498" i="4"/>
  <c r="A506" i="4"/>
  <c r="A491" i="4"/>
  <c r="A499" i="4"/>
  <c r="A507" i="4"/>
  <c r="A492" i="4"/>
  <c r="A486" i="4"/>
  <c r="A500" i="4"/>
  <c r="A508" i="4"/>
  <c r="A485" i="4"/>
  <c r="A493" i="4"/>
  <c r="A501" i="4"/>
  <c r="A509" i="4"/>
  <c r="A18" i="8" l="1"/>
  <c r="A18" i="9"/>
  <c r="B10" i="8"/>
  <c r="B10" i="9"/>
  <c r="B14" i="8"/>
  <c r="B14" i="9"/>
  <c r="A21" i="8"/>
  <c r="A21" i="9"/>
  <c r="B11" i="8"/>
  <c r="B11" i="9"/>
  <c r="B16" i="8"/>
  <c r="B16" i="9"/>
  <c r="A13" i="8"/>
  <c r="A13" i="9"/>
  <c r="A25" i="8"/>
  <c r="A25" i="9"/>
  <c r="B19" i="8"/>
  <c r="B19" i="9"/>
  <c r="B20" i="8"/>
  <c r="B20" i="9"/>
  <c r="B23" i="8"/>
  <c r="B23" i="9"/>
  <c r="A15" i="8"/>
  <c r="A15" i="9"/>
  <c r="A17" i="8"/>
  <c r="A17" i="9"/>
  <c r="B21" i="8"/>
  <c r="B21" i="9"/>
  <c r="A14" i="8"/>
  <c r="A14" i="9"/>
  <c r="B22" i="8"/>
  <c r="B22" i="9"/>
  <c r="A10" i="8"/>
  <c r="A10" i="9"/>
  <c r="A19" i="8"/>
  <c r="A19" i="9"/>
  <c r="B18" i="8"/>
  <c r="B18" i="9"/>
  <c r="B15" i="8"/>
  <c r="B15" i="9"/>
  <c r="B9" i="8"/>
  <c r="B9" i="9"/>
  <c r="A20" i="8"/>
  <c r="A20" i="9"/>
  <c r="B12" i="8"/>
  <c r="B12" i="9"/>
  <c r="A16" i="8"/>
  <c r="A16" i="9"/>
  <c r="B13" i="8"/>
  <c r="B13" i="9"/>
  <c r="B25" i="8"/>
  <c r="B25" i="9"/>
  <c r="A11" i="8"/>
  <c r="A11" i="9"/>
  <c r="A9" i="8"/>
  <c r="A9" i="9"/>
  <c r="B17" i="8"/>
  <c r="B17" i="9"/>
  <c r="B24" i="8"/>
  <c r="B24" i="9"/>
  <c r="A12" i="8"/>
  <c r="A12" i="9"/>
  <c r="A501" i="7"/>
  <c r="A501" i="6"/>
  <c r="A498" i="7"/>
  <c r="A498" i="6"/>
  <c r="A521" i="7"/>
  <c r="A521" i="6"/>
  <c r="A513" i="7"/>
  <c r="A513" i="6"/>
  <c r="A497" i="7"/>
  <c r="A497" i="6"/>
  <c r="A520" i="7"/>
  <c r="A520" i="6"/>
  <c r="A512" i="7"/>
  <c r="A512" i="6"/>
  <c r="A516" i="7"/>
  <c r="A516" i="6"/>
  <c r="A504" i="7"/>
  <c r="A504" i="6"/>
  <c r="A519" i="7"/>
  <c r="A519" i="6"/>
  <c r="A500" i="7"/>
  <c r="A500" i="6"/>
  <c r="A511" i="7"/>
  <c r="A511" i="6"/>
  <c r="A508" i="7"/>
  <c r="A508" i="6"/>
  <c r="A515" i="7"/>
  <c r="A515" i="6"/>
  <c r="A503" i="7"/>
  <c r="A503" i="6"/>
  <c r="A518" i="7"/>
  <c r="A518" i="6"/>
  <c r="A505" i="7"/>
  <c r="A505" i="6"/>
  <c r="A510" i="7"/>
  <c r="A510" i="6"/>
  <c r="A502" i="7"/>
  <c r="A502" i="6"/>
  <c r="A517" i="7"/>
  <c r="A517" i="6"/>
  <c r="A507" i="7"/>
  <c r="A507" i="6"/>
  <c r="A499" i="7"/>
  <c r="A499" i="6"/>
  <c r="A522" i="7"/>
  <c r="A522" i="6"/>
  <c r="A514" i="7"/>
  <c r="A514" i="6"/>
  <c r="A506" i="7"/>
  <c r="A506" i="6"/>
  <c r="A509" i="7"/>
  <c r="A509" i="6"/>
  <c r="G9505" i="3"/>
  <c r="G9480" i="3"/>
  <c r="G9454" i="3"/>
  <c r="G9427" i="3"/>
  <c r="G9400" i="3"/>
  <c r="G9373" i="3"/>
  <c r="G9348" i="3"/>
  <c r="B483" i="4"/>
  <c r="A483" i="4"/>
  <c r="G9376" i="3"/>
  <c r="A331" i="4" l="1"/>
  <c r="B331" i="4"/>
  <c r="F5909" i="3"/>
  <c r="F5905" i="3"/>
  <c r="B459" i="4"/>
  <c r="B460" i="4"/>
  <c r="B461" i="4"/>
  <c r="B462" i="4"/>
  <c r="B463" i="4"/>
  <c r="B464" i="4"/>
  <c r="B465" i="4"/>
  <c r="B466" i="4"/>
  <c r="B467" i="4"/>
  <c r="B468" i="4"/>
  <c r="B469" i="4"/>
  <c r="B470" i="4"/>
  <c r="B471" i="4"/>
  <c r="B472" i="4"/>
  <c r="B473" i="4"/>
  <c r="B474" i="4"/>
  <c r="B475" i="4"/>
  <c r="B476" i="4"/>
  <c r="B477" i="4"/>
  <c r="B478" i="4"/>
  <c r="B479" i="4"/>
  <c r="B480" i="4"/>
  <c r="B481" i="4"/>
  <c r="A480" i="4"/>
  <c r="A479" i="4"/>
  <c r="A478" i="4"/>
  <c r="A477" i="4"/>
  <c r="A476" i="4"/>
  <c r="A475" i="4"/>
  <c r="A474" i="4"/>
  <c r="A473" i="4"/>
  <c r="A472" i="4"/>
  <c r="A471" i="4"/>
  <c r="A468" i="4"/>
  <c r="A467" i="4"/>
  <c r="A466" i="4"/>
  <c r="A465" i="4"/>
  <c r="A464" i="4"/>
  <c r="A463" i="4"/>
  <c r="A462" i="4"/>
  <c r="A461" i="4"/>
  <c r="A460" i="4"/>
  <c r="A459" i="4"/>
  <c r="B458" i="4"/>
  <c r="A458" i="4"/>
  <c r="B435" i="4"/>
  <c r="B436" i="4"/>
  <c r="B437" i="4"/>
  <c r="B438" i="4"/>
  <c r="B439" i="4"/>
  <c r="B440" i="4"/>
  <c r="B441" i="4"/>
  <c r="B442" i="4"/>
  <c r="B443" i="4"/>
  <c r="B444" i="4"/>
  <c r="B445" i="4"/>
  <c r="B446" i="4"/>
  <c r="B447" i="4"/>
  <c r="B448" i="4"/>
  <c r="B449" i="4"/>
  <c r="B450" i="4"/>
  <c r="B451" i="4"/>
  <c r="B452" i="4"/>
  <c r="B453" i="4"/>
  <c r="B454" i="4"/>
  <c r="B455" i="4"/>
  <c r="B456" i="4"/>
  <c r="A442" i="4"/>
  <c r="A438" i="4"/>
  <c r="A437" i="4"/>
  <c r="A435" i="4"/>
  <c r="B434" i="4"/>
  <c r="A434" i="4"/>
  <c r="F8862" i="3"/>
  <c r="F8858" i="3"/>
  <c r="F9330" i="3"/>
  <c r="F9302" i="3"/>
  <c r="F9276" i="3"/>
  <c r="F9248" i="3"/>
  <c r="F9222" i="3"/>
  <c r="F9196" i="3"/>
  <c r="F9170" i="3"/>
  <c r="F9143" i="3"/>
  <c r="F9118" i="3"/>
  <c r="F9092" i="3"/>
  <c r="F9066" i="3"/>
  <c r="F9042" i="3"/>
  <c r="F9017" i="3"/>
  <c r="F8991" i="3"/>
  <c r="F8965" i="3"/>
  <c r="F8942" i="3"/>
  <c r="F8916" i="3"/>
  <c r="F8892" i="3"/>
  <c r="F8826" i="3"/>
  <c r="F8804" i="3"/>
  <c r="F8782" i="3"/>
  <c r="G9319" i="3"/>
  <c r="G9320" i="3"/>
  <c r="G9318" i="3"/>
  <c r="G9293" i="3"/>
  <c r="G9238" i="3"/>
  <c r="G9266" i="3"/>
  <c r="G9265" i="3"/>
  <c r="G9239" i="3"/>
  <c r="G9213" i="3"/>
  <c r="G9187" i="3"/>
  <c r="G9186" i="3"/>
  <c r="G9159" i="3"/>
  <c r="G9162" i="3"/>
  <c r="G9135" i="3"/>
  <c r="G9134" i="3"/>
  <c r="G9084" i="3"/>
  <c r="G9082" i="3"/>
  <c r="G9058" i="3"/>
  <c r="G9008" i="3"/>
  <c r="G9009" i="3" s="1"/>
  <c r="G9007" i="3"/>
  <c r="G8982" i="3"/>
  <c r="G8981" i="3"/>
  <c r="G8956" i="3"/>
  <c r="G8933" i="3"/>
  <c r="G8932" i="3"/>
  <c r="G8908" i="3"/>
  <c r="G8849" i="3"/>
  <c r="G8848" i="3"/>
  <c r="G8847" i="3"/>
  <c r="G8846" i="3"/>
  <c r="G8845" i="3"/>
  <c r="G8844" i="3"/>
  <c r="G8843" i="3"/>
  <c r="G8796" i="3"/>
  <c r="G8774" i="3"/>
  <c r="F8758" i="3"/>
  <c r="F8733" i="3"/>
  <c r="F8708" i="3"/>
  <c r="F8684" i="3"/>
  <c r="F8660" i="3"/>
  <c r="F8636" i="3"/>
  <c r="F8611" i="3"/>
  <c r="F8586" i="3"/>
  <c r="F8561" i="3"/>
  <c r="F8536" i="3"/>
  <c r="F8512" i="3"/>
  <c r="F8488" i="3"/>
  <c r="F8464" i="3"/>
  <c r="F8441" i="3"/>
  <c r="F8417" i="3"/>
  <c r="F8393" i="3"/>
  <c r="F8369" i="3"/>
  <c r="F8345" i="3"/>
  <c r="F8321" i="3"/>
  <c r="F8297" i="3"/>
  <c r="F8273" i="3"/>
  <c r="F8249" i="3"/>
  <c r="G8749" i="3"/>
  <c r="G8724" i="3"/>
  <c r="G8700" i="3"/>
  <c r="G8676" i="3"/>
  <c r="G8652" i="3"/>
  <c r="G8627" i="3"/>
  <c r="G8602" i="3"/>
  <c r="G8577" i="3"/>
  <c r="G8553" i="3"/>
  <c r="G8578" i="3" s="1"/>
  <c r="G8603" i="3" s="1"/>
  <c r="G8628" i="3" s="1"/>
  <c r="G8725" i="3" s="1"/>
  <c r="G8552" i="3"/>
  <c r="G8528" i="3"/>
  <c r="G8504" i="3"/>
  <c r="G8480" i="3"/>
  <c r="G8457" i="3"/>
  <c r="G8433" i="3"/>
  <c r="G8409" i="3"/>
  <c r="G8385" i="3"/>
  <c r="G8361" i="3"/>
  <c r="G8337" i="3"/>
  <c r="G8313" i="3"/>
  <c r="G8289" i="3"/>
  <c r="G8265" i="3"/>
  <c r="G8241" i="3"/>
  <c r="F7226" i="3"/>
  <c r="F7222" i="3"/>
  <c r="F7118" i="3"/>
  <c r="F7114" i="3"/>
  <c r="F6932" i="3"/>
  <c r="F6928" i="3"/>
  <c r="F6924" i="3"/>
  <c r="F6892" i="3"/>
  <c r="F6888" i="3"/>
  <c r="F6884" i="3"/>
  <c r="A391" i="4"/>
  <c r="B391" i="4"/>
  <c r="A386" i="4"/>
  <c r="B386" i="4"/>
  <c r="B376" i="4"/>
  <c r="B377" i="4"/>
  <c r="B378" i="4"/>
  <c r="A377" i="4"/>
  <c r="A378" i="4"/>
  <c r="A376" i="4"/>
  <c r="B374" i="4"/>
  <c r="B375" i="4"/>
  <c r="A374" i="4"/>
  <c r="A375" i="4"/>
  <c r="G7779" i="3"/>
  <c r="G7755" i="3"/>
  <c r="G7705" i="3"/>
  <c r="G7679" i="3"/>
  <c r="G7606" i="3"/>
  <c r="G7577" i="3"/>
  <c r="G7529" i="3"/>
  <c r="G7505" i="3"/>
  <c r="G7480" i="3"/>
  <c r="G7454" i="3"/>
  <c r="G7453" i="3"/>
  <c r="G7451" i="3"/>
  <c r="G7427" i="3"/>
  <c r="G7425" i="3"/>
  <c r="G7424" i="3"/>
  <c r="G7375" i="3"/>
  <c r="G7348" i="3"/>
  <c r="G7319" i="3"/>
  <c r="G7321" i="3"/>
  <c r="G7293" i="3"/>
  <c r="G7269" i="3"/>
  <c r="G7268" i="3"/>
  <c r="G7267" i="3"/>
  <c r="G7211" i="3"/>
  <c r="G7210" i="3"/>
  <c r="G7159" i="3"/>
  <c r="G7134" i="3"/>
  <c r="G7101" i="3"/>
  <c r="G7105" i="3"/>
  <c r="G7103" i="3"/>
  <c r="G7102" i="3"/>
  <c r="G7000" i="3"/>
  <c r="G6999" i="3"/>
  <c r="G6974" i="3"/>
  <c r="G6973" i="3"/>
  <c r="G6948" i="3"/>
  <c r="G6872" i="3"/>
  <c r="G6871" i="3"/>
  <c r="G6870" i="3"/>
  <c r="G6873" i="3"/>
  <c r="G6874" i="3"/>
  <c r="G6766" i="3"/>
  <c r="G6844" i="3"/>
  <c r="G6840" i="3"/>
  <c r="G6739" i="3"/>
  <c r="G6712" i="3"/>
  <c r="G6711" i="3"/>
  <c r="G6683" i="3"/>
  <c r="G6657" i="3"/>
  <c r="G6633" i="3"/>
  <c r="G6632" i="3"/>
  <c r="G6631" i="3"/>
  <c r="G6606" i="3"/>
  <c r="G6581" i="3"/>
  <c r="G6555" i="3"/>
  <c r="G6529" i="3"/>
  <c r="G6531" i="3"/>
  <c r="G6407" i="3"/>
  <c r="G6817" i="3" l="1"/>
  <c r="G6843" i="3" s="1"/>
  <c r="G6379" i="3" l="1"/>
  <c r="G6383" i="3"/>
  <c r="G6355" i="3"/>
  <c r="G6330" i="3"/>
  <c r="G6303" i="3"/>
  <c r="G6305" i="3"/>
  <c r="G6276" i="3"/>
  <c r="G6253" i="3"/>
  <c r="G6252" i="3"/>
  <c r="G6278" i="3" s="1"/>
  <c r="G6228" i="3"/>
  <c r="G6356" i="3" s="1"/>
  <c r="G6227" i="3"/>
  <c r="G6203" i="3"/>
  <c r="G6202" i="3"/>
  <c r="G6177" i="3"/>
  <c r="G6178" i="3"/>
  <c r="G6153" i="3"/>
  <c r="G6152" i="3"/>
  <c r="G6503" i="3"/>
  <c r="G6479" i="3"/>
  <c r="G6456" i="3"/>
  <c r="G6455" i="3"/>
  <c r="G6128" i="3"/>
  <c r="G6127" i="3"/>
  <c r="G6101" i="3"/>
  <c r="G6075" i="3"/>
  <c r="G6049" i="3"/>
  <c r="G6026" i="3"/>
  <c r="G6002" i="3"/>
  <c r="G5978" i="3"/>
  <c r="G5951" i="3"/>
  <c r="G5926" i="3"/>
  <c r="G5925" i="3"/>
  <c r="G5895" i="3"/>
  <c r="G5894" i="3"/>
  <c r="G5896" i="3"/>
  <c r="D485" i="1"/>
  <c r="G5866" i="3" s="1"/>
  <c r="G5867" i="3"/>
  <c r="G5868" i="3"/>
  <c r="G5841" i="3"/>
  <c r="G5842" i="3" s="1"/>
  <c r="G5816" i="3"/>
  <c r="G5617" i="3"/>
  <c r="G5666" i="3" s="1"/>
  <c r="G5690" i="3" s="1"/>
  <c r="G5790" i="3"/>
  <c r="G5766" i="3"/>
  <c r="G5767" i="3"/>
  <c r="G5740" i="3"/>
  <c r="G5689" i="3"/>
  <c r="G5665" i="3"/>
  <c r="G5869" i="3" s="1"/>
  <c r="G5641" i="3"/>
  <c r="G5640" i="3"/>
  <c r="G5616" i="3"/>
  <c r="B360" i="4" l="1"/>
  <c r="B361" i="4"/>
  <c r="B362" i="4"/>
  <c r="B363" i="4"/>
  <c r="B364" i="4"/>
  <c r="B365" i="4"/>
  <c r="B366" i="4"/>
  <c r="B367" i="4"/>
  <c r="B368" i="4"/>
  <c r="B369" i="4"/>
  <c r="B371" i="4"/>
  <c r="B372" i="4"/>
  <c r="B373" i="4"/>
  <c r="B379" i="4"/>
  <c r="B380" i="4"/>
  <c r="B381" i="4"/>
  <c r="B382" i="4"/>
  <c r="B383" i="4"/>
  <c r="B384" i="4"/>
  <c r="B385" i="4"/>
  <c r="B387" i="4"/>
  <c r="B388" i="4"/>
  <c r="B389" i="4"/>
  <c r="B390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  <c r="B415" i="4"/>
  <c r="B416" i="4"/>
  <c r="B417" i="4"/>
  <c r="B418" i="4"/>
  <c r="B419" i="4"/>
  <c r="B420" i="4"/>
  <c r="B421" i="4"/>
  <c r="B422" i="4"/>
  <c r="B423" i="4"/>
  <c r="B424" i="4"/>
  <c r="B425" i="4"/>
  <c r="B426" i="4"/>
  <c r="B427" i="4"/>
  <c r="B428" i="4"/>
  <c r="B429" i="4"/>
  <c r="B430" i="4"/>
  <c r="B431" i="4"/>
  <c r="B432" i="4"/>
  <c r="A390" i="4"/>
  <c r="A380" i="4"/>
  <c r="A379" i="4"/>
  <c r="A373" i="4"/>
  <c r="A372" i="4"/>
  <c r="A371" i="4"/>
  <c r="A363" i="4"/>
  <c r="A362" i="4"/>
  <c r="A361" i="4"/>
  <c r="B359" i="4"/>
  <c r="A360" i="4"/>
  <c r="A359" i="4"/>
  <c r="B357" i="4"/>
  <c r="B356" i="4"/>
  <c r="B355" i="4"/>
  <c r="B354" i="4"/>
  <c r="B353" i="4"/>
  <c r="B352" i="4"/>
  <c r="B351" i="4"/>
  <c r="B350" i="4"/>
  <c r="B349" i="4"/>
  <c r="B348" i="4"/>
  <c r="B347" i="4"/>
  <c r="B346" i="4"/>
  <c r="B345" i="4"/>
  <c r="B344" i="4"/>
  <c r="B343" i="4"/>
  <c r="B342" i="4"/>
  <c r="B341" i="4"/>
  <c r="B340" i="4"/>
  <c r="B339" i="4"/>
  <c r="B338" i="4"/>
  <c r="B337" i="4"/>
  <c r="B336" i="4"/>
  <c r="G2164" i="3"/>
  <c r="G2191" i="3" s="1"/>
  <c r="G2165" i="3"/>
  <c r="G2192" i="3" s="1"/>
  <c r="G2231" i="3" s="1"/>
  <c r="G2257" i="3" s="1"/>
  <c r="G2284" i="3" s="1"/>
  <c r="G2311" i="3" s="1"/>
  <c r="G2337" i="3" s="1"/>
  <c r="G2361" i="3" s="1"/>
  <c r="G2386" i="3" s="1"/>
  <c r="G2411" i="3" s="1"/>
  <c r="G2440" i="3" s="1"/>
  <c r="G2465" i="3" s="1"/>
  <c r="G2491" i="3" s="1"/>
  <c r="G2515" i="3" s="1"/>
  <c r="G2540" i="3" s="1"/>
  <c r="G2566" i="3" s="1"/>
  <c r="G2593" i="3" s="1"/>
  <c r="G2619" i="3" s="1"/>
  <c r="G2644" i="3" s="1"/>
  <c r="G2669" i="3" s="1"/>
  <c r="G2694" i="3" s="1"/>
  <c r="G2166" i="3"/>
  <c r="G2193" i="3" s="1"/>
  <c r="G2167" i="3"/>
  <c r="G2194" i="3" s="1"/>
  <c r="H6503" i="3"/>
  <c r="H6504" i="3" s="1"/>
  <c r="H6479" i="3"/>
  <c r="H6481" i="3" s="1"/>
  <c r="H6455" i="3"/>
  <c r="H6457" i="3" s="1"/>
  <c r="G6431" i="3"/>
  <c r="H6431" i="3" s="1"/>
  <c r="H6433" i="3" s="1"/>
  <c r="H6379" i="3"/>
  <c r="H6383" i="3"/>
  <c r="H6355" i="3"/>
  <c r="H6356" i="3"/>
  <c r="H6330" i="3"/>
  <c r="H6303" i="3"/>
  <c r="H6305" i="3"/>
  <c r="H6278" i="3"/>
  <c r="A348" i="4"/>
  <c r="H6252" i="3"/>
  <c r="H6253" i="3"/>
  <c r="H6227" i="3"/>
  <c r="H6229" i="3" s="1"/>
  <c r="H6202" i="3"/>
  <c r="H6203" i="3"/>
  <c r="H6177" i="3"/>
  <c r="H6179" i="3" s="1"/>
  <c r="H6152" i="3"/>
  <c r="H6154" i="3" s="1"/>
  <c r="A343" i="4"/>
  <c r="H6127" i="3"/>
  <c r="H6129" i="3" s="1"/>
  <c r="A342" i="4"/>
  <c r="H6101" i="3"/>
  <c r="H6104" i="3" s="1"/>
  <c r="A341" i="4"/>
  <c r="H6075" i="3"/>
  <c r="A340" i="4"/>
  <c r="H6049" i="3"/>
  <c r="A339" i="4"/>
  <c r="H6026" i="3"/>
  <c r="H6027" i="3" s="1"/>
  <c r="A338" i="4"/>
  <c r="H6002" i="3"/>
  <c r="H6003" i="3" s="1"/>
  <c r="A337" i="4"/>
  <c r="H5978" i="3"/>
  <c r="H5979" i="3" s="1"/>
  <c r="G5971" i="3"/>
  <c r="H5971" i="3" s="1"/>
  <c r="A336" i="4"/>
  <c r="B335" i="4"/>
  <c r="A335" i="4"/>
  <c r="H5951" i="3"/>
  <c r="G5952" i="3"/>
  <c r="H5952" i="3" s="1"/>
  <c r="B333" i="4"/>
  <c r="H5925" i="3"/>
  <c r="H5926" i="3"/>
  <c r="G5927" i="3"/>
  <c r="H5927" i="3" s="1"/>
  <c r="B332" i="4"/>
  <c r="B330" i="4"/>
  <c r="A330" i="4"/>
  <c r="H5866" i="3"/>
  <c r="H5870" i="3" s="1"/>
  <c r="B329" i="4"/>
  <c r="H5841" i="3"/>
  <c r="H5842" i="3"/>
  <c r="B328" i="4"/>
  <c r="H5816" i="3"/>
  <c r="B327" i="4"/>
  <c r="H5790" i="3"/>
  <c r="G5716" i="3"/>
  <c r="B326" i="4"/>
  <c r="H5766" i="3"/>
  <c r="H5767" i="3"/>
  <c r="B325" i="4"/>
  <c r="B5702" i="3"/>
  <c r="H5740" i="3"/>
  <c r="B324" i="4"/>
  <c r="H5689" i="3"/>
  <c r="G5714" i="3"/>
  <c r="H5714" i="3" s="1"/>
  <c r="G5715" i="3"/>
  <c r="B323" i="4"/>
  <c r="H5690" i="3"/>
  <c r="B322" i="4"/>
  <c r="A322" i="4"/>
  <c r="H5665" i="3"/>
  <c r="H5666" i="3"/>
  <c r="B321" i="4"/>
  <c r="A321" i="4"/>
  <c r="H5640" i="3"/>
  <c r="H5641" i="3"/>
  <c r="B320" i="4"/>
  <c r="A320" i="4"/>
  <c r="H5616" i="3"/>
  <c r="H5618" i="3" s="1"/>
  <c r="B319" i="4"/>
  <c r="A319" i="4"/>
  <c r="B318" i="4"/>
  <c r="A318" i="4"/>
  <c r="H8218" i="3"/>
  <c r="H8215" i="3"/>
  <c r="G7900" i="3"/>
  <c r="G7922" i="3" s="1"/>
  <c r="G7901" i="3"/>
  <c r="H7901" i="3" s="1"/>
  <c r="G7902" i="3"/>
  <c r="H7902" i="3" s="1"/>
  <c r="F8222" i="3"/>
  <c r="H8196" i="3"/>
  <c r="H8193" i="3"/>
  <c r="F8200" i="3"/>
  <c r="H8174" i="3"/>
  <c r="H8171" i="3"/>
  <c r="F8178" i="3"/>
  <c r="H8152" i="3"/>
  <c r="H8149" i="3"/>
  <c r="F8156" i="3"/>
  <c r="H8130" i="3"/>
  <c r="H8127" i="3"/>
  <c r="F8134" i="3"/>
  <c r="H8108" i="3"/>
  <c r="H8105" i="3"/>
  <c r="F8112" i="3"/>
  <c r="H8085" i="3"/>
  <c r="H8082" i="3"/>
  <c r="F8090" i="3"/>
  <c r="H8063" i="3"/>
  <c r="H8060" i="3"/>
  <c r="F8067" i="3"/>
  <c r="H8041" i="3"/>
  <c r="H8038" i="3"/>
  <c r="F8045" i="3"/>
  <c r="H8019" i="3"/>
  <c r="H8016" i="3"/>
  <c r="F8023" i="3"/>
  <c r="H7997" i="3"/>
  <c r="H7994" i="3"/>
  <c r="F8001" i="3"/>
  <c r="H7975" i="3"/>
  <c r="H7972" i="3"/>
  <c r="F7979" i="3"/>
  <c r="H7953" i="3"/>
  <c r="H7950" i="3"/>
  <c r="F7957" i="3"/>
  <c r="H7931" i="3"/>
  <c r="H7928" i="3"/>
  <c r="F7935" i="3"/>
  <c r="H7909" i="3"/>
  <c r="H7906" i="3"/>
  <c r="F7913" i="3"/>
  <c r="G7603" i="3"/>
  <c r="F7890" i="3"/>
  <c r="G7806" i="3"/>
  <c r="F7866" i="3"/>
  <c r="F7840" i="3"/>
  <c r="F7816" i="3"/>
  <c r="H7779" i="3"/>
  <c r="F7790" i="3"/>
  <c r="G7730" i="3"/>
  <c r="H7755" i="3"/>
  <c r="F7763" i="3"/>
  <c r="F7738" i="3"/>
  <c r="H7705" i="3"/>
  <c r="F7714" i="3"/>
  <c r="H7679" i="3"/>
  <c r="F7689" i="3"/>
  <c r="G7553" i="3"/>
  <c r="F7663" i="3"/>
  <c r="F7639" i="3"/>
  <c r="H7606" i="3"/>
  <c r="F7615" i="3"/>
  <c r="H7577" i="3"/>
  <c r="H7579" i="3"/>
  <c r="F7587" i="3"/>
  <c r="F7561" i="3"/>
  <c r="H7529" i="3"/>
  <c r="H7530" i="3" s="1"/>
  <c r="F7537" i="3"/>
  <c r="H7505" i="3"/>
  <c r="H7506" i="3" s="1"/>
  <c r="F7513" i="3"/>
  <c r="G7478" i="3"/>
  <c r="H7478" i="3" s="1"/>
  <c r="H7480" i="3"/>
  <c r="G7481" i="3"/>
  <c r="F7489" i="3"/>
  <c r="H7453" i="3"/>
  <c r="F7462" i="3"/>
  <c r="H7424" i="3"/>
  <c r="H7428" i="3" s="1"/>
  <c r="F7435" i="3"/>
  <c r="G7399" i="3"/>
  <c r="H7399" i="3" s="1"/>
  <c r="F7408" i="3"/>
  <c r="G7242" i="3"/>
  <c r="H7375" i="3"/>
  <c r="F7383" i="3"/>
  <c r="G7346" i="3"/>
  <c r="H7346" i="3" s="1"/>
  <c r="H7348" i="3"/>
  <c r="H6531" i="3"/>
  <c r="F7357" i="3"/>
  <c r="H7319" i="3"/>
  <c r="H7321" i="3"/>
  <c r="F7330" i="3"/>
  <c r="H7293" i="3"/>
  <c r="H7268" i="3"/>
  <c r="G7295" i="3"/>
  <c r="H7295" i="3" s="1"/>
  <c r="F7303" i="3"/>
  <c r="H7267" i="3"/>
  <c r="H7269" i="3"/>
  <c r="F7235" i="3"/>
  <c r="F7260" i="3" s="1"/>
  <c r="F7236" i="3"/>
  <c r="F7261" i="3" s="1"/>
  <c r="F7237" i="3"/>
  <c r="F7262" i="3" s="1"/>
  <c r="F7238" i="3"/>
  <c r="F7263" i="3" s="1"/>
  <c r="F7277" i="3"/>
  <c r="F7251" i="3"/>
  <c r="G7184" i="3"/>
  <c r="H7184" i="3" s="1"/>
  <c r="H7186" i="3" s="1"/>
  <c r="F7193" i="3"/>
  <c r="H7159" i="3"/>
  <c r="H7161" i="3" s="1"/>
  <c r="F7168" i="3"/>
  <c r="H7134" i="3"/>
  <c r="F7143" i="3"/>
  <c r="G7075" i="3"/>
  <c r="H7075" i="3" s="1"/>
  <c r="G6914" i="3"/>
  <c r="F7084" i="3"/>
  <c r="G7050" i="3"/>
  <c r="F7050" i="3"/>
  <c r="F7059" i="3"/>
  <c r="H6973" i="3"/>
  <c r="F7034" i="3"/>
  <c r="F6999" i="3"/>
  <c r="F7000" i="3"/>
  <c r="H7000" i="3" s="1"/>
  <c r="F7001" i="3"/>
  <c r="F7009" i="3"/>
  <c r="H6974" i="3"/>
  <c r="F6983" i="3"/>
  <c r="F6948" i="3"/>
  <c r="H6948" i="3" s="1"/>
  <c r="H6950" i="3" s="1"/>
  <c r="F6957" i="3"/>
  <c r="H6840" i="3"/>
  <c r="H6843" i="3"/>
  <c r="H6844" i="3"/>
  <c r="F6852" i="3"/>
  <c r="G6682" i="3"/>
  <c r="H6817" i="3"/>
  <c r="F6825" i="3"/>
  <c r="F6798" i="3"/>
  <c r="H6766" i="3"/>
  <c r="F6774" i="3"/>
  <c r="H6739" i="3"/>
  <c r="F6747" i="3"/>
  <c r="H6711" i="3"/>
  <c r="H6712" i="3"/>
  <c r="F6720" i="3"/>
  <c r="H6683" i="3"/>
  <c r="F6692" i="3"/>
  <c r="H6657" i="3"/>
  <c r="F6666" i="3"/>
  <c r="H6631" i="3"/>
  <c r="H6632" i="3"/>
  <c r="H6633" i="3"/>
  <c r="F6641" i="3"/>
  <c r="H6606" i="3"/>
  <c r="F6615" i="3"/>
  <c r="H6581" i="3"/>
  <c r="F6590" i="3"/>
  <c r="H6555" i="3"/>
  <c r="F6565" i="3"/>
  <c r="H6529" i="3"/>
  <c r="F6539" i="3"/>
  <c r="F6511" i="3"/>
  <c r="F6488" i="3"/>
  <c r="F6464" i="3"/>
  <c r="F6440" i="3"/>
  <c r="F6416" i="3"/>
  <c r="F6391" i="3"/>
  <c r="F6364" i="3"/>
  <c r="F6339" i="3"/>
  <c r="F6314" i="3"/>
  <c r="F6288" i="3"/>
  <c r="F6261" i="3"/>
  <c r="F6236" i="3"/>
  <c r="F6211" i="3"/>
  <c r="F6186" i="3"/>
  <c r="F6161" i="3"/>
  <c r="F6136" i="3"/>
  <c r="F6111" i="3"/>
  <c r="F6085" i="3"/>
  <c r="F6059" i="3"/>
  <c r="F6034" i="3"/>
  <c r="F6010" i="3"/>
  <c r="F5986" i="3"/>
  <c r="F5960" i="3"/>
  <c r="F5935" i="3"/>
  <c r="F5877" i="3"/>
  <c r="F5850" i="3"/>
  <c r="F5825" i="3"/>
  <c r="F5800" i="3"/>
  <c r="F5775" i="3"/>
  <c r="F5750" i="3"/>
  <c r="F5724" i="3"/>
  <c r="F5698" i="3"/>
  <c r="F5674" i="3"/>
  <c r="F5649" i="3"/>
  <c r="F5624" i="3"/>
  <c r="G5589" i="3"/>
  <c r="H5589" i="3" s="1"/>
  <c r="G17" i="3"/>
  <c r="G2814" i="3" s="1"/>
  <c r="G2840" i="3" s="1"/>
  <c r="G2866" i="3" s="1"/>
  <c r="G2892" i="3" s="1"/>
  <c r="G2918" i="3" s="1"/>
  <c r="G2944" i="3" s="1"/>
  <c r="G2971" i="3" s="1"/>
  <c r="G2997" i="3" s="1"/>
  <c r="G3048" i="3" s="1"/>
  <c r="G3074" i="3" s="1"/>
  <c r="G3100" i="3" s="1"/>
  <c r="G3126" i="3" s="1"/>
  <c r="G3180" i="3" s="1"/>
  <c r="G3207" i="3" s="1"/>
  <c r="G3234" i="3" s="1"/>
  <c r="G3260" i="3" s="1"/>
  <c r="G3287" i="3" s="1"/>
  <c r="G3375" i="3" s="1"/>
  <c r="G3455" i="3" s="1"/>
  <c r="G3479" i="3" s="1"/>
  <c r="G3504" i="3" s="1"/>
  <c r="G3554" i="3" s="1"/>
  <c r="G3579" i="3" s="1"/>
  <c r="G3629" i="3" s="1"/>
  <c r="G3758" i="3" s="1"/>
  <c r="G2815" i="3"/>
  <c r="G2841" i="3" s="1"/>
  <c r="G2867" i="3" s="1"/>
  <c r="G2893" i="3" s="1"/>
  <c r="G2919" i="3" s="1"/>
  <c r="G2945" i="3" s="1"/>
  <c r="G2972" i="3" s="1"/>
  <c r="G2998" i="3" s="1"/>
  <c r="G3049" i="3" s="1"/>
  <c r="G3075" i="3" s="1"/>
  <c r="G3101" i="3" s="1"/>
  <c r="G3128" i="3" s="1"/>
  <c r="G3155" i="3" s="1"/>
  <c r="G3181" i="3" s="1"/>
  <c r="G3208" i="3" s="1"/>
  <c r="G3235" i="3" s="1"/>
  <c r="G3261" i="3" s="1"/>
  <c r="G3288" i="3" s="1"/>
  <c r="G3376" i="3" s="1"/>
  <c r="G3456" i="3" s="1"/>
  <c r="G3480" i="3" s="1"/>
  <c r="G3505" i="3" s="1"/>
  <c r="G3555" i="3" s="1"/>
  <c r="G3580" i="3" s="1"/>
  <c r="G3630" i="3" s="1"/>
  <c r="G3759" i="3" s="1"/>
  <c r="H3759" i="3" s="1"/>
  <c r="B316" i="4"/>
  <c r="G5564" i="3"/>
  <c r="H5564" i="3" s="1"/>
  <c r="B315" i="4"/>
  <c r="G5540" i="3"/>
  <c r="H5540" i="3" s="1"/>
  <c r="B314" i="4"/>
  <c r="G5514" i="3"/>
  <c r="H5514" i="3" s="1"/>
  <c r="G4207" i="3"/>
  <c r="G4234" i="3" s="1"/>
  <c r="B313" i="4"/>
  <c r="G5486" i="3"/>
  <c r="H5486" i="3" s="1"/>
  <c r="G5490" i="3"/>
  <c r="H5490" i="3" s="1"/>
  <c r="B312" i="4"/>
  <c r="A312" i="4"/>
  <c r="H5459" i="3"/>
  <c r="B311" i="4"/>
  <c r="A311" i="4"/>
  <c r="G5378" i="3"/>
  <c r="G5432" i="3" s="1"/>
  <c r="H5432" i="3" s="1"/>
  <c r="B310" i="4"/>
  <c r="A310" i="4"/>
  <c r="G5405" i="3"/>
  <c r="H5405" i="3" s="1"/>
  <c r="B309" i="4"/>
  <c r="A309" i="4"/>
  <c r="B308" i="4"/>
  <c r="A308" i="4"/>
  <c r="G5351" i="3"/>
  <c r="H5351" i="3" s="1"/>
  <c r="B307" i="4"/>
  <c r="A307" i="4"/>
  <c r="G5324" i="3"/>
  <c r="H5324" i="3" s="1"/>
  <c r="B306" i="4"/>
  <c r="A306" i="4"/>
  <c r="G5297" i="3"/>
  <c r="H5297" i="3" s="1"/>
  <c r="B305" i="4"/>
  <c r="A305" i="4"/>
  <c r="G5247" i="3"/>
  <c r="G5272" i="3" s="1"/>
  <c r="H5272" i="3" s="1"/>
  <c r="G5223" i="3"/>
  <c r="G5248" i="3" s="1"/>
  <c r="B304" i="4"/>
  <c r="A304" i="4"/>
  <c r="B303" i="4"/>
  <c r="A303" i="4"/>
  <c r="G5222" i="3"/>
  <c r="H5222" i="3" s="1"/>
  <c r="B302" i="4"/>
  <c r="A302" i="4"/>
  <c r="G5196" i="3"/>
  <c r="H5196" i="3" s="1"/>
  <c r="B301" i="4"/>
  <c r="A301" i="4"/>
  <c r="G5169" i="3"/>
  <c r="H5169" i="3" s="1"/>
  <c r="B300" i="4"/>
  <c r="A300" i="4"/>
  <c r="G5144" i="3"/>
  <c r="H5144" i="3" s="1"/>
  <c r="G5145" i="3"/>
  <c r="H5145" i="3" s="1"/>
  <c r="B299" i="4"/>
  <c r="A299" i="4"/>
  <c r="G5113" i="3"/>
  <c r="H5113" i="3" s="1"/>
  <c r="G5112" i="3"/>
  <c r="H5112" i="3" s="1"/>
  <c r="A298" i="4"/>
  <c r="B298" i="4"/>
  <c r="B297" i="4"/>
  <c r="A297" i="4"/>
  <c r="G5078" i="3"/>
  <c r="H5078" i="3" s="1"/>
  <c r="G5077" i="3"/>
  <c r="H5077" i="3" s="1"/>
  <c r="A296" i="4"/>
  <c r="B296" i="4"/>
  <c r="B295" i="4"/>
  <c r="A295" i="4"/>
  <c r="G5049" i="3"/>
  <c r="H5049" i="3" s="1"/>
  <c r="B294" i="4"/>
  <c r="A294" i="4"/>
  <c r="G5017" i="3"/>
  <c r="H5017" i="3" s="1"/>
  <c r="G5016" i="3"/>
  <c r="H5016" i="3" s="1"/>
  <c r="A293" i="4"/>
  <c r="B293" i="4"/>
  <c r="B292" i="4"/>
  <c r="A292" i="4"/>
  <c r="G4983" i="3"/>
  <c r="H4983" i="3" s="1"/>
  <c r="G4982" i="3"/>
  <c r="H4982" i="3" s="1"/>
  <c r="A291" i="4"/>
  <c r="B291" i="4"/>
  <c r="B290" i="4"/>
  <c r="A290" i="4"/>
  <c r="G4954" i="3"/>
  <c r="H4954" i="3" s="1"/>
  <c r="B289" i="4"/>
  <c r="A289" i="4"/>
  <c r="G4927" i="3"/>
  <c r="H4927" i="3" s="1"/>
  <c r="B288" i="4"/>
  <c r="A288" i="4"/>
  <c r="G4901" i="3"/>
  <c r="H4901" i="3" s="1"/>
  <c r="B287" i="4"/>
  <c r="A287" i="4"/>
  <c r="G4877" i="3"/>
  <c r="H4877" i="3" s="1"/>
  <c r="B286" i="4"/>
  <c r="A286" i="4"/>
  <c r="G4850" i="3"/>
  <c r="H4850" i="3" s="1"/>
  <c r="B285" i="4"/>
  <c r="A285" i="4"/>
  <c r="G4823" i="3"/>
  <c r="H4823" i="3" s="1"/>
  <c r="B284" i="4"/>
  <c r="A284" i="4"/>
  <c r="G4796" i="3"/>
  <c r="H4796" i="3" s="1"/>
  <c r="B283" i="4"/>
  <c r="A283" i="4"/>
  <c r="G4769" i="3"/>
  <c r="H4769" i="3" s="1"/>
  <c r="B282" i="4"/>
  <c r="A282" i="4"/>
  <c r="G4742" i="3"/>
  <c r="H4742" i="3" s="1"/>
  <c r="B281" i="4"/>
  <c r="A281" i="4"/>
  <c r="B280" i="4"/>
  <c r="A280" i="4"/>
  <c r="G4688" i="3"/>
  <c r="H4688" i="3" s="1"/>
  <c r="B279" i="4"/>
  <c r="A279" i="4"/>
  <c r="G4661" i="3"/>
  <c r="H4661" i="3" s="1"/>
  <c r="B278" i="4"/>
  <c r="A278" i="4"/>
  <c r="G4634" i="3"/>
  <c r="H4634" i="3" s="1"/>
  <c r="B277" i="4"/>
  <c r="A277" i="4"/>
  <c r="G4607" i="3"/>
  <c r="H4607" i="3" s="1"/>
  <c r="B276" i="4"/>
  <c r="A276" i="4"/>
  <c r="G4580" i="3"/>
  <c r="H4580" i="3" s="1"/>
  <c r="B275" i="4"/>
  <c r="A275" i="4"/>
  <c r="G4553" i="3"/>
  <c r="H4553" i="3" s="1"/>
  <c r="B274" i="4"/>
  <c r="A274" i="4"/>
  <c r="G4527" i="3"/>
  <c r="H4527" i="3" s="1"/>
  <c r="B273" i="4"/>
  <c r="A273" i="4"/>
  <c r="G4501" i="3"/>
  <c r="H4501" i="3" s="1"/>
  <c r="B272" i="4"/>
  <c r="A272" i="4"/>
  <c r="G4475" i="3"/>
  <c r="H4475" i="3" s="1"/>
  <c r="B271" i="4"/>
  <c r="A271" i="4"/>
  <c r="G4448" i="3"/>
  <c r="H4448" i="3" s="1"/>
  <c r="B270" i="4"/>
  <c r="A270" i="4"/>
  <c r="G4421" i="3"/>
  <c r="H4421" i="3" s="1"/>
  <c r="B269" i="4"/>
  <c r="A269" i="4"/>
  <c r="G4394" i="3"/>
  <c r="H4394" i="3" s="1"/>
  <c r="B268" i="4"/>
  <c r="B4382" i="3"/>
  <c r="G4367" i="3"/>
  <c r="H4367" i="3" s="1"/>
  <c r="B267" i="4"/>
  <c r="A267" i="4"/>
  <c r="G4340" i="3"/>
  <c r="H4340" i="3" s="1"/>
  <c r="B266" i="4"/>
  <c r="A266" i="4"/>
  <c r="G4313" i="3"/>
  <c r="H4313" i="3" s="1"/>
  <c r="B265" i="4"/>
  <c r="A265" i="4"/>
  <c r="G4286" i="3"/>
  <c r="H4286" i="3" s="1"/>
  <c r="B264" i="4"/>
  <c r="A264" i="4"/>
  <c r="G4259" i="3"/>
  <c r="H4259" i="3" s="1"/>
  <c r="B263" i="4"/>
  <c r="A263" i="4"/>
  <c r="G4232" i="3"/>
  <c r="H4232" i="3" s="1"/>
  <c r="B262" i="4"/>
  <c r="A262" i="4"/>
  <c r="G4205" i="3"/>
  <c r="H4205" i="3" s="1"/>
  <c r="B261" i="4"/>
  <c r="A261" i="4"/>
  <c r="G4180" i="3"/>
  <c r="H4180" i="3" s="1"/>
  <c r="F4181" i="3"/>
  <c r="B260" i="4"/>
  <c r="A260" i="4"/>
  <c r="G4154" i="3"/>
  <c r="H4154" i="3" s="1"/>
  <c r="B259" i="4"/>
  <c r="A259" i="4"/>
  <c r="G4129" i="3"/>
  <c r="H4129" i="3" s="1"/>
  <c r="B258" i="4"/>
  <c r="A258" i="4"/>
  <c r="B257" i="4"/>
  <c r="A257" i="4"/>
  <c r="F4999" i="3"/>
  <c r="F5033" i="3"/>
  <c r="F5096" i="3"/>
  <c r="F5129" i="3"/>
  <c r="F5125" i="3"/>
  <c r="F5092" i="3"/>
  <c r="F5029" i="3"/>
  <c r="F4995" i="3"/>
  <c r="F5598" i="3"/>
  <c r="F5574" i="3"/>
  <c r="F5549" i="3"/>
  <c r="F5525" i="3"/>
  <c r="F5498" i="3"/>
  <c r="F5470" i="3"/>
  <c r="F5443" i="3"/>
  <c r="F5416" i="3"/>
  <c r="F5389" i="3"/>
  <c r="F5362" i="3"/>
  <c r="F5335" i="3"/>
  <c r="F5308" i="3"/>
  <c r="F5281" i="3"/>
  <c r="F5256" i="3"/>
  <c r="F5231" i="3"/>
  <c r="F5207" i="3"/>
  <c r="F5180" i="3"/>
  <c r="F5153" i="3"/>
  <c r="F5060" i="3"/>
  <c r="F4965" i="3"/>
  <c r="F4938" i="3"/>
  <c r="F4912" i="3"/>
  <c r="F4886" i="3"/>
  <c r="F4861" i="3"/>
  <c r="F4834" i="3"/>
  <c r="F4807" i="3"/>
  <c r="F4780" i="3"/>
  <c r="F4753" i="3"/>
  <c r="F4726" i="3"/>
  <c r="F4699" i="3"/>
  <c r="F4672" i="3"/>
  <c r="F4645" i="3"/>
  <c r="F4618" i="3"/>
  <c r="F4591" i="3"/>
  <c r="F4564" i="3"/>
  <c r="F4537" i="3"/>
  <c r="F4511" i="3"/>
  <c r="F4485" i="3"/>
  <c r="F4459" i="3"/>
  <c r="F4432" i="3"/>
  <c r="F4405" i="3"/>
  <c r="F4378" i="3"/>
  <c r="F4351" i="3"/>
  <c r="F4324" i="3"/>
  <c r="F4297" i="3"/>
  <c r="F4270" i="3"/>
  <c r="F4243" i="3"/>
  <c r="F4216" i="3"/>
  <c r="F4190" i="3"/>
  <c r="F4164" i="3"/>
  <c r="F4139" i="3"/>
  <c r="A338" i="1"/>
  <c r="A339" i="1" s="1"/>
  <c r="A340" i="1" s="1"/>
  <c r="A341" i="1" s="1"/>
  <c r="A342" i="1" s="1"/>
  <c r="A343" i="1" s="1"/>
  <c r="A344" i="1" s="1"/>
  <c r="A345" i="1" s="1"/>
  <c r="A346" i="1" s="1"/>
  <c r="G4715" i="3"/>
  <c r="H4715" i="3" s="1"/>
  <c r="H990" i="3"/>
  <c r="B255" i="4"/>
  <c r="B254" i="4"/>
  <c r="B253" i="4"/>
  <c r="B252" i="4"/>
  <c r="B251" i="4"/>
  <c r="A251" i="4"/>
  <c r="B250" i="4"/>
  <c r="A250" i="4"/>
  <c r="B249" i="4"/>
  <c r="A249" i="4"/>
  <c r="B248" i="4"/>
  <c r="A248" i="4"/>
  <c r="B247" i="4"/>
  <c r="A247" i="4"/>
  <c r="B246" i="4"/>
  <c r="A246" i="4"/>
  <c r="B245" i="4"/>
  <c r="B244" i="4"/>
  <c r="A244" i="4"/>
  <c r="B243" i="4"/>
  <c r="A243" i="4"/>
  <c r="B242" i="4"/>
  <c r="B241" i="4"/>
  <c r="A241" i="4"/>
  <c r="B240" i="4"/>
  <c r="A240" i="4"/>
  <c r="B239" i="4"/>
  <c r="A239" i="4"/>
  <c r="B238" i="4"/>
  <c r="A238" i="4"/>
  <c r="B237" i="4"/>
  <c r="A237" i="4"/>
  <c r="B236" i="4"/>
  <c r="A236" i="4"/>
  <c r="B235" i="4"/>
  <c r="A235" i="4"/>
  <c r="B234" i="4"/>
  <c r="A234" i="4"/>
  <c r="B233" i="4"/>
  <c r="A233" i="4"/>
  <c r="B232" i="4"/>
  <c r="A232" i="4"/>
  <c r="B231" i="4"/>
  <c r="A231" i="4"/>
  <c r="B230" i="4"/>
  <c r="A230" i="4"/>
  <c r="B229" i="4"/>
  <c r="A229" i="4"/>
  <c r="B228" i="4"/>
  <c r="A228" i="4"/>
  <c r="F4110" i="3"/>
  <c r="F4087" i="3"/>
  <c r="F4064" i="3"/>
  <c r="F4041" i="3"/>
  <c r="F4017" i="3"/>
  <c r="F3992" i="3"/>
  <c r="F3968" i="3"/>
  <c r="F3943" i="3"/>
  <c r="F3918" i="3"/>
  <c r="F3893" i="3"/>
  <c r="F3867" i="3"/>
  <c r="F3842" i="3"/>
  <c r="F3817" i="3"/>
  <c r="F3792" i="3"/>
  <c r="F3767" i="3"/>
  <c r="F3742" i="3"/>
  <c r="F3716" i="3"/>
  <c r="F3690" i="3"/>
  <c r="F3664" i="3"/>
  <c r="F3638" i="3"/>
  <c r="F3613" i="3"/>
  <c r="F3588" i="3"/>
  <c r="F3563" i="3"/>
  <c r="F3538" i="3"/>
  <c r="F3513" i="3"/>
  <c r="F3488" i="3"/>
  <c r="F3464" i="3"/>
  <c r="G4009" i="3"/>
  <c r="H4009" i="3" s="1"/>
  <c r="G3985" i="3"/>
  <c r="H3985" i="3" s="1"/>
  <c r="G3960" i="3"/>
  <c r="H3960" i="3" s="1"/>
  <c r="B226" i="4"/>
  <c r="A226" i="4"/>
  <c r="B225" i="4"/>
  <c r="A225" i="4"/>
  <c r="B224" i="4"/>
  <c r="B223" i="4"/>
  <c r="A223" i="4"/>
  <c r="B222" i="4"/>
  <c r="A222" i="4"/>
  <c r="B221" i="4"/>
  <c r="B220" i="4"/>
  <c r="B219" i="4"/>
  <c r="B218" i="4"/>
  <c r="B217" i="4"/>
  <c r="B3167" i="3"/>
  <c r="B216" i="4"/>
  <c r="B215" i="4"/>
  <c r="A215" i="4"/>
  <c r="B214" i="4"/>
  <c r="A214" i="4"/>
  <c r="B213" i="4"/>
  <c r="A213" i="4"/>
  <c r="B212" i="4"/>
  <c r="B211" i="4"/>
  <c r="B210" i="4"/>
  <c r="A210" i="4"/>
  <c r="B209" i="4"/>
  <c r="B208" i="4"/>
  <c r="A208" i="4"/>
  <c r="B207" i="4"/>
  <c r="A207" i="4"/>
  <c r="B206" i="4"/>
  <c r="A206" i="4"/>
  <c r="B205" i="4"/>
  <c r="A205" i="4"/>
  <c r="B204" i="4"/>
  <c r="A204" i="4"/>
  <c r="B203" i="4"/>
  <c r="A203" i="4"/>
  <c r="B202" i="4"/>
  <c r="A202" i="4"/>
  <c r="B201" i="4"/>
  <c r="A201" i="4"/>
  <c r="F3436" i="3"/>
  <c r="F3410" i="3"/>
  <c r="F3384" i="3"/>
  <c r="F3358" i="3"/>
  <c r="F3354" i="3"/>
  <c r="F3324" i="3"/>
  <c r="F3297" i="3"/>
  <c r="F3270" i="3"/>
  <c r="F3244" i="3"/>
  <c r="F3217" i="3"/>
  <c r="F3190" i="3"/>
  <c r="F3163" i="3"/>
  <c r="F3136" i="3"/>
  <c r="F3109" i="3"/>
  <c r="F3083" i="3"/>
  <c r="F3057" i="3"/>
  <c r="F3032" i="3"/>
  <c r="F3006" i="3"/>
  <c r="F2980" i="3"/>
  <c r="F2954" i="3"/>
  <c r="F2927" i="3"/>
  <c r="F2901" i="3"/>
  <c r="F2875" i="3"/>
  <c r="F2849" i="3"/>
  <c r="F2823" i="3"/>
  <c r="G3426" i="3"/>
  <c r="H3426" i="3" s="1"/>
  <c r="G3374" i="3"/>
  <c r="H3374" i="3" s="1"/>
  <c r="G3342" i="3"/>
  <c r="H3342" i="3" s="1"/>
  <c r="G3341" i="3"/>
  <c r="H3341" i="3" s="1"/>
  <c r="G3286" i="3"/>
  <c r="H3286" i="3" s="1"/>
  <c r="G3233" i="3"/>
  <c r="G3259" i="3" s="1"/>
  <c r="H3259" i="3" s="1"/>
  <c r="G3182" i="3"/>
  <c r="H3182" i="3" s="1"/>
  <c r="G3179" i="3"/>
  <c r="G3206" i="3" s="1"/>
  <c r="H3206" i="3" s="1"/>
  <c r="G3153" i="3"/>
  <c r="G3706" i="3" s="1"/>
  <c r="G2946" i="3"/>
  <c r="H2946" i="3" s="1"/>
  <c r="G2813" i="3"/>
  <c r="G2839" i="3" s="1"/>
  <c r="B199" i="4"/>
  <c r="B198" i="4"/>
  <c r="B197" i="4"/>
  <c r="B196" i="4"/>
  <c r="B195" i="4"/>
  <c r="B194" i="4"/>
  <c r="B193" i="4"/>
  <c r="B192" i="4"/>
  <c r="B191" i="4"/>
  <c r="B190" i="4"/>
  <c r="B189" i="4"/>
  <c r="B188" i="4"/>
  <c r="B187" i="4"/>
  <c r="B186" i="4"/>
  <c r="A185" i="4"/>
  <c r="B185" i="4"/>
  <c r="B184" i="4"/>
  <c r="A184" i="4"/>
  <c r="B183" i="4"/>
  <c r="B182" i="4"/>
  <c r="B181" i="4"/>
  <c r="B180" i="4"/>
  <c r="B179" i="4"/>
  <c r="B178" i="4"/>
  <c r="B177" i="4"/>
  <c r="A175" i="4"/>
  <c r="A176" i="4"/>
  <c r="B175" i="4"/>
  <c r="B176" i="4"/>
  <c r="B174" i="4"/>
  <c r="A174" i="4"/>
  <c r="B173" i="4"/>
  <c r="A173" i="4"/>
  <c r="B172" i="4"/>
  <c r="A172" i="4"/>
  <c r="B171" i="4"/>
  <c r="A171" i="4"/>
  <c r="F2794" i="3"/>
  <c r="F2767" i="3"/>
  <c r="F2739" i="3"/>
  <c r="F2712" i="3"/>
  <c r="F2684" i="3"/>
  <c r="F2659" i="3"/>
  <c r="F2634" i="3"/>
  <c r="F2609" i="3"/>
  <c r="F2583" i="3"/>
  <c r="F2556" i="3"/>
  <c r="F2530" i="3"/>
  <c r="F2505" i="3"/>
  <c r="F2481" i="3"/>
  <c r="F2455" i="3"/>
  <c r="F2400" i="3"/>
  <c r="F2375" i="3"/>
  <c r="F2351" i="3"/>
  <c r="F2327" i="3"/>
  <c r="F2301" i="3"/>
  <c r="F2274" i="3"/>
  <c r="F2247" i="3"/>
  <c r="F2218" i="3"/>
  <c r="F2217" i="3"/>
  <c r="F2216" i="3"/>
  <c r="F2215" i="3"/>
  <c r="F2179" i="3"/>
  <c r="G2755" i="3"/>
  <c r="G2782" i="3" s="1"/>
  <c r="H2782" i="3" s="1"/>
  <c r="G2703" i="3"/>
  <c r="H2703" i="3" s="1"/>
  <c r="G2701" i="3"/>
  <c r="G2728" i="3" s="1"/>
  <c r="H2728" i="3" s="1"/>
  <c r="G2700" i="3"/>
  <c r="G2727" i="3" s="1"/>
  <c r="H2727" i="3" s="1"/>
  <c r="G2675" i="3"/>
  <c r="H2675" i="3" s="1"/>
  <c r="H2676" i="3" s="1"/>
  <c r="H2677" i="3" s="1"/>
  <c r="G2651" i="3"/>
  <c r="H2651" i="3" s="1"/>
  <c r="G2650" i="3"/>
  <c r="H2650" i="3" s="1"/>
  <c r="G2649" i="3"/>
  <c r="H2649" i="3" s="1"/>
  <c r="G2601" i="3"/>
  <c r="H2601" i="3" s="1"/>
  <c r="G2599" i="3"/>
  <c r="G2624" i="3" s="1"/>
  <c r="H2624" i="3" s="1"/>
  <c r="G2573" i="3"/>
  <c r="G2600" i="3" s="1"/>
  <c r="G2572" i="3"/>
  <c r="H2572" i="3" s="1"/>
  <c r="G2548" i="3"/>
  <c r="G2574" i="3" s="1"/>
  <c r="G2546" i="3"/>
  <c r="H2546" i="3" s="1"/>
  <c r="G2522" i="3"/>
  <c r="H2522" i="3" s="1"/>
  <c r="G2521" i="3"/>
  <c r="H2521" i="3" s="1"/>
  <c r="G2497" i="3"/>
  <c r="H2497" i="3" s="1"/>
  <c r="H2498" i="3" s="1"/>
  <c r="G2472" i="3"/>
  <c r="H2472" i="3" s="1"/>
  <c r="G2471" i="3"/>
  <c r="H2471" i="3" s="1"/>
  <c r="G2447" i="3"/>
  <c r="H2447" i="3" s="1"/>
  <c r="G2446" i="3"/>
  <c r="H2446" i="3" s="1"/>
  <c r="G2420" i="3"/>
  <c r="H2420" i="3" s="1"/>
  <c r="G2419" i="3"/>
  <c r="H2419" i="3" s="1"/>
  <c r="G2418" i="3"/>
  <c r="H2418" i="3" s="1"/>
  <c r="G2417" i="3"/>
  <c r="H2417" i="3" s="1"/>
  <c r="G2392" i="3"/>
  <c r="H2392" i="3" s="1"/>
  <c r="H2393" i="3" s="1"/>
  <c r="G2367" i="3"/>
  <c r="H2367" i="3" s="1"/>
  <c r="H2368" i="3" s="1"/>
  <c r="G2343" i="3"/>
  <c r="H2343" i="3" s="1"/>
  <c r="H2344" i="3" s="1"/>
  <c r="G2318" i="3"/>
  <c r="H2318" i="3" s="1"/>
  <c r="G2317" i="3"/>
  <c r="H2317" i="3" s="1"/>
  <c r="G2292" i="3"/>
  <c r="H2292" i="3" s="1"/>
  <c r="G2291" i="3"/>
  <c r="H2291" i="3" s="1"/>
  <c r="G2265" i="3"/>
  <c r="G2290" i="3" s="1"/>
  <c r="H2290" i="3" s="1"/>
  <c r="G2264" i="3"/>
  <c r="H2264" i="3" s="1"/>
  <c r="G2263" i="3"/>
  <c r="H2263" i="3" s="1"/>
  <c r="G2242" i="3"/>
  <c r="H2242" i="3" s="1"/>
  <c r="H2243" i="3" s="1"/>
  <c r="G2238" i="3"/>
  <c r="H2238" i="3" s="1"/>
  <c r="G2237" i="3"/>
  <c r="H2237" i="3" s="1"/>
  <c r="H2239" i="3" s="1"/>
  <c r="B2225" i="3"/>
  <c r="G2201" i="3"/>
  <c r="H2201" i="3" s="1"/>
  <c r="G2200" i="3"/>
  <c r="H2200" i="3" s="1"/>
  <c r="G2199" i="3"/>
  <c r="H2199" i="3" s="1"/>
  <c r="G2198" i="3"/>
  <c r="H2198" i="3" s="1"/>
  <c r="G2197" i="3"/>
  <c r="H2197" i="3" s="1"/>
  <c r="G2171" i="3"/>
  <c r="H2171" i="3" s="1"/>
  <c r="H2172" i="3" s="1"/>
  <c r="G1855" i="3"/>
  <c r="G1877" i="3" s="1"/>
  <c r="G1918" i="3" s="1"/>
  <c r="H1918" i="3" s="1"/>
  <c r="B168" i="4"/>
  <c r="B169" i="4"/>
  <c r="B160" i="4"/>
  <c r="B161" i="4"/>
  <c r="B162" i="4"/>
  <c r="B163" i="4"/>
  <c r="B164" i="4"/>
  <c r="B165" i="4"/>
  <c r="B166" i="4"/>
  <c r="B167" i="4"/>
  <c r="B159" i="4"/>
  <c r="B158" i="4"/>
  <c r="B148" i="4"/>
  <c r="B149" i="4"/>
  <c r="B150" i="4"/>
  <c r="B151" i="4"/>
  <c r="B152" i="4"/>
  <c r="B153" i="4"/>
  <c r="B154" i="4"/>
  <c r="B155" i="4"/>
  <c r="B156" i="4"/>
  <c r="B157" i="4"/>
  <c r="B147" i="4"/>
  <c r="B146" i="4"/>
  <c r="B136" i="4"/>
  <c r="B137" i="4"/>
  <c r="B138" i="4"/>
  <c r="B139" i="4"/>
  <c r="B140" i="4"/>
  <c r="B141" i="4"/>
  <c r="B142" i="4"/>
  <c r="B143" i="4"/>
  <c r="B144" i="4"/>
  <c r="B145" i="4"/>
  <c r="B135" i="4"/>
  <c r="B134" i="4"/>
  <c r="B124" i="4"/>
  <c r="B125" i="4"/>
  <c r="B126" i="4"/>
  <c r="B127" i="4"/>
  <c r="B128" i="4"/>
  <c r="B129" i="4"/>
  <c r="B130" i="4"/>
  <c r="B131" i="4"/>
  <c r="B132" i="4"/>
  <c r="B133" i="4"/>
  <c r="B123" i="4"/>
  <c r="B122" i="4"/>
  <c r="B112" i="4"/>
  <c r="B113" i="4"/>
  <c r="B114" i="4"/>
  <c r="B115" i="4"/>
  <c r="B116" i="4"/>
  <c r="B117" i="4"/>
  <c r="B118" i="4"/>
  <c r="B119" i="4"/>
  <c r="B120" i="4"/>
  <c r="B121" i="4"/>
  <c r="B111" i="4"/>
  <c r="B110" i="4"/>
  <c r="B109" i="4"/>
  <c r="B100" i="4"/>
  <c r="B101" i="4"/>
  <c r="B102" i="4"/>
  <c r="B103" i="4"/>
  <c r="B104" i="4"/>
  <c r="B105" i="4"/>
  <c r="B106" i="4"/>
  <c r="B107" i="4"/>
  <c r="B108" i="4"/>
  <c r="B99" i="4"/>
  <c r="B98" i="4"/>
  <c r="B88" i="4"/>
  <c r="B89" i="4"/>
  <c r="B90" i="4"/>
  <c r="B91" i="4"/>
  <c r="B92" i="4"/>
  <c r="B93" i="4"/>
  <c r="B94" i="4"/>
  <c r="B95" i="4"/>
  <c r="B96" i="4"/>
  <c r="B97" i="4"/>
  <c r="B87" i="4"/>
  <c r="B86" i="4"/>
  <c r="B85" i="4"/>
  <c r="B84" i="4"/>
  <c r="B83" i="4"/>
  <c r="B82" i="4"/>
  <c r="F1864" i="3"/>
  <c r="F1844" i="3"/>
  <c r="F1820" i="3"/>
  <c r="F1788" i="3"/>
  <c r="F1755" i="3"/>
  <c r="F1729" i="3"/>
  <c r="F1725" i="3"/>
  <c r="F1696" i="3"/>
  <c r="F1667" i="3"/>
  <c r="F1636" i="3"/>
  <c r="F1607" i="3"/>
  <c r="F1578" i="3"/>
  <c r="F1549" i="3"/>
  <c r="F1523" i="3"/>
  <c r="F1497" i="3"/>
  <c r="F1472" i="3"/>
  <c r="F1447" i="3"/>
  <c r="F1422" i="3"/>
  <c r="F1395" i="3"/>
  <c r="F1369" i="3"/>
  <c r="F1342" i="3"/>
  <c r="F1315" i="3"/>
  <c r="F1288" i="3"/>
  <c r="F1261" i="3"/>
  <c r="F1233" i="3"/>
  <c r="F1206" i="3"/>
  <c r="F1179" i="3"/>
  <c r="F1150" i="3"/>
  <c r="F1124" i="3"/>
  <c r="F1098" i="3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A61" i="4"/>
  <c r="B60" i="4"/>
  <c r="A60" i="4"/>
  <c r="B59" i="4"/>
  <c r="B58" i="4"/>
  <c r="B57" i="4"/>
  <c r="B56" i="4"/>
  <c r="A56" i="4"/>
  <c r="B55" i="4"/>
  <c r="A55" i="4"/>
  <c r="G1878" i="3"/>
  <c r="G1919" i="3" s="1"/>
  <c r="G1835" i="3"/>
  <c r="H1835" i="3" s="1"/>
  <c r="G1809" i="3"/>
  <c r="H1809" i="3" s="1"/>
  <c r="G1780" i="3"/>
  <c r="H1780" i="3" s="1"/>
  <c r="G1776" i="3"/>
  <c r="G1808" i="3" s="1"/>
  <c r="H1808" i="3" s="1"/>
  <c r="G1716" i="3"/>
  <c r="G1747" i="3" s="1"/>
  <c r="H1747" i="3" s="1"/>
  <c r="G1570" i="3"/>
  <c r="G1569" i="3"/>
  <c r="H1569" i="3" s="1"/>
  <c r="G1568" i="3"/>
  <c r="H1568" i="3" s="1"/>
  <c r="G1488" i="3"/>
  <c r="H1488" i="3" s="1"/>
  <c r="G1439" i="3"/>
  <c r="G1464" i="3" s="1"/>
  <c r="G1438" i="3"/>
  <c r="G1463" i="3" s="1"/>
  <c r="H1463" i="3" s="1"/>
  <c r="G1414" i="3"/>
  <c r="H1414" i="3" s="1"/>
  <c r="G1413" i="3"/>
  <c r="H1413" i="3" s="1"/>
  <c r="G1412" i="3"/>
  <c r="G1715" i="3" s="1"/>
  <c r="G1089" i="3"/>
  <c r="G1115" i="3" s="1"/>
  <c r="G1088" i="3"/>
  <c r="G1114" i="3" s="1"/>
  <c r="G1090" i="3"/>
  <c r="G1116" i="3" s="1"/>
  <c r="G1142" i="3" s="1"/>
  <c r="G1171" i="3" s="1"/>
  <c r="G1198" i="3" s="1"/>
  <c r="G1225" i="3" s="1"/>
  <c r="G1252" i="3" s="1"/>
  <c r="G1280" i="3" s="1"/>
  <c r="G1307" i="3" s="1"/>
  <c r="G1334" i="3" s="1"/>
  <c r="G1361" i="3" s="1"/>
  <c r="G1387" i="3" s="1"/>
  <c r="H1387" i="3" s="1"/>
  <c r="G123" i="3"/>
  <c r="H123" i="3" s="1"/>
  <c r="B53" i="4"/>
  <c r="B52" i="4"/>
  <c r="B51" i="4"/>
  <c r="B50" i="4"/>
  <c r="B49" i="4"/>
  <c r="B48" i="4"/>
  <c r="B47" i="4"/>
  <c r="A47" i="4"/>
  <c r="B46" i="4"/>
  <c r="A46" i="4"/>
  <c r="B45" i="4"/>
  <c r="B44" i="4"/>
  <c r="A44" i="4"/>
  <c r="B43" i="4"/>
  <c r="A43" i="4"/>
  <c r="F1068" i="3"/>
  <c r="F1036" i="3"/>
  <c r="F1002" i="3"/>
  <c r="F981" i="3"/>
  <c r="F958" i="3"/>
  <c r="F934" i="3"/>
  <c r="F907" i="3"/>
  <c r="F879" i="3"/>
  <c r="F853" i="3"/>
  <c r="F827" i="3"/>
  <c r="F801" i="3"/>
  <c r="F776" i="3"/>
  <c r="G1028" i="3"/>
  <c r="H1028" i="3" s="1"/>
  <c r="G1027" i="3"/>
  <c r="H1027" i="3" s="1"/>
  <c r="G1026" i="3"/>
  <c r="H1026" i="3" s="1"/>
  <c r="G1025" i="3"/>
  <c r="G1057" i="3" s="1"/>
  <c r="H1057" i="3" s="1"/>
  <c r="G1024" i="3"/>
  <c r="H1024" i="3" s="1"/>
  <c r="G1023" i="3"/>
  <c r="G1055" i="3" s="1"/>
  <c r="H1055" i="3" s="1"/>
  <c r="G1021" i="3"/>
  <c r="G1053" i="3" s="1"/>
  <c r="H1053" i="3" s="1"/>
  <c r="G1019" i="3"/>
  <c r="G1051" i="3" s="1"/>
  <c r="H1051" i="3" s="1"/>
  <c r="G994" i="3"/>
  <c r="H994" i="3" s="1"/>
  <c r="G993" i="3"/>
  <c r="H993" i="3" s="1"/>
  <c r="G976" i="3"/>
  <c r="H976" i="3" s="1"/>
  <c r="H977" i="3" s="1"/>
  <c r="G972" i="3"/>
  <c r="H972" i="3" s="1"/>
  <c r="H973" i="3" s="1"/>
  <c r="G953" i="3"/>
  <c r="H953" i="3" s="1"/>
  <c r="G952" i="3"/>
  <c r="H952" i="3" s="1"/>
  <c r="G948" i="3"/>
  <c r="H948" i="3" s="1"/>
  <c r="H949" i="3" s="1"/>
  <c r="G760" i="3"/>
  <c r="H760" i="3" s="1"/>
  <c r="G944" i="3"/>
  <c r="H944" i="3" s="1"/>
  <c r="G899" i="3"/>
  <c r="H899" i="3" s="1"/>
  <c r="G898" i="3"/>
  <c r="G926" i="3" s="1"/>
  <c r="H926" i="3" s="1"/>
  <c r="G897" i="3"/>
  <c r="G925" i="3" s="1"/>
  <c r="H925" i="3" s="1"/>
  <c r="B858" i="3"/>
  <c r="B41" i="4"/>
  <c r="B40" i="4"/>
  <c r="B39" i="4"/>
  <c r="B38" i="4"/>
  <c r="B37" i="4"/>
  <c r="B36" i="4"/>
  <c r="B35" i="4"/>
  <c r="A35" i="4"/>
  <c r="B34" i="4"/>
  <c r="B33" i="4"/>
  <c r="B32" i="4"/>
  <c r="B31" i="4"/>
  <c r="B30" i="4"/>
  <c r="B29" i="4"/>
  <c r="B28" i="4"/>
  <c r="B27" i="4"/>
  <c r="B26" i="4"/>
  <c r="A26" i="4"/>
  <c r="B25" i="4"/>
  <c r="A25" i="4"/>
  <c r="H609" i="3"/>
  <c r="H587" i="3"/>
  <c r="H565" i="3"/>
  <c r="H544" i="3"/>
  <c r="H522" i="3"/>
  <c r="H501" i="3"/>
  <c r="H480" i="3"/>
  <c r="H458" i="3"/>
  <c r="H436" i="3"/>
  <c r="H414" i="3"/>
  <c r="H415" i="3" s="1"/>
  <c r="F747" i="3"/>
  <c r="F725" i="3"/>
  <c r="F703" i="3"/>
  <c r="F681" i="3"/>
  <c r="F659" i="3"/>
  <c r="F637" i="3"/>
  <c r="F616" i="3"/>
  <c r="F594" i="3"/>
  <c r="F573" i="3"/>
  <c r="F551" i="3"/>
  <c r="F529" i="3"/>
  <c r="F508" i="3"/>
  <c r="F487" i="3"/>
  <c r="F466" i="3"/>
  <c r="F444" i="3"/>
  <c r="G739" i="3"/>
  <c r="H739" i="3" s="1"/>
  <c r="H740" i="3" s="1"/>
  <c r="G717" i="3"/>
  <c r="H717" i="3" s="1"/>
  <c r="H718" i="3" s="1"/>
  <c r="G695" i="3"/>
  <c r="H695" i="3" s="1"/>
  <c r="H696" i="3" s="1"/>
  <c r="G673" i="3"/>
  <c r="H673" i="3" s="1"/>
  <c r="H674" i="3" s="1"/>
  <c r="G651" i="3"/>
  <c r="G871" i="3" s="1"/>
  <c r="H871" i="3" s="1"/>
  <c r="B23" i="4"/>
  <c r="B22" i="4"/>
  <c r="B21" i="4"/>
  <c r="B20" i="4"/>
  <c r="B19" i="4"/>
  <c r="B18" i="4"/>
  <c r="A18" i="4"/>
  <c r="B17" i="4"/>
  <c r="B16" i="4"/>
  <c r="B15" i="4"/>
  <c r="A15" i="4"/>
  <c r="B14" i="4"/>
  <c r="B13" i="4"/>
  <c r="B12" i="4"/>
  <c r="A12" i="4"/>
  <c r="B11" i="4"/>
  <c r="A11" i="4"/>
  <c r="B10" i="4"/>
  <c r="A10" i="4"/>
  <c r="B9" i="4"/>
  <c r="A9" i="4"/>
  <c r="B8" i="4"/>
  <c r="A8" i="4"/>
  <c r="H367" i="3"/>
  <c r="G390" i="3"/>
  <c r="H390" i="3" s="1"/>
  <c r="H391" i="3" s="1"/>
  <c r="G322" i="3"/>
  <c r="H322" i="3" s="1"/>
  <c r="G321" i="3"/>
  <c r="H321" i="3" s="1"/>
  <c r="G298" i="3"/>
  <c r="H298" i="3" s="1"/>
  <c r="G297" i="3"/>
  <c r="H297" i="3" s="1"/>
  <c r="F422" i="3"/>
  <c r="F398" i="3"/>
  <c r="F374" i="3"/>
  <c r="F353" i="3"/>
  <c r="F331" i="3"/>
  <c r="F307" i="3"/>
  <c r="G276" i="3"/>
  <c r="H276" i="3" s="1"/>
  <c r="G275" i="3"/>
  <c r="H275" i="3" s="1"/>
  <c r="F283" i="3"/>
  <c r="F259" i="3"/>
  <c r="F237" i="3"/>
  <c r="F206" i="3"/>
  <c r="F175" i="3"/>
  <c r="F149" i="3"/>
  <c r="F112" i="3"/>
  <c r="F87" i="3"/>
  <c r="F58" i="3"/>
  <c r="F29" i="3"/>
  <c r="G141" i="3"/>
  <c r="G229" i="3" s="1"/>
  <c r="H229" i="3" s="1"/>
  <c r="G140" i="3"/>
  <c r="H140" i="3" s="1"/>
  <c r="G139" i="3"/>
  <c r="H139" i="3" s="1"/>
  <c r="G138" i="3"/>
  <c r="H138" i="3" s="1"/>
  <c r="G137" i="3"/>
  <c r="G198" i="3" s="1"/>
  <c r="H198" i="3" s="1"/>
  <c r="G136" i="3"/>
  <c r="H136" i="3" s="1"/>
  <c r="G133" i="3"/>
  <c r="G323" i="3" s="1"/>
  <c r="H323" i="3" s="1"/>
  <c r="G131" i="3"/>
  <c r="H131" i="3" s="1"/>
  <c r="G104" i="3"/>
  <c r="H104" i="3" s="1"/>
  <c r="G102" i="3"/>
  <c r="G129" i="3" s="1"/>
  <c r="G165" i="3" s="1"/>
  <c r="G1513" i="3" s="1"/>
  <c r="G1539" i="3" s="1"/>
  <c r="G75" i="3"/>
  <c r="H75" i="3" s="1"/>
  <c r="G51" i="3"/>
  <c r="H51" i="3" s="1"/>
  <c r="G46" i="3"/>
  <c r="H46" i="3" s="1"/>
  <c r="G22" i="3"/>
  <c r="H22" i="3" s="1"/>
  <c r="G21" i="3"/>
  <c r="H21" i="3" s="1"/>
  <c r="G20" i="3"/>
  <c r="G49" i="3" s="1"/>
  <c r="H49" i="3" s="1"/>
  <c r="G19" i="3"/>
  <c r="G48" i="3" s="1"/>
  <c r="G77" i="3" s="1"/>
  <c r="H77" i="3" s="1"/>
  <c r="G18" i="3"/>
  <c r="G47" i="3" s="1"/>
  <c r="H47" i="3" s="1"/>
  <c r="G16" i="3"/>
  <c r="G44" i="3" s="1"/>
  <c r="G73" i="3" s="1"/>
  <c r="H73" i="3" s="1"/>
  <c r="G13" i="3"/>
  <c r="H13" i="3" s="1"/>
  <c r="G12" i="3"/>
  <c r="G40" i="3" s="1"/>
  <c r="G11" i="3"/>
  <c r="G39" i="3" s="1"/>
  <c r="G68" i="3" s="1"/>
  <c r="G97" i="3" s="1"/>
  <c r="H97" i="3" s="1"/>
  <c r="A12" i="2"/>
  <c r="G10" i="3"/>
  <c r="G38" i="3" s="1"/>
  <c r="G10324" i="3"/>
  <c r="H10270" i="3"/>
  <c r="H10269" i="3"/>
  <c r="G10295" i="3"/>
  <c r="H10295" i="3" s="1"/>
  <c r="H2644" i="3"/>
  <c r="H2465" i="3"/>
  <c r="H2440" i="3"/>
  <c r="H2257" i="3"/>
  <c r="H2192" i="3"/>
  <c r="H2166" i="3"/>
  <c r="H2164" i="3"/>
  <c r="H10461" i="3"/>
  <c r="H10457" i="3"/>
  <c r="H10432" i="3"/>
  <c r="H10406" i="3"/>
  <c r="H10380" i="3"/>
  <c r="F10359" i="3"/>
  <c r="H10354" i="3"/>
  <c r="F10333" i="3"/>
  <c r="H10328" i="3"/>
  <c r="H10302" i="3"/>
  <c r="B10290" i="3"/>
  <c r="G10303" i="3"/>
  <c r="H10276" i="3"/>
  <c r="H10275" i="3"/>
  <c r="H10251" i="3"/>
  <c r="H10252" i="3" s="1"/>
  <c r="H10248" i="3"/>
  <c r="H10247" i="3"/>
  <c r="H10226" i="3"/>
  <c r="H10227" i="3" s="1"/>
  <c r="H10223" i="3"/>
  <c r="H10222" i="3"/>
  <c r="H10201" i="3"/>
  <c r="H10202" i="3" s="1"/>
  <c r="H10196" i="3"/>
  <c r="H10175" i="3"/>
  <c r="H10176" i="3" s="1"/>
  <c r="H10170" i="3"/>
  <c r="B10158" i="3"/>
  <c r="A519" i="5" s="1"/>
  <c r="H10149" i="3"/>
  <c r="H10150" i="3" s="1"/>
  <c r="H10146" i="3"/>
  <c r="H10145" i="3"/>
  <c r="H10120" i="3"/>
  <c r="H10121" i="3" s="1"/>
  <c r="H10116" i="3"/>
  <c r="H10115" i="3"/>
  <c r="H10114" i="3"/>
  <c r="H10090" i="3"/>
  <c r="H10091" i="3" s="1"/>
  <c r="H10087" i="3"/>
  <c r="H10060" i="3"/>
  <c r="H10061" i="3" s="1"/>
  <c r="G10086" i="3"/>
  <c r="H10086" i="3" s="1"/>
  <c r="G10085" i="3"/>
  <c r="H10085" i="3" s="1"/>
  <c r="H10055" i="3"/>
  <c r="G10083" i="3"/>
  <c r="H10083" i="3" s="1"/>
  <c r="G10082" i="3"/>
  <c r="H10082" i="3" s="1"/>
  <c r="H10052" i="3"/>
  <c r="H10029" i="3"/>
  <c r="H10030" i="3" s="1"/>
  <c r="G10026" i="3"/>
  <c r="H10026" i="3" s="1"/>
  <c r="H10004" i="3"/>
  <c r="H10005" i="3" s="1"/>
  <c r="H10001" i="3"/>
  <c r="H9979" i="3"/>
  <c r="H9980" i="3" s="1"/>
  <c r="H9953" i="3"/>
  <c r="H9954" i="3" s="1"/>
  <c r="H9928" i="3"/>
  <c r="H9929" i="3" s="1"/>
  <c r="H9903" i="3"/>
  <c r="H9904" i="3" s="1"/>
  <c r="G9900" i="3"/>
  <c r="H9900" i="3" s="1"/>
  <c r="H9878" i="3"/>
  <c r="H9879" i="3" s="1"/>
  <c r="H9853" i="3"/>
  <c r="H9854" i="3" s="1"/>
  <c r="H9803" i="3"/>
  <c r="H9804" i="3" s="1"/>
  <c r="H9828" i="3"/>
  <c r="H9829" i="3" s="1"/>
  <c r="G9825" i="3"/>
  <c r="H9753" i="3"/>
  <c r="H9754" i="3" s="1"/>
  <c r="H9750" i="3"/>
  <c r="H9749" i="3"/>
  <c r="H9778" i="3"/>
  <c r="H9779" i="3" s="1"/>
  <c r="G9775" i="3"/>
  <c r="H9775" i="3" s="1"/>
  <c r="H9728" i="3"/>
  <c r="H9729" i="3" s="1"/>
  <c r="H9699" i="3"/>
  <c r="H9700" i="3" s="1"/>
  <c r="H9670" i="3"/>
  <c r="H9671" i="3" s="1"/>
  <c r="G9695" i="3"/>
  <c r="G9694" i="3"/>
  <c r="H9641" i="3"/>
  <c r="H9642" i="3" s="1"/>
  <c r="H9638" i="3"/>
  <c r="H9639" i="3" s="1"/>
  <c r="H9617" i="3"/>
  <c r="H9618" i="3" s="1"/>
  <c r="H9590" i="3"/>
  <c r="H9591" i="3" s="1"/>
  <c r="H9565" i="3"/>
  <c r="H9566" i="3" s="1"/>
  <c r="H9561" i="3"/>
  <c r="H9560" i="3"/>
  <c r="H9537" i="3"/>
  <c r="H9538" i="3" s="1"/>
  <c r="G9534" i="3"/>
  <c r="H9534" i="3" s="1"/>
  <c r="H9512" i="3"/>
  <c r="H9513" i="3" s="1"/>
  <c r="H9509" i="3"/>
  <c r="H9508" i="3"/>
  <c r="H9484" i="3"/>
  <c r="H9485" i="3" s="1"/>
  <c r="H9459" i="3"/>
  <c r="H9460" i="3" s="1"/>
  <c r="H9454" i="3"/>
  <c r="H9433" i="3"/>
  <c r="H9434" i="3" s="1"/>
  <c r="G9430" i="3"/>
  <c r="H9430" i="3" s="1"/>
  <c r="H9406" i="3"/>
  <c r="H9407" i="3" s="1"/>
  <c r="H9379" i="3"/>
  <c r="H9380" i="3" s="1"/>
  <c r="H9373" i="3"/>
  <c r="H9352" i="3"/>
  <c r="H9353" i="3" s="1"/>
  <c r="G9349" i="3"/>
  <c r="H9349" i="3" s="1"/>
  <c r="H9320" i="3"/>
  <c r="H9319" i="3"/>
  <c r="B9306" i="3"/>
  <c r="H9293" i="3"/>
  <c r="F9288" i="3"/>
  <c r="F9287" i="3"/>
  <c r="F9285" i="3"/>
  <c r="H9266" i="3"/>
  <c r="H9265" i="3"/>
  <c r="H9239" i="3"/>
  <c r="H9213" i="3"/>
  <c r="F9207" i="3"/>
  <c r="F9206" i="3"/>
  <c r="F9205" i="3"/>
  <c r="H9187" i="3"/>
  <c r="H9186" i="3"/>
  <c r="H9162" i="3"/>
  <c r="H9159" i="3"/>
  <c r="H9135" i="3"/>
  <c r="H9134" i="3"/>
  <c r="G9108" i="3"/>
  <c r="H9108" i="3" s="1"/>
  <c r="H9084" i="3"/>
  <c r="H9082" i="3"/>
  <c r="H9058" i="3"/>
  <c r="H9059" i="3" s="1"/>
  <c r="H9009" i="3"/>
  <c r="G9033" i="3"/>
  <c r="H9033" i="3" s="1"/>
  <c r="H9007" i="3"/>
  <c r="B8995" i="3"/>
  <c r="A468" i="5" s="1"/>
  <c r="H8982" i="3"/>
  <c r="H8981" i="3"/>
  <c r="H8956" i="3"/>
  <c r="H8933" i="3"/>
  <c r="H8932" i="3"/>
  <c r="H8908" i="3"/>
  <c r="H8909" i="3" s="1"/>
  <c r="G8884" i="3"/>
  <c r="G8883" i="3"/>
  <c r="H8847" i="3"/>
  <c r="G8881" i="3"/>
  <c r="H8881" i="3" s="1"/>
  <c r="H8845" i="3"/>
  <c r="G8879" i="3"/>
  <c r="H8879" i="3" s="1"/>
  <c r="G8878" i="3"/>
  <c r="H8878" i="3" s="1"/>
  <c r="G8818" i="3"/>
  <c r="H8818" i="3" s="1"/>
  <c r="H8819" i="3" s="1"/>
  <c r="H8774" i="3"/>
  <c r="H8775" i="3" s="1"/>
  <c r="H8749" i="3"/>
  <c r="H8751" i="3" s="1"/>
  <c r="H8724" i="3"/>
  <c r="H8726" i="3" s="1"/>
  <c r="H8700" i="3"/>
  <c r="H8701" i="3" s="1"/>
  <c r="H8676" i="3"/>
  <c r="H8677" i="3" s="1"/>
  <c r="H8652" i="3"/>
  <c r="H8653" i="3" s="1"/>
  <c r="H8627" i="3"/>
  <c r="H8629" i="3" s="1"/>
  <c r="H8602" i="3"/>
  <c r="H8577" i="3"/>
  <c r="H8578" i="3"/>
  <c r="H8552" i="3"/>
  <c r="H8528" i="3"/>
  <c r="H8504" i="3"/>
  <c r="H8505" i="3" s="1"/>
  <c r="H8480" i="3"/>
  <c r="H8481" i="3" s="1"/>
  <c r="H8457" i="3"/>
  <c r="H8458" i="3" s="1"/>
  <c r="H8433" i="3"/>
  <c r="H8434" i="3" s="1"/>
  <c r="B8421" i="3"/>
  <c r="H8385" i="3"/>
  <c r="H8386" i="3" s="1"/>
  <c r="H8361" i="3"/>
  <c r="H8362" i="3" s="1"/>
  <c r="H8337" i="3"/>
  <c r="H8338" i="3" s="1"/>
  <c r="B8325" i="3"/>
  <c r="H8313" i="3"/>
  <c r="H8314" i="3" s="1"/>
  <c r="H8265" i="3"/>
  <c r="H8266" i="3" s="1"/>
  <c r="B8253" i="3"/>
  <c r="A435" i="5" s="1"/>
  <c r="H8241" i="3"/>
  <c r="H8242" i="3" s="1"/>
  <c r="H7427" i="3"/>
  <c r="H7425" i="3"/>
  <c r="C7243" i="3"/>
  <c r="C7242" i="3"/>
  <c r="H7211" i="3"/>
  <c r="H7105" i="3"/>
  <c r="H7103" i="3"/>
  <c r="H7102" i="3"/>
  <c r="B6987" i="3"/>
  <c r="A380" i="5" s="1"/>
  <c r="P6954" i="3"/>
  <c r="P6953" i="3"/>
  <c r="P6952" i="3"/>
  <c r="P6951" i="3"/>
  <c r="P6950" i="3"/>
  <c r="P6949" i="3"/>
  <c r="F6949" i="3"/>
  <c r="C6949" i="3"/>
  <c r="P6948" i="3"/>
  <c r="P6947" i="3"/>
  <c r="P6945" i="3"/>
  <c r="P6944" i="3"/>
  <c r="P6943" i="3"/>
  <c r="P6942" i="3"/>
  <c r="P6941" i="3"/>
  <c r="P6912" i="3"/>
  <c r="P6911" i="3"/>
  <c r="P6910" i="3"/>
  <c r="P6909" i="3"/>
  <c r="P6907" i="3"/>
  <c r="P6906" i="3"/>
  <c r="P6905" i="3"/>
  <c r="P6904" i="3"/>
  <c r="P6903" i="3"/>
  <c r="P6902" i="3"/>
  <c r="P6901" i="3"/>
  <c r="P6900" i="3"/>
  <c r="H6874" i="3"/>
  <c r="G6912" i="3"/>
  <c r="H6912" i="3" s="1"/>
  <c r="H6871" i="3"/>
  <c r="P6627" i="3"/>
  <c r="P6626" i="3"/>
  <c r="P6625" i="3"/>
  <c r="P6624" i="3"/>
  <c r="P6623" i="3"/>
  <c r="P6622" i="3"/>
  <c r="P6621" i="3"/>
  <c r="B6619" i="3"/>
  <c r="G6480" i="3"/>
  <c r="H6480" i="3" s="1"/>
  <c r="C6380" i="3"/>
  <c r="H6276" i="3"/>
  <c r="H6228" i="3"/>
  <c r="H6178" i="3"/>
  <c r="H6153" i="3"/>
  <c r="H6128" i="3"/>
  <c r="H5895" i="3"/>
  <c r="H5894" i="3"/>
  <c r="H5869" i="3"/>
  <c r="H5868" i="3"/>
  <c r="H5867" i="3"/>
  <c r="H5617" i="3"/>
  <c r="B5502" i="3"/>
  <c r="E4181" i="3"/>
  <c r="C4181" i="3"/>
  <c r="B4021" i="3"/>
  <c r="B3846" i="3"/>
  <c r="B3771" i="3"/>
  <c r="B3036" i="3"/>
  <c r="B2984" i="3"/>
  <c r="K2801" i="3"/>
  <c r="G2731" i="3"/>
  <c r="G2759" i="3" s="1"/>
  <c r="H2759" i="3" s="1"/>
  <c r="C2729" i="3"/>
  <c r="C2757" i="3" s="1"/>
  <c r="H2704" i="3"/>
  <c r="H2491" i="3"/>
  <c r="F2429" i="3"/>
  <c r="H2165" i="3"/>
  <c r="H2140" i="3"/>
  <c r="H2099" i="3"/>
  <c r="C2083" i="3"/>
  <c r="H2057" i="3"/>
  <c r="H2016" i="3"/>
  <c r="H1974" i="3"/>
  <c r="H1933" i="3"/>
  <c r="C1919" i="3"/>
  <c r="C1960" i="3" s="1"/>
  <c r="C2002" i="3" s="1"/>
  <c r="C2043" i="3" s="1"/>
  <c r="C2085" i="3" s="1"/>
  <c r="C2126" i="3" s="1"/>
  <c r="H1892" i="3"/>
  <c r="H1860" i="3"/>
  <c r="H1840" i="3"/>
  <c r="H1816" i="3"/>
  <c r="H1784" i="3"/>
  <c r="H1751" i="3"/>
  <c r="H1721" i="3"/>
  <c r="H1692" i="3"/>
  <c r="H1663" i="3"/>
  <c r="H1659" i="3"/>
  <c r="H1632" i="3"/>
  <c r="H1603" i="3"/>
  <c r="H1574" i="3"/>
  <c r="H1545" i="3"/>
  <c r="H1519" i="3"/>
  <c r="H1493" i="3"/>
  <c r="H1468" i="3"/>
  <c r="H1443" i="3"/>
  <c r="H1418" i="3"/>
  <c r="H1391" i="3"/>
  <c r="H1365" i="3"/>
  <c r="H1338" i="3"/>
  <c r="H1311" i="3"/>
  <c r="H1284" i="3"/>
  <c r="H1256" i="3"/>
  <c r="B1237" i="3"/>
  <c r="H1229" i="3"/>
  <c r="H1202" i="3"/>
  <c r="H1175" i="3"/>
  <c r="H1146" i="3"/>
  <c r="H1120" i="3"/>
  <c r="B1102" i="3"/>
  <c r="A56" i="5" s="1"/>
  <c r="H1094" i="3"/>
  <c r="H1064" i="3"/>
  <c r="H1032" i="3"/>
  <c r="H998" i="3"/>
  <c r="H930" i="3"/>
  <c r="H903" i="3"/>
  <c r="H875" i="3"/>
  <c r="H849" i="3"/>
  <c r="H823" i="3"/>
  <c r="H797" i="3"/>
  <c r="B780" i="3"/>
  <c r="H772" i="3"/>
  <c r="H743" i="3"/>
  <c r="H721" i="3"/>
  <c r="H699" i="3"/>
  <c r="H677" i="3"/>
  <c r="H655" i="3"/>
  <c r="B620" i="3"/>
  <c r="H612" i="3"/>
  <c r="H590" i="3"/>
  <c r="H568" i="3"/>
  <c r="H547" i="3"/>
  <c r="H525" i="3"/>
  <c r="H504" i="3"/>
  <c r="H483" i="3"/>
  <c r="H461" i="3"/>
  <c r="H440" i="3"/>
  <c r="H418" i="3"/>
  <c r="B426" i="3"/>
  <c r="H394" i="3"/>
  <c r="H370" i="3"/>
  <c r="H349" i="3"/>
  <c r="H327" i="3"/>
  <c r="H303" i="3"/>
  <c r="B287" i="3"/>
  <c r="H280" i="3"/>
  <c r="H254" i="3"/>
  <c r="H250" i="3"/>
  <c r="H251" i="3" s="1"/>
  <c r="H233" i="3"/>
  <c r="B210" i="3"/>
  <c r="H202" i="3"/>
  <c r="H171" i="3"/>
  <c r="H145" i="3"/>
  <c r="B116" i="3"/>
  <c r="H108" i="3"/>
  <c r="H82" i="3"/>
  <c r="H54" i="3"/>
  <c r="H25" i="3"/>
  <c r="A616" i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09" i="1"/>
  <c r="A610" i="1" s="1"/>
  <c r="A611" i="1" s="1"/>
  <c r="A612" i="1" s="1"/>
  <c r="A595" i="1"/>
  <c r="A596" i="1" s="1"/>
  <c r="A597" i="1" s="1"/>
  <c r="A598" i="1" s="1"/>
  <c r="A599" i="1" s="1"/>
  <c r="A600" i="1" s="1"/>
  <c r="A601" i="1" s="1"/>
  <c r="A602" i="1" s="1"/>
  <c r="A603" i="1" s="1"/>
  <c r="A604" i="1" s="1"/>
  <c r="A589" i="1"/>
  <c r="A590" i="1" s="1"/>
  <c r="A591" i="1" s="1"/>
  <c r="A585" i="1"/>
  <c r="A581" i="1"/>
  <c r="A562" i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33" i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392" i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350" i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06" i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291" i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240" i="1"/>
  <c r="A184" i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131" i="1"/>
  <c r="A132" i="1" s="1"/>
  <c r="A133" i="1" s="1"/>
  <c r="A134" i="1" s="1"/>
  <c r="A135" i="1" s="1"/>
  <c r="A136" i="1" s="1"/>
  <c r="A137" i="1" s="1"/>
  <c r="A138" i="1" s="1"/>
  <c r="A139" i="1" s="1"/>
  <c r="A140" i="1" s="1"/>
  <c r="A16" i="1"/>
  <c r="A17" i="1" s="1"/>
  <c r="A18" i="1" s="1"/>
  <c r="A19" i="1" s="1"/>
  <c r="A20" i="1" s="1"/>
  <c r="A21" i="1" s="1"/>
  <c r="A10" i="1"/>
  <c r="A11" i="1" s="1"/>
  <c r="A12" i="1" s="1"/>
  <c r="H2311" i="3"/>
  <c r="H2231" i="3"/>
  <c r="H2411" i="3"/>
  <c r="H6872" i="3"/>
  <c r="H346" i="3"/>
  <c r="H6456" i="3"/>
  <c r="H2540" i="3"/>
  <c r="G6277" i="3"/>
  <c r="H7101" i="3"/>
  <c r="H7210" i="3"/>
  <c r="G6913" i="3"/>
  <c r="H6913" i="3" s="1"/>
  <c r="H6873" i="3"/>
  <c r="H5896" i="3"/>
  <c r="G6910" i="3"/>
  <c r="H6910" i="3" s="1"/>
  <c r="H6870" i="3"/>
  <c r="G6911" i="3"/>
  <c r="H6911" i="3" s="1"/>
  <c r="H2284" i="3"/>
  <c r="H2337" i="3"/>
  <c r="H2386" i="3"/>
  <c r="H2619" i="3"/>
  <c r="H2361" i="3"/>
  <c r="F10385" i="3" l="1"/>
  <c r="F10411" i="3" s="1"/>
  <c r="F10462" i="3" s="1"/>
  <c r="A446" i="7"/>
  <c r="A446" i="6"/>
  <c r="A534" i="7"/>
  <c r="A534" i="6"/>
  <c r="A390" i="7"/>
  <c r="A390" i="6"/>
  <c r="A480" i="7"/>
  <c r="A480" i="6"/>
  <c r="A59" i="6"/>
  <c r="A59" i="7"/>
  <c r="B641" i="3"/>
  <c r="A36" i="5" s="1"/>
  <c r="A35" i="5"/>
  <c r="A19" i="4"/>
  <c r="A18" i="5"/>
  <c r="A177" i="4"/>
  <c r="A176" i="5"/>
  <c r="A364" i="4"/>
  <c r="A363" i="5"/>
  <c r="A268" i="4"/>
  <c r="A267" i="5"/>
  <c r="B883" i="3"/>
  <c r="A49" i="4" s="1"/>
  <c r="A47" i="5"/>
  <c r="B448" i="3"/>
  <c r="A27" i="5" s="1"/>
  <c r="A26" i="5"/>
  <c r="A242" i="4"/>
  <c r="A241" i="5"/>
  <c r="B3194" i="3"/>
  <c r="A216" i="5" s="1"/>
  <c r="A215" i="5"/>
  <c r="A323" i="4"/>
  <c r="A322" i="5"/>
  <c r="A13" i="4"/>
  <c r="A12" i="5"/>
  <c r="A245" i="4"/>
  <c r="A244" i="5"/>
  <c r="A439" i="4"/>
  <c r="A438" i="5"/>
  <c r="A344" i="4"/>
  <c r="A343" i="5"/>
  <c r="A209" i="4"/>
  <c r="A208" i="5"/>
  <c r="A45" i="4"/>
  <c r="A44" i="5"/>
  <c r="B4045" i="3"/>
  <c r="A252" i="5" s="1"/>
  <c r="A251" i="5"/>
  <c r="B3061" i="3"/>
  <c r="A210" i="5"/>
  <c r="A481" i="4"/>
  <c r="A480" i="5"/>
  <c r="B1265" i="3"/>
  <c r="A61" i="5"/>
  <c r="B241" i="3"/>
  <c r="A15" i="5"/>
  <c r="B5529" i="3"/>
  <c r="A313" i="5" s="1"/>
  <c r="A312" i="5"/>
  <c r="A443" i="4"/>
  <c r="A442" i="5"/>
  <c r="B10316" i="3"/>
  <c r="A526" i="5"/>
  <c r="A527" i="4"/>
  <c r="A22" i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B10184" i="3"/>
  <c r="A520" i="5" s="1"/>
  <c r="A520" i="4"/>
  <c r="A513" i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H3233" i="3"/>
  <c r="G1597" i="3"/>
  <c r="G1626" i="3" s="1"/>
  <c r="H1626" i="3" s="1"/>
  <c r="G9662" i="3"/>
  <c r="H9662" i="3" s="1"/>
  <c r="H9925" i="3"/>
  <c r="G9925" i="3"/>
  <c r="H9799" i="3"/>
  <c r="G9800" i="3"/>
  <c r="H9800" i="3" s="1"/>
  <c r="H9480" i="3"/>
  <c r="G9481" i="3"/>
  <c r="H9481" i="3" s="1"/>
  <c r="H9586" i="3"/>
  <c r="G9611" i="3"/>
  <c r="H9611" i="3" s="1"/>
  <c r="G9950" i="3"/>
  <c r="H9950" i="3"/>
  <c r="H9559" i="3"/>
  <c r="G9667" i="3"/>
  <c r="G9612" i="3"/>
  <c r="H9612" i="3" s="1"/>
  <c r="G9403" i="3"/>
  <c r="H9403" i="3" s="1"/>
  <c r="A436" i="4"/>
  <c r="B9021" i="3"/>
  <c r="A469" i="4"/>
  <c r="G135" i="3"/>
  <c r="G196" i="3" s="1"/>
  <c r="G227" i="3" s="1"/>
  <c r="H227" i="3" s="1"/>
  <c r="G1020" i="3"/>
  <c r="G1052" i="3" s="1"/>
  <c r="H1052" i="3" s="1"/>
  <c r="G2730" i="3"/>
  <c r="H2730" i="3" s="1"/>
  <c r="H1412" i="3"/>
  <c r="G1060" i="3"/>
  <c r="H1060" i="3" s="1"/>
  <c r="H2599" i="3"/>
  <c r="H8883" i="3"/>
  <c r="G9160" i="3"/>
  <c r="G766" i="3"/>
  <c r="G791" i="3" s="1"/>
  <c r="G817" i="3" s="1"/>
  <c r="G843" i="3" s="1"/>
  <c r="H843" i="3" s="1"/>
  <c r="G3400" i="3"/>
  <c r="H3400" i="3" s="1"/>
  <c r="H1021" i="3"/>
  <c r="H897" i="3"/>
  <c r="H10268" i="3"/>
  <c r="H9587" i="3"/>
  <c r="B8445" i="3"/>
  <c r="H9949" i="3"/>
  <c r="G10081" i="3"/>
  <c r="H10081" i="3" s="1"/>
  <c r="B8349" i="3"/>
  <c r="H8409" i="3"/>
  <c r="H8410" i="3" s="1"/>
  <c r="H8289" i="3"/>
  <c r="H8290" i="3" s="1"/>
  <c r="H9008" i="3"/>
  <c r="H9010" i="3" s="1"/>
  <c r="H1019" i="3"/>
  <c r="H1716" i="3"/>
  <c r="G1834" i="3"/>
  <c r="H1834" i="3" s="1"/>
  <c r="H2701" i="3"/>
  <c r="G1812" i="3"/>
  <c r="H1812" i="3" s="1"/>
  <c r="H10" i="3"/>
  <c r="G786" i="3"/>
  <c r="G811" i="3" s="1"/>
  <c r="G837" i="3" s="1"/>
  <c r="H9533" i="3"/>
  <c r="H9535" i="3" s="1"/>
  <c r="H165" i="3"/>
  <c r="G192" i="3"/>
  <c r="G223" i="3" s="1"/>
  <c r="H223" i="3" s="1"/>
  <c r="H129" i="3"/>
  <c r="H9400" i="3"/>
  <c r="B2251" i="3"/>
  <c r="A177" i="5" s="1"/>
  <c r="G10323" i="3"/>
  <c r="G10349" i="3" s="1"/>
  <c r="H102" i="3"/>
  <c r="H9427" i="3"/>
  <c r="H995" i="3"/>
  <c r="H1001" i="3" s="1"/>
  <c r="H1002" i="3" s="1"/>
  <c r="H1003" i="3" s="1"/>
  <c r="H8843" i="3"/>
  <c r="H68" i="3"/>
  <c r="G3402" i="3"/>
  <c r="H3402" i="3" s="1"/>
  <c r="H2998" i="3"/>
  <c r="H39" i="3"/>
  <c r="H3456" i="3"/>
  <c r="H2945" i="3"/>
  <c r="H9376" i="3"/>
  <c r="G9292" i="3"/>
  <c r="H9292" i="3" s="1"/>
  <c r="H9665" i="3"/>
  <c r="G9110" i="3"/>
  <c r="H9110" i="3" s="1"/>
  <c r="H3376" i="3"/>
  <c r="H2972" i="3"/>
  <c r="H2867" i="3"/>
  <c r="G3315" i="3"/>
  <c r="H3315" i="3" s="1"/>
  <c r="H2919" i="3"/>
  <c r="H9899" i="3"/>
  <c r="H9901" i="3" s="1"/>
  <c r="H3288" i="3"/>
  <c r="H3261" i="3"/>
  <c r="H2700" i="3"/>
  <c r="H3208" i="3"/>
  <c r="H2893" i="3"/>
  <c r="H3181" i="3"/>
  <c r="H11" i="3"/>
  <c r="G3656" i="3"/>
  <c r="H3656" i="3" s="1"/>
  <c r="H3630" i="3"/>
  <c r="H3155" i="3"/>
  <c r="H1878" i="3"/>
  <c r="H3235" i="3"/>
  <c r="G3605" i="3"/>
  <c r="H3605" i="3" s="1"/>
  <c r="H3128" i="3"/>
  <c r="H2841" i="3"/>
  <c r="H3580" i="3"/>
  <c r="H3101" i="3"/>
  <c r="H3555" i="3"/>
  <c r="H3505" i="3"/>
  <c r="H3075" i="3"/>
  <c r="H2815" i="3"/>
  <c r="G3530" i="3"/>
  <c r="H3530" i="3" s="1"/>
  <c r="H3049" i="3"/>
  <c r="H3480" i="3"/>
  <c r="G3024" i="3"/>
  <c r="H3024" i="3" s="1"/>
  <c r="H8846" i="3"/>
  <c r="H133" i="3"/>
  <c r="H1116" i="3"/>
  <c r="G8882" i="3"/>
  <c r="H1198" i="3"/>
  <c r="G1959" i="3"/>
  <c r="H1959" i="3" s="1"/>
  <c r="H3179" i="3"/>
  <c r="H2731" i="3"/>
  <c r="G122" i="3"/>
  <c r="H122" i="3" s="1"/>
  <c r="G3209" i="3"/>
  <c r="G3236" i="3" s="1"/>
  <c r="G7923" i="3"/>
  <c r="G7945" i="3" s="1"/>
  <c r="G7967" i="3" s="1"/>
  <c r="H1877" i="3"/>
  <c r="H1439" i="3"/>
  <c r="G2786" i="3"/>
  <c r="H2786" i="3" s="1"/>
  <c r="H9348" i="3"/>
  <c r="H9350" i="3" s="1"/>
  <c r="A48" i="4"/>
  <c r="H1855" i="3"/>
  <c r="G2230" i="3"/>
  <c r="H2230" i="3" s="1"/>
  <c r="H2191" i="3"/>
  <c r="A16" i="4"/>
  <c r="H8848" i="3"/>
  <c r="G9212" i="3"/>
  <c r="H9212" i="3" s="1"/>
  <c r="H2839" i="3"/>
  <c r="G2865" i="3"/>
  <c r="H2865" i="3" s="1"/>
  <c r="H2523" i="3"/>
  <c r="H48" i="3"/>
  <c r="H141" i="3"/>
  <c r="G2547" i="3"/>
  <c r="H2547" i="3" s="1"/>
  <c r="H3153" i="3"/>
  <c r="H8849" i="3"/>
  <c r="H2265" i="3"/>
  <c r="H2266" i="3" s="1"/>
  <c r="H8553" i="3"/>
  <c r="H8554" i="3" s="1"/>
  <c r="A252" i="4"/>
  <c r="G76" i="3"/>
  <c r="H76" i="3" s="1"/>
  <c r="H20" i="3"/>
  <c r="H19" i="3"/>
  <c r="H7900" i="3"/>
  <c r="H7903" i="3" s="1"/>
  <c r="H9924" i="3"/>
  <c r="H18" i="3"/>
  <c r="H2813" i="3"/>
  <c r="H2755" i="3"/>
  <c r="G2232" i="3"/>
  <c r="H2193" i="3"/>
  <c r="H2573" i="3"/>
  <c r="B311" i="3"/>
  <c r="G768" i="3"/>
  <c r="G793" i="3" s="1"/>
  <c r="G819" i="3" s="1"/>
  <c r="H5897" i="3"/>
  <c r="G9034" i="3"/>
  <c r="H9034" i="3" s="1"/>
  <c r="H9035" i="3" s="1"/>
  <c r="G7924" i="3"/>
  <c r="H10298" i="3"/>
  <c r="H10056" i="3"/>
  <c r="H10271" i="3"/>
  <c r="G1777" i="3"/>
  <c r="H1777" i="3" s="1"/>
  <c r="H2167" i="3"/>
  <c r="H2168" i="3" s="1"/>
  <c r="H10296" i="3"/>
  <c r="H954" i="3"/>
  <c r="G1598" i="3"/>
  <c r="H1598" i="3" s="1"/>
  <c r="G2625" i="3"/>
  <c r="H2600" i="3"/>
  <c r="H10324" i="3"/>
  <c r="G10350" i="3"/>
  <c r="H40" i="3"/>
  <c r="G69" i="3"/>
  <c r="H69" i="3" s="1"/>
  <c r="H1361" i="3"/>
  <c r="B6645" i="3"/>
  <c r="A344" i="5"/>
  <c r="H2448" i="3"/>
  <c r="H1334" i="3"/>
  <c r="H6254" i="3"/>
  <c r="H1171" i="3"/>
  <c r="G10084" i="3"/>
  <c r="H10084" i="3" s="1"/>
  <c r="G1056" i="3"/>
  <c r="H1056" i="3" s="1"/>
  <c r="H1142" i="3"/>
  <c r="H1090" i="3"/>
  <c r="G9850" i="3"/>
  <c r="H9850" i="3" s="1"/>
  <c r="H9774" i="3"/>
  <c r="H9776" i="3" s="1"/>
  <c r="H1252" i="3"/>
  <c r="P6628" i="3"/>
  <c r="H1307" i="3"/>
  <c r="H1280" i="3"/>
  <c r="H8603" i="3"/>
  <c r="H8604" i="3" s="1"/>
  <c r="H277" i="3"/>
  <c r="G10001" i="3"/>
  <c r="H1025" i="3"/>
  <c r="H10000" i="3"/>
  <c r="H10002" i="3" s="1"/>
  <c r="H1225" i="3"/>
  <c r="H9849" i="3"/>
  <c r="H10057" i="3"/>
  <c r="H9318" i="3"/>
  <c r="H12" i="3"/>
  <c r="H9136" i="3"/>
  <c r="H1919" i="3"/>
  <c r="G1960" i="3"/>
  <c r="H38" i="3"/>
  <c r="G67" i="3"/>
  <c r="G7944" i="3"/>
  <c r="H7922" i="3"/>
  <c r="G2233" i="3"/>
  <c r="H2194" i="3"/>
  <c r="G8880" i="3"/>
  <c r="H8880" i="3" s="1"/>
  <c r="A36" i="4"/>
  <c r="G41" i="3"/>
  <c r="A27" i="4"/>
  <c r="H1089" i="3"/>
  <c r="H2205" i="3"/>
  <c r="H10053" i="3"/>
  <c r="H137" i="3"/>
  <c r="H4207" i="3"/>
  <c r="B5728" i="3"/>
  <c r="A323" i="5" s="1"/>
  <c r="H10025" i="3"/>
  <c r="H10027" i="3" s="1"/>
  <c r="A313" i="4"/>
  <c r="H1776" i="3"/>
  <c r="G2269" i="3"/>
  <c r="G50" i="3"/>
  <c r="G1059" i="3"/>
  <c r="H1059" i="3" s="1"/>
  <c r="H10277" i="3"/>
  <c r="H10278" i="3" s="1"/>
  <c r="H1023" i="3"/>
  <c r="G10321" i="3"/>
  <c r="H8844" i="3"/>
  <c r="G1515" i="3"/>
  <c r="G1541" i="3" s="1"/>
  <c r="H16" i="3"/>
  <c r="H2204" i="3"/>
  <c r="H9825" i="3"/>
  <c r="H9824" i="3"/>
  <c r="B1292" i="3"/>
  <c r="A63" i="5" s="1"/>
  <c r="A381" i="4"/>
  <c r="B7013" i="3"/>
  <c r="A381" i="5" s="1"/>
  <c r="B1128" i="3"/>
  <c r="A57" i="5" s="1"/>
  <c r="A57" i="4"/>
  <c r="H9975" i="3"/>
  <c r="H9974" i="3"/>
  <c r="G9975" i="3"/>
  <c r="A216" i="4"/>
  <c r="H9694" i="3"/>
  <c r="G9723" i="3"/>
  <c r="H9723" i="3" s="1"/>
  <c r="H1570" i="3"/>
  <c r="G1599" i="3"/>
  <c r="H1599" i="3" s="1"/>
  <c r="H2669" i="3"/>
  <c r="H10054" i="3"/>
  <c r="A62" i="4"/>
  <c r="H2566" i="3"/>
  <c r="A211" i="4"/>
  <c r="B153" i="3"/>
  <c r="H2515" i="3"/>
  <c r="H9751" i="3"/>
  <c r="G2722" i="3"/>
  <c r="H2694" i="3"/>
  <c r="H2593" i="3"/>
  <c r="H6877" i="3"/>
  <c r="H10249" i="3"/>
  <c r="H2652" i="3"/>
  <c r="H7481" i="3"/>
  <c r="G7605" i="3"/>
  <c r="H7050" i="3"/>
  <c r="G3127" i="3"/>
  <c r="G3154" i="3" s="1"/>
  <c r="H3154" i="3" s="1"/>
  <c r="H6875" i="3"/>
  <c r="G1140" i="3"/>
  <c r="H1114" i="3"/>
  <c r="G2473" i="3"/>
  <c r="H2473" i="3" s="1"/>
  <c r="H2474" i="3" s="1"/>
  <c r="H651" i="3"/>
  <c r="H652" i="3" s="1"/>
  <c r="H2293" i="3"/>
  <c r="H6357" i="3"/>
  <c r="G3313" i="3"/>
  <c r="H3313" i="3" s="1"/>
  <c r="H324" i="3"/>
  <c r="H2422" i="3"/>
  <c r="G197" i="3"/>
  <c r="H197" i="3" s="1"/>
  <c r="G167" i="3"/>
  <c r="H167" i="3" s="1"/>
  <c r="H2202" i="3"/>
  <c r="H2203" i="3"/>
  <c r="H1088" i="3"/>
  <c r="G1489" i="3"/>
  <c r="H1489" i="3" s="1"/>
  <c r="H1490" i="3" s="1"/>
  <c r="H1464" i="3"/>
  <c r="H1465" i="3" s="1"/>
  <c r="G3732" i="3"/>
  <c r="H3706" i="3"/>
  <c r="G1141" i="3"/>
  <c r="H1115" i="3"/>
  <c r="G1746" i="3"/>
  <c r="H1746" i="3" s="1"/>
  <c r="H1715" i="3"/>
  <c r="H44" i="3"/>
  <c r="H3504" i="3"/>
  <c r="H3048" i="3"/>
  <c r="G3529" i="3"/>
  <c r="H3529" i="3" s="1"/>
  <c r="H3531" i="3" s="1"/>
  <c r="H3074" i="3"/>
  <c r="H2421" i="3"/>
  <c r="H17" i="3"/>
  <c r="H3234" i="3"/>
  <c r="H3287" i="3"/>
  <c r="H3180" i="3"/>
  <c r="G128" i="3"/>
  <c r="H3455" i="3"/>
  <c r="G3314" i="3"/>
  <c r="H3207" i="3"/>
  <c r="G3023" i="3"/>
  <c r="H3023" i="3" s="1"/>
  <c r="H3260" i="3"/>
  <c r="H3100" i="3"/>
  <c r="H2997" i="3"/>
  <c r="H2840" i="3"/>
  <c r="H1438" i="3"/>
  <c r="H2866" i="3"/>
  <c r="H3629" i="3"/>
  <c r="G45" i="3"/>
  <c r="G3783" i="3"/>
  <c r="G6050" i="3"/>
  <c r="G3654" i="3"/>
  <c r="G3680" i="3" s="1"/>
  <c r="H3680" i="3" s="1"/>
  <c r="H3683" i="3" s="1"/>
  <c r="H898" i="3"/>
  <c r="H3579" i="3"/>
  <c r="G1058" i="3"/>
  <c r="H1058" i="3" s="1"/>
  <c r="H5378" i="3"/>
  <c r="G3604" i="3"/>
  <c r="H3604" i="3" s="1"/>
  <c r="H3606" i="3" s="1"/>
  <c r="H2918" i="3"/>
  <c r="H2892" i="3"/>
  <c r="H6204" i="3"/>
  <c r="G3401" i="3"/>
  <c r="H3375" i="3"/>
  <c r="H3126" i="3"/>
  <c r="H2971" i="3"/>
  <c r="H3758" i="3"/>
  <c r="H3760" i="3" s="1"/>
  <c r="H3554" i="3"/>
  <c r="H2548" i="3"/>
  <c r="H2944" i="3"/>
  <c r="H3479" i="3"/>
  <c r="H2814" i="3"/>
  <c r="G3784" i="3"/>
  <c r="G6051" i="3"/>
  <c r="H8529" i="3"/>
  <c r="H6682" i="3"/>
  <c r="G6708" i="3"/>
  <c r="H7270" i="3"/>
  <c r="H10147" i="3"/>
  <c r="G7294" i="3"/>
  <c r="H7294" i="3" s="1"/>
  <c r="H7296" i="3" s="1"/>
  <c r="H8579" i="3"/>
  <c r="H6634" i="3"/>
  <c r="H7451" i="3"/>
  <c r="H10224" i="3"/>
  <c r="H6999" i="3"/>
  <c r="H6407" i="3"/>
  <c r="H6277" i="3"/>
  <c r="G6279" i="3"/>
  <c r="H6279" i="3" s="1"/>
  <c r="H6280" i="3" s="1"/>
  <c r="H6876" i="3"/>
  <c r="G6557" i="3"/>
  <c r="H6557" i="3" s="1"/>
  <c r="H10117" i="3"/>
  <c r="G7025" i="3"/>
  <c r="H7025" i="3" s="1"/>
  <c r="H5898" i="3"/>
  <c r="H5843" i="3"/>
  <c r="G1565" i="3"/>
  <c r="H1539" i="3"/>
  <c r="H5248" i="3"/>
  <c r="G5273" i="3"/>
  <c r="H5273" i="3" s="1"/>
  <c r="H5274" i="3" s="1"/>
  <c r="H2574" i="3"/>
  <c r="G2626" i="3"/>
  <c r="H2626" i="3" s="1"/>
  <c r="H5146" i="3"/>
  <c r="H4234" i="3"/>
  <c r="G4261" i="3"/>
  <c r="G2756" i="3"/>
  <c r="H1513" i="3"/>
  <c r="H5223" i="3"/>
  <c r="H5224" i="3" s="1"/>
  <c r="H5247" i="3"/>
  <c r="H5715" i="3"/>
  <c r="G5741" i="3"/>
  <c r="H5691" i="3"/>
  <c r="H5768" i="3"/>
  <c r="H5953" i="3"/>
  <c r="H5667" i="3"/>
  <c r="G7881" i="3"/>
  <c r="H7881" i="3" s="1"/>
  <c r="H7603" i="3"/>
  <c r="G7754" i="3"/>
  <c r="H7754" i="3" s="1"/>
  <c r="H7756" i="3" s="1"/>
  <c r="H7730" i="3"/>
  <c r="H7731" i="3" s="1"/>
  <c r="H6914" i="3"/>
  <c r="H6915" i="3" s="1"/>
  <c r="G6949" i="3"/>
  <c r="H5928" i="3"/>
  <c r="H9695" i="3"/>
  <c r="G9724" i="3"/>
  <c r="H9724" i="3" s="1"/>
  <c r="G7631" i="3"/>
  <c r="H7553" i="3"/>
  <c r="H7554" i="3" s="1"/>
  <c r="H9874" i="3"/>
  <c r="G9875" i="3"/>
  <c r="H9875" i="3" s="1"/>
  <c r="G7373" i="3"/>
  <c r="H7373" i="3" s="1"/>
  <c r="H7242" i="3"/>
  <c r="H5642" i="3"/>
  <c r="G5742" i="3"/>
  <c r="H5716" i="3"/>
  <c r="H10303" i="3"/>
  <c r="H10304" i="3" s="1"/>
  <c r="G10329" i="3"/>
  <c r="H7806" i="3"/>
  <c r="G7831" i="3"/>
  <c r="H8884" i="3"/>
  <c r="G8934" i="3"/>
  <c r="H10118" i="3"/>
  <c r="H9666" i="3"/>
  <c r="H8796" i="3"/>
  <c r="H8797" i="3" s="1"/>
  <c r="H7454" i="3"/>
  <c r="F10437" i="3" l="1"/>
  <c r="B3221" i="3"/>
  <c r="A217" i="5" s="1"/>
  <c r="A217" i="4"/>
  <c r="A37" i="4"/>
  <c r="B663" i="3"/>
  <c r="A37" i="5" s="1"/>
  <c r="A38" i="7" s="1"/>
  <c r="A253" i="4"/>
  <c r="B4068" i="3"/>
  <c r="A253" i="5" s="1"/>
  <c r="A259" i="7" s="1"/>
  <c r="A314" i="4"/>
  <c r="A259" i="6"/>
  <c r="A492" i="7"/>
  <c r="A492" i="6"/>
  <c r="A12" i="7"/>
  <c r="A12" i="6"/>
  <c r="A180" i="7"/>
  <c r="A180" i="6"/>
  <c r="A215" i="7"/>
  <c r="A215" i="6"/>
  <c r="A330" i="7"/>
  <c r="A330" i="6"/>
  <c r="A18" i="7"/>
  <c r="A18" i="6"/>
  <c r="A535" i="7"/>
  <c r="A535" i="6"/>
  <c r="A257" i="7"/>
  <c r="A257" i="6"/>
  <c r="A220" i="7"/>
  <c r="A220" i="6"/>
  <c r="A36" i="7"/>
  <c r="A36" i="6"/>
  <c r="A258" i="7"/>
  <c r="A258" i="6"/>
  <c r="A221" i="7"/>
  <c r="A221" i="6"/>
  <c r="A37" i="7"/>
  <c r="A37" i="6"/>
  <c r="A542" i="7"/>
  <c r="A542" i="6"/>
  <c r="A46" i="7"/>
  <c r="A46" i="6"/>
  <c r="A247" i="7"/>
  <c r="A247" i="6"/>
  <c r="A222" i="7"/>
  <c r="A222" i="6"/>
  <c r="A453" i="7"/>
  <c r="A453" i="6"/>
  <c r="A213" i="7"/>
  <c r="A213" i="6"/>
  <c r="A27" i="7"/>
  <c r="A27" i="6"/>
  <c r="A28" i="7"/>
  <c r="A28" i="6"/>
  <c r="A60" i="7"/>
  <c r="A60" i="6"/>
  <c r="A353" i="7"/>
  <c r="A353" i="6"/>
  <c r="A319" i="7"/>
  <c r="A319" i="6"/>
  <c r="A352" i="7"/>
  <c r="A352" i="6"/>
  <c r="A49" i="7"/>
  <c r="A49" i="6"/>
  <c r="A181" i="7"/>
  <c r="A181" i="6"/>
  <c r="A320" i="7"/>
  <c r="A320" i="6"/>
  <c r="A15" i="7"/>
  <c r="A15" i="6"/>
  <c r="A449" i="7"/>
  <c r="A449" i="6"/>
  <c r="A274" i="7"/>
  <c r="A274" i="6"/>
  <c r="A391" i="7"/>
  <c r="A391" i="6"/>
  <c r="A64" i="6"/>
  <c r="A64" i="7"/>
  <c r="A250" i="7"/>
  <c r="A250" i="6"/>
  <c r="A373" i="7"/>
  <c r="A373" i="6"/>
  <c r="A66" i="7"/>
  <c r="A66" i="6"/>
  <c r="A331" i="7"/>
  <c r="A331" i="6"/>
  <c r="B5553" i="3"/>
  <c r="A314" i="5" s="1"/>
  <c r="A28" i="4"/>
  <c r="H2178" i="3"/>
  <c r="H2179" i="3" s="1"/>
  <c r="H2180" i="3" s="1"/>
  <c r="C172" i="4" s="1"/>
  <c r="E175" i="6" s="1"/>
  <c r="F175" i="6" s="1"/>
  <c r="H7912" i="3"/>
  <c r="H7913" i="3" s="1"/>
  <c r="H7914" i="3" s="1"/>
  <c r="C418" i="4" s="1"/>
  <c r="E427" i="6" s="1"/>
  <c r="F427" i="6" s="1"/>
  <c r="B10342" i="3"/>
  <c r="A527" i="5"/>
  <c r="A528" i="4"/>
  <c r="B470" i="3"/>
  <c r="A28" i="5" s="1"/>
  <c r="B335" i="3"/>
  <c r="A21" i="4" s="1"/>
  <c r="A19" i="5"/>
  <c r="B911" i="3"/>
  <c r="A48" i="5"/>
  <c r="A444" i="4"/>
  <c r="A443" i="5"/>
  <c r="A470" i="4"/>
  <c r="A469" i="5"/>
  <c r="A17" i="4"/>
  <c r="A16" i="5"/>
  <c r="A14" i="4"/>
  <c r="A13" i="5"/>
  <c r="A63" i="4"/>
  <c r="A62" i="5"/>
  <c r="A440" i="4"/>
  <c r="A439" i="5"/>
  <c r="A212" i="4"/>
  <c r="A211" i="5"/>
  <c r="A365" i="4"/>
  <c r="A364" i="5"/>
  <c r="H10350" i="3"/>
  <c r="G10376" i="3"/>
  <c r="B10210" i="3"/>
  <c r="A521" i="5" s="1"/>
  <c r="A521" i="4"/>
  <c r="H135" i="3"/>
  <c r="H9801" i="3"/>
  <c r="H9926" i="3"/>
  <c r="G1656" i="3"/>
  <c r="G1686" i="3" s="1"/>
  <c r="H1686" i="3" s="1"/>
  <c r="H1597" i="3"/>
  <c r="G9691" i="3"/>
  <c r="G9720" i="3" s="1"/>
  <c r="H9720" i="3" s="1"/>
  <c r="H9505" i="3"/>
  <c r="H9482" i="3"/>
  <c r="G9696" i="3"/>
  <c r="H9667" i="3"/>
  <c r="H9588" i="3"/>
  <c r="H1020" i="3"/>
  <c r="G2758" i="3"/>
  <c r="H2758" i="3" s="1"/>
  <c r="H791" i="3"/>
  <c r="H766" i="3"/>
  <c r="H2602" i="3"/>
  <c r="H9238" i="3"/>
  <c r="G9264" i="3"/>
  <c r="H9264" i="3" s="1"/>
  <c r="H8882" i="3"/>
  <c r="H8885" i="3" s="1"/>
  <c r="G8957" i="3"/>
  <c r="G9268" i="3"/>
  <c r="H9160" i="3"/>
  <c r="G3344" i="3"/>
  <c r="H3344" i="3" s="1"/>
  <c r="H10088" i="3"/>
  <c r="H793" i="3"/>
  <c r="H811" i="3"/>
  <c r="H786" i="3"/>
  <c r="H7945" i="3"/>
  <c r="H10272" i="3"/>
  <c r="H7923" i="3"/>
  <c r="H9951" i="3"/>
  <c r="H3581" i="3"/>
  <c r="H3457" i="3"/>
  <c r="H192" i="3"/>
  <c r="B8373" i="3"/>
  <c r="A440" i="5" s="1"/>
  <c r="B8468" i="3"/>
  <c r="H1440" i="3"/>
  <c r="H2842" i="3"/>
  <c r="G3428" i="3"/>
  <c r="H3428" i="3" s="1"/>
  <c r="H2575" i="3"/>
  <c r="H3506" i="3"/>
  <c r="H14" i="3"/>
  <c r="H10323" i="3"/>
  <c r="H10297" i="3"/>
  <c r="H10299" i="3" s="1"/>
  <c r="H10307" i="3" s="1"/>
  <c r="G2001" i="3"/>
  <c r="H2001" i="3" s="1"/>
  <c r="H9851" i="3"/>
  <c r="B2278" i="3"/>
  <c r="A178" i="5" s="1"/>
  <c r="A178" i="4"/>
  <c r="G159" i="3"/>
  <c r="G185" i="3" s="1"/>
  <c r="H3481" i="3"/>
  <c r="H3631" i="3"/>
  <c r="H3377" i="3"/>
  <c r="H2195" i="3"/>
  <c r="G1627" i="3"/>
  <c r="H1627" i="3" s="1"/>
  <c r="H8851" i="3"/>
  <c r="H3556" i="3"/>
  <c r="G2256" i="3"/>
  <c r="H2256" i="3" s="1"/>
  <c r="G98" i="3"/>
  <c r="G124" i="3" s="1"/>
  <c r="G3682" i="3"/>
  <c r="H3682" i="3" s="1"/>
  <c r="H2816" i="3"/>
  <c r="H2549" i="3"/>
  <c r="H3183" i="3"/>
  <c r="H10058" i="3"/>
  <c r="H3209" i="3"/>
  <c r="H3210" i="3" s="1"/>
  <c r="H8850" i="3"/>
  <c r="H3127" i="3"/>
  <c r="H2868" i="3"/>
  <c r="H196" i="3"/>
  <c r="H768" i="3"/>
  <c r="G2891" i="3"/>
  <c r="H2891" i="3" s="1"/>
  <c r="H2894" i="3" s="1"/>
  <c r="B6670" i="3"/>
  <c r="G134" i="3"/>
  <c r="G195" i="3" s="1"/>
  <c r="H7924" i="3"/>
  <c r="G7946" i="3"/>
  <c r="A20" i="4"/>
  <c r="G2258" i="3"/>
  <c r="H2232" i="3"/>
  <c r="G10322" i="3"/>
  <c r="H10322" i="3" s="1"/>
  <c r="G8750" i="3"/>
  <c r="H8750" i="3" s="1"/>
  <c r="A345" i="5"/>
  <c r="A345" i="4"/>
  <c r="H9976" i="3"/>
  <c r="G1628" i="3"/>
  <c r="G1658" i="3" s="1"/>
  <c r="G2702" i="3"/>
  <c r="H2625" i="3"/>
  <c r="H2627" i="3" s="1"/>
  <c r="G1567" i="3"/>
  <c r="H1541" i="3"/>
  <c r="G2259" i="3"/>
  <c r="H2233" i="3"/>
  <c r="G7966" i="3"/>
  <c r="H7944" i="3"/>
  <c r="G96" i="3"/>
  <c r="H67" i="3"/>
  <c r="G70" i="3"/>
  <c r="H41" i="3"/>
  <c r="H42" i="3" s="1"/>
  <c r="G7989" i="3"/>
  <c r="H7967" i="3"/>
  <c r="H817" i="3"/>
  <c r="G2002" i="3"/>
  <c r="H1960" i="3"/>
  <c r="B5754" i="3"/>
  <c r="B5779" i="3" s="1"/>
  <c r="A324" i="4"/>
  <c r="G870" i="3"/>
  <c r="G895" i="3" s="1"/>
  <c r="G228" i="3"/>
  <c r="H228" i="3" s="1"/>
  <c r="H23" i="3"/>
  <c r="G78" i="3"/>
  <c r="H78" i="3" s="1"/>
  <c r="G103" i="3"/>
  <c r="H50" i="3"/>
  <c r="G3655" i="3"/>
  <c r="H3655" i="3" s="1"/>
  <c r="H1515" i="3"/>
  <c r="H9826" i="3"/>
  <c r="G10347" i="3"/>
  <c r="H10321" i="3"/>
  <c r="G2296" i="3"/>
  <c r="H2296" i="3" s="1"/>
  <c r="H2297" i="3" s="1"/>
  <c r="H2269" i="3"/>
  <c r="H2270" i="3" s="1"/>
  <c r="H6917" i="3"/>
  <c r="B1157" i="3"/>
  <c r="A58" i="4"/>
  <c r="B1319" i="3"/>
  <c r="A64" i="5" s="1"/>
  <c r="A64" i="4"/>
  <c r="G10375" i="3"/>
  <c r="H10349" i="3"/>
  <c r="B685" i="3"/>
  <c r="A38" i="5" s="1"/>
  <c r="A38" i="4"/>
  <c r="G864" i="3"/>
  <c r="H837" i="3"/>
  <c r="A382" i="4"/>
  <c r="B7038" i="3"/>
  <c r="A382" i="5" s="1"/>
  <c r="G6304" i="3"/>
  <c r="G6306" i="3" s="1"/>
  <c r="B3248" i="3"/>
  <c r="A218" i="5" s="1"/>
  <c r="A218" i="4"/>
  <c r="B4091" i="3"/>
  <c r="A254" i="4"/>
  <c r="G7680" i="3"/>
  <c r="H7605" i="3"/>
  <c r="G2749" i="3"/>
  <c r="H2722" i="3"/>
  <c r="H3236" i="3"/>
  <c r="H3237" i="3" s="1"/>
  <c r="G3262" i="3"/>
  <c r="G1779" i="3"/>
  <c r="G1811" i="3" s="1"/>
  <c r="H1811" i="3" s="1"/>
  <c r="H5249" i="3"/>
  <c r="G1169" i="3"/>
  <c r="H1140" i="3"/>
  <c r="G1170" i="3"/>
  <c r="H1141" i="3"/>
  <c r="G6076" i="3"/>
  <c r="H6050" i="3"/>
  <c r="G3883" i="3"/>
  <c r="H3883" i="3" s="1"/>
  <c r="H3886" i="3" s="1"/>
  <c r="H3732" i="3"/>
  <c r="H6051" i="3"/>
  <c r="G6077" i="3"/>
  <c r="G3833" i="3"/>
  <c r="H3783" i="3"/>
  <c r="G3808" i="3"/>
  <c r="H3808" i="3" s="1"/>
  <c r="H3654" i="3"/>
  <c r="H3657" i="3" s="1"/>
  <c r="G3834" i="3"/>
  <c r="H3784" i="3"/>
  <c r="G3809" i="3"/>
  <c r="H3809" i="3" s="1"/>
  <c r="H3401" i="3"/>
  <c r="H3403" i="3" s="1"/>
  <c r="G3427" i="3"/>
  <c r="H3427" i="3" s="1"/>
  <c r="G132" i="3"/>
  <c r="G74" i="3"/>
  <c r="H74" i="3" s="1"/>
  <c r="H45" i="3"/>
  <c r="H3314" i="3"/>
  <c r="G3343" i="3"/>
  <c r="H3343" i="3" s="1"/>
  <c r="G191" i="3"/>
  <c r="H128" i="3"/>
  <c r="G164" i="3"/>
  <c r="H164" i="3" s="1"/>
  <c r="G6658" i="3"/>
  <c r="G6684" i="3" s="1"/>
  <c r="H6708" i="3"/>
  <c r="G6736" i="3"/>
  <c r="H5717" i="3"/>
  <c r="H1565" i="3"/>
  <c r="G1594" i="3"/>
  <c r="H819" i="3"/>
  <c r="G845" i="3"/>
  <c r="H845" i="3" s="1"/>
  <c r="H4261" i="3"/>
  <c r="G4288" i="3"/>
  <c r="H2756" i="3"/>
  <c r="G2783" i="3"/>
  <c r="H2783" i="3" s="1"/>
  <c r="G5817" i="3"/>
  <c r="H5817" i="3" s="1"/>
  <c r="H5818" i="3" s="1"/>
  <c r="H5741" i="3"/>
  <c r="G5792" i="3"/>
  <c r="H5792" i="3" s="1"/>
  <c r="H6949" i="3"/>
  <c r="G6975" i="3"/>
  <c r="H7631" i="3"/>
  <c r="H7632" i="3" s="1"/>
  <c r="G7655" i="3"/>
  <c r="H7655" i="3" s="1"/>
  <c r="H7656" i="3" s="1"/>
  <c r="G10355" i="3"/>
  <c r="H10329" i="3"/>
  <c r="H10330" i="3" s="1"/>
  <c r="H9876" i="3"/>
  <c r="H6916" i="3"/>
  <c r="G7857" i="3"/>
  <c r="H7857" i="3" s="1"/>
  <c r="H7831" i="3"/>
  <c r="H8934" i="3"/>
  <c r="H8935" i="3" s="1"/>
  <c r="G8983" i="3"/>
  <c r="G5791" i="3"/>
  <c r="H5791" i="3" s="1"/>
  <c r="H5742" i="3"/>
  <c r="D8" i="5" l="1"/>
  <c r="D417" i="5"/>
  <c r="E427" i="7" s="1"/>
  <c r="F427" i="7" s="1"/>
  <c r="D171" i="5"/>
  <c r="E175" i="7" s="1"/>
  <c r="F175" i="7" s="1"/>
  <c r="A38" i="6"/>
  <c r="A29" i="4"/>
  <c r="B491" i="3"/>
  <c r="A29" i="5" s="1"/>
  <c r="A30" i="7" s="1"/>
  <c r="A315" i="4"/>
  <c r="B5578" i="3"/>
  <c r="A316" i="4" s="1"/>
  <c r="A481" i="7"/>
  <c r="A481" i="6"/>
  <c r="A321" i="7"/>
  <c r="A321" i="6"/>
  <c r="A454" i="7"/>
  <c r="A454" i="6"/>
  <c r="A182" i="7"/>
  <c r="A182" i="6"/>
  <c r="A374" i="7"/>
  <c r="A374" i="6"/>
  <c r="A50" i="7"/>
  <c r="A50" i="6"/>
  <c r="A354" i="7"/>
  <c r="A354" i="6"/>
  <c r="A216" i="7"/>
  <c r="A216" i="6"/>
  <c r="A19" i="7"/>
  <c r="A19" i="6"/>
  <c r="A450" i="7"/>
  <c r="A450" i="6"/>
  <c r="A29" i="7"/>
  <c r="A29" i="6"/>
  <c r="A67" i="6"/>
  <c r="A67" i="7"/>
  <c r="A65" i="7"/>
  <c r="A65" i="6"/>
  <c r="A543" i="7"/>
  <c r="A543" i="6"/>
  <c r="A223" i="7"/>
  <c r="A223" i="6"/>
  <c r="A13" i="7"/>
  <c r="A13" i="6"/>
  <c r="A451" i="7"/>
  <c r="A451" i="6"/>
  <c r="A392" i="7"/>
  <c r="A392" i="6"/>
  <c r="A16" i="7"/>
  <c r="A16" i="6"/>
  <c r="A536" i="7"/>
  <c r="A536" i="6"/>
  <c r="A39" i="7"/>
  <c r="A39" i="6"/>
  <c r="E8" i="7"/>
  <c r="F8" i="7" s="1"/>
  <c r="A325" i="5"/>
  <c r="B5804" i="3"/>
  <c r="A326" i="4"/>
  <c r="H2212" i="3"/>
  <c r="H2216" i="3" s="1"/>
  <c r="H2220" i="3" s="1"/>
  <c r="C174" i="4" s="1"/>
  <c r="E177" i="6" s="1"/>
  <c r="F177" i="6" s="1"/>
  <c r="E9" i="7"/>
  <c r="F9" i="7" s="1"/>
  <c r="H10281" i="3"/>
  <c r="H10282" i="3" s="1"/>
  <c r="H10285" i="3" s="1"/>
  <c r="H10286" i="3" s="1"/>
  <c r="H10287" i="3" s="1"/>
  <c r="C526" i="4" s="1"/>
  <c r="E541" i="6" s="1"/>
  <c r="F541" i="6" s="1"/>
  <c r="H10308" i="3"/>
  <c r="H10311" i="3" s="1"/>
  <c r="H10312" i="3" s="1"/>
  <c r="H10313" i="3" s="1"/>
  <c r="C527" i="4" s="1"/>
  <c r="E542" i="6" s="1"/>
  <c r="F542" i="6" s="1"/>
  <c r="B938" i="3"/>
  <c r="A49" i="5"/>
  <c r="A50" i="4"/>
  <c r="A255" i="4"/>
  <c r="A254" i="5"/>
  <c r="B357" i="3"/>
  <c r="A20" i="5"/>
  <c r="B6696" i="3"/>
  <c r="A366" i="5" s="1"/>
  <c r="A365" i="5"/>
  <c r="A59" i="4"/>
  <c r="A58" i="5"/>
  <c r="A325" i="4"/>
  <c r="A324" i="5"/>
  <c r="B10368" i="3"/>
  <c r="A528" i="5"/>
  <c r="A529" i="4"/>
  <c r="A445" i="4"/>
  <c r="A444" i="5"/>
  <c r="G10402" i="3"/>
  <c r="H10376" i="3"/>
  <c r="B10235" i="3"/>
  <c r="A522" i="4"/>
  <c r="H9691" i="3"/>
  <c r="G2785" i="3"/>
  <c r="H2785" i="3" s="1"/>
  <c r="H1656" i="3"/>
  <c r="G9725" i="3"/>
  <c r="H9725" i="3" s="1"/>
  <c r="H9696" i="3"/>
  <c r="A441" i="4"/>
  <c r="G9321" i="3"/>
  <c r="H9321" i="3" s="1"/>
  <c r="H9268" i="3"/>
  <c r="G9161" i="3"/>
  <c r="H8957" i="3"/>
  <c r="H8958" i="3" s="1"/>
  <c r="H7925" i="3"/>
  <c r="H3429" i="3"/>
  <c r="B8492" i="3"/>
  <c r="H98" i="3"/>
  <c r="G2042" i="3"/>
  <c r="G2084" i="3" s="1"/>
  <c r="G2283" i="3"/>
  <c r="G2310" i="3" s="1"/>
  <c r="H2213" i="3"/>
  <c r="H2217" i="3" s="1"/>
  <c r="H2221" i="3" s="1"/>
  <c r="C175" i="4" s="1"/>
  <c r="E178" i="6" s="1"/>
  <c r="F178" i="6" s="1"/>
  <c r="H2211" i="3"/>
  <c r="H2215" i="3" s="1"/>
  <c r="H2219" i="3" s="1"/>
  <c r="C173" i="4" s="1"/>
  <c r="E176" i="6" s="1"/>
  <c r="F176" i="6" s="1"/>
  <c r="H28" i="3"/>
  <c r="H29" i="3" s="1"/>
  <c r="H30" i="3" s="1"/>
  <c r="C9" i="4" s="1"/>
  <c r="E8" i="6" s="1"/>
  <c r="F8" i="6" s="1"/>
  <c r="H159" i="3"/>
  <c r="G1657" i="3"/>
  <c r="H1657" i="3" s="1"/>
  <c r="B2305" i="3"/>
  <c r="A179" i="5" s="1"/>
  <c r="A179" i="4"/>
  <c r="H2214" i="3"/>
  <c r="H2218" i="3" s="1"/>
  <c r="H2222" i="3" s="1"/>
  <c r="C176" i="4" s="1"/>
  <c r="E179" i="6" s="1"/>
  <c r="F179" i="6" s="1"/>
  <c r="G3708" i="3"/>
  <c r="G3734" i="3" s="1"/>
  <c r="H3734" i="3" s="1"/>
  <c r="G10348" i="3"/>
  <c r="G10374" i="3" s="1"/>
  <c r="G2917" i="3"/>
  <c r="G2943" i="3" s="1"/>
  <c r="H2943" i="3" s="1"/>
  <c r="H2947" i="3" s="1"/>
  <c r="H3810" i="3"/>
  <c r="H6304" i="3"/>
  <c r="A366" i="4"/>
  <c r="H134" i="3"/>
  <c r="G3681" i="3"/>
  <c r="H3681" i="3" s="1"/>
  <c r="H8628" i="3"/>
  <c r="H2234" i="3"/>
  <c r="G2285" i="3"/>
  <c r="H2258" i="3"/>
  <c r="H8725" i="3"/>
  <c r="G7968" i="3"/>
  <c r="H7946" i="3"/>
  <c r="H7947" i="3" s="1"/>
  <c r="H52" i="3"/>
  <c r="H57" i="3" s="1"/>
  <c r="H58" i="3" s="1"/>
  <c r="H59" i="3" s="1"/>
  <c r="C10" i="4" s="1"/>
  <c r="E9" i="6" s="1"/>
  <c r="F9" i="6" s="1"/>
  <c r="G2729" i="3"/>
  <c r="H2702" i="3"/>
  <c r="H2705" i="3" s="1"/>
  <c r="H79" i="3"/>
  <c r="H1628" i="3"/>
  <c r="A346" i="5"/>
  <c r="A346" i="4"/>
  <c r="H124" i="3"/>
  <c r="G160" i="3"/>
  <c r="G121" i="3"/>
  <c r="H96" i="3"/>
  <c r="H2002" i="3"/>
  <c r="G2043" i="3"/>
  <c r="G7988" i="3"/>
  <c r="H7966" i="3"/>
  <c r="G10373" i="3"/>
  <c r="H10347" i="3"/>
  <c r="H7989" i="3"/>
  <c r="G8011" i="3"/>
  <c r="G2286" i="3"/>
  <c r="H2259" i="3"/>
  <c r="H10325" i="3"/>
  <c r="H10333" i="3" s="1"/>
  <c r="H103" i="3"/>
  <c r="H105" i="3" s="1"/>
  <c r="G130" i="3"/>
  <c r="H870" i="3"/>
  <c r="H872" i="3" s="1"/>
  <c r="H70" i="3"/>
  <c r="H71" i="3" s="1"/>
  <c r="G99" i="3"/>
  <c r="G1596" i="3"/>
  <c r="H1567" i="3"/>
  <c r="H10375" i="3"/>
  <c r="G10401" i="3"/>
  <c r="G7781" i="3"/>
  <c r="H7680" i="3"/>
  <c r="H864" i="3"/>
  <c r="G889" i="3"/>
  <c r="H3262" i="3"/>
  <c r="H3263" i="3" s="1"/>
  <c r="G3289" i="3"/>
  <c r="B7063" i="3"/>
  <c r="A383" i="4"/>
  <c r="A30" i="4"/>
  <c r="B512" i="3"/>
  <c r="A30" i="5" s="1"/>
  <c r="B707" i="3"/>
  <c r="A39" i="5" s="1"/>
  <c r="A39" i="4"/>
  <c r="H185" i="3"/>
  <c r="G216" i="3"/>
  <c r="A65" i="4"/>
  <c r="B1346" i="3"/>
  <c r="A65" i="5" s="1"/>
  <c r="H1779" i="3"/>
  <c r="G2777" i="3"/>
  <c r="H2749" i="3"/>
  <c r="B3274" i="3"/>
  <c r="A219" i="5" s="1"/>
  <c r="A219" i="4"/>
  <c r="H5793" i="3"/>
  <c r="G1196" i="3"/>
  <c r="H1169" i="3"/>
  <c r="H5743" i="3"/>
  <c r="G226" i="3"/>
  <c r="H226" i="3" s="1"/>
  <c r="H195" i="3"/>
  <c r="H6658" i="3"/>
  <c r="H6659" i="3" s="1"/>
  <c r="G194" i="3"/>
  <c r="H132" i="3"/>
  <c r="H6052" i="3"/>
  <c r="H6076" i="3"/>
  <c r="G6102" i="3"/>
  <c r="G6103" i="3"/>
  <c r="H6077" i="3"/>
  <c r="G1197" i="3"/>
  <c r="H1170" i="3"/>
  <c r="G3859" i="3"/>
  <c r="H3834" i="3"/>
  <c r="H191" i="3"/>
  <c r="G222" i="3"/>
  <c r="H222" i="3" s="1"/>
  <c r="H3785" i="3"/>
  <c r="G3858" i="3"/>
  <c r="H3833" i="3"/>
  <c r="G1688" i="3"/>
  <c r="H1688" i="3" s="1"/>
  <c r="H1658" i="3"/>
  <c r="G6763" i="3"/>
  <c r="H6736" i="3"/>
  <c r="H4288" i="3"/>
  <c r="G4315" i="3"/>
  <c r="G923" i="3"/>
  <c r="H923" i="3" s="1"/>
  <c r="H895" i="3"/>
  <c r="H1594" i="3"/>
  <c r="G1623" i="3"/>
  <c r="G10381" i="3"/>
  <c r="H10355" i="3"/>
  <c r="H10356" i="3" s="1"/>
  <c r="G6331" i="3"/>
  <c r="H6306" i="3"/>
  <c r="H6684" i="3"/>
  <c r="H6685" i="3" s="1"/>
  <c r="G6709" i="3"/>
  <c r="H6975" i="3"/>
  <c r="H6976" i="3" s="1"/>
  <c r="G7104" i="3"/>
  <c r="H7104" i="3" s="1"/>
  <c r="G7001" i="3"/>
  <c r="H8983" i="3"/>
  <c r="H8984" i="3" s="1"/>
  <c r="G9083" i="3"/>
  <c r="A30" i="6" l="1"/>
  <c r="D10" i="5"/>
  <c r="E10" i="7" s="1"/>
  <c r="F10" i="7" s="1"/>
  <c r="D172" i="5"/>
  <c r="D525" i="5"/>
  <c r="D526" i="5"/>
  <c r="E542" i="7" s="1"/>
  <c r="F542" i="7" s="1"/>
  <c r="A315" i="5"/>
  <c r="A322" i="7" s="1"/>
  <c r="A224" i="7"/>
  <c r="A224" i="6"/>
  <c r="A51" i="7"/>
  <c r="A51" i="6"/>
  <c r="A333" i="7"/>
  <c r="A333" i="6"/>
  <c r="A68" i="7"/>
  <c r="A68" i="6"/>
  <c r="A183" i="7"/>
  <c r="A183" i="6"/>
  <c r="A61" i="6"/>
  <c r="A61" i="7"/>
  <c r="A544" i="7"/>
  <c r="A544" i="6"/>
  <c r="A376" i="7"/>
  <c r="A376" i="6"/>
  <c r="A20" i="7"/>
  <c r="A20" i="6"/>
  <c r="A332" i="7"/>
  <c r="A332" i="6"/>
  <c r="A40" i="7"/>
  <c r="A40" i="6"/>
  <c r="A355" i="7"/>
  <c r="A355" i="6"/>
  <c r="A375" i="7"/>
  <c r="A375" i="6"/>
  <c r="A31" i="7"/>
  <c r="A31" i="6"/>
  <c r="A455" i="7"/>
  <c r="A455" i="6"/>
  <c r="A260" i="7"/>
  <c r="A260" i="6"/>
  <c r="H2246" i="3"/>
  <c r="H2247" i="3" s="1"/>
  <c r="H2248" i="3" s="1"/>
  <c r="C177" i="4" s="1"/>
  <c r="E180" i="6" s="1"/>
  <c r="F180" i="6" s="1"/>
  <c r="E176" i="7"/>
  <c r="F176" i="7" s="1"/>
  <c r="B5829" i="3"/>
  <c r="A327" i="4"/>
  <c r="A326" i="5"/>
  <c r="E541" i="7"/>
  <c r="F541" i="7" s="1"/>
  <c r="H7934" i="3"/>
  <c r="H7935" i="3" s="1"/>
  <c r="H7936" i="3" s="1"/>
  <c r="C419" i="4" s="1"/>
  <c r="E428" i="6" s="1"/>
  <c r="F428" i="6" s="1"/>
  <c r="H7956" i="3"/>
  <c r="H7957" i="3" s="1"/>
  <c r="H7958" i="3" s="1"/>
  <c r="C420" i="4" s="1"/>
  <c r="E429" i="6" s="1"/>
  <c r="F429" i="6" s="1"/>
  <c r="A21" i="5"/>
  <c r="A22" i="4"/>
  <c r="B378" i="3"/>
  <c r="B6724" i="3"/>
  <c r="A367" i="5" s="1"/>
  <c r="A523" i="4"/>
  <c r="A522" i="5"/>
  <c r="A367" i="4"/>
  <c r="H10334" i="3"/>
  <c r="H10337" i="3" s="1"/>
  <c r="H10338" i="3" s="1"/>
  <c r="H10339" i="3" s="1"/>
  <c r="C528" i="4" s="1"/>
  <c r="E543" i="6" s="1"/>
  <c r="F543" i="6" s="1"/>
  <c r="A446" i="4"/>
  <c r="A445" i="5"/>
  <c r="A50" i="5"/>
  <c r="A51" i="4"/>
  <c r="B1007" i="3"/>
  <c r="B10394" i="3"/>
  <c r="A529" i="5"/>
  <c r="A530" i="4"/>
  <c r="B7122" i="3"/>
  <c r="A386" i="5" s="1"/>
  <c r="A383" i="5"/>
  <c r="H10402" i="3"/>
  <c r="G10428" i="3"/>
  <c r="H2042" i="3"/>
  <c r="H2283" i="3"/>
  <c r="G9188" i="3"/>
  <c r="H9161" i="3"/>
  <c r="H9163" i="3" s="1"/>
  <c r="G1687" i="3"/>
  <c r="H1687" i="3" s="1"/>
  <c r="B8516" i="3"/>
  <c r="H3708" i="3"/>
  <c r="G2970" i="3"/>
  <c r="H2970" i="3" s="1"/>
  <c r="H2973" i="3" s="1"/>
  <c r="H10348" i="3"/>
  <c r="H10351" i="3" s="1"/>
  <c r="H10359" i="3" s="1"/>
  <c r="H2260" i="3"/>
  <c r="H2917" i="3"/>
  <c r="H2920" i="3" s="1"/>
  <c r="H6078" i="3"/>
  <c r="A180" i="4"/>
  <c r="B2331" i="3"/>
  <c r="A180" i="5" s="1"/>
  <c r="G3707" i="3"/>
  <c r="G3733" i="3" s="1"/>
  <c r="H6307" i="3"/>
  <c r="H86" i="3"/>
  <c r="H87" i="3" s="1"/>
  <c r="H88" i="3" s="1"/>
  <c r="C11" i="4" s="1"/>
  <c r="E10" i="6" s="1"/>
  <c r="F10" i="6" s="1"/>
  <c r="G7990" i="3"/>
  <c r="H7968" i="3"/>
  <c r="H7969" i="3" s="1"/>
  <c r="G2312" i="3"/>
  <c r="H2285" i="3"/>
  <c r="A347" i="4"/>
  <c r="A348" i="5"/>
  <c r="H2729" i="3"/>
  <c r="H2732" i="3" s="1"/>
  <c r="G2757" i="3"/>
  <c r="H7988" i="3"/>
  <c r="G8010" i="3"/>
  <c r="G2313" i="3"/>
  <c r="H2286" i="3"/>
  <c r="G2085" i="3"/>
  <c r="H2043" i="3"/>
  <c r="G8033" i="3"/>
  <c r="H8011" i="3"/>
  <c r="H10373" i="3"/>
  <c r="G10399" i="3"/>
  <c r="H121" i="3"/>
  <c r="G158" i="3"/>
  <c r="G166" i="3"/>
  <c r="G193" i="3"/>
  <c r="H130" i="3"/>
  <c r="H142" i="3" s="1"/>
  <c r="H1596" i="3"/>
  <c r="G1625" i="3"/>
  <c r="H2310" i="3"/>
  <c r="G2336" i="3"/>
  <c r="G186" i="3"/>
  <c r="H160" i="3"/>
  <c r="G125" i="3"/>
  <c r="H99" i="3"/>
  <c r="H100" i="3" s="1"/>
  <c r="A31" i="4"/>
  <c r="B533" i="3"/>
  <c r="A31" i="5" s="1"/>
  <c r="G3316" i="3"/>
  <c r="H3289" i="3"/>
  <c r="H3290" i="3" s="1"/>
  <c r="H10401" i="3"/>
  <c r="G10427" i="3"/>
  <c r="G2807" i="3"/>
  <c r="H2777" i="3"/>
  <c r="B1373" i="3"/>
  <c r="A66" i="5" s="1"/>
  <c r="A66" i="4"/>
  <c r="H889" i="3"/>
  <c r="G917" i="3"/>
  <c r="A384" i="4"/>
  <c r="H7781" i="3"/>
  <c r="G7882" i="3"/>
  <c r="H7882" i="3" s="1"/>
  <c r="H7883" i="3" s="1"/>
  <c r="H216" i="3"/>
  <c r="G269" i="3"/>
  <c r="B3301" i="3"/>
  <c r="A220" i="5" s="1"/>
  <c r="A220" i="4"/>
  <c r="G10426" i="3"/>
  <c r="H10374" i="3"/>
  <c r="G10400" i="3"/>
  <c r="H10400" i="3" s="1"/>
  <c r="H3835" i="3"/>
  <c r="B729" i="3"/>
  <c r="A40" i="4"/>
  <c r="G1223" i="3"/>
  <c r="H1196" i="3"/>
  <c r="H6103" i="3"/>
  <c r="G6382" i="3"/>
  <c r="H6382" i="3" s="1"/>
  <c r="H6102" i="3"/>
  <c r="G6381" i="3"/>
  <c r="H6381" i="3" s="1"/>
  <c r="G3885" i="3"/>
  <c r="H3859" i="3"/>
  <c r="G1224" i="3"/>
  <c r="H1197" i="3"/>
  <c r="G3909" i="3"/>
  <c r="H3858" i="3"/>
  <c r="H194" i="3"/>
  <c r="G225" i="3"/>
  <c r="H2084" i="3"/>
  <c r="G2125" i="3"/>
  <c r="H2125" i="3" s="1"/>
  <c r="H6331" i="3"/>
  <c r="H6332" i="3" s="1"/>
  <c r="G6380" i="3"/>
  <c r="H6763" i="3"/>
  <c r="G6789" i="3"/>
  <c r="H1623" i="3"/>
  <c r="G1653" i="3"/>
  <c r="H4315" i="3"/>
  <c r="G4342" i="3"/>
  <c r="G7026" i="3"/>
  <c r="H7026" i="3" s="1"/>
  <c r="H7027" i="3" s="1"/>
  <c r="H7001" i="3"/>
  <c r="H7002" i="3" s="1"/>
  <c r="G7051" i="3"/>
  <c r="H6709" i="3"/>
  <c r="G6738" i="3"/>
  <c r="H7107" i="3"/>
  <c r="H7106" i="3"/>
  <c r="G9109" i="3"/>
  <c r="H9109" i="3" s="1"/>
  <c r="H9111" i="3" s="1"/>
  <c r="H9083" i="3"/>
  <c r="H9085" i="3" s="1"/>
  <c r="G10407" i="3"/>
  <c r="H10381" i="3"/>
  <c r="H10382" i="3" s="1"/>
  <c r="D419" i="5" l="1"/>
  <c r="D418" i="5"/>
  <c r="D176" i="5"/>
  <c r="A322" i="6"/>
  <c r="D173" i="5"/>
  <c r="D527" i="5"/>
  <c r="E543" i="7" s="1"/>
  <c r="F543" i="7" s="1"/>
  <c r="A368" i="4"/>
  <c r="A21" i="7"/>
  <c r="A21" i="6"/>
  <c r="A32" i="7"/>
  <c r="A32" i="6"/>
  <c r="A184" i="7"/>
  <c r="A184" i="6"/>
  <c r="A225" i="7"/>
  <c r="A225" i="6"/>
  <c r="A69" i="6"/>
  <c r="A69" i="7"/>
  <c r="A334" i="7"/>
  <c r="A334" i="6"/>
  <c r="A396" i="7"/>
  <c r="A396" i="6"/>
  <c r="A537" i="7"/>
  <c r="A537" i="6"/>
  <c r="A357" i="7"/>
  <c r="A357" i="6"/>
  <c r="A52" i="7"/>
  <c r="A52" i="6"/>
  <c r="A456" i="7"/>
  <c r="A456" i="6"/>
  <c r="A393" i="7"/>
  <c r="A393" i="6"/>
  <c r="A545" i="7"/>
  <c r="A545" i="6"/>
  <c r="A377" i="7"/>
  <c r="A377" i="6"/>
  <c r="B5854" i="3"/>
  <c r="A327" i="5"/>
  <c r="A328" i="4"/>
  <c r="H111" i="3"/>
  <c r="H112" i="3" s="1"/>
  <c r="H113" i="3" s="1"/>
  <c r="C12" i="4" s="1"/>
  <c r="E11" i="6" s="1"/>
  <c r="F11" i="6" s="1"/>
  <c r="E177" i="7"/>
  <c r="F177" i="7" s="1"/>
  <c r="E180" i="7"/>
  <c r="F180" i="7" s="1"/>
  <c r="H2273" i="3"/>
  <c r="H2274" i="3" s="1"/>
  <c r="H2275" i="3" s="1"/>
  <c r="C178" i="4" s="1"/>
  <c r="E181" i="6" s="1"/>
  <c r="F181" i="6" s="1"/>
  <c r="E428" i="7"/>
  <c r="F428" i="7" s="1"/>
  <c r="E429" i="7"/>
  <c r="F429" i="7" s="1"/>
  <c r="H7978" i="3"/>
  <c r="H7979" i="3" s="1"/>
  <c r="H7980" i="3" s="1"/>
  <c r="C421" i="4" s="1"/>
  <c r="E430" i="6" s="1"/>
  <c r="F430" i="6" s="1"/>
  <c r="B6751" i="3"/>
  <c r="A51" i="5"/>
  <c r="A52" i="4"/>
  <c r="B1040" i="3"/>
  <c r="B10420" i="3"/>
  <c r="A530" i="5"/>
  <c r="A531" i="4"/>
  <c r="A41" i="4"/>
  <c r="A40" i="5"/>
  <c r="A369" i="4"/>
  <c r="A368" i="5"/>
  <c r="H10360" i="3"/>
  <c r="H10363" i="3" s="1"/>
  <c r="H10364" i="3" s="1"/>
  <c r="H10365" i="3" s="1"/>
  <c r="C529" i="4" s="1"/>
  <c r="E544" i="6" s="1"/>
  <c r="F544" i="6" s="1"/>
  <c r="A447" i="4"/>
  <c r="A446" i="5"/>
  <c r="A23" i="4"/>
  <c r="A22" i="5"/>
  <c r="G10454" i="3"/>
  <c r="H10454" i="3" s="1"/>
  <c r="H10428" i="3"/>
  <c r="H9188" i="3"/>
  <c r="H9189" i="3" s="1"/>
  <c r="G9214" i="3"/>
  <c r="G2996" i="3"/>
  <c r="H2996" i="3" s="1"/>
  <c r="H2999" i="3" s="1"/>
  <c r="B8540" i="3"/>
  <c r="H3707" i="3"/>
  <c r="H3709" i="3" s="1"/>
  <c r="A181" i="4"/>
  <c r="B2355" i="3"/>
  <c r="A181" i="5" s="1"/>
  <c r="H2287" i="3"/>
  <c r="G2338" i="3"/>
  <c r="H2312" i="3"/>
  <c r="H7990" i="3"/>
  <c r="H7991" i="3" s="1"/>
  <c r="G8012" i="3"/>
  <c r="H10377" i="3"/>
  <c r="G2784" i="3"/>
  <c r="H2784" i="3" s="1"/>
  <c r="H2787" i="3" s="1"/>
  <c r="H2757" i="3"/>
  <c r="H2760" i="3" s="1"/>
  <c r="B6318" i="3"/>
  <c r="A349" i="5" s="1"/>
  <c r="A349" i="4"/>
  <c r="G10425" i="3"/>
  <c r="H10399" i="3"/>
  <c r="H10403" i="3" s="1"/>
  <c r="H158" i="3"/>
  <c r="G184" i="3"/>
  <c r="G217" i="3"/>
  <c r="H186" i="3"/>
  <c r="G2360" i="3"/>
  <c r="H2336" i="3"/>
  <c r="H8033" i="3"/>
  <c r="G8055" i="3"/>
  <c r="G1655" i="3"/>
  <c r="H1625" i="3"/>
  <c r="G2126" i="3"/>
  <c r="H2126" i="3" s="1"/>
  <c r="H2085" i="3"/>
  <c r="H125" i="3"/>
  <c r="H126" i="3" s="1"/>
  <c r="G161" i="3"/>
  <c r="G2339" i="3"/>
  <c r="H2313" i="3"/>
  <c r="H193" i="3"/>
  <c r="H199" i="3" s="1"/>
  <c r="G224" i="3"/>
  <c r="H8010" i="3"/>
  <c r="G8032" i="3"/>
  <c r="H166" i="3"/>
  <c r="H168" i="3" s="1"/>
  <c r="G1514" i="3"/>
  <c r="G2833" i="3"/>
  <c r="H2807" i="3"/>
  <c r="H3316" i="3"/>
  <c r="H3317" i="3" s="1"/>
  <c r="G3345" i="3"/>
  <c r="H3345" i="3" s="1"/>
  <c r="A385" i="4"/>
  <c r="G10452" i="3"/>
  <c r="H10452" i="3" s="1"/>
  <c r="H10426" i="3"/>
  <c r="G1013" i="3"/>
  <c r="G967" i="3"/>
  <c r="H967" i="3" s="1"/>
  <c r="H917" i="3"/>
  <c r="A32" i="4"/>
  <c r="B555" i="3"/>
  <c r="A32" i="5" s="1"/>
  <c r="B3362" i="3"/>
  <c r="A221" i="4"/>
  <c r="H269" i="3"/>
  <c r="G384" i="3"/>
  <c r="H384" i="3" s="1"/>
  <c r="G292" i="3"/>
  <c r="H292" i="3" s="1"/>
  <c r="B1399" i="3"/>
  <c r="A67" i="5" s="1"/>
  <c r="A67" i="4"/>
  <c r="G10453" i="3"/>
  <c r="H10453" i="3" s="1"/>
  <c r="H10427" i="3"/>
  <c r="H3860" i="3"/>
  <c r="G1250" i="3"/>
  <c r="H1223" i="3"/>
  <c r="G1251" i="3"/>
  <c r="H1224" i="3"/>
  <c r="G3910" i="3"/>
  <c r="H3885" i="3"/>
  <c r="G3884" i="3"/>
  <c r="H3884" i="3" s="1"/>
  <c r="H3733" i="3"/>
  <c r="H3735" i="3" s="1"/>
  <c r="G3934" i="3"/>
  <c r="H3909" i="3"/>
  <c r="H6380" i="3"/>
  <c r="H6384" i="3" s="1"/>
  <c r="G6408" i="3"/>
  <c r="H225" i="3"/>
  <c r="G767" i="3"/>
  <c r="G6814" i="3"/>
  <c r="H6814" i="3" s="1"/>
  <c r="H6789" i="3"/>
  <c r="G1683" i="3"/>
  <c r="H1653" i="3"/>
  <c r="G4369" i="3"/>
  <c r="H4342" i="3"/>
  <c r="G4986" i="3"/>
  <c r="G10433" i="3"/>
  <c r="H10407" i="3"/>
  <c r="H10408" i="3" s="1"/>
  <c r="H6738" i="3"/>
  <c r="G6765" i="3"/>
  <c r="G7076" i="3"/>
  <c r="H7076" i="3" s="1"/>
  <c r="H7077" i="3" s="1"/>
  <c r="H7051" i="3"/>
  <c r="H7052" i="3" s="1"/>
  <c r="D174" i="5" l="1"/>
  <c r="D420" i="5"/>
  <c r="D11" i="5"/>
  <c r="D528" i="5"/>
  <c r="D177" i="5"/>
  <c r="E181" i="7" s="1"/>
  <c r="F181" i="7" s="1"/>
  <c r="A378" i="7"/>
  <c r="A378" i="6"/>
  <c r="A185" i="7"/>
  <c r="A185" i="6"/>
  <c r="A33" i="7"/>
  <c r="A33" i="6"/>
  <c r="A41" i="7"/>
  <c r="A41" i="6"/>
  <c r="A53" i="7"/>
  <c r="A53" i="6"/>
  <c r="A22" i="7"/>
  <c r="A22" i="6"/>
  <c r="A358" i="7"/>
  <c r="A358" i="6"/>
  <c r="A457" i="7"/>
  <c r="A457" i="6"/>
  <c r="A335" i="7"/>
  <c r="A335" i="6"/>
  <c r="A546" i="7"/>
  <c r="A546" i="6"/>
  <c r="A70" i="7"/>
  <c r="A70" i="6"/>
  <c r="H2300" i="3"/>
  <c r="H2301" i="3" s="1"/>
  <c r="H2302" i="3" s="1"/>
  <c r="C179" i="4" s="1"/>
  <c r="E182" i="6" s="1"/>
  <c r="F182" i="6" s="1"/>
  <c r="H148" i="3"/>
  <c r="H149" i="3" s="1"/>
  <c r="H150" i="3" s="1"/>
  <c r="C13" i="4" s="1"/>
  <c r="E12" i="6" s="1"/>
  <c r="F12" i="6" s="1"/>
  <c r="E178" i="7"/>
  <c r="F178" i="7" s="1"/>
  <c r="E11" i="7"/>
  <c r="F11" i="7" s="1"/>
  <c r="A328" i="5"/>
  <c r="B5913" i="3"/>
  <c r="A329" i="4"/>
  <c r="E430" i="7"/>
  <c r="F430" i="7" s="1"/>
  <c r="E544" i="7"/>
  <c r="F544" i="7" s="1"/>
  <c r="H8000" i="3"/>
  <c r="H8001" i="3" s="1"/>
  <c r="H8002" i="3" s="1"/>
  <c r="C422" i="4" s="1"/>
  <c r="E431" i="6" s="1"/>
  <c r="F431" i="6" s="1"/>
  <c r="H10385" i="3"/>
  <c r="H10386" i="3" s="1"/>
  <c r="H10389" i="3" s="1"/>
  <c r="H10390" i="3" s="1"/>
  <c r="H10391" i="3" s="1"/>
  <c r="C530" i="4" s="1"/>
  <c r="E545" i="6" s="1"/>
  <c r="F545" i="6" s="1"/>
  <c r="A448" i="4"/>
  <c r="A447" i="5"/>
  <c r="H10411" i="3"/>
  <c r="H10412" i="3" s="1"/>
  <c r="H10415" i="3" s="1"/>
  <c r="H10416" i="3" s="1"/>
  <c r="H10417" i="3" s="1"/>
  <c r="C531" i="4" s="1"/>
  <c r="E546" i="6" s="1"/>
  <c r="F546" i="6" s="1"/>
  <c r="A224" i="4"/>
  <c r="A223" i="5"/>
  <c r="B10446" i="3"/>
  <c r="A532" i="4"/>
  <c r="A531" i="5"/>
  <c r="A53" i="4"/>
  <c r="A52" i="5"/>
  <c r="G3022" i="3"/>
  <c r="H3022" i="3" s="1"/>
  <c r="H3025" i="3" s="1"/>
  <c r="G3047" i="3"/>
  <c r="G3073" i="3" s="1"/>
  <c r="G9240" i="3"/>
  <c r="H9214" i="3"/>
  <c r="H9215" i="3" s="1"/>
  <c r="B8565" i="3"/>
  <c r="A182" i="4"/>
  <c r="B2380" i="3"/>
  <c r="A182" i="5" s="1"/>
  <c r="G8034" i="3"/>
  <c r="H8012" i="3"/>
  <c r="H8013" i="3" s="1"/>
  <c r="G2362" i="3"/>
  <c r="H2338" i="3"/>
  <c r="H2314" i="3"/>
  <c r="A350" i="4"/>
  <c r="B6343" i="3"/>
  <c r="A350" i="5" s="1"/>
  <c r="H161" i="3"/>
  <c r="H162" i="3" s="1"/>
  <c r="G187" i="3"/>
  <c r="G270" i="3"/>
  <c r="H217" i="3"/>
  <c r="G215" i="3"/>
  <c r="H184" i="3"/>
  <c r="G8077" i="3"/>
  <c r="H8055" i="3"/>
  <c r="G2363" i="3"/>
  <c r="H2339" i="3"/>
  <c r="H1514" i="3"/>
  <c r="H1516" i="3" s="1"/>
  <c r="G1540" i="3"/>
  <c r="G10451" i="3"/>
  <c r="H10451" i="3" s="1"/>
  <c r="H10455" i="3" s="1"/>
  <c r="H10425" i="3"/>
  <c r="H10429" i="3" s="1"/>
  <c r="G299" i="3"/>
  <c r="H299" i="3" s="1"/>
  <c r="H300" i="3" s="1"/>
  <c r="H224" i="3"/>
  <c r="H230" i="3" s="1"/>
  <c r="H1655" i="3"/>
  <c r="G1685" i="3"/>
  <c r="G2385" i="3"/>
  <c r="H2360" i="3"/>
  <c r="H8032" i="3"/>
  <c r="G8054" i="3"/>
  <c r="A33" i="4"/>
  <c r="B577" i="3"/>
  <c r="H3347" i="3"/>
  <c r="H3346" i="3"/>
  <c r="A68" i="4"/>
  <c r="B1426" i="3"/>
  <c r="A68" i="5" s="1"/>
  <c r="G1046" i="3"/>
  <c r="H1013" i="3"/>
  <c r="G2859" i="3"/>
  <c r="H2833" i="3"/>
  <c r="A387" i="4"/>
  <c r="B7147" i="3"/>
  <c r="A387" i="5" s="1"/>
  <c r="G1278" i="3"/>
  <c r="H1250" i="3"/>
  <c r="G6432" i="3"/>
  <c r="H6408" i="3"/>
  <c r="H6409" i="3" s="1"/>
  <c r="H767" i="3"/>
  <c r="H769" i="3" s="1"/>
  <c r="G792" i="3"/>
  <c r="G3935" i="3"/>
  <c r="H3910" i="3"/>
  <c r="H3911" i="3" s="1"/>
  <c r="G3959" i="3"/>
  <c r="H3934" i="3"/>
  <c r="H3936" i="3" s="1"/>
  <c r="G1279" i="3"/>
  <c r="H1251" i="3"/>
  <c r="H4986" i="3"/>
  <c r="G5020" i="3"/>
  <c r="G4396" i="3"/>
  <c r="H4369" i="3"/>
  <c r="H1683" i="3"/>
  <c r="G1773" i="3"/>
  <c r="H6765" i="3"/>
  <c r="G6816" i="3"/>
  <c r="H10433" i="3"/>
  <c r="H10434" i="3" s="1"/>
  <c r="G10458" i="3"/>
  <c r="H10458" i="3" s="1"/>
  <c r="H10459" i="3" s="1"/>
  <c r="D421" i="5" l="1"/>
  <c r="D179" i="5"/>
  <c r="D530" i="5"/>
  <c r="D12" i="5"/>
  <c r="D178" i="5"/>
  <c r="E182" i="7" s="1"/>
  <c r="F182" i="7" s="1"/>
  <c r="D175" i="5"/>
  <c r="E179" i="7" s="1"/>
  <c r="F179" i="7" s="1"/>
  <c r="D529" i="5"/>
  <c r="E545" i="7" s="1"/>
  <c r="F545" i="7" s="1"/>
  <c r="G2319" i="3"/>
  <c r="H2319" i="3" s="1"/>
  <c r="H2320" i="3" s="1"/>
  <c r="H10462" i="3"/>
  <c r="H10463" i="3" s="1"/>
  <c r="H10466" i="3" s="1"/>
  <c r="H10467" i="3" s="1"/>
  <c r="H10468" i="3" s="1"/>
  <c r="C533" i="4" s="1"/>
  <c r="E548" i="6" s="1"/>
  <c r="F548" i="6" s="1"/>
  <c r="A458" i="7"/>
  <c r="A458" i="6"/>
  <c r="A397" i="7"/>
  <c r="A397" i="6"/>
  <c r="A71" i="7"/>
  <c r="A71" i="6"/>
  <c r="A228" i="7"/>
  <c r="A228" i="6"/>
  <c r="A336" i="7"/>
  <c r="A336" i="6"/>
  <c r="A54" i="7"/>
  <c r="A54" i="6"/>
  <c r="A547" i="7"/>
  <c r="A547" i="6"/>
  <c r="A359" i="7"/>
  <c r="A359" i="6"/>
  <c r="A186" i="7"/>
  <c r="A186" i="6"/>
  <c r="A331" i="5"/>
  <c r="A332" i="4"/>
  <c r="B5939" i="3"/>
  <c r="E12" i="7"/>
  <c r="F12" i="7" s="1"/>
  <c r="E183" i="7"/>
  <c r="F183" i="7" s="1"/>
  <c r="H174" i="3"/>
  <c r="H175" i="3" s="1"/>
  <c r="H176" i="3" s="1"/>
  <c r="C14" i="4" s="1"/>
  <c r="E13" i="6" s="1"/>
  <c r="F13" i="6" s="1"/>
  <c r="E431" i="7"/>
  <c r="F431" i="7" s="1"/>
  <c r="E546" i="7"/>
  <c r="F546" i="7" s="1"/>
  <c r="H8022" i="3"/>
  <c r="H8023" i="3" s="1"/>
  <c r="H8024" i="3" s="1"/>
  <c r="C423" i="4" s="1"/>
  <c r="E432" i="6" s="1"/>
  <c r="F432" i="6" s="1"/>
  <c r="H10437" i="3"/>
  <c r="A533" i="4"/>
  <c r="A532" i="5"/>
  <c r="A34" i="4"/>
  <c r="A33" i="5"/>
  <c r="A449" i="4"/>
  <c r="A448" i="5"/>
  <c r="H2326" i="3"/>
  <c r="H2327" i="3" s="1"/>
  <c r="H2328" i="3" s="1"/>
  <c r="C180" i="4" s="1"/>
  <c r="E183" i="6" s="1"/>
  <c r="F183" i="6" s="1"/>
  <c r="H3047" i="3"/>
  <c r="H3050" i="3" s="1"/>
  <c r="H9240" i="3"/>
  <c r="H9241" i="3" s="1"/>
  <c r="G9267" i="3"/>
  <c r="B8590" i="3"/>
  <c r="H2340" i="3"/>
  <c r="B2434" i="3"/>
  <c r="A185" i="5" s="1"/>
  <c r="A183" i="4"/>
  <c r="G2387" i="3"/>
  <c r="H2362" i="3"/>
  <c r="H8034" i="3"/>
  <c r="H8035" i="3" s="1"/>
  <c r="G8056" i="3"/>
  <c r="B6368" i="3"/>
  <c r="B6395" i="3" s="1"/>
  <c r="A352" i="5" s="1"/>
  <c r="A351" i="4"/>
  <c r="G2388" i="3"/>
  <c r="H2363" i="3"/>
  <c r="G8100" i="3"/>
  <c r="H8077" i="3"/>
  <c r="H215" i="3"/>
  <c r="G268" i="3"/>
  <c r="G246" i="3"/>
  <c r="H246" i="3" s="1"/>
  <c r="H1685" i="3"/>
  <c r="G1775" i="3"/>
  <c r="G385" i="3"/>
  <c r="H270" i="3"/>
  <c r="G293" i="3"/>
  <c r="H293" i="3" s="1"/>
  <c r="H294" i="3" s="1"/>
  <c r="H1540" i="3"/>
  <c r="H1542" i="3" s="1"/>
  <c r="G1566" i="3"/>
  <c r="H8054" i="3"/>
  <c r="G8076" i="3"/>
  <c r="H187" i="3"/>
  <c r="H188" i="3" s="1"/>
  <c r="G218" i="3"/>
  <c r="G2410" i="3"/>
  <c r="H2385" i="3"/>
  <c r="G2885" i="3"/>
  <c r="H2859" i="3"/>
  <c r="G1081" i="3"/>
  <c r="H1046" i="3"/>
  <c r="A388" i="4"/>
  <c r="B7172" i="3"/>
  <c r="A388" i="5" s="1"/>
  <c r="B1451" i="3"/>
  <c r="A69" i="5" s="1"/>
  <c r="A69" i="4"/>
  <c r="G1305" i="3"/>
  <c r="H1278" i="3"/>
  <c r="G1306" i="3"/>
  <c r="H1279" i="3"/>
  <c r="G4080" i="3"/>
  <c r="H3935" i="3"/>
  <c r="G3984" i="3"/>
  <c r="H3959" i="3"/>
  <c r="H3961" i="3" s="1"/>
  <c r="H792" i="3"/>
  <c r="H794" i="3" s="1"/>
  <c r="G818" i="3"/>
  <c r="H6432" i="3"/>
  <c r="G6530" i="3"/>
  <c r="G4423" i="3"/>
  <c r="H4396" i="3"/>
  <c r="H3073" i="3"/>
  <c r="H3076" i="3" s="1"/>
  <c r="G3099" i="3"/>
  <c r="G1805" i="3"/>
  <c r="H1805" i="3" s="1"/>
  <c r="H1773" i="3"/>
  <c r="G5052" i="3"/>
  <c r="H5020" i="3"/>
  <c r="G5199" i="3"/>
  <c r="H6816" i="3"/>
  <c r="G6842" i="3"/>
  <c r="D532" i="5" l="1"/>
  <c r="E548" i="7" s="1"/>
  <c r="F548" i="7" s="1"/>
  <c r="D13" i="5"/>
  <c r="D531" i="5"/>
  <c r="E547" i="7" s="1"/>
  <c r="F547" i="7" s="1"/>
  <c r="F549" i="7" s="1"/>
  <c r="G25" i="9" s="1"/>
  <c r="D422" i="5"/>
  <c r="E432" i="7" s="1"/>
  <c r="F432" i="7" s="1"/>
  <c r="H10438" i="3"/>
  <c r="H10441" i="3" s="1"/>
  <c r="H10442" i="3" s="1"/>
  <c r="H10443" i="3" s="1"/>
  <c r="C532" i="4" s="1"/>
  <c r="E547" i="6" s="1"/>
  <c r="F547" i="6" s="1"/>
  <c r="F549" i="6" s="1"/>
  <c r="G25" i="8" s="1"/>
  <c r="A398" i="7"/>
  <c r="A398" i="6"/>
  <c r="A189" i="7"/>
  <c r="A189" i="6"/>
  <c r="A548" i="7"/>
  <c r="A548" i="6"/>
  <c r="A339" i="7"/>
  <c r="A339" i="6"/>
  <c r="A459" i="7"/>
  <c r="A459" i="6"/>
  <c r="A72" i="7"/>
  <c r="A72" i="6"/>
  <c r="A361" i="7"/>
  <c r="A361" i="6"/>
  <c r="A34" i="7"/>
  <c r="A34" i="6"/>
  <c r="H2350" i="3"/>
  <c r="H2351" i="3" s="1"/>
  <c r="H2352" i="3" s="1"/>
  <c r="C181" i="4" s="1"/>
  <c r="E184" i="6" s="1"/>
  <c r="F184" i="6" s="1"/>
  <c r="H205" i="3"/>
  <c r="H206" i="3" s="1"/>
  <c r="H207" i="3" s="1"/>
  <c r="C15" i="4" s="1"/>
  <c r="E14" i="6" s="1"/>
  <c r="F14" i="6" s="1"/>
  <c r="E13" i="7"/>
  <c r="F13" i="7" s="1"/>
  <c r="H306" i="3"/>
  <c r="H307" i="3" s="1"/>
  <c r="H308" i="3" s="1"/>
  <c r="C19" i="4" s="1"/>
  <c r="E18" i="6" s="1"/>
  <c r="F18" i="6" s="1"/>
  <c r="A333" i="4"/>
  <c r="A332" i="5"/>
  <c r="H8044" i="3"/>
  <c r="H8045" i="3" s="1"/>
  <c r="H8046" i="3" s="1"/>
  <c r="C424" i="4" s="1"/>
  <c r="E433" i="6" s="1"/>
  <c r="F433" i="6" s="1"/>
  <c r="A450" i="4"/>
  <c r="A449" i="5"/>
  <c r="A352" i="4"/>
  <c r="A351" i="5"/>
  <c r="H2364" i="3"/>
  <c r="H9267" i="3"/>
  <c r="H9269" i="3" s="1"/>
  <c r="G9294" i="3"/>
  <c r="B8615" i="3"/>
  <c r="A186" i="4"/>
  <c r="B2459" i="3"/>
  <c r="A186" i="5" s="1"/>
  <c r="A389" i="4"/>
  <c r="B7230" i="3"/>
  <c r="A391" i="5" s="1"/>
  <c r="H8056" i="3"/>
  <c r="H8057" i="3" s="1"/>
  <c r="G8078" i="3"/>
  <c r="G2412" i="3"/>
  <c r="H2387" i="3"/>
  <c r="B6420" i="3"/>
  <c r="A353" i="5" s="1"/>
  <c r="A353" i="4"/>
  <c r="H268" i="3"/>
  <c r="G316" i="3"/>
  <c r="G383" i="3"/>
  <c r="H8076" i="3"/>
  <c r="G8099" i="3"/>
  <c r="G1595" i="3"/>
  <c r="H1566" i="3"/>
  <c r="H1571" i="3" s="1"/>
  <c r="G2439" i="3"/>
  <c r="H2410" i="3"/>
  <c r="G761" i="3"/>
  <c r="H385" i="3"/>
  <c r="G247" i="3"/>
  <c r="H247" i="3" s="1"/>
  <c r="H248" i="3" s="1"/>
  <c r="G271" i="3"/>
  <c r="H218" i="3"/>
  <c r="H219" i="3" s="1"/>
  <c r="H8100" i="3"/>
  <c r="G8122" i="3"/>
  <c r="H1775" i="3"/>
  <c r="G1807" i="3"/>
  <c r="H1807" i="3" s="1"/>
  <c r="G2413" i="3"/>
  <c r="H2388" i="3"/>
  <c r="G1108" i="3"/>
  <c r="H1081" i="3"/>
  <c r="B1476" i="3"/>
  <c r="A70" i="5" s="1"/>
  <c r="A70" i="4"/>
  <c r="G2911" i="3"/>
  <c r="H2885" i="3"/>
  <c r="G1332" i="3"/>
  <c r="H1305" i="3"/>
  <c r="G6556" i="3"/>
  <c r="H6530" i="3"/>
  <c r="H6532" i="3" s="1"/>
  <c r="H818" i="3"/>
  <c r="H820" i="3" s="1"/>
  <c r="G844" i="3"/>
  <c r="H4080" i="3"/>
  <c r="G4131" i="3"/>
  <c r="G4343" i="3"/>
  <c r="G4008" i="3"/>
  <c r="H3984" i="3"/>
  <c r="H3986" i="3" s="1"/>
  <c r="G1333" i="3"/>
  <c r="H1306" i="3"/>
  <c r="G3125" i="3"/>
  <c r="H3099" i="3"/>
  <c r="H3102" i="3" s="1"/>
  <c r="G4450" i="3"/>
  <c r="H4423" i="3"/>
  <c r="H5052" i="3"/>
  <c r="G5083" i="3"/>
  <c r="G5435" i="3"/>
  <c r="G5300" i="3"/>
  <c r="H5199" i="3"/>
  <c r="G7322" i="3"/>
  <c r="H6842" i="3"/>
  <c r="D14" i="5" l="1"/>
  <c r="D180" i="5"/>
  <c r="D18" i="5"/>
  <c r="D423" i="5"/>
  <c r="A401" i="7"/>
  <c r="A401" i="6"/>
  <c r="A190" i="7"/>
  <c r="A190" i="6"/>
  <c r="A73" i="7"/>
  <c r="A73" i="6"/>
  <c r="A460" i="7"/>
  <c r="A460" i="6"/>
  <c r="A340" i="7"/>
  <c r="A340" i="6"/>
  <c r="A362" i="7"/>
  <c r="A362" i="6"/>
  <c r="A360" i="7"/>
  <c r="A360" i="6"/>
  <c r="H236" i="3"/>
  <c r="H237" i="3" s="1"/>
  <c r="H238" i="3" s="1"/>
  <c r="C16" i="4" s="1"/>
  <c r="E15" i="6" s="1"/>
  <c r="F15" i="6" s="1"/>
  <c r="H258" i="3"/>
  <c r="H259" i="3" s="1"/>
  <c r="H260" i="3" s="1"/>
  <c r="C17" i="4" s="1"/>
  <c r="E16" i="6" s="1"/>
  <c r="F16" i="6" s="1"/>
  <c r="E18" i="7"/>
  <c r="F18" i="7" s="1"/>
  <c r="H2374" i="3"/>
  <c r="H2375" i="3" s="1"/>
  <c r="H2376" i="3" s="1"/>
  <c r="C182" i="4" s="1"/>
  <c r="E185" i="6" s="1"/>
  <c r="F185" i="6" s="1"/>
  <c r="E14" i="7"/>
  <c r="F14" i="7" s="1"/>
  <c r="E184" i="7"/>
  <c r="F184" i="7" s="1"/>
  <c r="E433" i="7"/>
  <c r="F433" i="7" s="1"/>
  <c r="H8066" i="3"/>
  <c r="H8067" i="3" s="1"/>
  <c r="H8068" i="3" s="1"/>
  <c r="C425" i="4" s="1"/>
  <c r="E434" i="6" s="1"/>
  <c r="F434" i="6" s="1"/>
  <c r="A451" i="4"/>
  <c r="A450" i="5"/>
  <c r="G9322" i="3"/>
  <c r="H9322" i="3" s="1"/>
  <c r="H9323" i="3" s="1"/>
  <c r="H9294" i="3"/>
  <c r="H9295" i="3" s="1"/>
  <c r="B8640" i="3"/>
  <c r="A187" i="4"/>
  <c r="B2485" i="3"/>
  <c r="A187" i="5" s="1"/>
  <c r="H2389" i="3"/>
  <c r="A392" i="4"/>
  <c r="B7255" i="3"/>
  <c r="A392" i="5" s="1"/>
  <c r="G2441" i="3"/>
  <c r="H2412" i="3"/>
  <c r="G8101" i="3"/>
  <c r="H8078" i="3"/>
  <c r="H8079" i="3" s="1"/>
  <c r="B6444" i="3"/>
  <c r="A354" i="5" s="1"/>
  <c r="A354" i="4"/>
  <c r="G1624" i="3"/>
  <c r="H1595" i="3"/>
  <c r="H1600" i="3" s="1"/>
  <c r="H761" i="3"/>
  <c r="G787" i="3"/>
  <c r="G2464" i="3"/>
  <c r="H2439" i="3"/>
  <c r="G8121" i="3"/>
  <c r="H8099" i="3"/>
  <c r="H8122" i="3"/>
  <c r="G8144" i="3"/>
  <c r="G2442" i="3"/>
  <c r="H2413" i="3"/>
  <c r="H383" i="3"/>
  <c r="G410" i="3"/>
  <c r="G341" i="3"/>
  <c r="H316" i="3"/>
  <c r="G317" i="3"/>
  <c r="H271" i="3"/>
  <c r="H272" i="3" s="1"/>
  <c r="G386" i="3"/>
  <c r="G1134" i="3"/>
  <c r="H1108" i="3"/>
  <c r="H2911" i="3"/>
  <c r="G2937" i="3"/>
  <c r="B1501" i="3"/>
  <c r="A71" i="5" s="1"/>
  <c r="A71" i="4"/>
  <c r="G1359" i="3"/>
  <c r="H1332" i="3"/>
  <c r="H844" i="3"/>
  <c r="H846" i="3" s="1"/>
  <c r="G896" i="3"/>
  <c r="G1360" i="3"/>
  <c r="H1333" i="3"/>
  <c r="G4370" i="3"/>
  <c r="H4343" i="3"/>
  <c r="G4985" i="3"/>
  <c r="G4033" i="3"/>
  <c r="H4008" i="3"/>
  <c r="H4010" i="3" s="1"/>
  <c r="G4156" i="3"/>
  <c r="H4131" i="3"/>
  <c r="G6582" i="3"/>
  <c r="H6556" i="3"/>
  <c r="H6558" i="3" s="1"/>
  <c r="G5327" i="3"/>
  <c r="H5300" i="3"/>
  <c r="H3125" i="3"/>
  <c r="H3129" i="3" s="1"/>
  <c r="G3152" i="3"/>
  <c r="H3152" i="3" s="1"/>
  <c r="H3156" i="3" s="1"/>
  <c r="H5083" i="3"/>
  <c r="G5116" i="3"/>
  <c r="G5082" i="3"/>
  <c r="H5082" i="3" s="1"/>
  <c r="H4450" i="3"/>
  <c r="G4555" i="3"/>
  <c r="G5489" i="3"/>
  <c r="G5462" i="3"/>
  <c r="H5462" i="3" s="1"/>
  <c r="H5435" i="3"/>
  <c r="G7349" i="3"/>
  <c r="H7349" i="3" s="1"/>
  <c r="H7322" i="3"/>
  <c r="D181" i="5" l="1"/>
  <c r="D16" i="5"/>
  <c r="E16" i="7" s="1"/>
  <c r="F16" i="7" s="1"/>
  <c r="D15" i="5"/>
  <c r="E15" i="7" s="1"/>
  <c r="F15" i="7" s="1"/>
  <c r="D424" i="5"/>
  <c r="E434" i="7" s="1"/>
  <c r="F434" i="7" s="1"/>
  <c r="A363" i="7"/>
  <c r="A363" i="6"/>
  <c r="A191" i="7"/>
  <c r="A191" i="6"/>
  <c r="A461" i="7"/>
  <c r="A461" i="6"/>
  <c r="A402" i="7"/>
  <c r="A402" i="6"/>
  <c r="A74" i="7"/>
  <c r="A74" i="6"/>
  <c r="H2399" i="3"/>
  <c r="H2400" i="3" s="1"/>
  <c r="H2401" i="3" s="1"/>
  <c r="C183" i="4" s="1"/>
  <c r="E186" i="6" s="1"/>
  <c r="F186" i="6" s="1"/>
  <c r="E185" i="7"/>
  <c r="F185" i="7" s="1"/>
  <c r="H282" i="3"/>
  <c r="H283" i="3" s="1"/>
  <c r="H284" i="3" s="1"/>
  <c r="C18" i="4" s="1"/>
  <c r="E17" i="6" s="1"/>
  <c r="F17" i="6" s="1"/>
  <c r="H8089" i="3"/>
  <c r="H8090" i="3" s="1"/>
  <c r="H8091" i="3" s="1"/>
  <c r="C426" i="4" s="1"/>
  <c r="E435" i="6" s="1"/>
  <c r="F435" i="6" s="1"/>
  <c r="A452" i="4"/>
  <c r="A451" i="5"/>
  <c r="H2414" i="3"/>
  <c r="B8664" i="3"/>
  <c r="A188" i="4"/>
  <c r="B2509" i="3"/>
  <c r="A188" i="5" s="1"/>
  <c r="B7281" i="3"/>
  <c r="A393" i="5" s="1"/>
  <c r="A393" i="4"/>
  <c r="G2466" i="3"/>
  <c r="H2441" i="3"/>
  <c r="H8101" i="3"/>
  <c r="H8102" i="3" s="1"/>
  <c r="G8123" i="3"/>
  <c r="A355" i="4"/>
  <c r="B6468" i="3"/>
  <c r="A355" i="5" s="1"/>
  <c r="H8121" i="3"/>
  <c r="G8143" i="3"/>
  <c r="G2467" i="3"/>
  <c r="H2442" i="3"/>
  <c r="G2490" i="3"/>
  <c r="H2464" i="3"/>
  <c r="G411" i="3"/>
  <c r="H386" i="3"/>
  <c r="H387" i="3" s="1"/>
  <c r="G812" i="3"/>
  <c r="H787" i="3"/>
  <c r="G8166" i="3"/>
  <c r="H8144" i="3"/>
  <c r="H317" i="3"/>
  <c r="H318" i="3" s="1"/>
  <c r="G342" i="3"/>
  <c r="H341" i="3"/>
  <c r="G362" i="3"/>
  <c r="H362" i="3" s="1"/>
  <c r="H410" i="3"/>
  <c r="G431" i="3"/>
  <c r="G1654" i="3"/>
  <c r="H1624" i="3"/>
  <c r="H1629" i="3" s="1"/>
  <c r="G2964" i="3"/>
  <c r="H2937" i="3"/>
  <c r="H1134" i="3"/>
  <c r="G1163" i="3"/>
  <c r="A72" i="4"/>
  <c r="B1527" i="3"/>
  <c r="A72" i="5" s="1"/>
  <c r="G1385" i="3"/>
  <c r="H1385" i="3" s="1"/>
  <c r="H1359" i="3"/>
  <c r="G6607" i="3"/>
  <c r="G6710" i="3" s="1"/>
  <c r="H6710" i="3" s="1"/>
  <c r="H6713" i="3" s="1"/>
  <c r="H6582" i="3"/>
  <c r="H6583" i="3" s="1"/>
  <c r="G4181" i="3"/>
  <c r="H4156" i="3"/>
  <c r="G4056" i="3"/>
  <c r="H4033" i="3"/>
  <c r="H4034" i="3" s="1"/>
  <c r="G1386" i="3"/>
  <c r="H1386" i="3" s="1"/>
  <c r="H1360" i="3"/>
  <c r="G924" i="3"/>
  <c r="H896" i="3"/>
  <c r="H900" i="3" s="1"/>
  <c r="G5019" i="3"/>
  <c r="H4985" i="3"/>
  <c r="G4397" i="3"/>
  <c r="H4370" i="3"/>
  <c r="G5517" i="3"/>
  <c r="H5517" i="3" s="1"/>
  <c r="H5489" i="3"/>
  <c r="H4555" i="3"/>
  <c r="G4582" i="3"/>
  <c r="G5354" i="3"/>
  <c r="H5327" i="3"/>
  <c r="G5172" i="3"/>
  <c r="H5172" i="3" s="1"/>
  <c r="H5116" i="3"/>
  <c r="D182" i="5" l="1"/>
  <c r="D425" i="5"/>
  <c r="D17" i="5"/>
  <c r="E17" i="7" s="1"/>
  <c r="F17" i="7" s="1"/>
  <c r="A403" i="7"/>
  <c r="A403" i="6"/>
  <c r="A75" i="7"/>
  <c r="A75" i="6"/>
  <c r="A192" i="7"/>
  <c r="A192" i="6"/>
  <c r="A364" i="7"/>
  <c r="A364" i="6"/>
  <c r="A462" i="7"/>
  <c r="A462" i="6"/>
  <c r="H397" i="3"/>
  <c r="H398" i="3" s="1"/>
  <c r="H399" i="3" s="1"/>
  <c r="C23" i="4" s="1"/>
  <c r="E22" i="6" s="1"/>
  <c r="F22" i="6" s="1"/>
  <c r="H330" i="3"/>
  <c r="H331" i="3" s="1"/>
  <c r="H332" i="3" s="1"/>
  <c r="C20" i="4" s="1"/>
  <c r="E19" i="6" s="1"/>
  <c r="F19" i="6" s="1"/>
  <c r="G2000" i="3"/>
  <c r="E186" i="7"/>
  <c r="F186" i="7" s="1"/>
  <c r="H2428" i="3"/>
  <c r="H2429" i="3" s="1"/>
  <c r="H2430" i="3" s="1"/>
  <c r="C184" i="4" s="1"/>
  <c r="E187" i="6" s="1"/>
  <c r="F187" i="6" s="1"/>
  <c r="E435" i="7"/>
  <c r="F435" i="7" s="1"/>
  <c r="H8111" i="3"/>
  <c r="H8112" i="3" s="1"/>
  <c r="H8113" i="3" s="1"/>
  <c r="C427" i="4" s="1"/>
  <c r="E436" i="6" s="1"/>
  <c r="F436" i="6" s="1"/>
  <c r="A453" i="4"/>
  <c r="A452" i="5"/>
  <c r="B8688" i="3"/>
  <c r="B2534" i="3"/>
  <c r="A189" i="5" s="1"/>
  <c r="A189" i="4"/>
  <c r="H2443" i="3"/>
  <c r="A394" i="4"/>
  <c r="B7307" i="3"/>
  <c r="A394" i="5" s="1"/>
  <c r="G8145" i="3"/>
  <c r="H8123" i="3"/>
  <c r="H8124" i="3" s="1"/>
  <c r="H2466" i="3"/>
  <c r="G2492" i="3"/>
  <c r="A356" i="4"/>
  <c r="B6492" i="3"/>
  <c r="H2000" i="3"/>
  <c r="G2083" i="3"/>
  <c r="H2083" i="3" s="1"/>
  <c r="G432" i="3"/>
  <c r="H411" i="3"/>
  <c r="H412" i="3" s="1"/>
  <c r="H431" i="3"/>
  <c r="G453" i="3"/>
  <c r="H8166" i="3"/>
  <c r="G8188" i="3"/>
  <c r="G1684" i="3"/>
  <c r="H1654" i="3"/>
  <c r="H1660" i="3" s="1"/>
  <c r="G2514" i="3"/>
  <c r="H2490" i="3"/>
  <c r="G2493" i="3"/>
  <c r="H2467" i="3"/>
  <c r="H342" i="3"/>
  <c r="H343" i="3" s="1"/>
  <c r="G363" i="3"/>
  <c r="H363" i="3" s="1"/>
  <c r="H364" i="3" s="1"/>
  <c r="G8165" i="3"/>
  <c r="H8143" i="3"/>
  <c r="H812" i="3"/>
  <c r="G838" i="3"/>
  <c r="A73" i="4"/>
  <c r="B1553" i="3"/>
  <c r="A73" i="5" s="1"/>
  <c r="G2990" i="3"/>
  <c r="H2964" i="3"/>
  <c r="G1189" i="3"/>
  <c r="H1163" i="3"/>
  <c r="G5198" i="3"/>
  <c r="G5051" i="3"/>
  <c r="H5019" i="3"/>
  <c r="G4079" i="3"/>
  <c r="H4056" i="3"/>
  <c r="H4057" i="3" s="1"/>
  <c r="G4208" i="3"/>
  <c r="H4181" i="3"/>
  <c r="G1087" i="3"/>
  <c r="G1022" i="3"/>
  <c r="H924" i="3"/>
  <c r="H927" i="3" s="1"/>
  <c r="G4424" i="3"/>
  <c r="H4397" i="3"/>
  <c r="G6737" i="3"/>
  <c r="H6607" i="3"/>
  <c r="H6608" i="3" s="1"/>
  <c r="H5354" i="3"/>
  <c r="G5381" i="3"/>
  <c r="H4582" i="3"/>
  <c r="G4609" i="3"/>
  <c r="D22" i="5" l="1"/>
  <c r="D19" i="5"/>
  <c r="D426" i="5"/>
  <c r="E436" i="7" s="1"/>
  <c r="F436" i="7" s="1"/>
  <c r="D183" i="5"/>
  <c r="E187" i="7" s="1"/>
  <c r="F187" i="7" s="1"/>
  <c r="A193" i="7"/>
  <c r="A193" i="6"/>
  <c r="A76" i="7"/>
  <c r="A76" i="6"/>
  <c r="A463" i="7"/>
  <c r="A463" i="6"/>
  <c r="A404" i="7"/>
  <c r="A404" i="6"/>
  <c r="H352" i="3"/>
  <c r="H353" i="3" s="1"/>
  <c r="H354" i="3" s="1"/>
  <c r="C21" i="4" s="1"/>
  <c r="E20" i="6" s="1"/>
  <c r="F20" i="6" s="1"/>
  <c r="F23" i="6" s="1"/>
  <c r="G9" i="8" s="1"/>
  <c r="E19" i="7"/>
  <c r="F19" i="7" s="1"/>
  <c r="H2454" i="3"/>
  <c r="H2455" i="3" s="1"/>
  <c r="H2456" i="3" s="1"/>
  <c r="C186" i="4" s="1"/>
  <c r="E189" i="6" s="1"/>
  <c r="F189" i="6" s="1"/>
  <c r="E22" i="7"/>
  <c r="F22" i="7" s="1"/>
  <c r="H373" i="3"/>
  <c r="H374" i="3" s="1"/>
  <c r="H375" i="3" s="1"/>
  <c r="C22" i="4" s="1"/>
  <c r="E21" i="6" s="1"/>
  <c r="F21" i="6" s="1"/>
  <c r="H2431" i="3"/>
  <c r="C185" i="4" s="1"/>
  <c r="E188" i="6" s="1"/>
  <c r="F188" i="6" s="1"/>
  <c r="H421" i="3"/>
  <c r="H422" i="3" s="1"/>
  <c r="H423" i="3" s="1"/>
  <c r="C26" i="4" s="1"/>
  <c r="E26" i="6" s="1"/>
  <c r="F26" i="6" s="1"/>
  <c r="H8133" i="3"/>
  <c r="H8134" i="3" s="1"/>
  <c r="H8135" i="3" s="1"/>
  <c r="C428" i="4" s="1"/>
  <c r="E437" i="6" s="1"/>
  <c r="F437" i="6" s="1"/>
  <c r="A357" i="4"/>
  <c r="A356" i="5"/>
  <c r="A454" i="4"/>
  <c r="A453" i="5"/>
  <c r="H2468" i="3"/>
  <c r="B8712" i="3"/>
  <c r="B2560" i="3"/>
  <c r="A190" i="5" s="1"/>
  <c r="A190" i="4"/>
  <c r="A395" i="4"/>
  <c r="B7334" i="3"/>
  <c r="A395" i="5" s="1"/>
  <c r="H2492" i="3"/>
  <c r="G2516" i="3"/>
  <c r="G8167" i="3"/>
  <c r="H8145" i="3"/>
  <c r="H8146" i="3" s="1"/>
  <c r="G475" i="3"/>
  <c r="H453" i="3"/>
  <c r="H1684" i="3"/>
  <c r="H1689" i="3" s="1"/>
  <c r="G1774" i="3"/>
  <c r="G865" i="3"/>
  <c r="H838" i="3"/>
  <c r="G454" i="3"/>
  <c r="H432" i="3"/>
  <c r="H433" i="3" s="1"/>
  <c r="G2539" i="3"/>
  <c r="H2514" i="3"/>
  <c r="G8187" i="3"/>
  <c r="H8165" i="3"/>
  <c r="G2517" i="3"/>
  <c r="H2493" i="3"/>
  <c r="H8188" i="3"/>
  <c r="G8210" i="3"/>
  <c r="H8210" i="3" s="1"/>
  <c r="G1216" i="3"/>
  <c r="H1189" i="3"/>
  <c r="G3016" i="3"/>
  <c r="H2990" i="3"/>
  <c r="B1582" i="3"/>
  <c r="A74" i="5" s="1"/>
  <c r="A74" i="4"/>
  <c r="H4208" i="3"/>
  <c r="G4235" i="3"/>
  <c r="H1022" i="3"/>
  <c r="H1029" i="3" s="1"/>
  <c r="G1054" i="3"/>
  <c r="H1054" i="3" s="1"/>
  <c r="H1061" i="3" s="1"/>
  <c r="G5081" i="3"/>
  <c r="H5051" i="3"/>
  <c r="H1087" i="3"/>
  <c r="H1091" i="3" s="1"/>
  <c r="G1113" i="3"/>
  <c r="G5299" i="3"/>
  <c r="G5434" i="3"/>
  <c r="H5198" i="3"/>
  <c r="H4424" i="3"/>
  <c r="G4451" i="3"/>
  <c r="G4102" i="3"/>
  <c r="H4079" i="3"/>
  <c r="H4081" i="3" s="1"/>
  <c r="H6737" i="3"/>
  <c r="H6740" i="3" s="1"/>
  <c r="G6764" i="3"/>
  <c r="H4609" i="3"/>
  <c r="G4636" i="3"/>
  <c r="G5408" i="3"/>
  <c r="H5408" i="3" s="1"/>
  <c r="H5381" i="3"/>
  <c r="D25" i="5" l="1"/>
  <c r="D427" i="5"/>
  <c r="D20" i="5"/>
  <c r="E20" i="7" s="1"/>
  <c r="F20" i="7" s="1"/>
  <c r="D185" i="5"/>
  <c r="E189" i="7" s="1"/>
  <c r="F189" i="7" s="1"/>
  <c r="D21" i="5"/>
  <c r="E21" i="7" s="1"/>
  <c r="F21" i="7" s="1"/>
  <c r="F23" i="7" s="1"/>
  <c r="G9" i="9" s="1"/>
  <c r="D184" i="5"/>
  <c r="E188" i="7" s="1"/>
  <c r="F188" i="7" s="1"/>
  <c r="A405" i="7"/>
  <c r="A405" i="6"/>
  <c r="A365" i="7"/>
  <c r="A365" i="6"/>
  <c r="A77" i="7"/>
  <c r="A77" i="6"/>
  <c r="A194" i="7"/>
  <c r="A194" i="6"/>
  <c r="A464" i="7"/>
  <c r="A464" i="6"/>
  <c r="H443" i="3"/>
  <c r="H444" i="3" s="1"/>
  <c r="H445" i="3" s="1"/>
  <c r="C27" i="4" s="1"/>
  <c r="E27" i="6" s="1"/>
  <c r="F27" i="6" s="1"/>
  <c r="H2480" i="3"/>
  <c r="H2481" i="3" s="1"/>
  <c r="H2482" i="3" s="1"/>
  <c r="C187" i="4" s="1"/>
  <c r="E190" i="6" s="1"/>
  <c r="F190" i="6" s="1"/>
  <c r="E26" i="7"/>
  <c r="F26" i="7" s="1"/>
  <c r="E437" i="7"/>
  <c r="F437" i="7" s="1"/>
  <c r="H8155" i="3"/>
  <c r="H8156" i="3" s="1"/>
  <c r="H8157" i="3" s="1"/>
  <c r="C429" i="4" s="1"/>
  <c r="E438" i="6" s="1"/>
  <c r="F438" i="6" s="1"/>
  <c r="A455" i="4"/>
  <c r="A454" i="5"/>
  <c r="H2494" i="3"/>
  <c r="B8737" i="3"/>
  <c r="A455" i="5" s="1"/>
  <c r="A191" i="4"/>
  <c r="B2587" i="3"/>
  <c r="A191" i="5" s="1"/>
  <c r="B7361" i="3"/>
  <c r="A396" i="5" s="1"/>
  <c r="A396" i="4"/>
  <c r="G8189" i="3"/>
  <c r="H8167" i="3"/>
  <c r="G2541" i="3"/>
  <c r="H2516" i="3"/>
  <c r="H8168" i="3"/>
  <c r="G8209" i="3"/>
  <c r="H8209" i="3" s="1"/>
  <c r="H8187" i="3"/>
  <c r="G2542" i="3"/>
  <c r="H2517" i="3"/>
  <c r="G1806" i="3"/>
  <c r="H1806" i="3" s="1"/>
  <c r="H1774" i="3"/>
  <c r="G1836" i="3"/>
  <c r="H1836" i="3" s="1"/>
  <c r="H1837" i="3" s="1"/>
  <c r="G2565" i="3"/>
  <c r="H2539" i="3"/>
  <c r="G476" i="3"/>
  <c r="H454" i="3"/>
  <c r="H455" i="3" s="1"/>
  <c r="H475" i="3"/>
  <c r="G496" i="3"/>
  <c r="G890" i="3"/>
  <c r="H865" i="3"/>
  <c r="H1216" i="3"/>
  <c r="G1243" i="3"/>
  <c r="G3042" i="3"/>
  <c r="H3016" i="3"/>
  <c r="A75" i="4"/>
  <c r="B1611" i="3"/>
  <c r="A75" i="5" s="1"/>
  <c r="G5461" i="3"/>
  <c r="H5461" i="3" s="1"/>
  <c r="H5434" i="3"/>
  <c r="G5488" i="3"/>
  <c r="G5326" i="3"/>
  <c r="H5299" i="3"/>
  <c r="H4102" i="3"/>
  <c r="H4103" i="3" s="1"/>
  <c r="G4130" i="3"/>
  <c r="G4341" i="3"/>
  <c r="H4451" i="3"/>
  <c r="G4477" i="3"/>
  <c r="G5115" i="3"/>
  <c r="H5081" i="3"/>
  <c r="H4235" i="3"/>
  <c r="G4262" i="3"/>
  <c r="H1113" i="3"/>
  <c r="H1117" i="3" s="1"/>
  <c r="G1139" i="3"/>
  <c r="H6764" i="3"/>
  <c r="H6767" i="3" s="1"/>
  <c r="G6790" i="3"/>
  <c r="H4636" i="3"/>
  <c r="G4663" i="3"/>
  <c r="D26" i="5" l="1"/>
  <c r="D186" i="5"/>
  <c r="E190" i="7" s="1"/>
  <c r="F190" i="7" s="1"/>
  <c r="D428" i="5"/>
  <c r="E438" i="7" s="1"/>
  <c r="F438" i="7" s="1"/>
  <c r="A465" i="7"/>
  <c r="A465" i="6"/>
  <c r="A406" i="7"/>
  <c r="A406" i="6"/>
  <c r="A78" i="7"/>
  <c r="A78" i="6"/>
  <c r="A195" i="7"/>
  <c r="A195" i="6"/>
  <c r="A466" i="7"/>
  <c r="A466" i="6"/>
  <c r="E27" i="7"/>
  <c r="F27" i="7" s="1"/>
  <c r="H465" i="3"/>
  <c r="H466" i="3" s="1"/>
  <c r="H467" i="3" s="1"/>
  <c r="C28" i="4" s="1"/>
  <c r="E28" i="6" s="1"/>
  <c r="F28" i="6" s="1"/>
  <c r="H2504" i="3"/>
  <c r="H2505" i="3" s="1"/>
  <c r="H2506" i="3" s="1"/>
  <c r="C188" i="4" s="1"/>
  <c r="E191" i="6" s="1"/>
  <c r="F191" i="6" s="1"/>
  <c r="H8177" i="3"/>
  <c r="H8178" i="3" s="1"/>
  <c r="H8179" i="3" s="1"/>
  <c r="C430" i="4" s="1"/>
  <c r="E439" i="6" s="1"/>
  <c r="F439" i="6" s="1"/>
  <c r="H2518" i="3"/>
  <c r="A456" i="4"/>
  <c r="B2613" i="3"/>
  <c r="A192" i="5" s="1"/>
  <c r="A192" i="4"/>
  <c r="B7387" i="3"/>
  <c r="A397" i="5" s="1"/>
  <c r="A397" i="4"/>
  <c r="G2567" i="3"/>
  <c r="H2541" i="3"/>
  <c r="G8211" i="3"/>
  <c r="H8211" i="3" s="1"/>
  <c r="H8212" i="3" s="1"/>
  <c r="H8189" i="3"/>
  <c r="H8190" i="3" s="1"/>
  <c r="G2592" i="3"/>
  <c r="H2565" i="3"/>
  <c r="G497" i="3"/>
  <c r="H476" i="3"/>
  <c r="H477" i="3" s="1"/>
  <c r="G2568" i="3"/>
  <c r="H2542" i="3"/>
  <c r="G918" i="3"/>
  <c r="H890" i="3"/>
  <c r="H496" i="3"/>
  <c r="G517" i="3"/>
  <c r="B1641" i="3"/>
  <c r="A76" i="5" s="1"/>
  <c r="A76" i="4"/>
  <c r="G3067" i="3"/>
  <c r="H3042" i="3"/>
  <c r="G1271" i="3"/>
  <c r="H1243" i="3"/>
  <c r="H6790" i="3"/>
  <c r="H6791" i="3" s="1"/>
  <c r="G6815" i="3"/>
  <c r="G5171" i="3"/>
  <c r="H5171" i="3" s="1"/>
  <c r="H5115" i="3"/>
  <c r="G4503" i="3"/>
  <c r="H4477" i="3"/>
  <c r="G4368" i="3"/>
  <c r="H4341" i="3"/>
  <c r="H4344" i="3" s="1"/>
  <c r="G4984" i="3"/>
  <c r="H4130" i="3"/>
  <c r="H4132" i="3" s="1"/>
  <c r="G4155" i="3"/>
  <c r="H1139" i="3"/>
  <c r="H1143" i="3" s="1"/>
  <c r="G1168" i="3"/>
  <c r="G5516" i="3"/>
  <c r="H5488" i="3"/>
  <c r="H5326" i="3"/>
  <c r="G5353" i="3"/>
  <c r="G4289" i="3"/>
  <c r="H4262" i="3"/>
  <c r="H4663" i="3"/>
  <c r="G4690" i="3"/>
  <c r="D429" i="5" l="1"/>
  <c r="D187" i="5"/>
  <c r="E191" i="7" s="1"/>
  <c r="F191" i="7" s="1"/>
  <c r="D27" i="5"/>
  <c r="A407" i="7"/>
  <c r="A407" i="6"/>
  <c r="A196" i="7"/>
  <c r="A196" i="6"/>
  <c r="A79" i="7"/>
  <c r="A79" i="6"/>
  <c r="H2529" i="3"/>
  <c r="H2530" i="3" s="1"/>
  <c r="H2531" i="3" s="1"/>
  <c r="C189" i="4" s="1"/>
  <c r="E192" i="6" s="1"/>
  <c r="F192" i="6" s="1"/>
  <c r="E28" i="7"/>
  <c r="F28" i="7" s="1"/>
  <c r="H486" i="3"/>
  <c r="H487" i="3" s="1"/>
  <c r="H488" i="3" s="1"/>
  <c r="C29" i="4" s="1"/>
  <c r="E29" i="6" s="1"/>
  <c r="F29" i="6" s="1"/>
  <c r="E439" i="7"/>
  <c r="F439" i="7" s="1"/>
  <c r="H8199" i="3"/>
  <c r="H8200" i="3" s="1"/>
  <c r="H8201" i="3" s="1"/>
  <c r="C431" i="4" s="1"/>
  <c r="E440" i="6" s="1"/>
  <c r="F440" i="6" s="1"/>
  <c r="H8221" i="3"/>
  <c r="H8222" i="3" s="1"/>
  <c r="H8223" i="3" s="1"/>
  <c r="C432" i="4" s="1"/>
  <c r="E441" i="6" s="1"/>
  <c r="F441" i="6" s="1"/>
  <c r="H2543" i="3"/>
  <c r="A193" i="4"/>
  <c r="B2638" i="3"/>
  <c r="A193" i="5" s="1"/>
  <c r="B7412" i="3"/>
  <c r="A398" i="5" s="1"/>
  <c r="A398" i="4"/>
  <c r="G2594" i="3"/>
  <c r="H2567" i="3"/>
  <c r="G1014" i="3"/>
  <c r="H918" i="3"/>
  <c r="G2595" i="3"/>
  <c r="H2568" i="3"/>
  <c r="H517" i="3"/>
  <c r="G538" i="3"/>
  <c r="G518" i="3"/>
  <c r="H497" i="3"/>
  <c r="H498" i="3" s="1"/>
  <c r="G2618" i="3"/>
  <c r="H2592" i="3"/>
  <c r="G3119" i="3"/>
  <c r="G3093" i="3"/>
  <c r="H3093" i="3" s="1"/>
  <c r="H3067" i="3"/>
  <c r="A77" i="4"/>
  <c r="B1671" i="3"/>
  <c r="A77" i="5" s="1"/>
  <c r="G1298" i="3"/>
  <c r="H1271" i="3"/>
  <c r="H5516" i="3"/>
  <c r="G5542" i="3"/>
  <c r="G9375" i="3" s="1"/>
  <c r="H4155" i="3"/>
  <c r="H4157" i="3" s="1"/>
  <c r="G4182" i="3"/>
  <c r="H4368" i="3"/>
  <c r="H4371" i="3" s="1"/>
  <c r="G4395" i="3"/>
  <c r="H4503" i="3"/>
  <c r="G4529" i="3"/>
  <c r="G5380" i="3"/>
  <c r="H5353" i="3"/>
  <c r="H1168" i="3"/>
  <c r="H1172" i="3" s="1"/>
  <c r="G1195" i="3"/>
  <c r="G5018" i="3"/>
  <c r="H4984" i="3"/>
  <c r="H4289" i="3"/>
  <c r="G4316" i="3"/>
  <c r="H4316" i="3" s="1"/>
  <c r="H6815" i="3"/>
  <c r="H6818" i="3" s="1"/>
  <c r="G6841" i="3"/>
  <c r="H6841" i="3" s="1"/>
  <c r="H6845" i="3" s="1"/>
  <c r="G7135" i="3"/>
  <c r="G4717" i="3"/>
  <c r="H4690" i="3"/>
  <c r="D431" i="5" l="1"/>
  <c r="D188" i="5"/>
  <c r="E192" i="7" s="1"/>
  <c r="F192" i="7" s="1"/>
  <c r="D430" i="5"/>
  <c r="E440" i="7" s="1"/>
  <c r="F440" i="7" s="1"/>
  <c r="D28" i="5"/>
  <c r="A80" i="7"/>
  <c r="A80" i="6"/>
  <c r="A408" i="7"/>
  <c r="A408" i="6"/>
  <c r="A197" i="7"/>
  <c r="A197" i="6"/>
  <c r="E29" i="7"/>
  <c r="F29" i="7" s="1"/>
  <c r="H507" i="3"/>
  <c r="H508" i="3" s="1"/>
  <c r="H509" i="3" s="1"/>
  <c r="C30" i="4" s="1"/>
  <c r="E30" i="6" s="1"/>
  <c r="F30" i="6" s="1"/>
  <c r="H2555" i="3"/>
  <c r="H2556" i="3" s="1"/>
  <c r="H2557" i="3" s="1"/>
  <c r="C190" i="4" s="1"/>
  <c r="E193" i="6" s="1"/>
  <c r="F193" i="6" s="1"/>
  <c r="E441" i="7"/>
  <c r="F441" i="7" s="1"/>
  <c r="H2569" i="3"/>
  <c r="H9375" i="3"/>
  <c r="G9402" i="3"/>
  <c r="B2663" i="3"/>
  <c r="A194" i="5" s="1"/>
  <c r="A194" i="4"/>
  <c r="B7439" i="3"/>
  <c r="A399" i="5" s="1"/>
  <c r="A399" i="4"/>
  <c r="G2620" i="3"/>
  <c r="H2594" i="3"/>
  <c r="G2643" i="3"/>
  <c r="H2618" i="3"/>
  <c r="H538" i="3"/>
  <c r="G560" i="3"/>
  <c r="H518" i="3"/>
  <c r="H519" i="3" s="1"/>
  <c r="G539" i="3"/>
  <c r="H2595" i="3"/>
  <c r="G2621" i="3"/>
  <c r="H1014" i="3"/>
  <c r="G1047" i="3"/>
  <c r="G3146" i="3"/>
  <c r="H3119" i="3"/>
  <c r="H1298" i="3"/>
  <c r="G1325" i="3"/>
  <c r="A78" i="4"/>
  <c r="A78" i="5"/>
  <c r="G4422" i="3"/>
  <c r="H4395" i="3"/>
  <c r="H4398" i="3" s="1"/>
  <c r="H1195" i="3"/>
  <c r="H1199" i="3" s="1"/>
  <c r="G1222" i="3"/>
  <c r="H4529" i="3"/>
  <c r="G4556" i="3"/>
  <c r="H7135" i="3"/>
  <c r="H7136" i="3" s="1"/>
  <c r="G7160" i="3"/>
  <c r="G5407" i="3"/>
  <c r="H5407" i="3" s="1"/>
  <c r="H5380" i="3"/>
  <c r="H4182" i="3"/>
  <c r="H4183" i="3" s="1"/>
  <c r="G4206" i="3"/>
  <c r="H4988" i="3"/>
  <c r="H4987" i="3"/>
  <c r="H5542" i="3"/>
  <c r="G5566" i="3"/>
  <c r="H5018" i="3"/>
  <c r="G5050" i="3"/>
  <c r="G5197" i="3"/>
  <c r="G4744" i="3"/>
  <c r="H4717" i="3"/>
  <c r="D189" i="5" l="1"/>
  <c r="D29" i="5"/>
  <c r="E30" i="7" s="1"/>
  <c r="F30" i="7" s="1"/>
  <c r="H2596" i="3"/>
  <c r="A81" i="7"/>
  <c r="A81" i="6"/>
  <c r="A198" i="7"/>
  <c r="A198" i="6"/>
  <c r="A409" i="7"/>
  <c r="A409" i="6"/>
  <c r="H528" i="3"/>
  <c r="H529" i="3" s="1"/>
  <c r="H530" i="3" s="1"/>
  <c r="C31" i="4" s="1"/>
  <c r="E31" i="6" s="1"/>
  <c r="F31" i="6" s="1"/>
  <c r="E193" i="7"/>
  <c r="F193" i="7" s="1"/>
  <c r="H2582" i="3"/>
  <c r="H2583" i="3" s="1"/>
  <c r="H2584" i="3" s="1"/>
  <c r="C191" i="4" s="1"/>
  <c r="E194" i="6" s="1"/>
  <c r="F194" i="6" s="1"/>
  <c r="H2608" i="3"/>
  <c r="H2609" i="3" s="1"/>
  <c r="H2610" i="3" s="1"/>
  <c r="C192" i="4" s="1"/>
  <c r="E195" i="6" s="1"/>
  <c r="F195" i="6" s="1"/>
  <c r="G9429" i="3"/>
  <c r="H9402" i="3"/>
  <c r="A195" i="4"/>
  <c r="B2688" i="3"/>
  <c r="A195" i="5" s="1"/>
  <c r="A400" i="4"/>
  <c r="B7466" i="3"/>
  <c r="A400" i="5" s="1"/>
  <c r="H2620" i="3"/>
  <c r="G2645" i="3"/>
  <c r="H1047" i="3"/>
  <c r="G1082" i="3"/>
  <c r="H560" i="3"/>
  <c r="G582" i="3"/>
  <c r="G561" i="3"/>
  <c r="H539" i="3"/>
  <c r="H540" i="3" s="1"/>
  <c r="G2646" i="3"/>
  <c r="H2621" i="3"/>
  <c r="G2668" i="3"/>
  <c r="H2643" i="3"/>
  <c r="A80" i="5"/>
  <c r="A79" i="4"/>
  <c r="G1352" i="3"/>
  <c r="H1325" i="3"/>
  <c r="G3173" i="3"/>
  <c r="H3146" i="3"/>
  <c r="H5022" i="3"/>
  <c r="H5021" i="3"/>
  <c r="G4449" i="3"/>
  <c r="H4422" i="3"/>
  <c r="H4425" i="3" s="1"/>
  <c r="G5591" i="3"/>
  <c r="H5591" i="3" s="1"/>
  <c r="H5566" i="3"/>
  <c r="H4206" i="3"/>
  <c r="H4209" i="3" s="1"/>
  <c r="G4233" i="3"/>
  <c r="H5197" i="3"/>
  <c r="H5200" i="3" s="1"/>
  <c r="G5433" i="3"/>
  <c r="G5298" i="3"/>
  <c r="H5050" i="3"/>
  <c r="H5053" i="3" s="1"/>
  <c r="G5080" i="3"/>
  <c r="H7160" i="3"/>
  <c r="G7185" i="3"/>
  <c r="G7320" i="3" s="1"/>
  <c r="H4556" i="3"/>
  <c r="G4583" i="3"/>
  <c r="H1222" i="3"/>
  <c r="H1226" i="3" s="1"/>
  <c r="G1249" i="3"/>
  <c r="G4771" i="3"/>
  <c r="H4744" i="3"/>
  <c r="D190" i="5" l="1"/>
  <c r="D30" i="5"/>
  <c r="E31" i="7" s="1"/>
  <c r="F31" i="7" s="1"/>
  <c r="D191" i="5"/>
  <c r="E195" i="7" s="1"/>
  <c r="F195" i="7" s="1"/>
  <c r="A83" i="7"/>
  <c r="A83" i="6"/>
  <c r="A410" i="7"/>
  <c r="A410" i="6"/>
  <c r="A199" i="7"/>
  <c r="A199" i="6"/>
  <c r="H2622" i="3"/>
  <c r="H550" i="3"/>
  <c r="H551" i="3" s="1"/>
  <c r="H552" i="3" s="1"/>
  <c r="C32" i="4" s="1"/>
  <c r="E32" i="6" s="1"/>
  <c r="F32" i="6" s="1"/>
  <c r="E194" i="7"/>
  <c r="F194" i="7" s="1"/>
  <c r="H2633" i="3"/>
  <c r="H2634" i="3" s="1"/>
  <c r="H2635" i="3" s="1"/>
  <c r="C193" i="4" s="1"/>
  <c r="E196" i="6" s="1"/>
  <c r="F196" i="6" s="1"/>
  <c r="G9456" i="3"/>
  <c r="H9456" i="3" s="1"/>
  <c r="H9429" i="3"/>
  <c r="G9507" i="3"/>
  <c r="B2716" i="3"/>
  <c r="A196" i="5" s="1"/>
  <c r="A196" i="4"/>
  <c r="B7493" i="3"/>
  <c r="A401" i="5" s="1"/>
  <c r="A401" i="4"/>
  <c r="H2645" i="3"/>
  <c r="G2670" i="3"/>
  <c r="G2693" i="3"/>
  <c r="H2668" i="3"/>
  <c r="H582" i="3"/>
  <c r="G604" i="3"/>
  <c r="H561" i="3"/>
  <c r="H562" i="3" s="1"/>
  <c r="G583" i="3"/>
  <c r="G1109" i="3"/>
  <c r="H1082" i="3"/>
  <c r="H2646" i="3"/>
  <c r="G2671" i="3"/>
  <c r="H1352" i="3"/>
  <c r="G1379" i="3"/>
  <c r="G3200" i="3"/>
  <c r="H3173" i="3"/>
  <c r="A81" i="4"/>
  <c r="B1759" i="3"/>
  <c r="A81" i="5" s="1"/>
  <c r="G7347" i="3"/>
  <c r="H7320" i="3"/>
  <c r="H7323" i="3" s="1"/>
  <c r="G7212" i="3"/>
  <c r="H7185" i="3"/>
  <c r="G4260" i="3"/>
  <c r="H4233" i="3"/>
  <c r="H4236" i="3" s="1"/>
  <c r="H4449" i="3"/>
  <c r="H4452" i="3" s="1"/>
  <c r="G4476" i="3"/>
  <c r="G4610" i="3"/>
  <c r="H4583" i="3"/>
  <c r="H5080" i="3"/>
  <c r="H5084" i="3" s="1"/>
  <c r="G5114" i="3"/>
  <c r="G5079" i="3"/>
  <c r="H5079" i="3" s="1"/>
  <c r="H5085" i="3" s="1"/>
  <c r="G5460" i="3"/>
  <c r="H5460" i="3" s="1"/>
  <c r="H5463" i="3" s="1"/>
  <c r="G5487" i="3"/>
  <c r="H5433" i="3"/>
  <c r="H5436" i="3" s="1"/>
  <c r="G1277" i="3"/>
  <c r="H1249" i="3"/>
  <c r="H1253" i="3" s="1"/>
  <c r="H5298" i="3"/>
  <c r="H5301" i="3" s="1"/>
  <c r="G5325" i="3"/>
  <c r="H4771" i="3"/>
  <c r="G4798" i="3"/>
  <c r="D31" i="5" l="1"/>
  <c r="D192" i="5"/>
  <c r="A411" i="7"/>
  <c r="A411" i="6"/>
  <c r="A200" i="7"/>
  <c r="A200" i="6"/>
  <c r="A84" i="7"/>
  <c r="A84" i="6"/>
  <c r="E196" i="7"/>
  <c r="F196" i="7" s="1"/>
  <c r="H572" i="3"/>
  <c r="H573" i="3" s="1"/>
  <c r="H574" i="3" s="1"/>
  <c r="C33" i="4" s="1"/>
  <c r="E33" i="6" s="1"/>
  <c r="F33" i="6" s="1"/>
  <c r="E32" i="7"/>
  <c r="F32" i="7" s="1"/>
  <c r="H9507" i="3"/>
  <c r="G9614" i="3"/>
  <c r="H2647" i="3"/>
  <c r="B2743" i="3"/>
  <c r="A197" i="5" s="1"/>
  <c r="A197" i="4"/>
  <c r="A402" i="4"/>
  <c r="B7517" i="3"/>
  <c r="A402" i="5" s="1"/>
  <c r="H2670" i="3"/>
  <c r="G2695" i="3"/>
  <c r="G1135" i="3"/>
  <c r="H1109" i="3"/>
  <c r="G2696" i="3"/>
  <c r="H2671" i="3"/>
  <c r="G605" i="3"/>
  <c r="H583" i="3"/>
  <c r="H584" i="3" s="1"/>
  <c r="G625" i="3"/>
  <c r="H604" i="3"/>
  <c r="G2721" i="3"/>
  <c r="H2693" i="3"/>
  <c r="A82" i="4"/>
  <c r="B1792" i="3"/>
  <c r="A82" i="5" s="1"/>
  <c r="G3254" i="3"/>
  <c r="H3200" i="3"/>
  <c r="G3227" i="3"/>
  <c r="H3227" i="3" s="1"/>
  <c r="G7374" i="3"/>
  <c r="H7347" i="3"/>
  <c r="H7350" i="3" s="1"/>
  <c r="G1405" i="3"/>
  <c r="H1379" i="3"/>
  <c r="G4637" i="3"/>
  <c r="H4610" i="3"/>
  <c r="G1304" i="3"/>
  <c r="H1277" i="3"/>
  <c r="H1281" i="3" s="1"/>
  <c r="G5352" i="3"/>
  <c r="H5325" i="3"/>
  <c r="H5328" i="3" s="1"/>
  <c r="H4260" i="3"/>
  <c r="H4263" i="3" s="1"/>
  <c r="G4287" i="3"/>
  <c r="H5114" i="3"/>
  <c r="G5170" i="3"/>
  <c r="H5170" i="3" s="1"/>
  <c r="H5173" i="3" s="1"/>
  <c r="H4476" i="3"/>
  <c r="H4478" i="3" s="1"/>
  <c r="G4502" i="3"/>
  <c r="H5487" i="3"/>
  <c r="H5491" i="3" s="1"/>
  <c r="G5515" i="3"/>
  <c r="G7213" i="3"/>
  <c r="H7213" i="3" s="1"/>
  <c r="G7243" i="3"/>
  <c r="H7243" i="3" s="1"/>
  <c r="H7244" i="3" s="1"/>
  <c r="H7212" i="3"/>
  <c r="G4825" i="3"/>
  <c r="H4798" i="3"/>
  <c r="D32" i="5" l="1"/>
  <c r="A201" i="7"/>
  <c r="A201" i="6"/>
  <c r="A412" i="7"/>
  <c r="A412" i="6"/>
  <c r="A85" i="7"/>
  <c r="A85" i="6"/>
  <c r="E33" i="7"/>
  <c r="F33" i="7" s="1"/>
  <c r="H2658" i="3"/>
  <c r="H2659" i="3" s="1"/>
  <c r="H2660" i="3" s="1"/>
  <c r="C194" i="4" s="1"/>
  <c r="E197" i="6" s="1"/>
  <c r="F197" i="6" s="1"/>
  <c r="H593" i="3"/>
  <c r="H594" i="3" s="1"/>
  <c r="H595" i="3" s="1"/>
  <c r="C34" i="4" s="1"/>
  <c r="E34" i="6" s="1"/>
  <c r="F34" i="6" s="1"/>
  <c r="H2672" i="3"/>
  <c r="H9614" i="3"/>
  <c r="G9664" i="3"/>
  <c r="B2771" i="3"/>
  <c r="A198" i="4"/>
  <c r="B7541" i="3"/>
  <c r="A403" i="5" s="1"/>
  <c r="A403" i="4"/>
  <c r="G2723" i="3"/>
  <c r="H2695" i="3"/>
  <c r="H605" i="3"/>
  <c r="H606" i="3" s="1"/>
  <c r="G626" i="3"/>
  <c r="H625" i="3"/>
  <c r="G646" i="3"/>
  <c r="G2748" i="3"/>
  <c r="H2721" i="3"/>
  <c r="H2696" i="3"/>
  <c r="G2724" i="3"/>
  <c r="G1164" i="3"/>
  <c r="H1135" i="3"/>
  <c r="H1405" i="3"/>
  <c r="G1432" i="3"/>
  <c r="G3280" i="3"/>
  <c r="H3254" i="3"/>
  <c r="A83" i="4"/>
  <c r="B1824" i="3"/>
  <c r="A83" i="5" s="1"/>
  <c r="G7400" i="3"/>
  <c r="H7374" i="3"/>
  <c r="H7376" i="3" s="1"/>
  <c r="H4637" i="3"/>
  <c r="G4664" i="3"/>
  <c r="G4314" i="3"/>
  <c r="H4314" i="3" s="1"/>
  <c r="H4317" i="3" s="1"/>
  <c r="H4287" i="3"/>
  <c r="H4290" i="3" s="1"/>
  <c r="H7215" i="3"/>
  <c r="H7214" i="3"/>
  <c r="G5541" i="3"/>
  <c r="G9374" i="3" s="1"/>
  <c r="H5515" i="3"/>
  <c r="H5518" i="3" s="1"/>
  <c r="H5352" i="3"/>
  <c r="H5355" i="3" s="1"/>
  <c r="G5379" i="3"/>
  <c r="H4502" i="3"/>
  <c r="H4504" i="3" s="1"/>
  <c r="G4528" i="3"/>
  <c r="H1304" i="3"/>
  <c r="H1308" i="3" s="1"/>
  <c r="G1331" i="3"/>
  <c r="H5117" i="3"/>
  <c r="H5118" i="3"/>
  <c r="G4852" i="3"/>
  <c r="H4825" i="3"/>
  <c r="D193" i="5" l="1"/>
  <c r="D33" i="5"/>
  <c r="A86" i="7"/>
  <c r="A86" i="6"/>
  <c r="A413" i="7"/>
  <c r="A413" i="6"/>
  <c r="H615" i="3"/>
  <c r="H616" i="3" s="1"/>
  <c r="H617" i="3" s="1"/>
  <c r="C35" i="4" s="1"/>
  <c r="E35" i="6" s="1"/>
  <c r="F35" i="6" s="1"/>
  <c r="H2683" i="3"/>
  <c r="H2684" i="3" s="1"/>
  <c r="H2685" i="3" s="1"/>
  <c r="C195" i="4" s="1"/>
  <c r="E198" i="6" s="1"/>
  <c r="F198" i="6" s="1"/>
  <c r="H2697" i="3"/>
  <c r="E34" i="7"/>
  <c r="F34" i="7" s="1"/>
  <c r="E197" i="7"/>
  <c r="F197" i="7" s="1"/>
  <c r="A199" i="4"/>
  <c r="A198" i="5"/>
  <c r="G9693" i="3"/>
  <c r="H9664" i="3"/>
  <c r="G9401" i="3"/>
  <c r="H9374" i="3"/>
  <c r="H9377" i="3" s="1"/>
  <c r="A404" i="4"/>
  <c r="B7565" i="3"/>
  <c r="A404" i="5" s="1"/>
  <c r="H2723" i="3"/>
  <c r="G2750" i="3"/>
  <c r="H626" i="3"/>
  <c r="H627" i="3" s="1"/>
  <c r="G647" i="3"/>
  <c r="G1190" i="3"/>
  <c r="H1164" i="3"/>
  <c r="G2776" i="3"/>
  <c r="H2748" i="3"/>
  <c r="H2724" i="3"/>
  <c r="G2751" i="3"/>
  <c r="H646" i="3"/>
  <c r="G668" i="3"/>
  <c r="G3307" i="3"/>
  <c r="H3280" i="3"/>
  <c r="G1457" i="3"/>
  <c r="H1432" i="3"/>
  <c r="A84" i="4"/>
  <c r="B1848" i="3"/>
  <c r="A84" i="5" s="1"/>
  <c r="H7400" i="3"/>
  <c r="H7401" i="3" s="1"/>
  <c r="G7426" i="3"/>
  <c r="H7426" i="3" s="1"/>
  <c r="G7452" i="3"/>
  <c r="H1331" i="3"/>
  <c r="H1335" i="3" s="1"/>
  <c r="G1358" i="3"/>
  <c r="G4554" i="3"/>
  <c r="H4528" i="3"/>
  <c r="H4530" i="3" s="1"/>
  <c r="G4691" i="3"/>
  <c r="H4664" i="3"/>
  <c r="H5379" i="3"/>
  <c r="H5382" i="3" s="1"/>
  <c r="G5406" i="3"/>
  <c r="H5406" i="3" s="1"/>
  <c r="H5409" i="3" s="1"/>
  <c r="G5565" i="3"/>
  <c r="H5541" i="3"/>
  <c r="H5543" i="3" s="1"/>
  <c r="G4904" i="3"/>
  <c r="G4878" i="3"/>
  <c r="H4878" i="3" s="1"/>
  <c r="H4879" i="3" s="1"/>
  <c r="H4852" i="3"/>
  <c r="D194" i="5" l="1"/>
  <c r="D34" i="5"/>
  <c r="A202" i="7"/>
  <c r="A202" i="6"/>
  <c r="A414" i="7"/>
  <c r="A414" i="6"/>
  <c r="A87" i="7"/>
  <c r="A87" i="6"/>
  <c r="H2711" i="3"/>
  <c r="H2712" i="3" s="1"/>
  <c r="H2713" i="3" s="1"/>
  <c r="C196" i="4" s="1"/>
  <c r="E199" i="6" s="1"/>
  <c r="F199" i="6" s="1"/>
  <c r="H636" i="3"/>
  <c r="H637" i="3" s="1"/>
  <c r="H638" i="3" s="1"/>
  <c r="C36" i="4" s="1"/>
  <c r="E36" i="6" s="1"/>
  <c r="F36" i="6" s="1"/>
  <c r="E198" i="7"/>
  <c r="F198" i="7" s="1"/>
  <c r="E35" i="7"/>
  <c r="F35" i="7" s="1"/>
  <c r="H2725" i="3"/>
  <c r="G9428" i="3"/>
  <c r="H9401" i="3"/>
  <c r="H9404" i="3" s="1"/>
  <c r="G9722" i="3"/>
  <c r="H9693" i="3"/>
  <c r="A405" i="4"/>
  <c r="B7591" i="3"/>
  <c r="A405" i="5" s="1"/>
  <c r="H2750" i="3"/>
  <c r="G2778" i="3"/>
  <c r="G2779" i="3"/>
  <c r="H2751" i="3"/>
  <c r="G690" i="3"/>
  <c r="H668" i="3"/>
  <c r="G1217" i="3"/>
  <c r="H1190" i="3"/>
  <c r="H647" i="3"/>
  <c r="H648" i="3" s="1"/>
  <c r="G669" i="3"/>
  <c r="G2806" i="3"/>
  <c r="H2776" i="3"/>
  <c r="G3336" i="3"/>
  <c r="H3307" i="3"/>
  <c r="B1868" i="3"/>
  <c r="A85" i="5" s="1"/>
  <c r="A85" i="4"/>
  <c r="G7479" i="3"/>
  <c r="H7452" i="3"/>
  <c r="H7455" i="3" s="1"/>
  <c r="G1482" i="3"/>
  <c r="H1457" i="3"/>
  <c r="H4691" i="3"/>
  <c r="G4718" i="3"/>
  <c r="H4554" i="3"/>
  <c r="H4557" i="3" s="1"/>
  <c r="G4581" i="3"/>
  <c r="G1384" i="3"/>
  <c r="H1358" i="3"/>
  <c r="H1362" i="3" s="1"/>
  <c r="G5590" i="3"/>
  <c r="H5590" i="3" s="1"/>
  <c r="H5592" i="3" s="1"/>
  <c r="H5565" i="3"/>
  <c r="H5567" i="3" s="1"/>
  <c r="G4930" i="3"/>
  <c r="H4904" i="3"/>
  <c r="D35" i="5" l="1"/>
  <c r="D195" i="5"/>
  <c r="E199" i="7" s="1"/>
  <c r="F199" i="7" s="1"/>
  <c r="H2752" i="3"/>
  <c r="A88" i="7"/>
  <c r="A88" i="6"/>
  <c r="A415" i="7"/>
  <c r="A415" i="6"/>
  <c r="H2766" i="3"/>
  <c r="H2767" i="3" s="1"/>
  <c r="H2768" i="3" s="1"/>
  <c r="C198" i="4" s="1"/>
  <c r="E201" i="6" s="1"/>
  <c r="F201" i="6" s="1"/>
  <c r="H2738" i="3"/>
  <c r="H2739" i="3" s="1"/>
  <c r="H2740" i="3" s="1"/>
  <c r="C197" i="4" s="1"/>
  <c r="E200" i="6" s="1"/>
  <c r="F200" i="6" s="1"/>
  <c r="E36" i="7"/>
  <c r="F36" i="7" s="1"/>
  <c r="H658" i="3"/>
  <c r="H659" i="3" s="1"/>
  <c r="H660" i="3" s="1"/>
  <c r="C37" i="4" s="1"/>
  <c r="E37" i="6" s="1"/>
  <c r="F37" i="6" s="1"/>
  <c r="H9722" i="3"/>
  <c r="G10172" i="3"/>
  <c r="G9455" i="3"/>
  <c r="H9428" i="3"/>
  <c r="H9431" i="3" s="1"/>
  <c r="B7619" i="3"/>
  <c r="A406" i="5" s="1"/>
  <c r="A406" i="4"/>
  <c r="H2778" i="3"/>
  <c r="G2808" i="3"/>
  <c r="H669" i="3"/>
  <c r="H670" i="3" s="1"/>
  <c r="G691" i="3"/>
  <c r="G1244" i="3"/>
  <c r="H1217" i="3"/>
  <c r="G712" i="3"/>
  <c r="H690" i="3"/>
  <c r="G2832" i="3"/>
  <c r="H2806" i="3"/>
  <c r="G2809" i="3"/>
  <c r="H2779" i="3"/>
  <c r="G3368" i="3"/>
  <c r="H3336" i="3"/>
  <c r="B1909" i="3"/>
  <c r="A97" i="5" s="1"/>
  <c r="A86" i="4"/>
  <c r="G1507" i="3"/>
  <c r="H1482" i="3"/>
  <c r="H7479" i="3"/>
  <c r="H7482" i="3" s="1"/>
  <c r="G7578" i="3"/>
  <c r="G1411" i="3"/>
  <c r="H1384" i="3"/>
  <c r="H1388" i="3" s="1"/>
  <c r="H4581" i="3"/>
  <c r="H4584" i="3" s="1"/>
  <c r="G4608" i="3"/>
  <c r="G4745" i="3"/>
  <c r="H4718" i="3"/>
  <c r="G4957" i="3"/>
  <c r="H4957" i="3" s="1"/>
  <c r="H4930" i="3"/>
  <c r="D36" i="5" l="1"/>
  <c r="D196" i="5"/>
  <c r="D197" i="5"/>
  <c r="A100" i="7"/>
  <c r="A100" i="6"/>
  <c r="A416" i="7"/>
  <c r="A416" i="6"/>
  <c r="E200" i="7"/>
  <c r="F200" i="7" s="1"/>
  <c r="E37" i="7"/>
  <c r="F37" i="7" s="1"/>
  <c r="H680" i="3"/>
  <c r="H681" i="3" s="1"/>
  <c r="H682" i="3" s="1"/>
  <c r="C38" i="4" s="1"/>
  <c r="E38" i="6" s="1"/>
  <c r="F38" i="6" s="1"/>
  <c r="E201" i="7"/>
  <c r="F201" i="7" s="1"/>
  <c r="G10198" i="3"/>
  <c r="H10198" i="3" s="1"/>
  <c r="H10172" i="3"/>
  <c r="H2780" i="3"/>
  <c r="G9506" i="3"/>
  <c r="H9455" i="3"/>
  <c r="H9457" i="3" s="1"/>
  <c r="A407" i="4"/>
  <c r="B7643" i="3"/>
  <c r="A407" i="5" s="1"/>
  <c r="G2834" i="3"/>
  <c r="H2808" i="3"/>
  <c r="H2809" i="3"/>
  <c r="G2835" i="3"/>
  <c r="G2858" i="3"/>
  <c r="H2832" i="3"/>
  <c r="G1272" i="3"/>
  <c r="H1244" i="3"/>
  <c r="G734" i="3"/>
  <c r="H712" i="3"/>
  <c r="G713" i="3"/>
  <c r="H691" i="3"/>
  <c r="H692" i="3" s="1"/>
  <c r="G3394" i="3"/>
  <c r="H3368" i="3"/>
  <c r="G7604" i="3"/>
  <c r="H7578" i="3"/>
  <c r="H7580" i="3" s="1"/>
  <c r="A98" i="4"/>
  <c r="B1950" i="3"/>
  <c r="A109" i="5" s="1"/>
  <c r="G1533" i="3"/>
  <c r="H1507" i="3"/>
  <c r="H4745" i="3"/>
  <c r="G4772" i="3"/>
  <c r="H1411" i="3"/>
  <c r="H1415" i="3" s="1"/>
  <c r="G1713" i="3"/>
  <c r="H4608" i="3"/>
  <c r="H4611" i="3" s="1"/>
  <c r="G4635" i="3"/>
  <c r="D37" i="5" l="1"/>
  <c r="A112" i="7"/>
  <c r="A112" i="6"/>
  <c r="A417" i="7"/>
  <c r="A417" i="6"/>
  <c r="H2793" i="3"/>
  <c r="H2794" i="3" s="1"/>
  <c r="H2795" i="3" s="1"/>
  <c r="C199" i="4" s="1"/>
  <c r="E202" i="6" s="1"/>
  <c r="F202" i="6" s="1"/>
  <c r="F203" i="6" s="1"/>
  <c r="G13" i="8" s="1"/>
  <c r="H702" i="3"/>
  <c r="H703" i="3" s="1"/>
  <c r="H704" i="3" s="1"/>
  <c r="C39" i="4" s="1"/>
  <c r="E39" i="6" s="1"/>
  <c r="F39" i="6" s="1"/>
  <c r="E38" i="7"/>
  <c r="F38" i="7" s="1"/>
  <c r="H9506" i="3"/>
  <c r="H9510" i="3" s="1"/>
  <c r="G9613" i="3"/>
  <c r="H2810" i="3"/>
  <c r="B7667" i="3"/>
  <c r="A408" i="5" s="1"/>
  <c r="A408" i="4"/>
  <c r="G2860" i="3"/>
  <c r="H2834" i="3"/>
  <c r="H713" i="3"/>
  <c r="H714" i="3" s="1"/>
  <c r="G735" i="3"/>
  <c r="H1272" i="3"/>
  <c r="G1299" i="3"/>
  <c r="H734" i="3"/>
  <c r="G759" i="3"/>
  <c r="G2884" i="3"/>
  <c r="H2858" i="3"/>
  <c r="G2861" i="3"/>
  <c r="H2835" i="3"/>
  <c r="G7681" i="3"/>
  <c r="G7706" i="3"/>
  <c r="H7604" i="3"/>
  <c r="H7608" i="3" s="1"/>
  <c r="G3420" i="3"/>
  <c r="H3394" i="3"/>
  <c r="B1991" i="3"/>
  <c r="A121" i="5" s="1"/>
  <c r="A110" i="4"/>
  <c r="G1559" i="3"/>
  <c r="H1533" i="3"/>
  <c r="H4772" i="3"/>
  <c r="G4799" i="3"/>
  <c r="G4662" i="3"/>
  <c r="H4635" i="3"/>
  <c r="H4638" i="3" s="1"/>
  <c r="G1714" i="3"/>
  <c r="H1714" i="3" s="1"/>
  <c r="H1718" i="3" s="1"/>
  <c r="H1713" i="3"/>
  <c r="H1717" i="3" s="1"/>
  <c r="G1745" i="3"/>
  <c r="D198" i="5" l="1"/>
  <c r="D38" i="5"/>
  <c r="A418" i="7"/>
  <c r="A418" i="6"/>
  <c r="A124" i="7"/>
  <c r="A124" i="6"/>
  <c r="H2822" i="3"/>
  <c r="H2823" i="3" s="1"/>
  <c r="H2824" i="3" s="1"/>
  <c r="C202" i="4" s="1"/>
  <c r="E206" i="6" s="1"/>
  <c r="F206" i="6" s="1"/>
  <c r="E39" i="7"/>
  <c r="F39" i="7" s="1"/>
  <c r="E202" i="7"/>
  <c r="F202" i="7" s="1"/>
  <c r="F203" i="7" s="1"/>
  <c r="G13" i="9" s="1"/>
  <c r="H724" i="3"/>
  <c r="H725" i="3" s="1"/>
  <c r="H726" i="3" s="1"/>
  <c r="C40" i="4" s="1"/>
  <c r="E40" i="6" s="1"/>
  <c r="F40" i="6" s="1"/>
  <c r="H2836" i="3"/>
  <c r="G9663" i="3"/>
  <c r="H9613" i="3"/>
  <c r="H9615" i="3" s="1"/>
  <c r="A409" i="4"/>
  <c r="B7693" i="3"/>
  <c r="A409" i="5" s="1"/>
  <c r="G2886" i="3"/>
  <c r="H2860" i="3"/>
  <c r="G785" i="3"/>
  <c r="H759" i="3"/>
  <c r="G1326" i="3"/>
  <c r="H1299" i="3"/>
  <c r="G762" i="3"/>
  <c r="H735" i="3"/>
  <c r="H736" i="3" s="1"/>
  <c r="H2861" i="3"/>
  <c r="G2887" i="3"/>
  <c r="G2910" i="3"/>
  <c r="H2884" i="3"/>
  <c r="G7780" i="3"/>
  <c r="H7706" i="3"/>
  <c r="H7707" i="3" s="1"/>
  <c r="B2033" i="3"/>
  <c r="A133" i="5" s="1"/>
  <c r="A122" i="4"/>
  <c r="G7782" i="3"/>
  <c r="H7681" i="3"/>
  <c r="H7682" i="3" s="1"/>
  <c r="H1559" i="3"/>
  <c r="G1588" i="3"/>
  <c r="G3449" i="3"/>
  <c r="H3420" i="3"/>
  <c r="H4799" i="3"/>
  <c r="G4826" i="3"/>
  <c r="G1778" i="3"/>
  <c r="H1745" i="3"/>
  <c r="H1748" i="3" s="1"/>
  <c r="G4689" i="3"/>
  <c r="H4662" i="3"/>
  <c r="H4665" i="3" s="1"/>
  <c r="D39" i="5" l="1"/>
  <c r="D201" i="5"/>
  <c r="A136" i="7"/>
  <c r="A136" i="6"/>
  <c r="A419" i="7"/>
  <c r="A419" i="6"/>
  <c r="E40" i="7"/>
  <c r="F40" i="7" s="1"/>
  <c r="H2848" i="3"/>
  <c r="H2849" i="3" s="1"/>
  <c r="H2850" i="3" s="1"/>
  <c r="C203" i="4" s="1"/>
  <c r="E207" i="6" s="1"/>
  <c r="F207" i="6" s="1"/>
  <c r="H2862" i="3"/>
  <c r="H746" i="3"/>
  <c r="H747" i="3" s="1"/>
  <c r="H748" i="3" s="1"/>
  <c r="C41" i="4" s="1"/>
  <c r="E41" i="6" s="1"/>
  <c r="F41" i="6" s="1"/>
  <c r="F42" i="6" s="1"/>
  <c r="G10" i="8" s="1"/>
  <c r="E206" i="7"/>
  <c r="F206" i="7" s="1"/>
  <c r="G9692" i="3"/>
  <c r="H9663" i="3"/>
  <c r="H9668" i="3" s="1"/>
  <c r="B7718" i="3"/>
  <c r="A410" i="5" s="1"/>
  <c r="A410" i="4"/>
  <c r="G2912" i="3"/>
  <c r="H2886" i="3"/>
  <c r="G2913" i="3"/>
  <c r="H2887" i="3"/>
  <c r="G2936" i="3"/>
  <c r="H2910" i="3"/>
  <c r="H785" i="3"/>
  <c r="G810" i="3"/>
  <c r="G788" i="3"/>
  <c r="H762" i="3"/>
  <c r="H763" i="3" s="1"/>
  <c r="H1326" i="3"/>
  <c r="G1353" i="3"/>
  <c r="G3474" i="3"/>
  <c r="H3449" i="3"/>
  <c r="G1617" i="3"/>
  <c r="H1588" i="3"/>
  <c r="H7782" i="3"/>
  <c r="G7808" i="3"/>
  <c r="H7808" i="3" s="1"/>
  <c r="H7780" i="3"/>
  <c r="H7783" i="3" s="1"/>
  <c r="G7807" i="3"/>
  <c r="B2074" i="3"/>
  <c r="A145" i="5" s="1"/>
  <c r="A134" i="4"/>
  <c r="G4853" i="3"/>
  <c r="H4826" i="3"/>
  <c r="G4716" i="3"/>
  <c r="H4689" i="3"/>
  <c r="H4692" i="3" s="1"/>
  <c r="G1810" i="3"/>
  <c r="H1810" i="3" s="1"/>
  <c r="H1813" i="3" s="1"/>
  <c r="H1778" i="3"/>
  <c r="H1781" i="3" s="1"/>
  <c r="D40" i="5" l="1"/>
  <c r="D202" i="5"/>
  <c r="A148" i="7"/>
  <c r="A148" i="6"/>
  <c r="A420" i="7"/>
  <c r="A420" i="6"/>
  <c r="E41" i="7"/>
  <c r="F41" i="7" s="1"/>
  <c r="F42" i="7" s="1"/>
  <c r="G10" i="9" s="1"/>
  <c r="H2874" i="3"/>
  <c r="H2875" i="3" s="1"/>
  <c r="H2876" i="3" s="1"/>
  <c r="C204" i="4" s="1"/>
  <c r="E208" i="6" s="1"/>
  <c r="F208" i="6" s="1"/>
  <c r="E207" i="7"/>
  <c r="F207" i="7" s="1"/>
  <c r="H775" i="3"/>
  <c r="H776" i="3" s="1"/>
  <c r="H777" i="3" s="1"/>
  <c r="C44" i="4" s="1"/>
  <c r="E45" i="6" s="1"/>
  <c r="F45" i="6" s="1"/>
  <c r="H2888" i="3"/>
  <c r="G9721" i="3"/>
  <c r="H9692" i="3"/>
  <c r="H9697" i="3" s="1"/>
  <c r="A411" i="4"/>
  <c r="B7742" i="3"/>
  <c r="A411" i="5" s="1"/>
  <c r="H2912" i="3"/>
  <c r="G2938" i="3"/>
  <c r="H1353" i="3"/>
  <c r="G1380" i="3"/>
  <c r="G813" i="3"/>
  <c r="H788" i="3"/>
  <c r="H789" i="3" s="1"/>
  <c r="H810" i="3"/>
  <c r="G836" i="3"/>
  <c r="G2963" i="3"/>
  <c r="H2936" i="3"/>
  <c r="H2913" i="3"/>
  <c r="G2939" i="3"/>
  <c r="G1647" i="3"/>
  <c r="H1617" i="3"/>
  <c r="B2116" i="3"/>
  <c r="A146" i="4"/>
  <c r="G7832" i="3"/>
  <c r="H7807" i="3"/>
  <c r="H7809" i="3" s="1"/>
  <c r="G3498" i="3"/>
  <c r="H3474" i="3"/>
  <c r="G4903" i="3"/>
  <c r="H4853" i="3"/>
  <c r="H4716" i="3"/>
  <c r="H4719" i="3" s="1"/>
  <c r="G4743" i="3"/>
  <c r="D43" i="5" l="1"/>
  <c r="D203" i="5"/>
  <c r="A421" i="7"/>
  <c r="A421" i="6"/>
  <c r="E45" i="7"/>
  <c r="F45" i="7" s="1"/>
  <c r="E208" i="7"/>
  <c r="F208" i="7" s="1"/>
  <c r="H2900" i="3"/>
  <c r="H2901" i="3" s="1"/>
  <c r="H2902" i="3" s="1"/>
  <c r="C205" i="4" s="1"/>
  <c r="E209" i="6" s="1"/>
  <c r="F209" i="6" s="1"/>
  <c r="H2914" i="3"/>
  <c r="H800" i="3"/>
  <c r="H801" i="3" s="1"/>
  <c r="H802" i="3" s="1"/>
  <c r="C45" i="4" s="1"/>
  <c r="E46" i="6" s="1"/>
  <c r="F46" i="6" s="1"/>
  <c r="A158" i="4"/>
  <c r="A157" i="5"/>
  <c r="H9721" i="3"/>
  <c r="H9726" i="3" s="1"/>
  <c r="G10171" i="3"/>
  <c r="A412" i="4"/>
  <c r="B7767" i="3"/>
  <c r="A412" i="5" s="1"/>
  <c r="G2965" i="3"/>
  <c r="H2938" i="3"/>
  <c r="H2939" i="3"/>
  <c r="G2966" i="3"/>
  <c r="H836" i="3"/>
  <c r="G863" i="3"/>
  <c r="G2989" i="3"/>
  <c r="H2963" i="3"/>
  <c r="G839" i="3"/>
  <c r="H813" i="3"/>
  <c r="H814" i="3" s="1"/>
  <c r="H1380" i="3"/>
  <c r="G1406" i="3"/>
  <c r="G7858" i="3"/>
  <c r="H7858" i="3" s="1"/>
  <c r="H7859" i="3" s="1"/>
  <c r="H7832" i="3"/>
  <c r="H7833" i="3" s="1"/>
  <c r="G3523" i="3"/>
  <c r="H3498" i="3"/>
  <c r="G1677" i="3"/>
  <c r="H1647" i="3"/>
  <c r="G4770" i="3"/>
  <c r="H4743" i="3"/>
  <c r="H4746" i="3" s="1"/>
  <c r="H4903" i="3"/>
  <c r="G4929" i="3"/>
  <c r="D44" i="5" l="1"/>
  <c r="D204" i="5"/>
  <c r="A160" i="7"/>
  <c r="A160" i="6"/>
  <c r="A422" i="7"/>
  <c r="A422" i="6"/>
  <c r="H826" i="3"/>
  <c r="H827" i="3" s="1"/>
  <c r="H828" i="3" s="1"/>
  <c r="C46" i="4" s="1"/>
  <c r="E47" i="6" s="1"/>
  <c r="F47" i="6" s="1"/>
  <c r="E209" i="7"/>
  <c r="F209" i="7" s="1"/>
  <c r="E46" i="7"/>
  <c r="F46" i="7" s="1"/>
  <c r="H2926" i="3"/>
  <c r="H2927" i="3" s="1"/>
  <c r="H2928" i="3" s="1"/>
  <c r="C206" i="4" s="1"/>
  <c r="E210" i="6" s="1"/>
  <c r="F210" i="6" s="1"/>
  <c r="G10197" i="3"/>
  <c r="H10197" i="3" s="1"/>
  <c r="H10199" i="3" s="1"/>
  <c r="H10171" i="3"/>
  <c r="H10173" i="3" s="1"/>
  <c r="H2940" i="3"/>
  <c r="B7794" i="3"/>
  <c r="A413" i="5" s="1"/>
  <c r="A413" i="4"/>
  <c r="G2991" i="3"/>
  <c r="H2965" i="3"/>
  <c r="H863" i="3"/>
  <c r="G888" i="3"/>
  <c r="H1406" i="3"/>
  <c r="G1433" i="3"/>
  <c r="H2966" i="3"/>
  <c r="G2992" i="3"/>
  <c r="H839" i="3"/>
  <c r="H840" i="3" s="1"/>
  <c r="G866" i="3"/>
  <c r="G3015" i="3"/>
  <c r="H2989" i="3"/>
  <c r="G3548" i="3"/>
  <c r="H3523" i="3"/>
  <c r="G1707" i="3"/>
  <c r="H1677" i="3"/>
  <c r="G4956" i="3"/>
  <c r="H4956" i="3" s="1"/>
  <c r="H4929" i="3"/>
  <c r="G4797" i="3"/>
  <c r="H4770" i="3"/>
  <c r="H4773" i="3" s="1"/>
  <c r="D205" i="5" l="1"/>
  <c r="D45" i="5"/>
  <c r="A423" i="7"/>
  <c r="A423" i="6"/>
  <c r="H2953" i="3"/>
  <c r="H2954" i="3" s="1"/>
  <c r="H2955" i="3" s="1"/>
  <c r="C207" i="4" s="1"/>
  <c r="E211" i="6" s="1"/>
  <c r="F211" i="6" s="1"/>
  <c r="E210" i="7"/>
  <c r="F210" i="7" s="1"/>
  <c r="H852" i="3"/>
  <c r="H853" i="3" s="1"/>
  <c r="H854" i="3" s="1"/>
  <c r="C47" i="4" s="1"/>
  <c r="E48" i="6" s="1"/>
  <c r="F48" i="6" s="1"/>
  <c r="H2967" i="3"/>
  <c r="E47" i="7"/>
  <c r="F47" i="7" s="1"/>
  <c r="B7820" i="3"/>
  <c r="A414" i="5" s="1"/>
  <c r="A414" i="4"/>
  <c r="G3017" i="3"/>
  <c r="H2991" i="3"/>
  <c r="G3041" i="3"/>
  <c r="H3015" i="3"/>
  <c r="G3018" i="3"/>
  <c r="H2992" i="3"/>
  <c r="G891" i="3"/>
  <c r="H866" i="3"/>
  <c r="H867" i="3" s="1"/>
  <c r="G1458" i="3"/>
  <c r="H1433" i="3"/>
  <c r="H888" i="3"/>
  <c r="G916" i="3"/>
  <c r="G3573" i="3"/>
  <c r="H3548" i="3"/>
  <c r="H1707" i="3"/>
  <c r="G1739" i="3"/>
  <c r="H4797" i="3"/>
  <c r="H4800" i="3" s="1"/>
  <c r="G4824" i="3"/>
  <c r="D206" i="5" l="1"/>
  <c r="D46" i="5"/>
  <c r="E48" i="7" s="1"/>
  <c r="F48" i="7" s="1"/>
  <c r="A424" i="7"/>
  <c r="A424" i="6"/>
  <c r="H2979" i="3"/>
  <c r="H2980" i="3" s="1"/>
  <c r="H2981" i="3" s="1"/>
  <c r="C208" i="4" s="1"/>
  <c r="E212" i="6" s="1"/>
  <c r="F212" i="6" s="1"/>
  <c r="H878" i="3"/>
  <c r="H879" i="3" s="1"/>
  <c r="H880" i="3" s="1"/>
  <c r="C48" i="4" s="1"/>
  <c r="E49" i="6" s="1"/>
  <c r="F49" i="6" s="1"/>
  <c r="E211" i="7"/>
  <c r="F211" i="7" s="1"/>
  <c r="H2993" i="3"/>
  <c r="A415" i="4"/>
  <c r="B7844" i="3"/>
  <c r="A415" i="5" s="1"/>
  <c r="H3017" i="3"/>
  <c r="G3043" i="3"/>
  <c r="G919" i="3"/>
  <c r="H891" i="3"/>
  <c r="H892" i="3" s="1"/>
  <c r="G3044" i="3"/>
  <c r="H3018" i="3"/>
  <c r="G1012" i="3"/>
  <c r="H916" i="3"/>
  <c r="G1483" i="3"/>
  <c r="H1458" i="3"/>
  <c r="G3066" i="3"/>
  <c r="H3041" i="3"/>
  <c r="G3598" i="3"/>
  <c r="H3573" i="3"/>
  <c r="G1765" i="3"/>
  <c r="H1739" i="3"/>
  <c r="G4851" i="3"/>
  <c r="H4824" i="3"/>
  <c r="H4827" i="3" s="1"/>
  <c r="D207" i="5" l="1"/>
  <c r="D47" i="5"/>
  <c r="A425" i="7"/>
  <c r="A425" i="6"/>
  <c r="H906" i="3"/>
  <c r="H907" i="3" s="1"/>
  <c r="H908" i="3" s="1"/>
  <c r="C49" i="4" s="1"/>
  <c r="E50" i="6" s="1"/>
  <c r="F50" i="6" s="1"/>
  <c r="H3005" i="3"/>
  <c r="H3006" i="3" s="1"/>
  <c r="H3007" i="3" s="1"/>
  <c r="C209" i="4" s="1"/>
  <c r="E213" i="6" s="1"/>
  <c r="F213" i="6" s="1"/>
  <c r="E49" i="7"/>
  <c r="F49" i="7" s="1"/>
  <c r="E212" i="7"/>
  <c r="F212" i="7" s="1"/>
  <c r="H3019" i="3"/>
  <c r="B7870" i="3"/>
  <c r="A416" i="5" s="1"/>
  <c r="A416" i="4"/>
  <c r="G3068" i="3"/>
  <c r="H3043" i="3"/>
  <c r="H1012" i="3"/>
  <c r="G1045" i="3"/>
  <c r="G3118" i="3"/>
  <c r="G3092" i="3"/>
  <c r="H3092" i="3" s="1"/>
  <c r="H3066" i="3"/>
  <c r="H3044" i="3"/>
  <c r="G3069" i="3"/>
  <c r="G1508" i="3"/>
  <c r="H1483" i="3"/>
  <c r="H919" i="3"/>
  <c r="H920" i="3" s="1"/>
  <c r="G945" i="3"/>
  <c r="G1015" i="3"/>
  <c r="G1798" i="3"/>
  <c r="H1798" i="3" s="1"/>
  <c r="H1765" i="3"/>
  <c r="G1766" i="3"/>
  <c r="G3623" i="3"/>
  <c r="H3598" i="3"/>
  <c r="G4902" i="3"/>
  <c r="H4851" i="3"/>
  <c r="H4854" i="3" s="1"/>
  <c r="D208" i="5" l="1"/>
  <c r="D48" i="5"/>
  <c r="A426" i="7"/>
  <c r="A426" i="6"/>
  <c r="H3031" i="3"/>
  <c r="H3032" i="3" s="1"/>
  <c r="H3033" i="3" s="1"/>
  <c r="C210" i="4" s="1"/>
  <c r="E214" i="6" s="1"/>
  <c r="F214" i="6" s="1"/>
  <c r="H933" i="3"/>
  <c r="H934" i="3" s="1"/>
  <c r="H935" i="3" s="1"/>
  <c r="C50" i="4" s="1"/>
  <c r="E51" i="6" s="1"/>
  <c r="F51" i="6" s="1"/>
  <c r="E213" i="7"/>
  <c r="F213" i="7" s="1"/>
  <c r="E50" i="7"/>
  <c r="F50" i="7" s="1"/>
  <c r="H3045" i="3"/>
  <c r="A417" i="4"/>
  <c r="B7895" i="3"/>
  <c r="A417" i="5" s="1"/>
  <c r="G3094" i="3"/>
  <c r="H3094" i="3" s="1"/>
  <c r="G3120" i="3"/>
  <c r="H3068" i="3"/>
  <c r="G3121" i="3"/>
  <c r="G3095" i="3"/>
  <c r="H3095" i="3" s="1"/>
  <c r="H3069" i="3"/>
  <c r="H1015" i="3"/>
  <c r="G1048" i="3"/>
  <c r="H1045" i="3"/>
  <c r="G1080" i="3"/>
  <c r="G3145" i="3"/>
  <c r="H3118" i="3"/>
  <c r="H1016" i="3"/>
  <c r="G968" i="3"/>
  <c r="H968" i="3" s="1"/>
  <c r="H969" i="3" s="1"/>
  <c r="H980" i="3" s="1"/>
  <c r="H981" i="3" s="1"/>
  <c r="H982" i="3" s="1"/>
  <c r="H945" i="3"/>
  <c r="H946" i="3" s="1"/>
  <c r="G1534" i="3"/>
  <c r="H1508" i="3"/>
  <c r="G3674" i="3"/>
  <c r="G3648" i="3"/>
  <c r="H3648" i="3" s="1"/>
  <c r="H3623" i="3"/>
  <c r="G1799" i="3"/>
  <c r="G1767" i="3"/>
  <c r="H1766" i="3"/>
  <c r="G4928" i="3"/>
  <c r="H4902" i="3"/>
  <c r="H4905" i="3" s="1"/>
  <c r="D209" i="5" l="1"/>
  <c r="D49" i="5"/>
  <c r="H3096" i="3"/>
  <c r="A427" i="7"/>
  <c r="A427" i="6"/>
  <c r="H1035" i="3"/>
  <c r="H1036" i="3" s="1"/>
  <c r="H1037" i="3" s="1"/>
  <c r="C52" i="4" s="1"/>
  <c r="E53" i="6" s="1"/>
  <c r="F53" i="6" s="1"/>
  <c r="E51" i="7"/>
  <c r="F51" i="7" s="1"/>
  <c r="H3108" i="3"/>
  <c r="H3109" i="3" s="1"/>
  <c r="H3110" i="3" s="1"/>
  <c r="C213" i="4" s="1"/>
  <c r="E217" i="6" s="1"/>
  <c r="F217" i="6" s="1"/>
  <c r="E214" i="7"/>
  <c r="F214" i="7" s="1"/>
  <c r="H957" i="3"/>
  <c r="H958" i="3" s="1"/>
  <c r="H959" i="3" s="1"/>
  <c r="H1004" i="3" s="1"/>
  <c r="C51" i="4" s="1"/>
  <c r="E52" i="6" s="1"/>
  <c r="F52" i="6" s="1"/>
  <c r="H3056" i="3"/>
  <c r="H3057" i="3" s="1"/>
  <c r="H3058" i="3" s="1"/>
  <c r="C211" i="4" s="1"/>
  <c r="E215" i="6" s="1"/>
  <c r="F215" i="6" s="1"/>
  <c r="H3070" i="3"/>
  <c r="A418" i="4"/>
  <c r="B7917" i="3"/>
  <c r="A418" i="5" s="1"/>
  <c r="H3120" i="3"/>
  <c r="G3147" i="3"/>
  <c r="H1534" i="3"/>
  <c r="G1560" i="3"/>
  <c r="G3172" i="3"/>
  <c r="H3145" i="3"/>
  <c r="H1080" i="3"/>
  <c r="G1107" i="3"/>
  <c r="G1083" i="3"/>
  <c r="H1048" i="3"/>
  <c r="H1049" i="3" s="1"/>
  <c r="H3121" i="3"/>
  <c r="G3148" i="3"/>
  <c r="H1799" i="3"/>
  <c r="G1830" i="3"/>
  <c r="H1830" i="3" s="1"/>
  <c r="G3700" i="3"/>
  <c r="H3674" i="3"/>
  <c r="G1800" i="3"/>
  <c r="H1800" i="3" s="1"/>
  <c r="H1767" i="3"/>
  <c r="H4928" i="3"/>
  <c r="H4931" i="3" s="1"/>
  <c r="G4955" i="3"/>
  <c r="H4955" i="3" s="1"/>
  <c r="H4958" i="3" s="1"/>
  <c r="D50" i="5" l="1"/>
  <c r="D51" i="5"/>
  <c r="E53" i="7" s="1"/>
  <c r="F53" i="7" s="1"/>
  <c r="D212" i="5"/>
  <c r="D210" i="5"/>
  <c r="A428" i="7"/>
  <c r="A428" i="6"/>
  <c r="E215" i="7"/>
  <c r="F215" i="7" s="1"/>
  <c r="H1067" i="3"/>
  <c r="H1068" i="3" s="1"/>
  <c r="H1069" i="3" s="1"/>
  <c r="C53" i="4" s="1"/>
  <c r="E54" i="6" s="1"/>
  <c r="F54" i="6" s="1"/>
  <c r="F55" i="6" s="1"/>
  <c r="G11" i="8" s="1"/>
  <c r="H3122" i="3"/>
  <c r="E217" i="7"/>
  <c r="F217" i="7" s="1"/>
  <c r="H3082" i="3"/>
  <c r="H3083" i="3" s="1"/>
  <c r="H3084" i="3" s="1"/>
  <c r="C212" i="4" s="1"/>
  <c r="E216" i="6" s="1"/>
  <c r="F216" i="6" s="1"/>
  <c r="E52" i="7"/>
  <c r="F52" i="7" s="1"/>
  <c r="A419" i="4"/>
  <c r="B7939" i="3"/>
  <c r="A419" i="5" s="1"/>
  <c r="G3174" i="3"/>
  <c r="H3147" i="3"/>
  <c r="H1107" i="3"/>
  <c r="G1133" i="3"/>
  <c r="H1560" i="3"/>
  <c r="G1589" i="3"/>
  <c r="G3199" i="3"/>
  <c r="H3172" i="3"/>
  <c r="G3175" i="3"/>
  <c r="H3148" i="3"/>
  <c r="H1083" i="3"/>
  <c r="H1084" i="3" s="1"/>
  <c r="G1110" i="3"/>
  <c r="G3726" i="3"/>
  <c r="H3700" i="3"/>
  <c r="D52" i="5" l="1"/>
  <c r="D211" i="5"/>
  <c r="A429" i="7"/>
  <c r="A429" i="6"/>
  <c r="H1097" i="3"/>
  <c r="H1098" i="3" s="1"/>
  <c r="H1099" i="3" s="1"/>
  <c r="C56" i="4" s="1"/>
  <c r="E58" i="6" s="1"/>
  <c r="F58" i="6" s="1"/>
  <c r="E216" i="7"/>
  <c r="F216" i="7" s="1"/>
  <c r="H3135" i="3"/>
  <c r="H3136" i="3" s="1"/>
  <c r="H3137" i="3" s="1"/>
  <c r="C214" i="4" s="1"/>
  <c r="E218" i="6" s="1"/>
  <c r="F218" i="6" s="1"/>
  <c r="E54" i="7"/>
  <c r="F54" i="7" s="1"/>
  <c r="F55" i="7" s="1"/>
  <c r="G11" i="9" s="1"/>
  <c r="H3149" i="3"/>
  <c r="A420" i="4"/>
  <c r="B7961" i="3"/>
  <c r="A420" i="5" s="1"/>
  <c r="H3174" i="3"/>
  <c r="G3201" i="3"/>
  <c r="G9558" i="3"/>
  <c r="G9562" i="3" s="1"/>
  <c r="H9562" i="3" s="1"/>
  <c r="G1136" i="3"/>
  <c r="H1110" i="3"/>
  <c r="H1111" i="3" s="1"/>
  <c r="G3253" i="3"/>
  <c r="H3199" i="3"/>
  <c r="G3226" i="3"/>
  <c r="H3226" i="3" s="1"/>
  <c r="H3175" i="3"/>
  <c r="G3202" i="3"/>
  <c r="G1162" i="3"/>
  <c r="H1133" i="3"/>
  <c r="H1589" i="3"/>
  <c r="G1618" i="3"/>
  <c r="G3752" i="3"/>
  <c r="H3726" i="3"/>
  <c r="D55" i="5" l="1"/>
  <c r="D213" i="5"/>
  <c r="G1879" i="3"/>
  <c r="A430" i="7"/>
  <c r="A430" i="6"/>
  <c r="E218" i="7"/>
  <c r="F218" i="7" s="1"/>
  <c r="H1123" i="3"/>
  <c r="H1124" i="3" s="1"/>
  <c r="H1125" i="3" s="1"/>
  <c r="C57" i="4" s="1"/>
  <c r="E59" i="6" s="1"/>
  <c r="F59" i="6" s="1"/>
  <c r="E58" i="7"/>
  <c r="F58" i="7" s="1"/>
  <c r="H3162" i="3"/>
  <c r="H3163" i="3" s="1"/>
  <c r="H3164" i="3" s="1"/>
  <c r="C215" i="4" s="1"/>
  <c r="E219" i="6" s="1"/>
  <c r="F219" i="6" s="1"/>
  <c r="H3176" i="3"/>
  <c r="A421" i="4"/>
  <c r="B7983" i="3"/>
  <c r="A421" i="5" s="1"/>
  <c r="G3228" i="3"/>
  <c r="H3228" i="3" s="1"/>
  <c r="H3201" i="3"/>
  <c r="G3255" i="3"/>
  <c r="H1162" i="3"/>
  <c r="G1188" i="3"/>
  <c r="H1136" i="3"/>
  <c r="H1137" i="3" s="1"/>
  <c r="G1165" i="3"/>
  <c r="H1879" i="3"/>
  <c r="G1920" i="3"/>
  <c r="G3256" i="3"/>
  <c r="H3202" i="3"/>
  <c r="G3229" i="3"/>
  <c r="H3229" i="3" s="1"/>
  <c r="G3279" i="3"/>
  <c r="H3253" i="3"/>
  <c r="H1618" i="3"/>
  <c r="G1648" i="3"/>
  <c r="H9558" i="3"/>
  <c r="G3777" i="3"/>
  <c r="H3752" i="3"/>
  <c r="D214" i="5" l="1"/>
  <c r="D56" i="5"/>
  <c r="G1880" i="3"/>
  <c r="A431" i="7"/>
  <c r="A431" i="6"/>
  <c r="H3189" i="3"/>
  <c r="H3190" i="3" s="1"/>
  <c r="H3191" i="3" s="1"/>
  <c r="C216" i="4" s="1"/>
  <c r="E220" i="6" s="1"/>
  <c r="F220" i="6" s="1"/>
  <c r="E59" i="7"/>
  <c r="F59" i="7" s="1"/>
  <c r="E219" i="7"/>
  <c r="F219" i="7" s="1"/>
  <c r="H1149" i="3"/>
  <c r="H1150" i="3" s="1"/>
  <c r="H1151" i="3" s="1"/>
  <c r="C58" i="4" s="1"/>
  <c r="E60" i="6" s="1"/>
  <c r="F60" i="6" s="1"/>
  <c r="H3203" i="3"/>
  <c r="A422" i="4"/>
  <c r="B8005" i="3"/>
  <c r="A422" i="5" s="1"/>
  <c r="H3230" i="3"/>
  <c r="G3281" i="3"/>
  <c r="H3255" i="3"/>
  <c r="G3306" i="3"/>
  <c r="H3279" i="3"/>
  <c r="G3282" i="3"/>
  <c r="H3256" i="3"/>
  <c r="H1920" i="3"/>
  <c r="G1961" i="3"/>
  <c r="G1678" i="3"/>
  <c r="H1648" i="3"/>
  <c r="H1165" i="3"/>
  <c r="H1166" i="3" s="1"/>
  <c r="G1191" i="3"/>
  <c r="H9563" i="3"/>
  <c r="G1215" i="3"/>
  <c r="H1188" i="3"/>
  <c r="G1921" i="3"/>
  <c r="H1880" i="3"/>
  <c r="G3802" i="3"/>
  <c r="H3777" i="3"/>
  <c r="D57" i="5" l="1"/>
  <c r="D215" i="5"/>
  <c r="G1881" i="3"/>
  <c r="A432" i="7"/>
  <c r="A432" i="6"/>
  <c r="H3243" i="3"/>
  <c r="H3244" i="3" s="1"/>
  <c r="H3245" i="3" s="1"/>
  <c r="C218" i="4" s="1"/>
  <c r="E222" i="6" s="1"/>
  <c r="F222" i="6" s="1"/>
  <c r="H3216" i="3"/>
  <c r="H3217" i="3" s="1"/>
  <c r="H3218" i="3" s="1"/>
  <c r="C217" i="4" s="1"/>
  <c r="E221" i="6" s="1"/>
  <c r="F221" i="6" s="1"/>
  <c r="H3257" i="3"/>
  <c r="E220" i="7"/>
  <c r="F220" i="7" s="1"/>
  <c r="E60" i="7"/>
  <c r="F60" i="7" s="1"/>
  <c r="H1178" i="3"/>
  <c r="H1179" i="3" s="1"/>
  <c r="H1180" i="3" s="1"/>
  <c r="C59" i="4" s="1"/>
  <c r="E61" i="6" s="1"/>
  <c r="F61" i="6" s="1"/>
  <c r="A423" i="4"/>
  <c r="B8027" i="3"/>
  <c r="A423" i="5" s="1"/>
  <c r="G3308" i="3"/>
  <c r="H3281" i="3"/>
  <c r="H1921" i="3"/>
  <c r="G1962" i="3"/>
  <c r="G1242" i="3"/>
  <c r="H1215" i="3"/>
  <c r="G1922" i="3"/>
  <c r="H1881" i="3"/>
  <c r="G3309" i="3"/>
  <c r="H3282" i="3"/>
  <c r="H1191" i="3"/>
  <c r="H1192" i="3" s="1"/>
  <c r="G1218" i="3"/>
  <c r="H1678" i="3"/>
  <c r="G1708" i="3"/>
  <c r="G2003" i="3"/>
  <c r="H1961" i="3"/>
  <c r="G3335" i="3"/>
  <c r="H3306" i="3"/>
  <c r="G3877" i="3"/>
  <c r="G3827" i="3"/>
  <c r="H3802" i="3"/>
  <c r="D58" i="5" l="1"/>
  <c r="D216" i="5"/>
  <c r="D217" i="5"/>
  <c r="A433" i="7"/>
  <c r="A433" i="6"/>
  <c r="H1205" i="3"/>
  <c r="H1206" i="3" s="1"/>
  <c r="H1207" i="3" s="1"/>
  <c r="C60" i="4" s="1"/>
  <c r="E62" i="6" s="1"/>
  <c r="F62" i="6" s="1"/>
  <c r="E61" i="7"/>
  <c r="F61" i="7" s="1"/>
  <c r="E221" i="7"/>
  <c r="F221" i="7" s="1"/>
  <c r="E222" i="7"/>
  <c r="F222" i="7" s="1"/>
  <c r="H3283" i="3"/>
  <c r="H3269" i="3"/>
  <c r="H3270" i="3" s="1"/>
  <c r="H3271" i="3" s="1"/>
  <c r="C219" i="4" s="1"/>
  <c r="E223" i="6" s="1"/>
  <c r="F223" i="6" s="1"/>
  <c r="B8049" i="3"/>
  <c r="A424" i="5" s="1"/>
  <c r="A424" i="4"/>
  <c r="G3337" i="3"/>
  <c r="H3308" i="3"/>
  <c r="H2003" i="3"/>
  <c r="G2044" i="3"/>
  <c r="H3309" i="3"/>
  <c r="G3338" i="3"/>
  <c r="G1740" i="3"/>
  <c r="H1708" i="3"/>
  <c r="G1270" i="3"/>
  <c r="H1242" i="3"/>
  <c r="G1245" i="3"/>
  <c r="H1218" i="3"/>
  <c r="H1219" i="3" s="1"/>
  <c r="G3367" i="3"/>
  <c r="H3335" i="3"/>
  <c r="H1962" i="3"/>
  <c r="G2004" i="3"/>
  <c r="H1922" i="3"/>
  <c r="G1963" i="3"/>
  <c r="G3903" i="3"/>
  <c r="H3877" i="3"/>
  <c r="H3827" i="3"/>
  <c r="G3852" i="3"/>
  <c r="H3852" i="3" s="1"/>
  <c r="D218" i="5" l="1"/>
  <c r="D59" i="5"/>
  <c r="G1882" i="3"/>
  <c r="A434" i="7"/>
  <c r="A434" i="6"/>
  <c r="H3296" i="3"/>
  <c r="H3297" i="3" s="1"/>
  <c r="H3298" i="3" s="1"/>
  <c r="C220" i="4" s="1"/>
  <c r="E224" i="6" s="1"/>
  <c r="F224" i="6" s="1"/>
  <c r="H1232" i="3"/>
  <c r="H1233" i="3" s="1"/>
  <c r="H1234" i="3" s="1"/>
  <c r="C61" i="4" s="1"/>
  <c r="E63" i="6" s="1"/>
  <c r="F63" i="6" s="1"/>
  <c r="E223" i="7"/>
  <c r="F223" i="7" s="1"/>
  <c r="E62" i="7"/>
  <c r="F62" i="7" s="1"/>
  <c r="H3310" i="3"/>
  <c r="B8071" i="3"/>
  <c r="A425" i="5" s="1"/>
  <c r="A425" i="4"/>
  <c r="G3369" i="3"/>
  <c r="H3337" i="3"/>
  <c r="G3393" i="3"/>
  <c r="H3367" i="3"/>
  <c r="H2044" i="3"/>
  <c r="G2086" i="3"/>
  <c r="H1270" i="3"/>
  <c r="G1297" i="3"/>
  <c r="G1273" i="3"/>
  <c r="H1245" i="3"/>
  <c r="H1246" i="3" s="1"/>
  <c r="H1740" i="3"/>
  <c r="G1768" i="3"/>
  <c r="H3338" i="3"/>
  <c r="G3370" i="3"/>
  <c r="H1963" i="3"/>
  <c r="G2005" i="3"/>
  <c r="H2004" i="3"/>
  <c r="G2045" i="3"/>
  <c r="G1923" i="3"/>
  <c r="H1882" i="3"/>
  <c r="G3928" i="3"/>
  <c r="H3903" i="3"/>
  <c r="D219" i="5" l="1"/>
  <c r="D60" i="5"/>
  <c r="G1883" i="3"/>
  <c r="A435" i="7"/>
  <c r="A435" i="6"/>
  <c r="H1260" i="3"/>
  <c r="H1261" i="3" s="1"/>
  <c r="H1262" i="3" s="1"/>
  <c r="C62" i="4" s="1"/>
  <c r="E64" i="6" s="1"/>
  <c r="F64" i="6" s="1"/>
  <c r="E63" i="7"/>
  <c r="F63" i="7" s="1"/>
  <c r="H3323" i="3"/>
  <c r="H3324" i="3" s="1"/>
  <c r="H3325" i="3" s="1"/>
  <c r="C221" i="4" s="1"/>
  <c r="E225" i="6" s="1"/>
  <c r="F225" i="6" s="1"/>
  <c r="E224" i="7"/>
  <c r="F224" i="7" s="1"/>
  <c r="H3339" i="3"/>
  <c r="A426" i="4"/>
  <c r="B8094" i="3"/>
  <c r="A426" i="5" s="1"/>
  <c r="G3395" i="3"/>
  <c r="H3369" i="3"/>
  <c r="G1300" i="3"/>
  <c r="H1273" i="3"/>
  <c r="H1274" i="3" s="1"/>
  <c r="G2127" i="3"/>
  <c r="H2127" i="3" s="1"/>
  <c r="H2086" i="3"/>
  <c r="H1883" i="3"/>
  <c r="G1924" i="3"/>
  <c r="H1923" i="3"/>
  <c r="G1964" i="3"/>
  <c r="H1768" i="3"/>
  <c r="G1801" i="3"/>
  <c r="H1801" i="3" s="1"/>
  <c r="G1324" i="3"/>
  <c r="H1297" i="3"/>
  <c r="H2045" i="3"/>
  <c r="G2087" i="3"/>
  <c r="H2005" i="3"/>
  <c r="G2046" i="3"/>
  <c r="G3396" i="3"/>
  <c r="H3370" i="3"/>
  <c r="G3419" i="3"/>
  <c r="H3393" i="3"/>
  <c r="G3953" i="3"/>
  <c r="H3928" i="3"/>
  <c r="D61" i="5" l="1"/>
  <c r="D220" i="5"/>
  <c r="G1884" i="3"/>
  <c r="A436" i="7"/>
  <c r="A436" i="6"/>
  <c r="H3357" i="3"/>
  <c r="H3358" i="3" s="1"/>
  <c r="H3359" i="3" s="1"/>
  <c r="C223" i="4" s="1"/>
  <c r="E227" i="6" s="1"/>
  <c r="F227" i="6" s="1"/>
  <c r="E64" i="7"/>
  <c r="F64" i="7" s="1"/>
  <c r="E225" i="7"/>
  <c r="F225" i="7" s="1"/>
  <c r="H1287" i="3"/>
  <c r="H1288" i="3" s="1"/>
  <c r="H1289" i="3" s="1"/>
  <c r="G1885" i="3" s="1"/>
  <c r="H3353" i="3"/>
  <c r="H3354" i="3" s="1"/>
  <c r="H3355" i="3" s="1"/>
  <c r="C222" i="4" s="1"/>
  <c r="E226" i="6" s="1"/>
  <c r="F226" i="6" s="1"/>
  <c r="H3371" i="3"/>
  <c r="A427" i="4"/>
  <c r="B8116" i="3"/>
  <c r="A427" i="5" s="1"/>
  <c r="H3395" i="3"/>
  <c r="G3421" i="3"/>
  <c r="G3448" i="3"/>
  <c r="H3419" i="3"/>
  <c r="H1300" i="3"/>
  <c r="H1301" i="3" s="1"/>
  <c r="G1327" i="3"/>
  <c r="G2006" i="3"/>
  <c r="H1964" i="3"/>
  <c r="H1884" i="3"/>
  <c r="G1925" i="3"/>
  <c r="H1924" i="3"/>
  <c r="G1965" i="3"/>
  <c r="H3396" i="3"/>
  <c r="G3422" i="3"/>
  <c r="G2088" i="3"/>
  <c r="H2046" i="3"/>
  <c r="G2128" i="3"/>
  <c r="H2128" i="3" s="1"/>
  <c r="H2087" i="3"/>
  <c r="G1351" i="3"/>
  <c r="H1324" i="3"/>
  <c r="G4002" i="3"/>
  <c r="H3953" i="3"/>
  <c r="G3978" i="3"/>
  <c r="H3978" i="3" s="1"/>
  <c r="D62" i="5" l="1"/>
  <c r="D221" i="5"/>
  <c r="A437" i="7"/>
  <c r="A437" i="6"/>
  <c r="C63" i="4"/>
  <c r="E65" i="6" s="1"/>
  <c r="F65" i="6" s="1"/>
  <c r="E65" i="7"/>
  <c r="F65" i="7" s="1"/>
  <c r="H3383" i="3"/>
  <c r="H3384" i="3" s="1"/>
  <c r="H3385" i="3" s="1"/>
  <c r="C224" i="4" s="1"/>
  <c r="E228" i="6" s="1"/>
  <c r="F228" i="6" s="1"/>
  <c r="E226" i="7"/>
  <c r="F226" i="7" s="1"/>
  <c r="H1314" i="3"/>
  <c r="H1315" i="3" s="1"/>
  <c r="H1316" i="3" s="1"/>
  <c r="G1886" i="3" s="1"/>
  <c r="B8138" i="3"/>
  <c r="A428" i="5" s="1"/>
  <c r="A428" i="4"/>
  <c r="H3397" i="3"/>
  <c r="G3450" i="3"/>
  <c r="H3421" i="3"/>
  <c r="G3451" i="3"/>
  <c r="H3422" i="3"/>
  <c r="H1965" i="3"/>
  <c r="G2007" i="3"/>
  <c r="G1354" i="3"/>
  <c r="H1327" i="3"/>
  <c r="H1328" i="3" s="1"/>
  <c r="H1925" i="3"/>
  <c r="G1966" i="3"/>
  <c r="H2006" i="3"/>
  <c r="G2047" i="3"/>
  <c r="H1885" i="3"/>
  <c r="G1926" i="3"/>
  <c r="H1351" i="3"/>
  <c r="G1378" i="3"/>
  <c r="G2129" i="3"/>
  <c r="H2129" i="3" s="1"/>
  <c r="H2088" i="3"/>
  <c r="G3473" i="3"/>
  <c r="H3448" i="3"/>
  <c r="G4027" i="3"/>
  <c r="H4002" i="3"/>
  <c r="D222" i="5" l="1"/>
  <c r="D223" i="5"/>
  <c r="D63" i="5"/>
  <c r="E66" i="7" s="1"/>
  <c r="F66" i="7" s="1"/>
  <c r="A438" i="7"/>
  <c r="A438" i="6"/>
  <c r="E228" i="7"/>
  <c r="F228" i="7" s="1"/>
  <c r="H3409" i="3"/>
  <c r="H3410" i="3" s="1"/>
  <c r="H3411" i="3" s="1"/>
  <c r="C225" i="4" s="1"/>
  <c r="E229" i="6" s="1"/>
  <c r="F229" i="6" s="1"/>
  <c r="H1341" i="3"/>
  <c r="H1342" i="3" s="1"/>
  <c r="H1343" i="3" s="1"/>
  <c r="G1856" i="3" s="1"/>
  <c r="H1856" i="3" s="1"/>
  <c r="H1857" i="3" s="1"/>
  <c r="H1863" i="3" s="1"/>
  <c r="H1864" i="3" s="1"/>
  <c r="H1865" i="3" s="1"/>
  <c r="C85" i="4" s="1"/>
  <c r="E87" i="6" s="1"/>
  <c r="F87" i="6" s="1"/>
  <c r="C64" i="4"/>
  <c r="E66" i="6" s="1"/>
  <c r="F66" i="6" s="1"/>
  <c r="E227" i="7"/>
  <c r="F227" i="7" s="1"/>
  <c r="H3423" i="3"/>
  <c r="A429" i="4"/>
  <c r="B8160" i="3"/>
  <c r="A429" i="5" s="1"/>
  <c r="G3475" i="3"/>
  <c r="H3450" i="3"/>
  <c r="G2089" i="3"/>
  <c r="H2047" i="3"/>
  <c r="G3497" i="3"/>
  <c r="H3473" i="3"/>
  <c r="G1927" i="3"/>
  <c r="H1886" i="3"/>
  <c r="H2007" i="3"/>
  <c r="G2048" i="3"/>
  <c r="H1966" i="3"/>
  <c r="G2008" i="3"/>
  <c r="G1967" i="3"/>
  <c r="H1926" i="3"/>
  <c r="H1378" i="3"/>
  <c r="G1404" i="3"/>
  <c r="G1381" i="3"/>
  <c r="H1354" i="3"/>
  <c r="H1355" i="3" s="1"/>
  <c r="H3451" i="3"/>
  <c r="G3476" i="3"/>
  <c r="G4051" i="3"/>
  <c r="H4027" i="3"/>
  <c r="D64" i="5" l="1"/>
  <c r="D224" i="5"/>
  <c r="D84" i="5"/>
  <c r="A439" i="7"/>
  <c r="A439" i="6"/>
  <c r="E67" i="7"/>
  <c r="F67" i="7" s="1"/>
  <c r="G1887" i="3"/>
  <c r="E229" i="7"/>
  <c r="F229" i="7" s="1"/>
  <c r="C65" i="4"/>
  <c r="E67" i="6" s="1"/>
  <c r="F67" i="6" s="1"/>
  <c r="H3435" i="3"/>
  <c r="H3436" i="3" s="1"/>
  <c r="H3437" i="3" s="1"/>
  <c r="C226" i="4" s="1"/>
  <c r="E230" i="6" s="1"/>
  <c r="F230" i="6" s="1"/>
  <c r="F231" i="6" s="1"/>
  <c r="G14" i="8" s="1"/>
  <c r="E87" i="7"/>
  <c r="F87" i="7" s="1"/>
  <c r="H1368" i="3"/>
  <c r="H1369" i="3" s="1"/>
  <c r="H1370" i="3" s="1"/>
  <c r="G1888" i="3" s="1"/>
  <c r="H3452" i="3"/>
  <c r="A430" i="4"/>
  <c r="B8182" i="3"/>
  <c r="A430" i="5" s="1"/>
  <c r="G3499" i="3"/>
  <c r="H3475" i="3"/>
  <c r="G2049" i="3"/>
  <c r="H2008" i="3"/>
  <c r="G2090" i="3"/>
  <c r="H2048" i="3"/>
  <c r="H3477" i="3"/>
  <c r="G1968" i="3"/>
  <c r="H1927" i="3"/>
  <c r="G3522" i="3"/>
  <c r="H3497" i="3"/>
  <c r="H1404" i="3"/>
  <c r="G1431" i="3"/>
  <c r="G1928" i="3"/>
  <c r="H1887" i="3"/>
  <c r="G2009" i="3"/>
  <c r="H1967" i="3"/>
  <c r="G3500" i="3"/>
  <c r="H3476" i="3"/>
  <c r="H2089" i="3"/>
  <c r="G2130" i="3"/>
  <c r="H2130" i="3" s="1"/>
  <c r="H1381" i="3"/>
  <c r="H1382" i="3" s="1"/>
  <c r="G1407" i="3"/>
  <c r="G4074" i="3"/>
  <c r="H4051" i="3"/>
  <c r="D225" i="5" l="1"/>
  <c r="D65" i="5"/>
  <c r="A440" i="7"/>
  <c r="A440" i="6"/>
  <c r="H3463" i="3"/>
  <c r="H3464" i="3" s="1"/>
  <c r="H3465" i="3" s="1"/>
  <c r="C229" i="4" s="1"/>
  <c r="E234" i="6" s="1"/>
  <c r="F234" i="6" s="1"/>
  <c r="C66" i="4"/>
  <c r="E68" i="6" s="1"/>
  <c r="F68" i="6" s="1"/>
  <c r="E68" i="7"/>
  <c r="F68" i="7" s="1"/>
  <c r="H1394" i="3"/>
  <c r="H1395" i="3" s="1"/>
  <c r="H1396" i="3" s="1"/>
  <c r="C67" i="4" s="1"/>
  <c r="E69" i="6" s="1"/>
  <c r="F69" i="6" s="1"/>
  <c r="H3487" i="3"/>
  <c r="H3488" i="3" s="1"/>
  <c r="H3489" i="3" s="1"/>
  <c r="C230" i="4" s="1"/>
  <c r="E235" i="6" s="1"/>
  <c r="F235" i="6" s="1"/>
  <c r="E230" i="7"/>
  <c r="F230" i="7" s="1"/>
  <c r="F231" i="7" s="1"/>
  <c r="G14" i="9" s="1"/>
  <c r="B8204" i="3"/>
  <c r="A431" i="4"/>
  <c r="G3524" i="3"/>
  <c r="H3499" i="3"/>
  <c r="H1431" i="3"/>
  <c r="G1456" i="3"/>
  <c r="G1434" i="3"/>
  <c r="H1407" i="3"/>
  <c r="H1408" i="3" s="1"/>
  <c r="G3547" i="3"/>
  <c r="H3522" i="3"/>
  <c r="G2010" i="3"/>
  <c r="H1968" i="3"/>
  <c r="H2090" i="3"/>
  <c r="G2131" i="3"/>
  <c r="H2131" i="3" s="1"/>
  <c r="G2050" i="3"/>
  <c r="H2009" i="3"/>
  <c r="H1928" i="3"/>
  <c r="G1969" i="3"/>
  <c r="H1888" i="3"/>
  <c r="G1929" i="3"/>
  <c r="H3500" i="3"/>
  <c r="G3525" i="3"/>
  <c r="H2049" i="3"/>
  <c r="G2091" i="3"/>
  <c r="G4097" i="3"/>
  <c r="H4074" i="3"/>
  <c r="D66" i="5" l="1"/>
  <c r="D229" i="5"/>
  <c r="D228" i="5"/>
  <c r="E235" i="7"/>
  <c r="F235" i="7" s="1"/>
  <c r="E69" i="7"/>
  <c r="F69" i="7" s="1"/>
  <c r="H1421" i="3"/>
  <c r="H1422" i="3" s="1"/>
  <c r="H1423" i="3" s="1"/>
  <c r="C68" i="4" s="1"/>
  <c r="E70" i="6" s="1"/>
  <c r="F70" i="6" s="1"/>
  <c r="G1889" i="3"/>
  <c r="H1889" i="3" s="1"/>
  <c r="H3501" i="3"/>
  <c r="E234" i="7"/>
  <c r="F234" i="7" s="1"/>
  <c r="A432" i="4"/>
  <c r="A431" i="5"/>
  <c r="G3549" i="3"/>
  <c r="H3524" i="3"/>
  <c r="H2050" i="3"/>
  <c r="G2092" i="3"/>
  <c r="G3572" i="3"/>
  <c r="H3547" i="3"/>
  <c r="G2051" i="3"/>
  <c r="H2010" i="3"/>
  <c r="G2132" i="3"/>
  <c r="H2132" i="3" s="1"/>
  <c r="H2091" i="3"/>
  <c r="G1481" i="3"/>
  <c r="H1456" i="3"/>
  <c r="G3550" i="3"/>
  <c r="H3525" i="3"/>
  <c r="G1970" i="3"/>
  <c r="H1929" i="3"/>
  <c r="G1459" i="3"/>
  <c r="H1434" i="3"/>
  <c r="H1435" i="3" s="1"/>
  <c r="G2011" i="3"/>
  <c r="H1969" i="3"/>
  <c r="G4123" i="3"/>
  <c r="H4097" i="3"/>
  <c r="D67" i="5" l="1"/>
  <c r="A441" i="7"/>
  <c r="A441" i="6"/>
  <c r="H1446" i="3"/>
  <c r="H1447" i="3" s="1"/>
  <c r="H1448" i="3" s="1"/>
  <c r="C69" i="4" s="1"/>
  <c r="E71" i="6" s="1"/>
  <c r="F71" i="6" s="1"/>
  <c r="H3512" i="3"/>
  <c r="H3513" i="3" s="1"/>
  <c r="H3514" i="3" s="1"/>
  <c r="C231" i="4" s="1"/>
  <c r="E236" i="6" s="1"/>
  <c r="F236" i="6" s="1"/>
  <c r="E70" i="7"/>
  <c r="F70" i="7" s="1"/>
  <c r="G1930" i="3"/>
  <c r="H1930" i="3" s="1"/>
  <c r="H3526" i="3"/>
  <c r="H3549" i="3"/>
  <c r="G3574" i="3"/>
  <c r="G3575" i="3"/>
  <c r="H3550" i="3"/>
  <c r="G1506" i="3"/>
  <c r="H1481" i="3"/>
  <c r="H1970" i="3"/>
  <c r="G2012" i="3"/>
  <c r="H2051" i="3"/>
  <c r="G2093" i="3"/>
  <c r="G2052" i="3"/>
  <c r="H2011" i="3"/>
  <c r="G3597" i="3"/>
  <c r="H3572" i="3"/>
  <c r="G1484" i="3"/>
  <c r="H1459" i="3"/>
  <c r="H1460" i="3" s="1"/>
  <c r="H2092" i="3"/>
  <c r="G2133" i="3"/>
  <c r="H2133" i="3" s="1"/>
  <c r="G4149" i="3"/>
  <c r="H4123" i="3"/>
  <c r="D230" i="5" l="1"/>
  <c r="D68" i="5"/>
  <c r="G1971" i="3"/>
  <c r="H1471" i="3"/>
  <c r="H1472" i="3" s="1"/>
  <c r="H1473" i="3" s="1"/>
  <c r="C70" i="4" s="1"/>
  <c r="E72" i="6" s="1"/>
  <c r="F72" i="6" s="1"/>
  <c r="H3537" i="3"/>
  <c r="H3538" i="3" s="1"/>
  <c r="H3539" i="3" s="1"/>
  <c r="C232" i="4" s="1"/>
  <c r="E237" i="6" s="1"/>
  <c r="F237" i="6" s="1"/>
  <c r="E236" i="7"/>
  <c r="F236" i="7" s="1"/>
  <c r="E71" i="7"/>
  <c r="F71" i="7" s="1"/>
  <c r="H3551" i="3"/>
  <c r="G3599" i="3"/>
  <c r="H3574" i="3"/>
  <c r="H2052" i="3"/>
  <c r="G2094" i="3"/>
  <c r="H2093" i="3"/>
  <c r="G2134" i="3"/>
  <c r="H2134" i="3" s="1"/>
  <c r="G2053" i="3"/>
  <c r="H2012" i="3"/>
  <c r="G3622" i="3"/>
  <c r="H3597" i="3"/>
  <c r="H1506" i="3"/>
  <c r="G1532" i="3"/>
  <c r="H1484" i="3"/>
  <c r="H1485" i="3" s="1"/>
  <c r="G1509" i="3"/>
  <c r="H1971" i="3"/>
  <c r="G2013" i="3"/>
  <c r="H3575" i="3"/>
  <c r="G3600" i="3"/>
  <c r="G4174" i="3"/>
  <c r="H4149" i="3"/>
  <c r="D69" i="5" l="1"/>
  <c r="D231" i="5"/>
  <c r="H1496" i="3"/>
  <c r="H1497" i="3" s="1"/>
  <c r="H1498" i="3" s="1"/>
  <c r="C71" i="4" s="1"/>
  <c r="E73" i="6" s="1"/>
  <c r="F73" i="6" s="1"/>
  <c r="E237" i="7"/>
  <c r="F237" i="7" s="1"/>
  <c r="H3562" i="3"/>
  <c r="H3563" i="3" s="1"/>
  <c r="H3564" i="3" s="1"/>
  <c r="C233" i="4" s="1"/>
  <c r="E238" i="6" s="1"/>
  <c r="F238" i="6" s="1"/>
  <c r="E72" i="7"/>
  <c r="F72" i="7" s="1"/>
  <c r="H3576" i="3"/>
  <c r="G3624" i="3"/>
  <c r="H3599" i="3"/>
  <c r="G1535" i="3"/>
  <c r="H1509" i="3"/>
  <c r="H1510" i="3" s="1"/>
  <c r="G3673" i="3"/>
  <c r="H3622" i="3"/>
  <c r="G3647" i="3"/>
  <c r="H3647" i="3" s="1"/>
  <c r="G1558" i="3"/>
  <c r="H1532" i="3"/>
  <c r="G2095" i="3"/>
  <c r="H2053" i="3"/>
  <c r="H3600" i="3"/>
  <c r="G3625" i="3"/>
  <c r="H2094" i="3"/>
  <c r="G2135" i="3"/>
  <c r="H2135" i="3" s="1"/>
  <c r="G2054" i="3"/>
  <c r="H2013" i="3"/>
  <c r="G4200" i="3"/>
  <c r="H4174" i="3"/>
  <c r="D232" i="5" l="1"/>
  <c r="D70" i="5"/>
  <c r="H1522" i="3"/>
  <c r="H1523" i="3" s="1"/>
  <c r="H1524" i="3" s="1"/>
  <c r="H3587" i="3"/>
  <c r="H3588" i="3" s="1"/>
  <c r="H3589" i="3" s="1"/>
  <c r="C234" i="4" s="1"/>
  <c r="E239" i="6" s="1"/>
  <c r="F239" i="6" s="1"/>
  <c r="E238" i="7"/>
  <c r="F238" i="7" s="1"/>
  <c r="H3601" i="3"/>
  <c r="E73" i="7"/>
  <c r="F73" i="7" s="1"/>
  <c r="G3675" i="3"/>
  <c r="G3649" i="3"/>
  <c r="H3649" i="3" s="1"/>
  <c r="H3624" i="3"/>
  <c r="G3650" i="3"/>
  <c r="H3650" i="3" s="1"/>
  <c r="H3625" i="3"/>
  <c r="G3676" i="3"/>
  <c r="G1587" i="3"/>
  <c r="H1558" i="3"/>
  <c r="G2136" i="3"/>
  <c r="H2136" i="3" s="1"/>
  <c r="H2095" i="3"/>
  <c r="G3699" i="3"/>
  <c r="H3673" i="3"/>
  <c r="C72" i="4"/>
  <c r="E74" i="6" s="1"/>
  <c r="F74" i="6" s="1"/>
  <c r="G1876" i="3"/>
  <c r="H1876" i="3" s="1"/>
  <c r="H2054" i="3"/>
  <c r="G2096" i="3"/>
  <c r="G1561" i="3"/>
  <c r="H1535" i="3"/>
  <c r="H1536" i="3" s="1"/>
  <c r="G4226" i="3"/>
  <c r="H4200" i="3"/>
  <c r="D71" i="5" l="1"/>
  <c r="D233" i="5"/>
  <c r="H3651" i="3"/>
  <c r="H1548" i="3"/>
  <c r="H1549" i="3" s="1"/>
  <c r="H1550" i="3" s="1"/>
  <c r="H3663" i="3"/>
  <c r="H3664" i="3" s="1"/>
  <c r="H3665" i="3" s="1"/>
  <c r="C237" i="4" s="1"/>
  <c r="E242" i="6" s="1"/>
  <c r="F242" i="6" s="1"/>
  <c r="E239" i="7"/>
  <c r="F239" i="7" s="1"/>
  <c r="H3612" i="3"/>
  <c r="H3613" i="3" s="1"/>
  <c r="H3614" i="3" s="1"/>
  <c r="C235" i="4" s="1"/>
  <c r="E240" i="6" s="1"/>
  <c r="F240" i="6" s="1"/>
  <c r="E74" i="7"/>
  <c r="F74" i="7" s="1"/>
  <c r="H3626" i="3"/>
  <c r="G3701" i="3"/>
  <c r="H3675" i="3"/>
  <c r="G1958" i="3"/>
  <c r="H1958" i="3" s="1"/>
  <c r="C73" i="4"/>
  <c r="E75" i="6" s="1"/>
  <c r="F75" i="6" s="1"/>
  <c r="H1903" i="3"/>
  <c r="C94" i="4" s="1"/>
  <c r="E96" i="6" s="1"/>
  <c r="F96" i="6" s="1"/>
  <c r="H1905" i="3"/>
  <c r="C96" i="4" s="1"/>
  <c r="E98" i="6" s="1"/>
  <c r="F98" i="6" s="1"/>
  <c r="H1906" i="3"/>
  <c r="C97" i="4" s="1"/>
  <c r="E99" i="6" s="1"/>
  <c r="F99" i="6" s="1"/>
  <c r="H1902" i="3"/>
  <c r="C93" i="4" s="1"/>
  <c r="E95" i="6" s="1"/>
  <c r="F95" i="6" s="1"/>
  <c r="H1896" i="3"/>
  <c r="C87" i="4" s="1"/>
  <c r="E89" i="6" s="1"/>
  <c r="F89" i="6" s="1"/>
  <c r="H1899" i="3"/>
  <c r="C90" i="4" s="1"/>
  <c r="E92" i="6" s="1"/>
  <c r="F92" i="6" s="1"/>
  <c r="H1897" i="3"/>
  <c r="C88" i="4" s="1"/>
  <c r="E90" i="6" s="1"/>
  <c r="F90" i="6" s="1"/>
  <c r="H1901" i="3"/>
  <c r="C92" i="4" s="1"/>
  <c r="E94" i="6" s="1"/>
  <c r="F94" i="6" s="1"/>
  <c r="H1904" i="3"/>
  <c r="C95" i="4" s="1"/>
  <c r="E97" i="6" s="1"/>
  <c r="F97" i="6" s="1"/>
  <c r="H1898" i="3"/>
  <c r="C89" i="4" s="1"/>
  <c r="E91" i="6" s="1"/>
  <c r="F91" i="6" s="1"/>
  <c r="H1900" i="3"/>
  <c r="C91" i="4" s="1"/>
  <c r="E93" i="6" s="1"/>
  <c r="F93" i="6" s="1"/>
  <c r="G3725" i="3"/>
  <c r="H3699" i="3"/>
  <c r="H1561" i="3"/>
  <c r="H1562" i="3" s="1"/>
  <c r="G1590" i="3"/>
  <c r="G3702" i="3"/>
  <c r="H3676" i="3"/>
  <c r="H3677" i="3" s="1"/>
  <c r="H1587" i="3"/>
  <c r="G1616" i="3"/>
  <c r="H2096" i="3"/>
  <c r="G2137" i="3"/>
  <c r="H2137" i="3" s="1"/>
  <c r="G4280" i="3"/>
  <c r="H4226" i="3"/>
  <c r="G4253" i="3"/>
  <c r="H4253" i="3" s="1"/>
  <c r="D89" i="5" l="1"/>
  <c r="D90" i="5"/>
  <c r="E93" i="7" s="1"/>
  <c r="F93" i="7" s="1"/>
  <c r="D94" i="5"/>
  <c r="E97" i="7" s="1"/>
  <c r="F97" i="7" s="1"/>
  <c r="D72" i="5"/>
  <c r="E75" i="7" s="1"/>
  <c r="F75" i="7" s="1"/>
  <c r="D86" i="5"/>
  <c r="E89" i="7" s="1"/>
  <c r="F89" i="7" s="1"/>
  <c r="D87" i="5"/>
  <c r="E90" i="7" s="1"/>
  <c r="F90" i="7" s="1"/>
  <c r="D95" i="5"/>
  <c r="E98" i="7" s="1"/>
  <c r="F98" i="7" s="1"/>
  <c r="D234" i="5"/>
  <c r="E240" i="7" s="1"/>
  <c r="F240" i="7" s="1"/>
  <c r="D92" i="5"/>
  <c r="E95" i="7" s="1"/>
  <c r="F95" i="7" s="1"/>
  <c r="D93" i="5"/>
  <c r="E96" i="7" s="1"/>
  <c r="F96" i="7" s="1"/>
  <c r="D91" i="5"/>
  <c r="E94" i="7" s="1"/>
  <c r="F94" i="7" s="1"/>
  <c r="D88" i="5"/>
  <c r="E91" i="7" s="1"/>
  <c r="F91" i="7" s="1"/>
  <c r="D96" i="5"/>
  <c r="E99" i="7" s="1"/>
  <c r="F99" i="7" s="1"/>
  <c r="D236" i="5"/>
  <c r="E242" i="7" s="1"/>
  <c r="F242" i="7" s="1"/>
  <c r="H3689" i="3"/>
  <c r="H3690" i="3" s="1"/>
  <c r="H3691" i="3" s="1"/>
  <c r="C238" i="4" s="1"/>
  <c r="E243" i="6" s="1"/>
  <c r="F243" i="6" s="1"/>
  <c r="H1577" i="3"/>
  <c r="H1578" i="3" s="1"/>
  <c r="H1579" i="3" s="1"/>
  <c r="C74" i="4" s="1"/>
  <c r="E76" i="6" s="1"/>
  <c r="F76" i="6" s="1"/>
  <c r="E92" i="7"/>
  <c r="F92" i="7" s="1"/>
  <c r="H3637" i="3"/>
  <c r="H3638" i="3" s="1"/>
  <c r="H3639" i="3" s="1"/>
  <c r="C236" i="4" s="1"/>
  <c r="E241" i="6" s="1"/>
  <c r="F241" i="6" s="1"/>
  <c r="H3701" i="3"/>
  <c r="G3727" i="3"/>
  <c r="G3751" i="3"/>
  <c r="H3725" i="3"/>
  <c r="H1616" i="3"/>
  <c r="G1646" i="3"/>
  <c r="H1590" i="3"/>
  <c r="H1591" i="3" s="1"/>
  <c r="G1619" i="3"/>
  <c r="H3702" i="3"/>
  <c r="G3728" i="3"/>
  <c r="H1983" i="3"/>
  <c r="C116" i="4" s="1"/>
  <c r="E118" i="6" s="1"/>
  <c r="F118" i="6" s="1"/>
  <c r="H1982" i="3"/>
  <c r="C115" i="4" s="1"/>
  <c r="E117" i="6" s="1"/>
  <c r="F117" i="6" s="1"/>
  <c r="H1984" i="3"/>
  <c r="C117" i="4" s="1"/>
  <c r="E119" i="6" s="1"/>
  <c r="F119" i="6" s="1"/>
  <c r="H1985" i="3"/>
  <c r="C118" i="4" s="1"/>
  <c r="E120" i="6" s="1"/>
  <c r="F120" i="6" s="1"/>
  <c r="H1987" i="3"/>
  <c r="C120" i="4" s="1"/>
  <c r="E122" i="6" s="1"/>
  <c r="F122" i="6" s="1"/>
  <c r="H1986" i="3"/>
  <c r="C119" i="4" s="1"/>
  <c r="E121" i="6" s="1"/>
  <c r="F121" i="6" s="1"/>
  <c r="H1988" i="3"/>
  <c r="C121" i="4" s="1"/>
  <c r="E123" i="6" s="1"/>
  <c r="F123" i="6" s="1"/>
  <c r="H1979" i="3"/>
  <c r="C112" i="4" s="1"/>
  <c r="E114" i="6" s="1"/>
  <c r="F114" i="6" s="1"/>
  <c r="H1978" i="3"/>
  <c r="C111" i="4" s="1"/>
  <c r="E113" i="6" s="1"/>
  <c r="F113" i="6" s="1"/>
  <c r="H1980" i="3"/>
  <c r="C113" i="4" s="1"/>
  <c r="E115" i="6" s="1"/>
  <c r="F115" i="6" s="1"/>
  <c r="H1981" i="3"/>
  <c r="C114" i="4" s="1"/>
  <c r="E116" i="6" s="1"/>
  <c r="F116" i="6" s="1"/>
  <c r="G4307" i="3"/>
  <c r="H4280" i="3"/>
  <c r="D237" i="5" l="1"/>
  <c r="D120" i="5"/>
  <c r="E123" i="7" s="1"/>
  <c r="F123" i="7" s="1"/>
  <c r="D235" i="5"/>
  <c r="E241" i="7" s="1"/>
  <c r="F241" i="7" s="1"/>
  <c r="D111" i="5"/>
  <c r="D115" i="5"/>
  <c r="E118" i="7" s="1"/>
  <c r="F118" i="7" s="1"/>
  <c r="D119" i="5"/>
  <c r="E122" i="7" s="1"/>
  <c r="F122" i="7" s="1"/>
  <c r="D112" i="5"/>
  <c r="E115" i="7" s="1"/>
  <c r="F115" i="7" s="1"/>
  <c r="D114" i="5"/>
  <c r="E117" i="7" s="1"/>
  <c r="F117" i="7" s="1"/>
  <c r="D117" i="5"/>
  <c r="E120" i="7" s="1"/>
  <c r="F120" i="7" s="1"/>
  <c r="D73" i="5"/>
  <c r="E76" i="7" s="1"/>
  <c r="F76" i="7" s="1"/>
  <c r="D118" i="5"/>
  <c r="E121" i="7" s="1"/>
  <c r="F121" i="7" s="1"/>
  <c r="D113" i="5"/>
  <c r="E116" i="7" s="1"/>
  <c r="F116" i="7" s="1"/>
  <c r="D116" i="5"/>
  <c r="E119" i="7" s="1"/>
  <c r="F119" i="7" s="1"/>
  <c r="D110" i="5"/>
  <c r="E113" i="7" s="1"/>
  <c r="F113" i="7" s="1"/>
  <c r="E114" i="7"/>
  <c r="F114" i="7" s="1"/>
  <c r="H1606" i="3"/>
  <c r="H1607" i="3" s="1"/>
  <c r="H1608" i="3" s="1"/>
  <c r="G2041" i="3"/>
  <c r="H2041" i="3" s="1"/>
  <c r="H2061" i="3" s="1"/>
  <c r="C135" i="4" s="1"/>
  <c r="E137" i="6" s="1"/>
  <c r="F137" i="6" s="1"/>
  <c r="E243" i="7"/>
  <c r="F243" i="7" s="1"/>
  <c r="H3703" i="3"/>
  <c r="G3753" i="3"/>
  <c r="H3727" i="3"/>
  <c r="G2082" i="3"/>
  <c r="H2082" i="3" s="1"/>
  <c r="C75" i="4"/>
  <c r="E77" i="6" s="1"/>
  <c r="F77" i="6" s="1"/>
  <c r="G1649" i="3"/>
  <c r="H1619" i="3"/>
  <c r="H1620" i="3" s="1"/>
  <c r="H3728" i="3"/>
  <c r="G3754" i="3"/>
  <c r="G1676" i="3"/>
  <c r="H1646" i="3"/>
  <c r="G3776" i="3"/>
  <c r="H3751" i="3"/>
  <c r="G4361" i="3"/>
  <c r="G4334" i="3"/>
  <c r="H4334" i="3" s="1"/>
  <c r="H4307" i="3"/>
  <c r="D74" i="5" l="1"/>
  <c r="D136" i="5"/>
  <c r="D143" i="5"/>
  <c r="E146" i="7" s="1"/>
  <c r="F146" i="7" s="1"/>
  <c r="D140" i="5"/>
  <c r="E143" i="7" s="1"/>
  <c r="F143" i="7" s="1"/>
  <c r="D144" i="5"/>
  <c r="E147" i="7" s="1"/>
  <c r="F147" i="7" s="1"/>
  <c r="D137" i="5"/>
  <c r="E140" i="7" s="1"/>
  <c r="F140" i="7" s="1"/>
  <c r="D142" i="5"/>
  <c r="E145" i="7" s="1"/>
  <c r="F145" i="7" s="1"/>
  <c r="D141" i="5"/>
  <c r="E144" i="7" s="1"/>
  <c r="F144" i="7" s="1"/>
  <c r="D138" i="5"/>
  <c r="E141" i="7" s="1"/>
  <c r="F141" i="7" s="1"/>
  <c r="D135" i="5"/>
  <c r="E138" i="7" s="1"/>
  <c r="F138" i="7" s="1"/>
  <c r="D134" i="5"/>
  <c r="E137" i="7" s="1"/>
  <c r="F137" i="7" s="1"/>
  <c r="D139" i="5"/>
  <c r="E142" i="7" s="1"/>
  <c r="F142" i="7" s="1"/>
  <c r="H2068" i="3"/>
  <c r="C142" i="4" s="1"/>
  <c r="E144" i="6" s="1"/>
  <c r="F144" i="6" s="1"/>
  <c r="H2065" i="3"/>
  <c r="C139" i="4" s="1"/>
  <c r="E141" i="6" s="1"/>
  <c r="F141" i="6" s="1"/>
  <c r="H2071" i="3"/>
  <c r="C145" i="4" s="1"/>
  <c r="E147" i="6" s="1"/>
  <c r="F147" i="6" s="1"/>
  <c r="H2069" i="3"/>
  <c r="C143" i="4" s="1"/>
  <c r="E145" i="6" s="1"/>
  <c r="F145" i="6" s="1"/>
  <c r="H2063" i="3"/>
  <c r="C137" i="4" s="1"/>
  <c r="E139" i="6" s="1"/>
  <c r="F139" i="6" s="1"/>
  <c r="H2066" i="3"/>
  <c r="C140" i="4" s="1"/>
  <c r="E142" i="6" s="1"/>
  <c r="F142" i="6" s="1"/>
  <c r="H2064" i="3"/>
  <c r="C138" i="4" s="1"/>
  <c r="E140" i="6" s="1"/>
  <c r="F140" i="6" s="1"/>
  <c r="H2062" i="3"/>
  <c r="C136" i="4" s="1"/>
  <c r="E138" i="6" s="1"/>
  <c r="F138" i="6" s="1"/>
  <c r="H3715" i="3"/>
  <c r="H3716" i="3" s="1"/>
  <c r="H3717" i="3" s="1"/>
  <c r="C239" i="4" s="1"/>
  <c r="E244" i="6" s="1"/>
  <c r="F244" i="6" s="1"/>
  <c r="H2067" i="3"/>
  <c r="C141" i="4" s="1"/>
  <c r="E143" i="6" s="1"/>
  <c r="F143" i="6" s="1"/>
  <c r="E77" i="7"/>
  <c r="F77" i="7" s="1"/>
  <c r="H3729" i="3"/>
  <c r="E139" i="7"/>
  <c r="F139" i="7" s="1"/>
  <c r="H2070" i="3"/>
  <c r="C144" i="4" s="1"/>
  <c r="E146" i="6" s="1"/>
  <c r="F146" i="6" s="1"/>
  <c r="H1635" i="3"/>
  <c r="H1636" i="3" s="1"/>
  <c r="H1637" i="3" s="1"/>
  <c r="C76" i="4" s="1"/>
  <c r="E78" i="6" s="1"/>
  <c r="F78" i="6" s="1"/>
  <c r="G3778" i="3"/>
  <c r="H3753" i="3"/>
  <c r="G3801" i="3"/>
  <c r="H3776" i="3"/>
  <c r="H1649" i="3"/>
  <c r="G1679" i="3"/>
  <c r="G1706" i="3"/>
  <c r="H1676" i="3"/>
  <c r="G3779" i="3"/>
  <c r="H3754" i="3"/>
  <c r="H2104" i="3"/>
  <c r="C148" i="4" s="1"/>
  <c r="E150" i="6" s="1"/>
  <c r="F150" i="6" s="1"/>
  <c r="H2105" i="3"/>
  <c r="C149" i="4" s="1"/>
  <c r="E151" i="6" s="1"/>
  <c r="F151" i="6" s="1"/>
  <c r="H2108" i="3"/>
  <c r="C152" i="4" s="1"/>
  <c r="E154" i="6" s="1"/>
  <c r="F154" i="6" s="1"/>
  <c r="H2103" i="3"/>
  <c r="C147" i="4" s="1"/>
  <c r="E149" i="6" s="1"/>
  <c r="F149" i="6" s="1"/>
  <c r="H2107" i="3"/>
  <c r="C151" i="4" s="1"/>
  <c r="E153" i="6" s="1"/>
  <c r="F153" i="6" s="1"/>
  <c r="H2111" i="3"/>
  <c r="C155" i="4" s="1"/>
  <c r="E157" i="6" s="1"/>
  <c r="F157" i="6" s="1"/>
  <c r="H2106" i="3"/>
  <c r="C150" i="4" s="1"/>
  <c r="E152" i="6" s="1"/>
  <c r="F152" i="6" s="1"/>
  <c r="H2109" i="3"/>
  <c r="C153" i="4" s="1"/>
  <c r="E155" i="6" s="1"/>
  <c r="F155" i="6" s="1"/>
  <c r="H2110" i="3"/>
  <c r="C154" i="4" s="1"/>
  <c r="E156" i="6" s="1"/>
  <c r="F156" i="6" s="1"/>
  <c r="H2112" i="3"/>
  <c r="C156" i="4" s="1"/>
  <c r="E158" i="6" s="1"/>
  <c r="F158" i="6" s="1"/>
  <c r="H2113" i="3"/>
  <c r="C157" i="4" s="1"/>
  <c r="E159" i="6" s="1"/>
  <c r="F159" i="6" s="1"/>
  <c r="H4361" i="3"/>
  <c r="G4388" i="3"/>
  <c r="D146" i="5" l="1"/>
  <c r="D156" i="5"/>
  <c r="D75" i="5"/>
  <c r="D151" i="5"/>
  <c r="E154" i="7" s="1"/>
  <c r="F154" i="7" s="1"/>
  <c r="D150" i="5"/>
  <c r="E153" i="7" s="1"/>
  <c r="F153" i="7" s="1"/>
  <c r="D148" i="5"/>
  <c r="E151" i="7" s="1"/>
  <c r="F151" i="7" s="1"/>
  <c r="D149" i="5"/>
  <c r="E152" i="7" s="1"/>
  <c r="F152" i="7" s="1"/>
  <c r="D154" i="5"/>
  <c r="E157" i="7" s="1"/>
  <c r="F157" i="7" s="1"/>
  <c r="D153" i="5"/>
  <c r="E156" i="7" s="1"/>
  <c r="F156" i="7" s="1"/>
  <c r="D155" i="5"/>
  <c r="D238" i="5"/>
  <c r="E244" i="7" s="1"/>
  <c r="F244" i="7" s="1"/>
  <c r="D147" i="5"/>
  <c r="E150" i="7" s="1"/>
  <c r="F150" i="7" s="1"/>
  <c r="D152" i="5"/>
  <c r="E155" i="7" s="1"/>
  <c r="F155" i="7" s="1"/>
  <c r="G1999" i="3"/>
  <c r="H1999" i="3" s="1"/>
  <c r="E158" i="7"/>
  <c r="F158" i="7" s="1"/>
  <c r="H3755" i="3"/>
  <c r="E149" i="7"/>
  <c r="F149" i="7" s="1"/>
  <c r="E78" i="7"/>
  <c r="F78" i="7" s="1"/>
  <c r="E159" i="7"/>
  <c r="F159" i="7" s="1"/>
  <c r="H3741" i="3"/>
  <c r="H3742" i="3" s="1"/>
  <c r="H3743" i="3" s="1"/>
  <c r="C240" i="4" s="1"/>
  <c r="E245" i="6" s="1"/>
  <c r="F245" i="6" s="1"/>
  <c r="H3778" i="3"/>
  <c r="G3803" i="3"/>
  <c r="G3876" i="3"/>
  <c r="G3826" i="3"/>
  <c r="H3801" i="3"/>
  <c r="G1709" i="3"/>
  <c r="H1679" i="3"/>
  <c r="H1680" i="3" s="1"/>
  <c r="H1650" i="3"/>
  <c r="H3779" i="3"/>
  <c r="G3804" i="3"/>
  <c r="G1738" i="3"/>
  <c r="H1706" i="3"/>
  <c r="H2020" i="3"/>
  <c r="C123" i="4" s="1"/>
  <c r="E125" i="6" s="1"/>
  <c r="F125" i="6" s="1"/>
  <c r="H2021" i="3"/>
  <c r="C124" i="4" s="1"/>
  <c r="E126" i="6" s="1"/>
  <c r="F126" i="6" s="1"/>
  <c r="H2022" i="3"/>
  <c r="C125" i="4" s="1"/>
  <c r="E127" i="6" s="1"/>
  <c r="F127" i="6" s="1"/>
  <c r="H2024" i="3"/>
  <c r="C127" i="4" s="1"/>
  <c r="E129" i="6" s="1"/>
  <c r="F129" i="6" s="1"/>
  <c r="H2026" i="3"/>
  <c r="C129" i="4" s="1"/>
  <c r="E131" i="6" s="1"/>
  <c r="F131" i="6" s="1"/>
  <c r="H2023" i="3"/>
  <c r="C126" i="4" s="1"/>
  <c r="E128" i="6" s="1"/>
  <c r="F128" i="6" s="1"/>
  <c r="H2029" i="3"/>
  <c r="C132" i="4" s="1"/>
  <c r="E134" i="6" s="1"/>
  <c r="F134" i="6" s="1"/>
  <c r="H2025" i="3"/>
  <c r="C128" i="4" s="1"/>
  <c r="E130" i="6" s="1"/>
  <c r="F130" i="6" s="1"/>
  <c r="H2028" i="3"/>
  <c r="C131" i="4" s="1"/>
  <c r="E133" i="6" s="1"/>
  <c r="F133" i="6" s="1"/>
  <c r="H2027" i="3"/>
  <c r="C130" i="4" s="1"/>
  <c r="E132" i="6" s="1"/>
  <c r="F132" i="6" s="1"/>
  <c r="H2030" i="3"/>
  <c r="C133" i="4" s="1"/>
  <c r="E135" i="6" s="1"/>
  <c r="F135" i="6" s="1"/>
  <c r="H4388" i="3"/>
  <c r="G4415" i="3"/>
  <c r="D129" i="5" l="1"/>
  <c r="D131" i="5"/>
  <c r="E134" i="7" s="1"/>
  <c r="F134" i="7" s="1"/>
  <c r="D130" i="5"/>
  <c r="D125" i="5"/>
  <c r="D123" i="5"/>
  <c r="E126" i="7" s="1"/>
  <c r="F126" i="7" s="1"/>
  <c r="D126" i="5"/>
  <c r="E129" i="7" s="1"/>
  <c r="F129" i="7" s="1"/>
  <c r="D124" i="5"/>
  <c r="E127" i="7" s="1"/>
  <c r="F127" i="7" s="1"/>
  <c r="D127" i="5"/>
  <c r="E130" i="7" s="1"/>
  <c r="F130" i="7" s="1"/>
  <c r="D239" i="5"/>
  <c r="E245" i="7" s="1"/>
  <c r="F245" i="7" s="1"/>
  <c r="D128" i="5"/>
  <c r="E131" i="7" s="1"/>
  <c r="F131" i="7" s="1"/>
  <c r="D122" i="5"/>
  <c r="E125" i="7" s="1"/>
  <c r="F125" i="7" s="1"/>
  <c r="D132" i="5"/>
  <c r="E135" i="7" s="1"/>
  <c r="F135" i="7" s="1"/>
  <c r="H1695" i="3"/>
  <c r="H1696" i="3" s="1"/>
  <c r="H1697" i="3" s="1"/>
  <c r="E128" i="7"/>
  <c r="F128" i="7" s="1"/>
  <c r="H1666" i="3"/>
  <c r="H1667" i="3" s="1"/>
  <c r="H1668" i="3" s="1"/>
  <c r="G1917" i="3" s="1"/>
  <c r="H1917" i="3" s="1"/>
  <c r="E133" i="7"/>
  <c r="F133" i="7" s="1"/>
  <c r="E132" i="7"/>
  <c r="F132" i="7" s="1"/>
  <c r="H3766" i="3"/>
  <c r="H3767" i="3" s="1"/>
  <c r="H3768" i="3" s="1"/>
  <c r="C241" i="4" s="1"/>
  <c r="E246" i="6" s="1"/>
  <c r="F246" i="6" s="1"/>
  <c r="H3780" i="3"/>
  <c r="G3828" i="3"/>
  <c r="G3878" i="3"/>
  <c r="H3803" i="3"/>
  <c r="C78" i="4"/>
  <c r="E80" i="6" s="1"/>
  <c r="F80" i="6" s="1"/>
  <c r="G2124" i="3"/>
  <c r="H2124" i="3" s="1"/>
  <c r="G1764" i="3"/>
  <c r="H1738" i="3"/>
  <c r="G3902" i="3"/>
  <c r="H3876" i="3"/>
  <c r="H3804" i="3"/>
  <c r="H3805" i="3" s="1"/>
  <c r="G3879" i="3"/>
  <c r="G3829" i="3"/>
  <c r="G1741" i="3"/>
  <c r="H1709" i="3"/>
  <c r="H1710" i="3" s="1"/>
  <c r="G3851" i="3"/>
  <c r="H3851" i="3" s="1"/>
  <c r="H3826" i="3"/>
  <c r="G4442" i="3"/>
  <c r="H4415" i="3"/>
  <c r="D77" i="5" l="1"/>
  <c r="D78" i="5"/>
  <c r="D76" i="5"/>
  <c r="D240" i="5"/>
  <c r="H3791" i="3"/>
  <c r="H3792" i="3" s="1"/>
  <c r="H3793" i="3" s="1"/>
  <c r="C242" i="4" s="1"/>
  <c r="E247" i="6" s="1"/>
  <c r="F247" i="6" s="1"/>
  <c r="H3816" i="3"/>
  <c r="H3817" i="3" s="1"/>
  <c r="H3818" i="3" s="1"/>
  <c r="C243" i="4" s="1"/>
  <c r="E248" i="6" s="1"/>
  <c r="F248" i="6" s="1"/>
  <c r="E79" i="7"/>
  <c r="F79" i="7" s="1"/>
  <c r="E246" i="7"/>
  <c r="F246" i="7" s="1"/>
  <c r="C77" i="4"/>
  <c r="E79" i="6" s="1"/>
  <c r="F79" i="6" s="1"/>
  <c r="E80" i="7"/>
  <c r="F80" i="7" s="1"/>
  <c r="E81" i="7"/>
  <c r="F81" i="7" s="1"/>
  <c r="G3904" i="3"/>
  <c r="H3878" i="3"/>
  <c r="H3828" i="3"/>
  <c r="G3853" i="3"/>
  <c r="H3853" i="3" s="1"/>
  <c r="H1728" i="3"/>
  <c r="H1729" i="3" s="1"/>
  <c r="H1730" i="3" s="1"/>
  <c r="C80" i="4" s="1"/>
  <c r="E82" i="6" s="1"/>
  <c r="F82" i="6" s="1"/>
  <c r="H1724" i="3"/>
  <c r="H1725" i="3" s="1"/>
  <c r="H1726" i="3" s="1"/>
  <c r="C79" i="4" s="1"/>
  <c r="E81" i="6" s="1"/>
  <c r="F81" i="6" s="1"/>
  <c r="H1741" i="3"/>
  <c r="H1742" i="3" s="1"/>
  <c r="G1769" i="3"/>
  <c r="G3905" i="3"/>
  <c r="H3879" i="3"/>
  <c r="H3880" i="3" s="1"/>
  <c r="G3927" i="3"/>
  <c r="H3902" i="3"/>
  <c r="G1797" i="3"/>
  <c r="H1764" i="3"/>
  <c r="H3829" i="3"/>
  <c r="G3854" i="3"/>
  <c r="H3854" i="3" s="1"/>
  <c r="H2148" i="3"/>
  <c r="C163" i="4" s="1"/>
  <c r="E165" i="6" s="1"/>
  <c r="F165" i="6" s="1"/>
  <c r="H2150" i="3"/>
  <c r="C165" i="4" s="1"/>
  <c r="E167" i="6" s="1"/>
  <c r="F167" i="6" s="1"/>
  <c r="H2151" i="3"/>
  <c r="C166" i="4" s="1"/>
  <c r="E168" i="6" s="1"/>
  <c r="F168" i="6" s="1"/>
  <c r="H2152" i="3"/>
  <c r="C167" i="4" s="1"/>
  <c r="E169" i="6" s="1"/>
  <c r="F169" i="6" s="1"/>
  <c r="H2153" i="3"/>
  <c r="C168" i="4" s="1"/>
  <c r="E170" i="6" s="1"/>
  <c r="F170" i="6" s="1"/>
  <c r="H2154" i="3"/>
  <c r="C169" i="4" s="1"/>
  <c r="E171" i="6" s="1"/>
  <c r="F171" i="6" s="1"/>
  <c r="H2145" i="3"/>
  <c r="C160" i="4" s="1"/>
  <c r="E162" i="6" s="1"/>
  <c r="F162" i="6" s="1"/>
  <c r="H2146" i="3"/>
  <c r="C161" i="4" s="1"/>
  <c r="E163" i="6" s="1"/>
  <c r="F163" i="6" s="1"/>
  <c r="H2144" i="3"/>
  <c r="C159" i="4" s="1"/>
  <c r="E161" i="6" s="1"/>
  <c r="F161" i="6" s="1"/>
  <c r="H2147" i="3"/>
  <c r="C162" i="4" s="1"/>
  <c r="E164" i="6" s="1"/>
  <c r="F164" i="6" s="1"/>
  <c r="H2149" i="3"/>
  <c r="C164" i="4" s="1"/>
  <c r="E166" i="6" s="1"/>
  <c r="F166" i="6" s="1"/>
  <c r="H1946" i="3"/>
  <c r="C108" i="4" s="1"/>
  <c r="E110" i="6" s="1"/>
  <c r="F110" i="6" s="1"/>
  <c r="H1939" i="3"/>
  <c r="C101" i="4" s="1"/>
  <c r="E103" i="6" s="1"/>
  <c r="F103" i="6" s="1"/>
  <c r="H1940" i="3"/>
  <c r="C102" i="4" s="1"/>
  <c r="E104" i="6" s="1"/>
  <c r="F104" i="6" s="1"/>
  <c r="H1941" i="3"/>
  <c r="C103" i="4" s="1"/>
  <c r="E105" i="6" s="1"/>
  <c r="F105" i="6" s="1"/>
  <c r="H1945" i="3"/>
  <c r="C107" i="4" s="1"/>
  <c r="E109" i="6" s="1"/>
  <c r="F109" i="6" s="1"/>
  <c r="H1938" i="3"/>
  <c r="C100" i="4" s="1"/>
  <c r="E102" i="6" s="1"/>
  <c r="F102" i="6" s="1"/>
  <c r="H1937" i="3"/>
  <c r="C99" i="4" s="1"/>
  <c r="E101" i="6" s="1"/>
  <c r="F101" i="6" s="1"/>
  <c r="H1943" i="3"/>
  <c r="C105" i="4" s="1"/>
  <c r="E107" i="6" s="1"/>
  <c r="F107" i="6" s="1"/>
  <c r="H1942" i="3"/>
  <c r="C104" i="4" s="1"/>
  <c r="E106" i="6" s="1"/>
  <c r="F106" i="6" s="1"/>
  <c r="H1944" i="3"/>
  <c r="C106" i="4" s="1"/>
  <c r="E108" i="6" s="1"/>
  <c r="F108" i="6" s="1"/>
  <c r="H1947" i="3"/>
  <c r="C109" i="4" s="1"/>
  <c r="E111" i="6" s="1"/>
  <c r="F111" i="6" s="1"/>
  <c r="G4469" i="3"/>
  <c r="H4442" i="3"/>
  <c r="D107" i="5" l="1"/>
  <c r="D158" i="5"/>
  <c r="D164" i="5"/>
  <c r="D242" i="5"/>
  <c r="E248" i="7" s="1"/>
  <c r="F248" i="7" s="1"/>
  <c r="D161" i="5"/>
  <c r="E164" i="7" s="1"/>
  <c r="F164" i="7" s="1"/>
  <c r="D165" i="5"/>
  <c r="E168" i="7" s="1"/>
  <c r="F168" i="7" s="1"/>
  <c r="D241" i="5"/>
  <c r="E247" i="7" s="1"/>
  <c r="F247" i="7" s="1"/>
  <c r="D79" i="5"/>
  <c r="E82" i="7" s="1"/>
  <c r="F82" i="7" s="1"/>
  <c r="D108" i="5"/>
  <c r="D166" i="5"/>
  <c r="E169" i="7" s="1"/>
  <c r="F169" i="7" s="1"/>
  <c r="D105" i="5"/>
  <c r="E108" i="7" s="1"/>
  <c r="F108" i="7" s="1"/>
  <c r="D160" i="5"/>
  <c r="E163" i="7" s="1"/>
  <c r="F163" i="7" s="1"/>
  <c r="D99" i="5"/>
  <c r="E102" i="7" s="1"/>
  <c r="F102" i="7" s="1"/>
  <c r="D162" i="5"/>
  <c r="E165" i="7" s="1"/>
  <c r="F165" i="7" s="1"/>
  <c r="D103" i="5"/>
  <c r="E106" i="7" s="1"/>
  <c r="F106" i="7" s="1"/>
  <c r="D101" i="5"/>
  <c r="E104" i="7" s="1"/>
  <c r="F104" i="7" s="1"/>
  <c r="D168" i="5"/>
  <c r="D100" i="5"/>
  <c r="D167" i="5"/>
  <c r="D106" i="5"/>
  <c r="E109" i="7" s="1"/>
  <c r="F109" i="7" s="1"/>
  <c r="D104" i="5"/>
  <c r="D102" i="5"/>
  <c r="E105" i="7" s="1"/>
  <c r="F105" i="7" s="1"/>
  <c r="D159" i="5"/>
  <c r="E162" i="7" s="1"/>
  <c r="F162" i="7" s="1"/>
  <c r="D163" i="5"/>
  <c r="E166" i="7" s="1"/>
  <c r="F166" i="7" s="1"/>
  <c r="D98" i="5"/>
  <c r="H1754" i="3"/>
  <c r="H1755" i="3" s="1"/>
  <c r="H1756" i="3" s="1"/>
  <c r="C81" i="4" s="1"/>
  <c r="E83" i="6" s="1"/>
  <c r="F83" i="6" s="1"/>
  <c r="E110" i="7"/>
  <c r="F110" i="7" s="1"/>
  <c r="E167" i="7"/>
  <c r="F167" i="7" s="1"/>
  <c r="E111" i="7"/>
  <c r="F111" i="7" s="1"/>
  <c r="E103" i="7"/>
  <c r="F103" i="7" s="1"/>
  <c r="E107" i="7"/>
  <c r="F107" i="7" s="1"/>
  <c r="E101" i="7"/>
  <c r="F101" i="7" s="1"/>
  <c r="E161" i="7"/>
  <c r="F161" i="7" s="1"/>
  <c r="E171" i="7"/>
  <c r="F171" i="7" s="1"/>
  <c r="H3830" i="3"/>
  <c r="H3892" i="3"/>
  <c r="H3893" i="3" s="1"/>
  <c r="H3894" i="3" s="1"/>
  <c r="C246" i="4" s="1"/>
  <c r="E251" i="6" s="1"/>
  <c r="F251" i="6" s="1"/>
  <c r="E170" i="7"/>
  <c r="F170" i="7" s="1"/>
  <c r="H3855" i="3"/>
  <c r="G3929" i="3"/>
  <c r="H3904" i="3"/>
  <c r="G1802" i="3"/>
  <c r="H1769" i="3"/>
  <c r="H1770" i="3" s="1"/>
  <c r="H1797" i="3"/>
  <c r="G1829" i="3"/>
  <c r="H1829" i="3" s="1"/>
  <c r="G3952" i="3"/>
  <c r="H3927" i="3"/>
  <c r="G3930" i="3"/>
  <c r="H3905" i="3"/>
  <c r="G4495" i="3"/>
  <c r="H4469" i="3"/>
  <c r="D245" i="5" l="1"/>
  <c r="D80" i="5"/>
  <c r="H1787" i="3"/>
  <c r="H1788" i="3" s="1"/>
  <c r="H1789" i="3" s="1"/>
  <c r="C82" i="4" s="1"/>
  <c r="E84" i="6" s="1"/>
  <c r="F84" i="6" s="1"/>
  <c r="H3866" i="3"/>
  <c r="H3867" i="3" s="1"/>
  <c r="H3868" i="3" s="1"/>
  <c r="C245" i="4" s="1"/>
  <c r="E250" i="6" s="1"/>
  <c r="F250" i="6" s="1"/>
  <c r="E251" i="7"/>
  <c r="F251" i="7" s="1"/>
  <c r="H3906" i="3"/>
  <c r="E83" i="7"/>
  <c r="F83" i="7" s="1"/>
  <c r="H3841" i="3"/>
  <c r="H3842" i="3" s="1"/>
  <c r="H3843" i="3" s="1"/>
  <c r="C244" i="4" s="1"/>
  <c r="E249" i="6" s="1"/>
  <c r="F249" i="6" s="1"/>
  <c r="H3929" i="3"/>
  <c r="G3954" i="3"/>
  <c r="G3955" i="3"/>
  <c r="H3930" i="3"/>
  <c r="G4001" i="3"/>
  <c r="H3952" i="3"/>
  <c r="G3977" i="3"/>
  <c r="H3977" i="3" s="1"/>
  <c r="G1831" i="3"/>
  <c r="H1831" i="3" s="1"/>
  <c r="H1832" i="3" s="1"/>
  <c r="H1802" i="3"/>
  <c r="H1803" i="3" s="1"/>
  <c r="G4521" i="3"/>
  <c r="H4495" i="3"/>
  <c r="D244" i="5" l="1"/>
  <c r="E250" i="7" s="1"/>
  <c r="F250" i="7" s="1"/>
  <c r="D243" i="5"/>
  <c r="D81" i="5"/>
  <c r="E84" i="7" s="1"/>
  <c r="F84" i="7" s="1"/>
  <c r="E249" i="7"/>
  <c r="F249" i="7" s="1"/>
  <c r="H3917" i="3"/>
  <c r="H3918" i="3" s="1"/>
  <c r="H3919" i="3" s="1"/>
  <c r="C247" i="4" s="1"/>
  <c r="E252" i="6" s="1"/>
  <c r="F252" i="6" s="1"/>
  <c r="H1843" i="3"/>
  <c r="H1844" i="3" s="1"/>
  <c r="H1845" i="3" s="1"/>
  <c r="C84" i="4" s="1"/>
  <c r="E86" i="6" s="1"/>
  <c r="F86" i="6" s="1"/>
  <c r="H1819" i="3"/>
  <c r="H1820" i="3" s="1"/>
  <c r="H1821" i="3" s="1"/>
  <c r="C83" i="4" s="1"/>
  <c r="E85" i="6" s="1"/>
  <c r="F85" i="6" s="1"/>
  <c r="H3931" i="3"/>
  <c r="H3954" i="3"/>
  <c r="G4003" i="3"/>
  <c r="G3979" i="3"/>
  <c r="H3979" i="3" s="1"/>
  <c r="G3980" i="3"/>
  <c r="H3980" i="3" s="1"/>
  <c r="H3955" i="3"/>
  <c r="G4004" i="3"/>
  <c r="G4026" i="3"/>
  <c r="H4001" i="3"/>
  <c r="G4547" i="3"/>
  <c r="H4521" i="3"/>
  <c r="D82" i="5" l="1"/>
  <c r="D83" i="5"/>
  <c r="D246" i="5"/>
  <c r="F172" i="6"/>
  <c r="G12" i="8" s="1"/>
  <c r="E85" i="7"/>
  <c r="F85" i="7" s="1"/>
  <c r="E86" i="7"/>
  <c r="F86" i="7" s="1"/>
  <c r="F172" i="7" s="1"/>
  <c r="G12" i="9" s="1"/>
  <c r="E252" i="7"/>
  <c r="F252" i="7" s="1"/>
  <c r="H3942" i="3"/>
  <c r="H3943" i="3" s="1"/>
  <c r="H3944" i="3" s="1"/>
  <c r="C248" i="4" s="1"/>
  <c r="E253" i="6" s="1"/>
  <c r="F253" i="6" s="1"/>
  <c r="H3956" i="3"/>
  <c r="H3981" i="3"/>
  <c r="H4003" i="3"/>
  <c r="G4028" i="3"/>
  <c r="G4050" i="3"/>
  <c r="H4026" i="3"/>
  <c r="G4029" i="3"/>
  <c r="H4004" i="3"/>
  <c r="G4574" i="3"/>
  <c r="H4547" i="3"/>
  <c r="D247" i="5" l="1"/>
  <c r="H4005" i="3"/>
  <c r="H4016" i="3"/>
  <c r="H4017" i="3" s="1"/>
  <c r="H4018" i="3" s="1"/>
  <c r="C251" i="4" s="1"/>
  <c r="E256" i="6" s="1"/>
  <c r="F256" i="6" s="1"/>
  <c r="H3967" i="3"/>
  <c r="H3968" i="3" s="1"/>
  <c r="H3969" i="3" s="1"/>
  <c r="C249" i="4" s="1"/>
  <c r="E254" i="6" s="1"/>
  <c r="F254" i="6" s="1"/>
  <c r="H3991" i="3"/>
  <c r="H3992" i="3" s="1"/>
  <c r="H3993" i="3" s="1"/>
  <c r="C250" i="4" s="1"/>
  <c r="E255" i="6" s="1"/>
  <c r="F255" i="6" s="1"/>
  <c r="E253" i="7"/>
  <c r="F253" i="7" s="1"/>
  <c r="H4028" i="3"/>
  <c r="G4052" i="3"/>
  <c r="H4029" i="3"/>
  <c r="G4053" i="3"/>
  <c r="G4073" i="3"/>
  <c r="H4050" i="3"/>
  <c r="G4601" i="3"/>
  <c r="H4574" i="3"/>
  <c r="D248" i="5" l="1"/>
  <c r="D250" i="5"/>
  <c r="D249" i="5"/>
  <c r="E255" i="7"/>
  <c r="F255" i="7" s="1"/>
  <c r="E254" i="7"/>
  <c r="F254" i="7" s="1"/>
  <c r="E256" i="7"/>
  <c r="F256" i="7" s="1"/>
  <c r="H4030" i="3"/>
  <c r="H4052" i="3"/>
  <c r="G4075" i="3"/>
  <c r="H4073" i="3"/>
  <c r="G4096" i="3"/>
  <c r="G4076" i="3"/>
  <c r="H4053" i="3"/>
  <c r="H4054" i="3" s="1"/>
  <c r="G4628" i="3"/>
  <c r="H4601" i="3"/>
  <c r="H4063" i="3" l="1"/>
  <c r="H4064" i="3" s="1"/>
  <c r="H4065" i="3" s="1"/>
  <c r="C253" i="4" s="1"/>
  <c r="E258" i="6" s="1"/>
  <c r="F258" i="6" s="1"/>
  <c r="H4040" i="3"/>
  <c r="H4041" i="3" s="1"/>
  <c r="H4042" i="3" s="1"/>
  <c r="C252" i="4" s="1"/>
  <c r="E257" i="6" s="1"/>
  <c r="F257" i="6" s="1"/>
  <c r="H4075" i="3"/>
  <c r="G4098" i="3"/>
  <c r="H4076" i="3"/>
  <c r="G4099" i="3"/>
  <c r="G4122" i="3"/>
  <c r="H4096" i="3"/>
  <c r="G4655" i="3"/>
  <c r="H4628" i="3"/>
  <c r="D251" i="5" l="1"/>
  <c r="D252" i="5"/>
  <c r="E258" i="7" s="1"/>
  <c r="F258" i="7" s="1"/>
  <c r="E257" i="7"/>
  <c r="F257" i="7" s="1"/>
  <c r="H4077" i="3"/>
  <c r="G4124" i="3"/>
  <c r="H4098" i="3"/>
  <c r="G4148" i="3"/>
  <c r="H4122" i="3"/>
  <c r="H4099" i="3"/>
  <c r="G4125" i="3"/>
  <c r="G4682" i="3"/>
  <c r="H4655" i="3"/>
  <c r="H4086" i="3" l="1"/>
  <c r="H4087" i="3" s="1"/>
  <c r="H4088" i="3" s="1"/>
  <c r="C254" i="4" s="1"/>
  <c r="E259" i="6" s="1"/>
  <c r="F259" i="6" s="1"/>
  <c r="H4100" i="3"/>
  <c r="H4124" i="3"/>
  <c r="G4150" i="3"/>
  <c r="H4125" i="3"/>
  <c r="G4151" i="3"/>
  <c r="G4173" i="3"/>
  <c r="H4148" i="3"/>
  <c r="G4709" i="3"/>
  <c r="H4682" i="3"/>
  <c r="D253" i="5" l="1"/>
  <c r="E259" i="7" s="1"/>
  <c r="F259" i="7" s="1"/>
  <c r="H4109" i="3"/>
  <c r="H4110" i="3" s="1"/>
  <c r="H4111" i="3" s="1"/>
  <c r="C255" i="4" s="1"/>
  <c r="E260" i="6" s="1"/>
  <c r="F260" i="6" s="1"/>
  <c r="F261" i="6" s="1"/>
  <c r="G15" i="8" s="1"/>
  <c r="H4126" i="3"/>
  <c r="H4150" i="3"/>
  <c r="G4175" i="3"/>
  <c r="G4199" i="3"/>
  <c r="H4173" i="3"/>
  <c r="G4176" i="3"/>
  <c r="H4151" i="3"/>
  <c r="G4736" i="3"/>
  <c r="H4709" i="3"/>
  <c r="D254" i="5" l="1"/>
  <c r="H4138" i="3"/>
  <c r="H4139" i="3" s="1"/>
  <c r="H4140" i="3" s="1"/>
  <c r="C258" i="4" s="1"/>
  <c r="E264" i="6" s="1"/>
  <c r="F264" i="6" s="1"/>
  <c r="E260" i="7"/>
  <c r="F260" i="7" s="1"/>
  <c r="F261" i="7" s="1"/>
  <c r="G15" i="9" s="1"/>
  <c r="H4152" i="3"/>
  <c r="G4201" i="3"/>
  <c r="H4175" i="3"/>
  <c r="G4202" i="3"/>
  <c r="H4176" i="3"/>
  <c r="H4199" i="3"/>
  <c r="G4225" i="3"/>
  <c r="G4763" i="3"/>
  <c r="H4736" i="3"/>
  <c r="D257" i="5" l="1"/>
  <c r="E264" i="7" s="1"/>
  <c r="F264" i="7" s="1"/>
  <c r="H4177" i="3"/>
  <c r="H4189" i="3"/>
  <c r="H4190" i="3" s="1"/>
  <c r="H4191" i="3" s="1"/>
  <c r="C260" i="4" s="1"/>
  <c r="E266" i="6" s="1"/>
  <c r="F266" i="6" s="1"/>
  <c r="H4163" i="3"/>
  <c r="H4164" i="3" s="1"/>
  <c r="H4165" i="3" s="1"/>
  <c r="C259" i="4" s="1"/>
  <c r="E265" i="6" s="1"/>
  <c r="F265" i="6" s="1"/>
  <c r="G4227" i="3"/>
  <c r="H4201" i="3"/>
  <c r="H4202" i="3"/>
  <c r="G4228" i="3"/>
  <c r="G4279" i="3"/>
  <c r="H4225" i="3"/>
  <c r="G4252" i="3"/>
  <c r="H4252" i="3" s="1"/>
  <c r="G4790" i="3"/>
  <c r="H4763" i="3"/>
  <c r="D258" i="5" l="1"/>
  <c r="D259" i="5"/>
  <c r="E266" i="7" s="1"/>
  <c r="F266" i="7" s="1"/>
  <c r="E265" i="7"/>
  <c r="F265" i="7" s="1"/>
  <c r="H4203" i="3"/>
  <c r="H4227" i="3"/>
  <c r="G4281" i="3"/>
  <c r="G4254" i="3"/>
  <c r="H4254" i="3" s="1"/>
  <c r="G4306" i="3"/>
  <c r="H4279" i="3"/>
  <c r="G4282" i="3"/>
  <c r="G4255" i="3"/>
  <c r="H4255" i="3" s="1"/>
  <c r="H4256" i="3" s="1"/>
  <c r="H4228" i="3"/>
  <c r="G4817" i="3"/>
  <c r="H4790" i="3"/>
  <c r="H4215" i="3" l="1"/>
  <c r="H4216" i="3" s="1"/>
  <c r="H4217" i="3" s="1"/>
  <c r="C261" i="4" s="1"/>
  <c r="E267" i="6" s="1"/>
  <c r="F267" i="6" s="1"/>
  <c r="H4269" i="3"/>
  <c r="H4270" i="3" s="1"/>
  <c r="H4271" i="3" s="1"/>
  <c r="C263" i="4" s="1"/>
  <c r="E269" i="6" s="1"/>
  <c r="F269" i="6" s="1"/>
  <c r="H4229" i="3"/>
  <c r="G4308" i="3"/>
  <c r="H4281" i="3"/>
  <c r="H4282" i="3"/>
  <c r="G4309" i="3"/>
  <c r="G4333" i="3"/>
  <c r="H4333" i="3" s="1"/>
  <c r="H4306" i="3"/>
  <c r="G4360" i="3"/>
  <c r="H4817" i="3"/>
  <c r="G4844" i="3"/>
  <c r="D262" i="5" l="1"/>
  <c r="D260" i="5"/>
  <c r="E269" i="7"/>
  <c r="F269" i="7" s="1"/>
  <c r="E267" i="7"/>
  <c r="F267" i="7" s="1"/>
  <c r="H4242" i="3"/>
  <c r="H4243" i="3" s="1"/>
  <c r="H4244" i="3" s="1"/>
  <c r="C262" i="4" s="1"/>
  <c r="E268" i="6" s="1"/>
  <c r="F268" i="6" s="1"/>
  <c r="H4283" i="3"/>
  <c r="G4362" i="3"/>
  <c r="G4335" i="3"/>
  <c r="H4335" i="3" s="1"/>
  <c r="H4308" i="3"/>
  <c r="G4387" i="3"/>
  <c r="H4360" i="3"/>
  <c r="H4309" i="3"/>
  <c r="H4310" i="3" s="1"/>
  <c r="G4363" i="3"/>
  <c r="G4336" i="3"/>
  <c r="H4336" i="3" s="1"/>
  <c r="H4337" i="3" s="1"/>
  <c r="G4871" i="3"/>
  <c r="H4844" i="3"/>
  <c r="D261" i="5" l="1"/>
  <c r="H4350" i="3"/>
  <c r="H4351" i="3" s="1"/>
  <c r="H4352" i="3" s="1"/>
  <c r="C266" i="4" s="1"/>
  <c r="E272" i="6" s="1"/>
  <c r="F272" i="6" s="1"/>
  <c r="H4296" i="3"/>
  <c r="H4297" i="3" s="1"/>
  <c r="H4298" i="3" s="1"/>
  <c r="C264" i="4" s="1"/>
  <c r="E270" i="6" s="1"/>
  <c r="F270" i="6" s="1"/>
  <c r="H4323" i="3"/>
  <c r="H4324" i="3" s="1"/>
  <c r="H4325" i="3" s="1"/>
  <c r="C265" i="4" s="1"/>
  <c r="E271" i="6" s="1"/>
  <c r="F271" i="6" s="1"/>
  <c r="E268" i="7"/>
  <c r="F268" i="7" s="1"/>
  <c r="H4362" i="3"/>
  <c r="G4389" i="3"/>
  <c r="G4390" i="3"/>
  <c r="H4363" i="3"/>
  <c r="G4414" i="3"/>
  <c r="H4387" i="3"/>
  <c r="G4922" i="3"/>
  <c r="H4871" i="3"/>
  <c r="G4896" i="3"/>
  <c r="H4896" i="3" s="1"/>
  <c r="D263" i="5" l="1"/>
  <c r="D264" i="5"/>
  <c r="D265" i="5"/>
  <c r="E272" i="7" s="1"/>
  <c r="F272" i="7" s="1"/>
  <c r="E271" i="7"/>
  <c r="F271" i="7" s="1"/>
  <c r="E270" i="7"/>
  <c r="F270" i="7" s="1"/>
  <c r="H4364" i="3"/>
  <c r="G4416" i="3"/>
  <c r="H4389" i="3"/>
  <c r="H4414" i="3"/>
  <c r="G4441" i="3"/>
  <c r="G4417" i="3"/>
  <c r="H4390" i="3"/>
  <c r="G4948" i="3"/>
  <c r="H4922" i="3"/>
  <c r="H4377" i="3" l="1"/>
  <c r="H4378" i="3" s="1"/>
  <c r="H4379" i="3" s="1"/>
  <c r="C267" i="4" s="1"/>
  <c r="E273" i="6" s="1"/>
  <c r="F273" i="6" s="1"/>
  <c r="H4391" i="3"/>
  <c r="H4416" i="3"/>
  <c r="G4443" i="3"/>
  <c r="H4441" i="3"/>
  <c r="G4468" i="3"/>
  <c r="G4444" i="3"/>
  <c r="H4417" i="3"/>
  <c r="G4976" i="3"/>
  <c r="H4948" i="3"/>
  <c r="D266" i="5" l="1"/>
  <c r="E273" i="7" s="1"/>
  <c r="F273" i="7" s="1"/>
  <c r="H4404" i="3"/>
  <c r="H4405" i="3" s="1"/>
  <c r="H4406" i="3" s="1"/>
  <c r="C268" i="4" s="1"/>
  <c r="E274" i="6" s="1"/>
  <c r="F274" i="6" s="1"/>
  <c r="H4418" i="3"/>
  <c r="G4470" i="3"/>
  <c r="H4443" i="3"/>
  <c r="G4471" i="3"/>
  <c r="H4444" i="3"/>
  <c r="G4494" i="3"/>
  <c r="H4468" i="3"/>
  <c r="G5010" i="3"/>
  <c r="H4976" i="3"/>
  <c r="D267" i="5" l="1"/>
  <c r="E274" i="7" s="1"/>
  <c r="F274" i="7" s="1"/>
  <c r="H4431" i="3"/>
  <c r="H4432" i="3" s="1"/>
  <c r="H4433" i="3" s="1"/>
  <c r="C269" i="4" s="1"/>
  <c r="E275" i="6" s="1"/>
  <c r="F275" i="6" s="1"/>
  <c r="H4445" i="3"/>
  <c r="G4496" i="3"/>
  <c r="H4470" i="3"/>
  <c r="G4520" i="3"/>
  <c r="H4494" i="3"/>
  <c r="G4497" i="3"/>
  <c r="H4471" i="3"/>
  <c r="H4472" i="3" s="1"/>
  <c r="G5043" i="3"/>
  <c r="H5010" i="3"/>
  <c r="D268" i="5" l="1"/>
  <c r="E275" i="7" s="1"/>
  <c r="F275" i="7" s="1"/>
  <c r="H4484" i="3"/>
  <c r="H4485" i="3" s="1"/>
  <c r="H4486" i="3" s="1"/>
  <c r="C271" i="4" s="1"/>
  <c r="E277" i="6" s="1"/>
  <c r="F277" i="6" s="1"/>
  <c r="H4458" i="3"/>
  <c r="H4459" i="3" s="1"/>
  <c r="H4460" i="3" s="1"/>
  <c r="C270" i="4" s="1"/>
  <c r="E276" i="6" s="1"/>
  <c r="F276" i="6" s="1"/>
  <c r="G4522" i="3"/>
  <c r="H4496" i="3"/>
  <c r="G4523" i="3"/>
  <c r="H4497" i="3"/>
  <c r="H4498" i="3" s="1"/>
  <c r="H4520" i="3"/>
  <c r="G4546" i="3"/>
  <c r="G5071" i="3"/>
  <c r="H5043" i="3"/>
  <c r="D269" i="5" l="1"/>
  <c r="E276" i="7" s="1"/>
  <c r="F276" i="7" s="1"/>
  <c r="D270" i="5"/>
  <c r="E277" i="7" s="1"/>
  <c r="F277" i="7" s="1"/>
  <c r="H4510" i="3"/>
  <c r="H4511" i="3" s="1"/>
  <c r="H4512" i="3" s="1"/>
  <c r="C272" i="4" s="1"/>
  <c r="E278" i="6" s="1"/>
  <c r="F278" i="6" s="1"/>
  <c r="G4548" i="3"/>
  <c r="H4522" i="3"/>
  <c r="G4573" i="3"/>
  <c r="H4546" i="3"/>
  <c r="G4549" i="3"/>
  <c r="H4523" i="3"/>
  <c r="G5107" i="3"/>
  <c r="H5071" i="3"/>
  <c r="D271" i="5" l="1"/>
  <c r="E278" i="7" s="1"/>
  <c r="F278" i="7" s="1"/>
  <c r="H4524" i="3"/>
  <c r="H4548" i="3"/>
  <c r="G4575" i="3"/>
  <c r="G4576" i="3"/>
  <c r="H4549" i="3"/>
  <c r="G4600" i="3"/>
  <c r="H4573" i="3"/>
  <c r="G5139" i="3"/>
  <c r="H5107" i="3"/>
  <c r="H4536" i="3" l="1"/>
  <c r="H4537" i="3" s="1"/>
  <c r="H4538" i="3" s="1"/>
  <c r="C273" i="4" s="1"/>
  <c r="E279" i="6" s="1"/>
  <c r="F279" i="6" s="1"/>
  <c r="H4550" i="3"/>
  <c r="G4602" i="3"/>
  <c r="H4575" i="3"/>
  <c r="H4600" i="3"/>
  <c r="G4627" i="3"/>
  <c r="G4603" i="3"/>
  <c r="H4576" i="3"/>
  <c r="H4577" i="3" s="1"/>
  <c r="G5163" i="3"/>
  <c r="H5139" i="3"/>
  <c r="D272" i="5" l="1"/>
  <c r="E279" i="7" s="1"/>
  <c r="F279" i="7" s="1"/>
  <c r="H4563" i="3"/>
  <c r="H4564" i="3" s="1"/>
  <c r="H4565" i="3" s="1"/>
  <c r="C274" i="4" s="1"/>
  <c r="E280" i="6" s="1"/>
  <c r="F280" i="6" s="1"/>
  <c r="H4590" i="3"/>
  <c r="H4591" i="3" s="1"/>
  <c r="H4592" i="3" s="1"/>
  <c r="C275" i="4" s="1"/>
  <c r="E281" i="6" s="1"/>
  <c r="F281" i="6" s="1"/>
  <c r="H4602" i="3"/>
  <c r="G4629" i="3"/>
  <c r="G4630" i="3"/>
  <c r="H4603" i="3"/>
  <c r="G4654" i="3"/>
  <c r="H4627" i="3"/>
  <c r="G5190" i="3"/>
  <c r="H5163" i="3"/>
  <c r="D274" i="5" l="1"/>
  <c r="E281" i="7" s="1"/>
  <c r="F281" i="7" s="1"/>
  <c r="D273" i="5"/>
  <c r="E280" i="7" s="1"/>
  <c r="F280" i="7" s="1"/>
  <c r="H4604" i="3"/>
  <c r="H4629" i="3"/>
  <c r="G4656" i="3"/>
  <c r="H4654" i="3"/>
  <c r="G4681" i="3"/>
  <c r="H4630" i="3"/>
  <c r="G4657" i="3"/>
  <c r="G5217" i="3"/>
  <c r="H5190" i="3"/>
  <c r="H4617" i="3" l="1"/>
  <c r="H4618" i="3" s="1"/>
  <c r="H4619" i="3" s="1"/>
  <c r="C276" i="4" s="1"/>
  <c r="E282" i="6" s="1"/>
  <c r="F282" i="6" s="1"/>
  <c r="H4631" i="3"/>
  <c r="G4683" i="3"/>
  <c r="H4656" i="3"/>
  <c r="H4657" i="3"/>
  <c r="G4684" i="3"/>
  <c r="G4708" i="3"/>
  <c r="H4681" i="3"/>
  <c r="G5241" i="3"/>
  <c r="H5217" i="3"/>
  <c r="D275" i="5" l="1"/>
  <c r="E282" i="7" s="1"/>
  <c r="F282" i="7" s="1"/>
  <c r="H4644" i="3"/>
  <c r="H4645" i="3" s="1"/>
  <c r="H4646" i="3" s="1"/>
  <c r="C277" i="4" s="1"/>
  <c r="E283" i="6" s="1"/>
  <c r="F283" i="6" s="1"/>
  <c r="H4658" i="3"/>
  <c r="G4710" i="3"/>
  <c r="H4683" i="3"/>
  <c r="G4735" i="3"/>
  <c r="H4708" i="3"/>
  <c r="H4684" i="3"/>
  <c r="G4711" i="3"/>
  <c r="G5266" i="3"/>
  <c r="H5241" i="3"/>
  <c r="D276" i="5" l="1"/>
  <c r="E283" i="7" s="1"/>
  <c r="F283" i="7" s="1"/>
  <c r="H4671" i="3"/>
  <c r="H4672" i="3" s="1"/>
  <c r="H4673" i="3" s="1"/>
  <c r="C278" i="4" s="1"/>
  <c r="E284" i="6" s="1"/>
  <c r="F284" i="6" s="1"/>
  <c r="H4685" i="3"/>
  <c r="G4737" i="3"/>
  <c r="H4710" i="3"/>
  <c r="H4711" i="3"/>
  <c r="G4738" i="3"/>
  <c r="G4762" i="3"/>
  <c r="H4735" i="3"/>
  <c r="G5291" i="3"/>
  <c r="H5266" i="3"/>
  <c r="D277" i="5" l="1"/>
  <c r="E284" i="7" s="1"/>
  <c r="F284" i="7" s="1"/>
  <c r="H4698" i="3"/>
  <c r="H4699" i="3" s="1"/>
  <c r="H4700" i="3" s="1"/>
  <c r="C279" i="4" s="1"/>
  <c r="E285" i="6" s="1"/>
  <c r="F285" i="6" s="1"/>
  <c r="H4712" i="3"/>
  <c r="H4737" i="3"/>
  <c r="G4764" i="3"/>
  <c r="H4762" i="3"/>
  <c r="G4789" i="3"/>
  <c r="H4738" i="3"/>
  <c r="G4765" i="3"/>
  <c r="G5318" i="3"/>
  <c r="H5291" i="3"/>
  <c r="D278" i="5" l="1"/>
  <c r="E285" i="7" s="1"/>
  <c r="F285" i="7" s="1"/>
  <c r="H4725" i="3"/>
  <c r="H4726" i="3" s="1"/>
  <c r="H4727" i="3" s="1"/>
  <c r="C280" i="4" s="1"/>
  <c r="E286" i="6" s="1"/>
  <c r="F286" i="6" s="1"/>
  <c r="H4739" i="3"/>
  <c r="G4791" i="3"/>
  <c r="H4764" i="3"/>
  <c r="G4792" i="3"/>
  <c r="H4765" i="3"/>
  <c r="H4766" i="3" s="1"/>
  <c r="H4789" i="3"/>
  <c r="G4816" i="3"/>
  <c r="G5345" i="3"/>
  <c r="H5318" i="3"/>
  <c r="D279" i="5" l="1"/>
  <c r="H4779" i="3"/>
  <c r="H4780" i="3" s="1"/>
  <c r="H4781" i="3" s="1"/>
  <c r="C282" i="4" s="1"/>
  <c r="E288" i="6" s="1"/>
  <c r="F288" i="6" s="1"/>
  <c r="E286" i="7"/>
  <c r="F286" i="7" s="1"/>
  <c r="H4752" i="3"/>
  <c r="H4753" i="3" s="1"/>
  <c r="H4754" i="3" s="1"/>
  <c r="C281" i="4" s="1"/>
  <c r="E287" i="6" s="1"/>
  <c r="F287" i="6" s="1"/>
  <c r="H4791" i="3"/>
  <c r="G4818" i="3"/>
  <c r="H4816" i="3"/>
  <c r="G4843" i="3"/>
  <c r="G4819" i="3"/>
  <c r="H4792" i="3"/>
  <c r="G5372" i="3"/>
  <c r="H5345" i="3"/>
  <c r="D280" i="5" l="1"/>
  <c r="D281" i="5"/>
  <c r="E288" i="7" s="1"/>
  <c r="F288" i="7" s="1"/>
  <c r="E287" i="7"/>
  <c r="F287" i="7" s="1"/>
  <c r="H4793" i="3"/>
  <c r="G4845" i="3"/>
  <c r="H4818" i="3"/>
  <c r="G4846" i="3"/>
  <c r="H4819" i="3"/>
  <c r="G4870" i="3"/>
  <c r="H4843" i="3"/>
  <c r="G5453" i="3"/>
  <c r="G5399" i="3"/>
  <c r="H5372" i="3"/>
  <c r="H4806" i="3" l="1"/>
  <c r="H4807" i="3" s="1"/>
  <c r="H4808" i="3" s="1"/>
  <c r="C283" i="4" s="1"/>
  <c r="E289" i="6" s="1"/>
  <c r="F289" i="6" s="1"/>
  <c r="H4820" i="3"/>
  <c r="G4872" i="3"/>
  <c r="H4845" i="3"/>
  <c r="G4873" i="3"/>
  <c r="H4846" i="3"/>
  <c r="G4895" i="3"/>
  <c r="H4895" i="3" s="1"/>
  <c r="H4870" i="3"/>
  <c r="G4921" i="3"/>
  <c r="H5399" i="3"/>
  <c r="G5426" i="3"/>
  <c r="H5426" i="3" s="1"/>
  <c r="G5480" i="3"/>
  <c r="H5453" i="3"/>
  <c r="D282" i="5" l="1"/>
  <c r="H4833" i="3"/>
  <c r="H4834" i="3" s="1"/>
  <c r="H4835" i="3" s="1"/>
  <c r="C284" i="4" s="1"/>
  <c r="E290" i="6" s="1"/>
  <c r="F290" i="6" s="1"/>
  <c r="E289" i="7"/>
  <c r="F289" i="7" s="1"/>
  <c r="H4847" i="3"/>
  <c r="H4872" i="3"/>
  <c r="G4897" i="3"/>
  <c r="H4897" i="3" s="1"/>
  <c r="G4923" i="3"/>
  <c r="H4873" i="3"/>
  <c r="G4898" i="3"/>
  <c r="H4898" i="3" s="1"/>
  <c r="H4899" i="3" s="1"/>
  <c r="G4924" i="3"/>
  <c r="G4947" i="3"/>
  <c r="H4921" i="3"/>
  <c r="G5535" i="3"/>
  <c r="H5480" i="3"/>
  <c r="G5508" i="3"/>
  <c r="H5508" i="3" s="1"/>
  <c r="D283" i="5" l="1"/>
  <c r="H4860" i="3"/>
  <c r="H4861" i="3" s="1"/>
  <c r="H4862" i="3" s="1"/>
  <c r="C285" i="4" s="1"/>
  <c r="E291" i="6" s="1"/>
  <c r="F291" i="6" s="1"/>
  <c r="H4911" i="3"/>
  <c r="H4912" i="3" s="1"/>
  <c r="H4913" i="3" s="1"/>
  <c r="C287" i="4" s="1"/>
  <c r="E293" i="6" s="1"/>
  <c r="F293" i="6" s="1"/>
  <c r="E290" i="7"/>
  <c r="F290" i="7" s="1"/>
  <c r="H4874" i="3"/>
  <c r="G4949" i="3"/>
  <c r="H4923" i="3"/>
  <c r="H4947" i="3"/>
  <c r="G4975" i="3"/>
  <c r="G4950" i="3"/>
  <c r="H4924" i="3"/>
  <c r="H4925" i="3" s="1"/>
  <c r="G5559" i="3"/>
  <c r="H5535" i="3"/>
  <c r="D286" i="5" l="1"/>
  <c r="D284" i="5"/>
  <c r="H4937" i="3"/>
  <c r="H4938" i="3" s="1"/>
  <c r="H4939" i="3" s="1"/>
  <c r="C288" i="4" s="1"/>
  <c r="E294" i="6" s="1"/>
  <c r="F294" i="6" s="1"/>
  <c r="H4885" i="3"/>
  <c r="H4886" i="3" s="1"/>
  <c r="H4887" i="3" s="1"/>
  <c r="C286" i="4" s="1"/>
  <c r="E292" i="6" s="1"/>
  <c r="F292" i="6" s="1"/>
  <c r="E293" i="7"/>
  <c r="F293" i="7" s="1"/>
  <c r="E291" i="7"/>
  <c r="F291" i="7" s="1"/>
  <c r="H4949" i="3"/>
  <c r="G4977" i="3"/>
  <c r="G4978" i="3"/>
  <c r="H4950" i="3"/>
  <c r="G5009" i="3"/>
  <c r="H4975" i="3"/>
  <c r="G5584" i="3"/>
  <c r="H5559" i="3"/>
  <c r="D287" i="5" l="1"/>
  <c r="D285" i="5"/>
  <c r="E294" i="7"/>
  <c r="F294" i="7" s="1"/>
  <c r="E292" i="7"/>
  <c r="F292" i="7" s="1"/>
  <c r="H4951" i="3"/>
  <c r="G5011" i="3"/>
  <c r="H4977" i="3"/>
  <c r="H5009" i="3"/>
  <c r="G5042" i="3"/>
  <c r="H4978" i="3"/>
  <c r="G5012" i="3"/>
  <c r="G5610" i="3"/>
  <c r="H5584" i="3"/>
  <c r="H4964" i="3" l="1"/>
  <c r="H4965" i="3" s="1"/>
  <c r="H4966" i="3" s="1"/>
  <c r="C289" i="4" s="1"/>
  <c r="E295" i="6" s="1"/>
  <c r="F295" i="6" s="1"/>
  <c r="H4979" i="3"/>
  <c r="G5044" i="3"/>
  <c r="H5011" i="3"/>
  <c r="G5045" i="3"/>
  <c r="H5012" i="3"/>
  <c r="H5013" i="3" s="1"/>
  <c r="G5070" i="3"/>
  <c r="H5042" i="3"/>
  <c r="G5634" i="3"/>
  <c r="H5610" i="3"/>
  <c r="D291" i="5" l="1"/>
  <c r="D288" i="5"/>
  <c r="E298" i="7"/>
  <c r="F298" i="7" s="1"/>
  <c r="H4998" i="3"/>
  <c r="H4999" i="3" s="1"/>
  <c r="H5000" i="3" s="1"/>
  <c r="C291" i="4" s="1"/>
  <c r="E297" i="6" s="1"/>
  <c r="F297" i="6" s="1"/>
  <c r="E295" i="7"/>
  <c r="F295" i="7" s="1"/>
  <c r="H4994" i="3"/>
  <c r="H4995" i="3" s="1"/>
  <c r="H4996" i="3" s="1"/>
  <c r="C290" i="4" s="1"/>
  <c r="E296" i="6" s="1"/>
  <c r="F296" i="6" s="1"/>
  <c r="G5072" i="3"/>
  <c r="H5044" i="3"/>
  <c r="H5028" i="3"/>
  <c r="H5029" i="3" s="1"/>
  <c r="H5030" i="3" s="1"/>
  <c r="C292" i="4" s="1"/>
  <c r="E298" i="6" s="1"/>
  <c r="F298" i="6" s="1"/>
  <c r="H5032" i="3"/>
  <c r="H5033" i="3" s="1"/>
  <c r="H5034" i="3" s="1"/>
  <c r="C293" i="4" s="1"/>
  <c r="E299" i="6" s="1"/>
  <c r="F299" i="6" s="1"/>
  <c r="H5070" i="3"/>
  <c r="G5106" i="3"/>
  <c r="G5073" i="3"/>
  <c r="H5045" i="3"/>
  <c r="H5046" i="3" s="1"/>
  <c r="H5634" i="3"/>
  <c r="G5659" i="3"/>
  <c r="H5659" i="3" s="1"/>
  <c r="G5684" i="3"/>
  <c r="D289" i="5" l="1"/>
  <c r="D292" i="5"/>
  <c r="H5059" i="3"/>
  <c r="H5060" i="3" s="1"/>
  <c r="H5061" i="3" s="1"/>
  <c r="C294" i="4" s="1"/>
  <c r="E300" i="6" s="1"/>
  <c r="F300" i="6" s="1"/>
  <c r="E296" i="7"/>
  <c r="F296" i="7" s="1"/>
  <c r="E299" i="7"/>
  <c r="F299" i="7" s="1"/>
  <c r="H5072" i="3"/>
  <c r="G5108" i="3"/>
  <c r="G5138" i="3"/>
  <c r="H5106" i="3"/>
  <c r="G5109" i="3"/>
  <c r="H5073" i="3"/>
  <c r="G5708" i="3"/>
  <c r="H5684" i="3"/>
  <c r="D293" i="5" l="1"/>
  <c r="D290" i="5"/>
  <c r="E297" i="7" s="1"/>
  <c r="F297" i="7" s="1"/>
  <c r="E300" i="7"/>
  <c r="F300" i="7" s="1"/>
  <c r="H5074" i="3"/>
  <c r="H5108" i="3"/>
  <c r="G5140" i="3"/>
  <c r="G5141" i="3"/>
  <c r="H5109" i="3"/>
  <c r="H5138" i="3"/>
  <c r="G5162" i="3"/>
  <c r="H5708" i="3"/>
  <c r="G5734" i="3"/>
  <c r="H5091" i="3" l="1"/>
  <c r="H5092" i="3" s="1"/>
  <c r="H5093" i="3" s="1"/>
  <c r="C295" i="4" s="1"/>
  <c r="E301" i="6" s="1"/>
  <c r="F301" i="6" s="1"/>
  <c r="H5110" i="3"/>
  <c r="H5095" i="3"/>
  <c r="H5096" i="3" s="1"/>
  <c r="H5097" i="3" s="1"/>
  <c r="C296" i="4" s="1"/>
  <c r="E302" i="6" s="1"/>
  <c r="F302" i="6" s="1"/>
  <c r="G5164" i="3"/>
  <c r="H5140" i="3"/>
  <c r="H5162" i="3"/>
  <c r="G5189" i="3"/>
  <c r="G5165" i="3"/>
  <c r="H5141" i="3"/>
  <c r="H5734" i="3"/>
  <c r="G5785" i="3"/>
  <c r="G5760" i="3"/>
  <c r="H5760" i="3" s="1"/>
  <c r="D294" i="5" l="1"/>
  <c r="E301" i="7" s="1"/>
  <c r="F301" i="7" s="1"/>
  <c r="D295" i="5"/>
  <c r="E302" i="7" s="1"/>
  <c r="F302" i="7" s="1"/>
  <c r="H5128" i="3"/>
  <c r="H5129" i="3" s="1"/>
  <c r="H5130" i="3" s="1"/>
  <c r="C298" i="4" s="1"/>
  <c r="E304" i="6" s="1"/>
  <c r="F304" i="6" s="1"/>
  <c r="H5124" i="3"/>
  <c r="H5125" i="3" s="1"/>
  <c r="H5126" i="3" s="1"/>
  <c r="C297" i="4" s="1"/>
  <c r="E303" i="6" s="1"/>
  <c r="F303" i="6" s="1"/>
  <c r="H5142" i="3"/>
  <c r="H5164" i="3"/>
  <c r="G5191" i="3"/>
  <c r="G5216" i="3"/>
  <c r="H5189" i="3"/>
  <c r="G5192" i="3"/>
  <c r="H5165" i="3"/>
  <c r="G5810" i="3"/>
  <c r="H5785" i="3"/>
  <c r="D296" i="5" l="1"/>
  <c r="D297" i="5"/>
  <c r="H5152" i="3"/>
  <c r="H5153" i="3" s="1"/>
  <c r="H5154" i="3" s="1"/>
  <c r="C299" i="4" s="1"/>
  <c r="E305" i="6" s="1"/>
  <c r="F305" i="6" s="1"/>
  <c r="E303" i="7"/>
  <c r="F303" i="7" s="1"/>
  <c r="E304" i="7"/>
  <c r="F304" i="7" s="1"/>
  <c r="H5166" i="3"/>
  <c r="G5218" i="3"/>
  <c r="H5191" i="3"/>
  <c r="H5192" i="3"/>
  <c r="G5219" i="3"/>
  <c r="G5240" i="3"/>
  <c r="H5216" i="3"/>
  <c r="H5810" i="3"/>
  <c r="G5835" i="3"/>
  <c r="D298" i="5" l="1"/>
  <c r="E305" i="7" s="1"/>
  <c r="F305" i="7" s="1"/>
  <c r="H5179" i="3"/>
  <c r="H5180" i="3" s="1"/>
  <c r="H5181" i="3" s="1"/>
  <c r="C300" i="4" s="1"/>
  <c r="E306" i="6" s="1"/>
  <c r="F306" i="6" s="1"/>
  <c r="H5193" i="3"/>
  <c r="G5242" i="3"/>
  <c r="H5218" i="3"/>
  <c r="G5265" i="3"/>
  <c r="H5240" i="3"/>
  <c r="G5243" i="3"/>
  <c r="H5219" i="3"/>
  <c r="H5220" i="3" s="1"/>
  <c r="G5860" i="3"/>
  <c r="H5835" i="3"/>
  <c r="D299" i="5" l="1"/>
  <c r="H5230" i="3"/>
  <c r="H5231" i="3" s="1"/>
  <c r="H5232" i="3" s="1"/>
  <c r="C302" i="4" s="1"/>
  <c r="E308" i="6" s="1"/>
  <c r="F308" i="6" s="1"/>
  <c r="H5206" i="3"/>
  <c r="H5207" i="3" s="1"/>
  <c r="H5208" i="3" s="1"/>
  <c r="C301" i="4" s="1"/>
  <c r="E307" i="6" s="1"/>
  <c r="F307" i="6" s="1"/>
  <c r="E306" i="7"/>
  <c r="F306" i="7" s="1"/>
  <c r="G5267" i="3"/>
  <c r="H5242" i="3"/>
  <c r="H5243" i="3"/>
  <c r="G5268" i="3"/>
  <c r="G5290" i="3"/>
  <c r="H5265" i="3"/>
  <c r="H5860" i="3"/>
  <c r="G5888" i="3"/>
  <c r="D300" i="5" l="1"/>
  <c r="D301" i="5"/>
  <c r="E308" i="7" s="1"/>
  <c r="F308" i="7" s="1"/>
  <c r="E307" i="7"/>
  <c r="F307" i="7" s="1"/>
  <c r="H5244" i="3"/>
  <c r="G5292" i="3"/>
  <c r="H5267" i="3"/>
  <c r="G5317" i="3"/>
  <c r="H5290" i="3"/>
  <c r="H5268" i="3"/>
  <c r="H5269" i="3" s="1"/>
  <c r="G5293" i="3"/>
  <c r="G5919" i="3"/>
  <c r="H5888" i="3"/>
  <c r="H5255" i="3" l="1"/>
  <c r="H5256" i="3" s="1"/>
  <c r="H5257" i="3" s="1"/>
  <c r="C303" i="4" s="1"/>
  <c r="E309" i="6" s="1"/>
  <c r="F309" i="6" s="1"/>
  <c r="H5280" i="3"/>
  <c r="H5281" i="3" s="1"/>
  <c r="H5282" i="3" s="1"/>
  <c r="C304" i="4" s="1"/>
  <c r="E310" i="6" s="1"/>
  <c r="F310" i="6" s="1"/>
  <c r="G5319" i="3"/>
  <c r="H5292" i="3"/>
  <c r="H5293" i="3"/>
  <c r="G5320" i="3"/>
  <c r="G5344" i="3"/>
  <c r="H5317" i="3"/>
  <c r="G5945" i="3"/>
  <c r="H5919" i="3"/>
  <c r="D303" i="5" l="1"/>
  <c r="D302" i="5"/>
  <c r="E309" i="7" s="1"/>
  <c r="F309" i="7" s="1"/>
  <c r="E310" i="7"/>
  <c r="F310" i="7" s="1"/>
  <c r="H5294" i="3"/>
  <c r="G5346" i="3"/>
  <c r="H5319" i="3"/>
  <c r="H5344" i="3"/>
  <c r="G5371" i="3"/>
  <c r="H5320" i="3"/>
  <c r="H5321" i="3" s="1"/>
  <c r="G5347" i="3"/>
  <c r="H5945" i="3"/>
  <c r="G5996" i="3"/>
  <c r="G5972" i="3"/>
  <c r="H5972" i="3" s="1"/>
  <c r="H5334" i="3" l="1"/>
  <c r="H5335" i="3" s="1"/>
  <c r="H5336" i="3" s="1"/>
  <c r="C306" i="4" s="1"/>
  <c r="E312" i="6" s="1"/>
  <c r="F312" i="6" s="1"/>
  <c r="H5307" i="3"/>
  <c r="H5308" i="3" s="1"/>
  <c r="H5309" i="3" s="1"/>
  <c r="C305" i="4" s="1"/>
  <c r="E311" i="6" s="1"/>
  <c r="F311" i="6" s="1"/>
  <c r="G5373" i="3"/>
  <c r="H5346" i="3"/>
  <c r="H5347" i="3"/>
  <c r="G5374" i="3"/>
  <c r="H5371" i="3"/>
  <c r="G5398" i="3"/>
  <c r="G5452" i="3"/>
  <c r="H5348" i="3"/>
  <c r="G6020" i="3"/>
  <c r="H5996" i="3"/>
  <c r="D304" i="5" l="1"/>
  <c r="D305" i="5"/>
  <c r="E312" i="7" s="1"/>
  <c r="F312" i="7" s="1"/>
  <c r="H5361" i="3"/>
  <c r="H5362" i="3" s="1"/>
  <c r="H5363" i="3" s="1"/>
  <c r="C307" i="4" s="1"/>
  <c r="E313" i="6" s="1"/>
  <c r="F313" i="6" s="1"/>
  <c r="E311" i="7"/>
  <c r="F311" i="7" s="1"/>
  <c r="G5454" i="3"/>
  <c r="G5400" i="3"/>
  <c r="H5373" i="3"/>
  <c r="H5398" i="3"/>
  <c r="G5425" i="3"/>
  <c r="H5425" i="3" s="1"/>
  <c r="G5455" i="3"/>
  <c r="G5401" i="3"/>
  <c r="H5374" i="3"/>
  <c r="H5375" i="3" s="1"/>
  <c r="G5479" i="3"/>
  <c r="H5452" i="3"/>
  <c r="G6044" i="3"/>
  <c r="H6020" i="3"/>
  <c r="D306" i="5" l="1"/>
  <c r="H5388" i="3"/>
  <c r="H5389" i="3" s="1"/>
  <c r="H5390" i="3" s="1"/>
  <c r="C308" i="4" s="1"/>
  <c r="E314" i="6" s="1"/>
  <c r="F314" i="6" s="1"/>
  <c r="E313" i="7"/>
  <c r="F313" i="7" s="1"/>
  <c r="H5400" i="3"/>
  <c r="G5427" i="3"/>
  <c r="H5427" i="3" s="1"/>
  <c r="G5481" i="3"/>
  <c r="H5454" i="3"/>
  <c r="G5428" i="3"/>
  <c r="H5428" i="3" s="1"/>
  <c r="H5401" i="3"/>
  <c r="H5402" i="3" s="1"/>
  <c r="H5479" i="3"/>
  <c r="G5534" i="3"/>
  <c r="G5507" i="3"/>
  <c r="H5507" i="3" s="1"/>
  <c r="G5482" i="3"/>
  <c r="H5455" i="3"/>
  <c r="H5456" i="3" s="1"/>
  <c r="H5429" i="3"/>
  <c r="G6069" i="3"/>
  <c r="H6044" i="3"/>
  <c r="D307" i="5" l="1"/>
  <c r="H5469" i="3"/>
  <c r="H5470" i="3" s="1"/>
  <c r="H5471" i="3" s="1"/>
  <c r="C311" i="4" s="1"/>
  <c r="E317" i="6" s="1"/>
  <c r="F317" i="6" s="1"/>
  <c r="H5442" i="3"/>
  <c r="H5443" i="3" s="1"/>
  <c r="H5444" i="3" s="1"/>
  <c r="C310" i="4" s="1"/>
  <c r="E316" i="6" s="1"/>
  <c r="F316" i="6" s="1"/>
  <c r="H5415" i="3"/>
  <c r="H5416" i="3" s="1"/>
  <c r="H5417" i="3" s="1"/>
  <c r="C309" i="4" s="1"/>
  <c r="E315" i="6" s="1"/>
  <c r="F315" i="6" s="1"/>
  <c r="E314" i="7"/>
  <c r="F314" i="7" s="1"/>
  <c r="G5536" i="3"/>
  <c r="G5509" i="3"/>
  <c r="H5509" i="3" s="1"/>
  <c r="H5481" i="3"/>
  <c r="H5482" i="3"/>
  <c r="G5537" i="3"/>
  <c r="G5510" i="3"/>
  <c r="H5510" i="3" s="1"/>
  <c r="H5534" i="3"/>
  <c r="G5558" i="3"/>
  <c r="G6095" i="3"/>
  <c r="H6069" i="3"/>
  <c r="D309" i="5" l="1"/>
  <c r="D308" i="5"/>
  <c r="D310" i="5"/>
  <c r="H5483" i="3"/>
  <c r="H5511" i="3"/>
  <c r="H5524" i="3"/>
  <c r="H5525" i="3" s="1"/>
  <c r="H5526" i="3" s="1"/>
  <c r="C313" i="4" s="1"/>
  <c r="E319" i="6" s="1"/>
  <c r="F319" i="6" s="1"/>
  <c r="E316" i="7"/>
  <c r="F316" i="7" s="1"/>
  <c r="E315" i="7"/>
  <c r="F315" i="7" s="1"/>
  <c r="E317" i="7"/>
  <c r="F317" i="7" s="1"/>
  <c r="G5560" i="3"/>
  <c r="H5536" i="3"/>
  <c r="G5583" i="3"/>
  <c r="H5558" i="3"/>
  <c r="H5537" i="3"/>
  <c r="G5561" i="3"/>
  <c r="G6121" i="3"/>
  <c r="H6095" i="3"/>
  <c r="D312" i="5" l="1"/>
  <c r="D311" i="5"/>
  <c r="H5497" i="3"/>
  <c r="H5498" i="3" s="1"/>
  <c r="H5499" i="3" s="1"/>
  <c r="C312" i="4" s="1"/>
  <c r="E318" i="6" s="1"/>
  <c r="F318" i="6" s="1"/>
  <c r="H5538" i="3"/>
  <c r="H5548" i="3"/>
  <c r="H5549" i="3" s="1"/>
  <c r="H5550" i="3" s="1"/>
  <c r="C314" i="4" s="1"/>
  <c r="E320" i="6" s="1"/>
  <c r="F320" i="6" s="1"/>
  <c r="E318" i="7"/>
  <c r="F318" i="7" s="1"/>
  <c r="E319" i="7"/>
  <c r="F319" i="7" s="1"/>
  <c r="G5585" i="3"/>
  <c r="H5560" i="3"/>
  <c r="G5586" i="3"/>
  <c r="H5561" i="3"/>
  <c r="H5562" i="3" s="1"/>
  <c r="G5609" i="3"/>
  <c r="H5583" i="3"/>
  <c r="G6146" i="3"/>
  <c r="H6121" i="3"/>
  <c r="D313" i="5" l="1"/>
  <c r="E320" i="7" s="1"/>
  <c r="F320" i="7" s="1"/>
  <c r="H5573" i="3"/>
  <c r="H5574" i="3" s="1"/>
  <c r="H5575" i="3" s="1"/>
  <c r="C315" i="4" s="1"/>
  <c r="E321" i="6" s="1"/>
  <c r="F321" i="6" s="1"/>
  <c r="H5585" i="3"/>
  <c r="G5611" i="3"/>
  <c r="G5633" i="3"/>
  <c r="H5609" i="3"/>
  <c r="H5586" i="3"/>
  <c r="G5612" i="3"/>
  <c r="H6146" i="3"/>
  <c r="G6171" i="3"/>
  <c r="D314" i="5" l="1"/>
  <c r="E321" i="7"/>
  <c r="F321" i="7" s="1"/>
  <c r="H5587" i="3"/>
  <c r="H5611" i="3"/>
  <c r="G5635" i="3"/>
  <c r="G5636" i="3"/>
  <c r="H5612" i="3"/>
  <c r="H5633" i="3"/>
  <c r="G5683" i="3"/>
  <c r="G5658" i="3"/>
  <c r="H5658" i="3" s="1"/>
  <c r="G6196" i="3"/>
  <c r="H6171" i="3"/>
  <c r="H5597" i="3" l="1"/>
  <c r="H5598" i="3" s="1"/>
  <c r="H5599" i="3" s="1"/>
  <c r="C316" i="4" s="1"/>
  <c r="E322" i="6" s="1"/>
  <c r="F322" i="6" s="1"/>
  <c r="F323" i="6" s="1"/>
  <c r="G16" i="8" s="1"/>
  <c r="H5613" i="3"/>
  <c r="G5660" i="3"/>
  <c r="H5660" i="3" s="1"/>
  <c r="H5635" i="3"/>
  <c r="G5685" i="3"/>
  <c r="G5707" i="3"/>
  <c r="H5683" i="3"/>
  <c r="H5636" i="3"/>
  <c r="H5637" i="3" s="1"/>
  <c r="G5661" i="3"/>
  <c r="H5661" i="3" s="1"/>
  <c r="H5662" i="3" s="1"/>
  <c r="G5686" i="3"/>
  <c r="H6196" i="3"/>
  <c r="G6221" i="3"/>
  <c r="D315" i="5" l="1"/>
  <c r="E322" i="7"/>
  <c r="F322" i="7" s="1"/>
  <c r="F323" i="7" s="1"/>
  <c r="G16" i="9" s="1"/>
  <c r="H5648" i="3"/>
  <c r="H5649" i="3" s="1"/>
  <c r="H5650" i="3" s="1"/>
  <c r="C320" i="4" s="1"/>
  <c r="E327" i="6" s="1"/>
  <c r="F327" i="6" s="1"/>
  <c r="H5673" i="3"/>
  <c r="H5674" i="3" s="1"/>
  <c r="H5675" i="3" s="1"/>
  <c r="C321" i="4" s="1"/>
  <c r="E328" i="6" s="1"/>
  <c r="F328" i="6" s="1"/>
  <c r="H5623" i="3"/>
  <c r="H5624" i="3" s="1"/>
  <c r="H5625" i="3" s="1"/>
  <c r="C319" i="4" s="1"/>
  <c r="E326" i="6" s="1"/>
  <c r="F326" i="6" s="1"/>
  <c r="G5709" i="3"/>
  <c r="H5685" i="3"/>
  <c r="H5686" i="3"/>
  <c r="G5710" i="3"/>
  <c r="G5733" i="3"/>
  <c r="H5707" i="3"/>
  <c r="H6221" i="3"/>
  <c r="G6246" i="3"/>
  <c r="D319" i="5" l="1"/>
  <c r="D318" i="5"/>
  <c r="E326" i="7" s="1"/>
  <c r="F326" i="7" s="1"/>
  <c r="D320" i="5"/>
  <c r="E328" i="7" s="1"/>
  <c r="F328" i="7" s="1"/>
  <c r="E327" i="7"/>
  <c r="F327" i="7" s="1"/>
  <c r="H5687" i="3"/>
  <c r="G5735" i="3"/>
  <c r="H5709" i="3"/>
  <c r="H5710" i="3"/>
  <c r="G5736" i="3"/>
  <c r="H5733" i="3"/>
  <c r="G5784" i="3"/>
  <c r="G5759" i="3"/>
  <c r="H5759" i="3" s="1"/>
  <c r="H6246" i="3"/>
  <c r="G6298" i="3"/>
  <c r="G6271" i="3"/>
  <c r="H6271" i="3" s="1"/>
  <c r="H5697" i="3" l="1"/>
  <c r="H5698" i="3" s="1"/>
  <c r="H5699" i="3" s="1"/>
  <c r="C322" i="4" s="1"/>
  <c r="E329" i="6" s="1"/>
  <c r="F329" i="6" s="1"/>
  <c r="H5711" i="3"/>
  <c r="G5786" i="3"/>
  <c r="G5761" i="3"/>
  <c r="H5761" i="3" s="1"/>
  <c r="H5735" i="3"/>
  <c r="H5784" i="3"/>
  <c r="G5809" i="3"/>
  <c r="G5762" i="3"/>
  <c r="H5762" i="3" s="1"/>
  <c r="H5763" i="3" s="1"/>
  <c r="H5736" i="3"/>
  <c r="H5737" i="3" s="1"/>
  <c r="G5787" i="3"/>
  <c r="H6298" i="3"/>
  <c r="G6324" i="3"/>
  <c r="D321" i="5" l="1"/>
  <c r="E329" i="7"/>
  <c r="F329" i="7" s="1"/>
  <c r="H5774" i="3"/>
  <c r="H5775" i="3" s="1"/>
  <c r="H5776" i="3" s="1"/>
  <c r="C325" i="4" s="1"/>
  <c r="E332" i="6" s="1"/>
  <c r="F332" i="6" s="1"/>
  <c r="H5723" i="3"/>
  <c r="H5724" i="3" s="1"/>
  <c r="H5725" i="3" s="1"/>
  <c r="C323" i="4" s="1"/>
  <c r="E330" i="6" s="1"/>
  <c r="F330" i="6" s="1"/>
  <c r="H5749" i="3"/>
  <c r="H5750" i="3" s="1"/>
  <c r="H5751" i="3" s="1"/>
  <c r="C324" i="4" s="1"/>
  <c r="E331" i="6" s="1"/>
  <c r="F331" i="6" s="1"/>
  <c r="H5786" i="3"/>
  <c r="G5811" i="3"/>
  <c r="H5787" i="3"/>
  <c r="G5812" i="3"/>
  <c r="G5834" i="3"/>
  <c r="H5809" i="3"/>
  <c r="H6324" i="3"/>
  <c r="G6349" i="3"/>
  <c r="D322" i="5" l="1"/>
  <c r="D324" i="5"/>
  <c r="D323" i="5"/>
  <c r="E330" i="7"/>
  <c r="F330" i="7" s="1"/>
  <c r="E331" i="7"/>
  <c r="F331" i="7" s="1"/>
  <c r="E332" i="7"/>
  <c r="F332" i="7" s="1"/>
  <c r="H5788" i="3"/>
  <c r="G5836" i="3"/>
  <c r="H5811" i="3"/>
  <c r="G5859" i="3"/>
  <c r="H5834" i="3"/>
  <c r="H5812" i="3"/>
  <c r="H5813" i="3" s="1"/>
  <c r="G5837" i="3"/>
  <c r="G6374" i="3"/>
  <c r="H6349" i="3"/>
  <c r="H5824" i="3" l="1"/>
  <c r="H5825" i="3" s="1"/>
  <c r="H5826" i="3" s="1"/>
  <c r="C327" i="4" s="1"/>
  <c r="E334" i="6" s="1"/>
  <c r="F334" i="6" s="1"/>
  <c r="H5799" i="3"/>
  <c r="H5800" i="3" s="1"/>
  <c r="H5801" i="3" s="1"/>
  <c r="C326" i="4" s="1"/>
  <c r="E333" i="6" s="1"/>
  <c r="F333" i="6" s="1"/>
  <c r="H5836" i="3"/>
  <c r="G5861" i="3"/>
  <c r="G5862" i="3"/>
  <c r="H5837" i="3"/>
  <c r="G5887" i="3"/>
  <c r="H5859" i="3"/>
  <c r="G6401" i="3"/>
  <c r="H6374" i="3"/>
  <c r="D325" i="5" l="1"/>
  <c r="D326" i="5"/>
  <c r="E334" i="7" s="1"/>
  <c r="F334" i="7" s="1"/>
  <c r="E333" i="7"/>
  <c r="F333" i="7" s="1"/>
  <c r="H5838" i="3"/>
  <c r="G5889" i="3"/>
  <c r="H5861" i="3"/>
  <c r="H5887" i="3"/>
  <c r="G5918" i="3"/>
  <c r="G5890" i="3"/>
  <c r="H5862" i="3"/>
  <c r="H5863" i="3" s="1"/>
  <c r="G6426" i="3"/>
  <c r="H6401" i="3"/>
  <c r="H5876" i="3" l="1"/>
  <c r="H5877" i="3" s="1"/>
  <c r="H5878" i="3" s="1"/>
  <c r="C329" i="4" s="1"/>
  <c r="E336" i="6" s="1"/>
  <c r="F336" i="6" s="1"/>
  <c r="H5849" i="3"/>
  <c r="H5850" i="3" s="1"/>
  <c r="H5851" i="3" s="1"/>
  <c r="C328" i="4" s="1"/>
  <c r="E335" i="6" s="1"/>
  <c r="F335" i="6" s="1"/>
  <c r="H5889" i="3"/>
  <c r="G5920" i="3"/>
  <c r="G5921" i="3"/>
  <c r="H5890" i="3"/>
  <c r="H5918" i="3"/>
  <c r="G5944" i="3"/>
  <c r="G6450" i="3"/>
  <c r="H6426" i="3"/>
  <c r="D327" i="5" l="1"/>
  <c r="D328" i="5"/>
  <c r="E336" i="7" s="1"/>
  <c r="F336" i="7" s="1"/>
  <c r="E335" i="7"/>
  <c r="F335" i="7" s="1"/>
  <c r="H5891" i="3"/>
  <c r="G5946" i="3"/>
  <c r="H5920" i="3"/>
  <c r="H5944" i="3"/>
  <c r="G5995" i="3"/>
  <c r="G5947" i="3"/>
  <c r="H5921" i="3"/>
  <c r="G6474" i="3"/>
  <c r="H6450" i="3"/>
  <c r="H5904" i="3" l="1"/>
  <c r="H5905" i="3" s="1"/>
  <c r="H5906" i="3" s="1"/>
  <c r="C330" i="4" s="1"/>
  <c r="E337" i="6" s="1"/>
  <c r="F337" i="6" s="1"/>
  <c r="H5908" i="3"/>
  <c r="H5909" i="3" s="1"/>
  <c r="H5910" i="3" s="1"/>
  <c r="C331" i="4" s="1"/>
  <c r="E338" i="6" s="1"/>
  <c r="F338" i="6" s="1"/>
  <c r="H5922" i="3"/>
  <c r="H5946" i="3"/>
  <c r="G5997" i="3"/>
  <c r="G5973" i="3"/>
  <c r="H5973" i="3" s="1"/>
  <c r="G6019" i="3"/>
  <c r="H5995" i="3"/>
  <c r="H5947" i="3"/>
  <c r="G5974" i="3"/>
  <c r="H5974" i="3" s="1"/>
  <c r="G5998" i="3"/>
  <c r="G6498" i="3"/>
  <c r="H6474" i="3"/>
  <c r="D329" i="5" l="1"/>
  <c r="E337" i="7" s="1"/>
  <c r="F337" i="7" s="1"/>
  <c r="H5934" i="3"/>
  <c r="H5935" i="3" s="1"/>
  <c r="H5936" i="3" s="1"/>
  <c r="C332" i="4" s="1"/>
  <c r="E339" i="6" s="1"/>
  <c r="F339" i="6" s="1"/>
  <c r="H5975" i="3"/>
  <c r="H5948" i="3"/>
  <c r="H5997" i="3"/>
  <c r="G6021" i="3"/>
  <c r="G6043" i="3"/>
  <c r="H6019" i="3"/>
  <c r="G6022" i="3"/>
  <c r="H5998" i="3"/>
  <c r="H6498" i="3"/>
  <c r="G6523" i="3"/>
  <c r="D330" i="5" l="1"/>
  <c r="D331" i="5"/>
  <c r="E339" i="7" s="1"/>
  <c r="F339" i="7" s="1"/>
  <c r="E338" i="7"/>
  <c r="F338" i="7" s="1"/>
  <c r="H5959" i="3"/>
  <c r="H5960" i="3" s="1"/>
  <c r="H5961" i="3" s="1"/>
  <c r="C333" i="4" s="1"/>
  <c r="E340" i="6" s="1"/>
  <c r="F340" i="6" s="1"/>
  <c r="F341" i="6" s="1"/>
  <c r="G17" i="8" s="1"/>
  <c r="H5985" i="3"/>
  <c r="H5986" i="3" s="1"/>
  <c r="H5987" i="3" s="1"/>
  <c r="C336" i="4" s="1"/>
  <c r="E344" i="6" s="1"/>
  <c r="F344" i="6" s="1"/>
  <c r="H5999" i="3"/>
  <c r="H6021" i="3"/>
  <c r="G6045" i="3"/>
  <c r="G6046" i="3"/>
  <c r="H6022" i="3"/>
  <c r="H6043" i="3"/>
  <c r="G6068" i="3"/>
  <c r="G6549" i="3"/>
  <c r="H6523" i="3"/>
  <c r="D335" i="5" l="1"/>
  <c r="D332" i="5"/>
  <c r="E340" i="7" s="1"/>
  <c r="F340" i="7" s="1"/>
  <c r="F341" i="7" s="1"/>
  <c r="G17" i="9" s="1"/>
  <c r="E344" i="7"/>
  <c r="F344" i="7" s="1"/>
  <c r="H6009" i="3"/>
  <c r="H6010" i="3" s="1"/>
  <c r="H6011" i="3" s="1"/>
  <c r="C337" i="4" s="1"/>
  <c r="E345" i="6" s="1"/>
  <c r="F345" i="6" s="1"/>
  <c r="H6023" i="3"/>
  <c r="G6070" i="3"/>
  <c r="H6045" i="3"/>
  <c r="H6068" i="3"/>
  <c r="G6094" i="3"/>
  <c r="G6071" i="3"/>
  <c r="H6046" i="3"/>
  <c r="H6047" i="3" s="1"/>
  <c r="G6600" i="3"/>
  <c r="G6575" i="3"/>
  <c r="H6575" i="3" s="1"/>
  <c r="H6549" i="3"/>
  <c r="D336" i="5" l="1"/>
  <c r="E345" i="7" s="1"/>
  <c r="F345" i="7" s="1"/>
  <c r="H6058" i="3"/>
  <c r="H6059" i="3" s="1"/>
  <c r="H6060" i="3" s="1"/>
  <c r="C339" i="4" s="1"/>
  <c r="E347" i="6" s="1"/>
  <c r="F347" i="6" s="1"/>
  <c r="H6033" i="3"/>
  <c r="H6034" i="3" s="1"/>
  <c r="H6035" i="3" s="1"/>
  <c r="C338" i="4" s="1"/>
  <c r="E346" i="6" s="1"/>
  <c r="F346" i="6" s="1"/>
  <c r="H6070" i="3"/>
  <c r="G6096" i="3"/>
  <c r="G6097" i="3"/>
  <c r="H6071" i="3"/>
  <c r="G6120" i="3"/>
  <c r="H6094" i="3"/>
  <c r="G6651" i="3"/>
  <c r="G6625" i="3"/>
  <c r="H6625" i="3" s="1"/>
  <c r="H6600" i="3"/>
  <c r="D338" i="5" l="1"/>
  <c r="D337" i="5"/>
  <c r="E346" i="7" s="1"/>
  <c r="F346" i="7" s="1"/>
  <c r="E347" i="7"/>
  <c r="F347" i="7" s="1"/>
  <c r="H6072" i="3"/>
  <c r="H6096" i="3"/>
  <c r="G6122" i="3"/>
  <c r="G6145" i="3"/>
  <c r="H6120" i="3"/>
  <c r="H6097" i="3"/>
  <c r="G6123" i="3"/>
  <c r="G6676" i="3"/>
  <c r="H6651" i="3"/>
  <c r="H6084" i="3" l="1"/>
  <c r="H6085" i="3" s="1"/>
  <c r="H6086" i="3" s="1"/>
  <c r="C340" i="4" s="1"/>
  <c r="E348" i="6" s="1"/>
  <c r="F348" i="6" s="1"/>
  <c r="H6098" i="3"/>
  <c r="G6147" i="3"/>
  <c r="H6122" i="3"/>
  <c r="H6123" i="3"/>
  <c r="G6148" i="3"/>
  <c r="H6145" i="3"/>
  <c r="G6170" i="3"/>
  <c r="G6702" i="3"/>
  <c r="H6676" i="3"/>
  <c r="D339" i="5" l="1"/>
  <c r="E348" i="7" s="1"/>
  <c r="F348" i="7" s="1"/>
  <c r="H6110" i="3"/>
  <c r="H6111" i="3" s="1"/>
  <c r="H6112" i="3" s="1"/>
  <c r="C341" i="4" s="1"/>
  <c r="E349" i="6" s="1"/>
  <c r="F349" i="6" s="1"/>
  <c r="H6124" i="3"/>
  <c r="G6172" i="3"/>
  <c r="H6147" i="3"/>
  <c r="G6195" i="3"/>
  <c r="H6170" i="3"/>
  <c r="G6173" i="3"/>
  <c r="H6148" i="3"/>
  <c r="H6149" i="3" s="1"/>
  <c r="G6730" i="3"/>
  <c r="H6702" i="3"/>
  <c r="D340" i="5" l="1"/>
  <c r="E349" i="7" s="1"/>
  <c r="F349" i="7" s="1"/>
  <c r="H6135" i="3"/>
  <c r="H6136" i="3" s="1"/>
  <c r="H6137" i="3" s="1"/>
  <c r="C342" i="4" s="1"/>
  <c r="E350" i="6" s="1"/>
  <c r="F350" i="6" s="1"/>
  <c r="H6160" i="3"/>
  <c r="H6161" i="3" s="1"/>
  <c r="H6162" i="3" s="1"/>
  <c r="C343" i="4" s="1"/>
  <c r="E351" i="6" s="1"/>
  <c r="F351" i="6" s="1"/>
  <c r="G6197" i="3"/>
  <c r="H6172" i="3"/>
  <c r="H6173" i="3"/>
  <c r="G6198" i="3"/>
  <c r="G6220" i="3"/>
  <c r="H6195" i="3"/>
  <c r="H6174" i="3"/>
  <c r="G6757" i="3"/>
  <c r="H6730" i="3"/>
  <c r="D341" i="5" l="1"/>
  <c r="D342" i="5"/>
  <c r="E351" i="7" s="1"/>
  <c r="F351" i="7" s="1"/>
  <c r="E350" i="7"/>
  <c r="F350" i="7" s="1"/>
  <c r="H6185" i="3"/>
  <c r="H6186" i="3" s="1"/>
  <c r="H6187" i="3" s="1"/>
  <c r="C344" i="4" s="1"/>
  <c r="E352" i="6" s="1"/>
  <c r="F352" i="6" s="1"/>
  <c r="G6222" i="3"/>
  <c r="H6197" i="3"/>
  <c r="G6245" i="3"/>
  <c r="H6220" i="3"/>
  <c r="G6223" i="3"/>
  <c r="H6198" i="3"/>
  <c r="H6199" i="3" s="1"/>
  <c r="G6784" i="3"/>
  <c r="H6784" i="3" s="1"/>
  <c r="G6808" i="3"/>
  <c r="H6757" i="3"/>
  <c r="D343" i="5" l="1"/>
  <c r="E352" i="7"/>
  <c r="F352" i="7" s="1"/>
  <c r="H6210" i="3"/>
  <c r="H6211" i="3" s="1"/>
  <c r="H6212" i="3" s="1"/>
  <c r="C345" i="4" s="1"/>
  <c r="E353" i="6" s="1"/>
  <c r="F353" i="6" s="1"/>
  <c r="H6222" i="3"/>
  <c r="G6247" i="3"/>
  <c r="G6248" i="3"/>
  <c r="H6223" i="3"/>
  <c r="G6270" i="3"/>
  <c r="H6270" i="3" s="1"/>
  <c r="G6297" i="3"/>
  <c r="H6245" i="3"/>
  <c r="G6835" i="3"/>
  <c r="H6835" i="3" s="1"/>
  <c r="G6864" i="3"/>
  <c r="H6808" i="3"/>
  <c r="D344" i="5" l="1"/>
  <c r="E353" i="7" s="1"/>
  <c r="F353" i="7" s="1"/>
  <c r="H6224" i="3"/>
  <c r="H6247" i="3"/>
  <c r="G6272" i="3"/>
  <c r="H6272" i="3" s="1"/>
  <c r="G6299" i="3"/>
  <c r="H6297" i="3"/>
  <c r="G6323" i="3"/>
  <c r="G6300" i="3"/>
  <c r="G6273" i="3"/>
  <c r="H6273" i="3" s="1"/>
  <c r="H6274" i="3" s="1"/>
  <c r="H6248" i="3"/>
  <c r="H6249" i="3" s="1"/>
  <c r="G6904" i="3"/>
  <c r="H6864" i="3"/>
  <c r="D346" i="5" l="1"/>
  <c r="D347" i="5"/>
  <c r="E355" i="7"/>
  <c r="F355" i="7" s="1"/>
  <c r="E356" i="7"/>
  <c r="F356" i="7" s="1"/>
  <c r="H6235" i="3"/>
  <c r="H6236" i="3" s="1"/>
  <c r="H6237" i="3" s="1"/>
  <c r="C346" i="4" s="1"/>
  <c r="E354" i="6" s="1"/>
  <c r="F354" i="6" s="1"/>
  <c r="G6325" i="3"/>
  <c r="H6299" i="3"/>
  <c r="H6260" i="3"/>
  <c r="H6261" i="3" s="1"/>
  <c r="H6262" i="3" s="1"/>
  <c r="C347" i="4" s="1"/>
  <c r="E355" i="6" s="1"/>
  <c r="F355" i="6" s="1"/>
  <c r="H6287" i="3"/>
  <c r="H6288" i="3" s="1"/>
  <c r="H6289" i="3" s="1"/>
  <c r="C348" i="4" s="1"/>
  <c r="E356" i="6" s="1"/>
  <c r="F356" i="6" s="1"/>
  <c r="H6300" i="3"/>
  <c r="G6326" i="3"/>
  <c r="G6348" i="3"/>
  <c r="H6323" i="3"/>
  <c r="H6301" i="3"/>
  <c r="G6942" i="3"/>
  <c r="H6904" i="3"/>
  <c r="D345" i="5" l="1"/>
  <c r="E354" i="7" s="1"/>
  <c r="F354" i="7" s="1"/>
  <c r="H6313" i="3"/>
  <c r="H6314" i="3" s="1"/>
  <c r="H6315" i="3" s="1"/>
  <c r="C349" i="4" s="1"/>
  <c r="E357" i="6" s="1"/>
  <c r="F357" i="6" s="1"/>
  <c r="H6325" i="3"/>
  <c r="G6350" i="3"/>
  <c r="G6373" i="3"/>
  <c r="H6348" i="3"/>
  <c r="H6326" i="3"/>
  <c r="G6351" i="3"/>
  <c r="G6967" i="3"/>
  <c r="H6942" i="3"/>
  <c r="D348" i="5" l="1"/>
  <c r="E357" i="7"/>
  <c r="F357" i="7" s="1"/>
  <c r="H6327" i="3"/>
  <c r="G6375" i="3"/>
  <c r="H6350" i="3"/>
  <c r="H6351" i="3"/>
  <c r="G6376" i="3"/>
  <c r="H6373" i="3"/>
  <c r="G6400" i="3"/>
  <c r="G6993" i="3"/>
  <c r="H6967" i="3"/>
  <c r="H6338" i="3" l="1"/>
  <c r="H6339" i="3" s="1"/>
  <c r="H6340" i="3" s="1"/>
  <c r="C350" i="4" s="1"/>
  <c r="E358" i="6" s="1"/>
  <c r="F358" i="6" s="1"/>
  <c r="H6352" i="3"/>
  <c r="H6375" i="3"/>
  <c r="G6402" i="3"/>
  <c r="H6376" i="3"/>
  <c r="G6403" i="3"/>
  <c r="G6425" i="3"/>
  <c r="H6400" i="3"/>
  <c r="G7019" i="3"/>
  <c r="H6993" i="3"/>
  <c r="D349" i="5" l="1"/>
  <c r="E358" i="7" s="1"/>
  <c r="F358" i="7" s="1"/>
  <c r="H6363" i="3"/>
  <c r="H6364" i="3" s="1"/>
  <c r="H6365" i="3" s="1"/>
  <c r="C351" i="4" s="1"/>
  <c r="E359" i="6" s="1"/>
  <c r="F359" i="6" s="1"/>
  <c r="H6377" i="3"/>
  <c r="G6427" i="3"/>
  <c r="H6402" i="3"/>
  <c r="H6425" i="3"/>
  <c r="G6449" i="3"/>
  <c r="G6428" i="3"/>
  <c r="H6403" i="3"/>
  <c r="G7044" i="3"/>
  <c r="H7019" i="3"/>
  <c r="D350" i="5" l="1"/>
  <c r="E359" i="7" s="1"/>
  <c r="F359" i="7" s="1"/>
  <c r="H6390" i="3"/>
  <c r="H6391" i="3" s="1"/>
  <c r="H6392" i="3" s="1"/>
  <c r="C352" i="4" s="1"/>
  <c r="E360" i="6" s="1"/>
  <c r="F360" i="6" s="1"/>
  <c r="H6404" i="3"/>
  <c r="H6427" i="3"/>
  <c r="G6451" i="3"/>
  <c r="G6452" i="3"/>
  <c r="H6428" i="3"/>
  <c r="H6429" i="3" s="1"/>
  <c r="H6449" i="3"/>
  <c r="G6473" i="3"/>
  <c r="G7069" i="3"/>
  <c r="H7044" i="3"/>
  <c r="D351" i="5" l="1"/>
  <c r="E360" i="7" s="1"/>
  <c r="F360" i="7" s="1"/>
  <c r="H6415" i="3"/>
  <c r="H6416" i="3" s="1"/>
  <c r="H6417" i="3" s="1"/>
  <c r="C353" i="4" s="1"/>
  <c r="E361" i="6" s="1"/>
  <c r="F361" i="6" s="1"/>
  <c r="H6439" i="3"/>
  <c r="H6440" i="3" s="1"/>
  <c r="H6441" i="3" s="1"/>
  <c r="C354" i="4" s="1"/>
  <c r="E362" i="6" s="1"/>
  <c r="F362" i="6" s="1"/>
  <c r="G6475" i="3"/>
  <c r="H6451" i="3"/>
  <c r="H6473" i="3"/>
  <c r="G6497" i="3"/>
  <c r="H6452" i="3"/>
  <c r="H6453" i="3" s="1"/>
  <c r="G6476" i="3"/>
  <c r="G7095" i="3"/>
  <c r="H7069" i="3"/>
  <c r="D352" i="5" l="1"/>
  <c r="D353" i="5"/>
  <c r="E362" i="7" s="1"/>
  <c r="F362" i="7" s="1"/>
  <c r="E361" i="7"/>
  <c r="F361" i="7" s="1"/>
  <c r="H6463" i="3"/>
  <c r="H6464" i="3" s="1"/>
  <c r="H6465" i="3" s="1"/>
  <c r="C355" i="4" s="1"/>
  <c r="E363" i="6" s="1"/>
  <c r="F363" i="6" s="1"/>
  <c r="G6499" i="3"/>
  <c r="H6475" i="3"/>
  <c r="G6500" i="3"/>
  <c r="H6476" i="3"/>
  <c r="H6477" i="3" s="1"/>
  <c r="G6522" i="3"/>
  <c r="H6497" i="3"/>
  <c r="G7128" i="3"/>
  <c r="H7095" i="3"/>
  <c r="D354" i="5" l="1"/>
  <c r="E363" i="7" s="1"/>
  <c r="F363" i="7" s="1"/>
  <c r="H6487" i="3"/>
  <c r="H6488" i="3" s="1"/>
  <c r="H6489" i="3" s="1"/>
  <c r="C356" i="4" s="1"/>
  <c r="E364" i="6" s="1"/>
  <c r="F364" i="6" s="1"/>
  <c r="G6524" i="3"/>
  <c r="H6499" i="3"/>
  <c r="H6500" i="3"/>
  <c r="G6525" i="3"/>
  <c r="H6522" i="3"/>
  <c r="G6548" i="3"/>
  <c r="G7153" i="3"/>
  <c r="H7128" i="3"/>
  <c r="D355" i="5" l="1"/>
  <c r="E364" i="7" s="1"/>
  <c r="F364" i="7" s="1"/>
  <c r="H6501" i="3"/>
  <c r="G6550" i="3"/>
  <c r="H6524" i="3"/>
  <c r="G6574" i="3"/>
  <c r="H6574" i="3" s="1"/>
  <c r="H6548" i="3"/>
  <c r="G6599" i="3"/>
  <c r="H6525" i="3"/>
  <c r="H6526" i="3" s="1"/>
  <c r="G6551" i="3"/>
  <c r="G7178" i="3"/>
  <c r="H7153" i="3"/>
  <c r="H6538" i="3" l="1"/>
  <c r="H6539" i="3" s="1"/>
  <c r="H6540" i="3" s="1"/>
  <c r="C360" i="4" s="1"/>
  <c r="E369" i="6" s="1"/>
  <c r="F369" i="6" s="1"/>
  <c r="H6510" i="3"/>
  <c r="H6511" i="3" s="1"/>
  <c r="H6512" i="3" s="1"/>
  <c r="C357" i="4" s="1"/>
  <c r="E365" i="6" s="1"/>
  <c r="F365" i="6" s="1"/>
  <c r="F366" i="6" s="1"/>
  <c r="G18" i="8" s="1"/>
  <c r="G6601" i="3"/>
  <c r="G6576" i="3"/>
  <c r="H6576" i="3" s="1"/>
  <c r="H6550" i="3"/>
  <c r="G6577" i="3"/>
  <c r="H6577" i="3" s="1"/>
  <c r="G6602" i="3"/>
  <c r="H6551" i="3"/>
  <c r="G6624" i="3"/>
  <c r="H6624" i="3" s="1"/>
  <c r="G6650" i="3"/>
  <c r="H6599" i="3"/>
  <c r="H6578" i="3"/>
  <c r="G7204" i="3"/>
  <c r="H7178" i="3"/>
  <c r="D356" i="5" l="1"/>
  <c r="D359" i="5"/>
  <c r="E369" i="7" s="1"/>
  <c r="F369" i="7" s="1"/>
  <c r="E365" i="7"/>
  <c r="F365" i="7" s="1"/>
  <c r="F366" i="7" s="1"/>
  <c r="G18" i="9" s="1"/>
  <c r="H6589" i="3"/>
  <c r="H6590" i="3" s="1"/>
  <c r="H6591" i="3" s="1"/>
  <c r="C362" i="4" s="1"/>
  <c r="E371" i="6" s="1"/>
  <c r="F371" i="6" s="1"/>
  <c r="H6552" i="3"/>
  <c r="G6652" i="3"/>
  <c r="H6601" i="3"/>
  <c r="G6626" i="3"/>
  <c r="H6626" i="3" s="1"/>
  <c r="H6650" i="3"/>
  <c r="G6675" i="3"/>
  <c r="G6653" i="3"/>
  <c r="G6627" i="3"/>
  <c r="H6627" i="3" s="1"/>
  <c r="H6628" i="3" s="1"/>
  <c r="H6602" i="3"/>
  <c r="H6603" i="3" s="1"/>
  <c r="G7236" i="3"/>
  <c r="H7204" i="3"/>
  <c r="D361" i="5" l="1"/>
  <c r="E371" i="7" s="1"/>
  <c r="F371" i="7" s="1"/>
  <c r="H6564" i="3"/>
  <c r="H6565" i="3" s="1"/>
  <c r="H6566" i="3" s="1"/>
  <c r="C361" i="4" s="1"/>
  <c r="E370" i="6" s="1"/>
  <c r="F370" i="6" s="1"/>
  <c r="H6640" i="3"/>
  <c r="H6641" i="3" s="1"/>
  <c r="H6642" i="3" s="1"/>
  <c r="C364" i="4" s="1"/>
  <c r="E373" i="6" s="1"/>
  <c r="F373" i="6" s="1"/>
  <c r="H6614" i="3"/>
  <c r="H6615" i="3" s="1"/>
  <c r="H6616" i="3" s="1"/>
  <c r="C363" i="4" s="1"/>
  <c r="E372" i="6" s="1"/>
  <c r="F372" i="6" s="1"/>
  <c r="G6677" i="3"/>
  <c r="H6652" i="3"/>
  <c r="G6678" i="3"/>
  <c r="H6653" i="3"/>
  <c r="H6654" i="3" s="1"/>
  <c r="G6701" i="3"/>
  <c r="H6675" i="3"/>
  <c r="G7261" i="3"/>
  <c r="H7236" i="3"/>
  <c r="D362" i="5" l="1"/>
  <c r="D363" i="5"/>
  <c r="D360" i="5"/>
  <c r="E370" i="7" s="1"/>
  <c r="F370" i="7" s="1"/>
  <c r="E372" i="7"/>
  <c r="F372" i="7" s="1"/>
  <c r="E373" i="7"/>
  <c r="F373" i="7" s="1"/>
  <c r="H6665" i="3"/>
  <c r="H6666" i="3" s="1"/>
  <c r="H6667" i="3" s="1"/>
  <c r="C365" i="4" s="1"/>
  <c r="E374" i="6" s="1"/>
  <c r="F374" i="6" s="1"/>
  <c r="H6677" i="3"/>
  <c r="G6703" i="3"/>
  <c r="G6704" i="3"/>
  <c r="H6678" i="3"/>
  <c r="G6729" i="3"/>
  <c r="H6701" i="3"/>
  <c r="H7261" i="3"/>
  <c r="G7287" i="3"/>
  <c r="D364" i="5" l="1"/>
  <c r="E374" i="7" s="1"/>
  <c r="F374" i="7" s="1"/>
  <c r="H6679" i="3"/>
  <c r="G6731" i="3"/>
  <c r="H6703" i="3"/>
  <c r="H6729" i="3"/>
  <c r="G6756" i="3"/>
  <c r="H6704" i="3"/>
  <c r="H6705" i="3" s="1"/>
  <c r="G6732" i="3"/>
  <c r="H7287" i="3"/>
  <c r="G7313" i="3"/>
  <c r="H6719" i="3" l="1"/>
  <c r="H6720" i="3" s="1"/>
  <c r="H6721" i="3" s="1"/>
  <c r="C367" i="4" s="1"/>
  <c r="E376" i="6" s="1"/>
  <c r="F376" i="6" s="1"/>
  <c r="H6691" i="3"/>
  <c r="H6692" i="3" s="1"/>
  <c r="H6693" i="3" s="1"/>
  <c r="C366" i="4" s="1"/>
  <c r="E375" i="6" s="1"/>
  <c r="F375" i="6" s="1"/>
  <c r="H6731" i="3"/>
  <c r="G6758" i="3"/>
  <c r="G6759" i="3"/>
  <c r="H6732" i="3"/>
  <c r="G6783" i="3"/>
  <c r="H6783" i="3" s="1"/>
  <c r="H6756" i="3"/>
  <c r="G6807" i="3"/>
  <c r="G7340" i="3"/>
  <c r="H7313" i="3"/>
  <c r="D365" i="5" l="1"/>
  <c r="D366" i="5"/>
  <c r="E375" i="7"/>
  <c r="F375" i="7" s="1"/>
  <c r="E376" i="7"/>
  <c r="F376" i="7" s="1"/>
  <c r="H6733" i="3"/>
  <c r="G6785" i="3"/>
  <c r="H6785" i="3" s="1"/>
  <c r="H6758" i="3"/>
  <c r="G6809" i="3"/>
  <c r="H6807" i="3"/>
  <c r="G6863" i="3"/>
  <c r="G6834" i="3"/>
  <c r="H6834" i="3" s="1"/>
  <c r="G6810" i="3"/>
  <c r="H6759" i="3"/>
  <c r="H6760" i="3" s="1"/>
  <c r="G6786" i="3"/>
  <c r="H6786" i="3" s="1"/>
  <c r="H6787" i="3" s="1"/>
  <c r="G7367" i="3"/>
  <c r="H7340" i="3"/>
  <c r="H6797" i="3" l="1"/>
  <c r="H6798" i="3" s="1"/>
  <c r="H6799" i="3" s="1"/>
  <c r="C370" i="4" s="1"/>
  <c r="E379" i="6" s="1"/>
  <c r="F379" i="6" s="1"/>
  <c r="H6773" i="3"/>
  <c r="H6774" i="3" s="1"/>
  <c r="H6775" i="3" s="1"/>
  <c r="C369" i="4" s="1"/>
  <c r="E378" i="6" s="1"/>
  <c r="F378" i="6" s="1"/>
  <c r="H6746" i="3"/>
  <c r="H6747" i="3" s="1"/>
  <c r="H6748" i="3" s="1"/>
  <c r="C368" i="4" s="1"/>
  <c r="E377" i="6" s="1"/>
  <c r="F377" i="6" s="1"/>
  <c r="H6809" i="3"/>
  <c r="G6836" i="3"/>
  <c r="H6836" i="3" s="1"/>
  <c r="G6865" i="3"/>
  <c r="H6863" i="3"/>
  <c r="G6903" i="3"/>
  <c r="H6810" i="3"/>
  <c r="G6837" i="3"/>
  <c r="H6837" i="3" s="1"/>
  <c r="H6838" i="3" s="1"/>
  <c r="G6866" i="3"/>
  <c r="G7393" i="3"/>
  <c r="H7367" i="3"/>
  <c r="D367" i="5" l="1"/>
  <c r="D368" i="5"/>
  <c r="D369" i="5"/>
  <c r="E377" i="7"/>
  <c r="F377" i="7" s="1"/>
  <c r="E378" i="7"/>
  <c r="F378" i="7" s="1"/>
  <c r="E379" i="7"/>
  <c r="F379" i="7" s="1"/>
  <c r="H6851" i="3"/>
  <c r="H6852" i="3" s="1"/>
  <c r="H6853" i="3" s="1"/>
  <c r="C372" i="4" s="1"/>
  <c r="E381" i="6" s="1"/>
  <c r="F381" i="6" s="1"/>
  <c r="H6811" i="3"/>
  <c r="G6905" i="3"/>
  <c r="H6865" i="3"/>
  <c r="G6906" i="3"/>
  <c r="H6866" i="3"/>
  <c r="G6941" i="3"/>
  <c r="H6903" i="3"/>
  <c r="G7445" i="3"/>
  <c r="H7393" i="3"/>
  <c r="G7418" i="3"/>
  <c r="H7418" i="3" s="1"/>
  <c r="D371" i="5" l="1"/>
  <c r="E381" i="7" s="1"/>
  <c r="F381" i="7" s="1"/>
  <c r="H6824" i="3"/>
  <c r="H6825" i="3" s="1"/>
  <c r="H6826" i="3" s="1"/>
  <c r="C371" i="4" s="1"/>
  <c r="E380" i="6" s="1"/>
  <c r="F380" i="6" s="1"/>
  <c r="H6867" i="3"/>
  <c r="G6943" i="3"/>
  <c r="H6905" i="3"/>
  <c r="H6941" i="3"/>
  <c r="G6966" i="3"/>
  <c r="H6906" i="3"/>
  <c r="H6907" i="3" s="1"/>
  <c r="G6944" i="3"/>
  <c r="G7472" i="3"/>
  <c r="H7445" i="3"/>
  <c r="D375" i="5" l="1"/>
  <c r="D370" i="5"/>
  <c r="E380" i="7" s="1"/>
  <c r="F380" i="7" s="1"/>
  <c r="E385" i="7"/>
  <c r="F385" i="7" s="1"/>
  <c r="H6887" i="3"/>
  <c r="H6883" i="3"/>
  <c r="H6884" i="3" s="1"/>
  <c r="H6885" i="3" s="1"/>
  <c r="C373" i="4" s="1"/>
  <c r="E382" i="6" s="1"/>
  <c r="F382" i="6" s="1"/>
  <c r="H6891" i="3"/>
  <c r="H6892" i="3" s="1"/>
  <c r="H6893" i="3" s="1"/>
  <c r="C375" i="4" s="1"/>
  <c r="E384" i="6" s="1"/>
  <c r="F384" i="6" s="1"/>
  <c r="H6888" i="3"/>
  <c r="H6889" i="3" s="1"/>
  <c r="C374" i="4" s="1"/>
  <c r="E383" i="6" s="1"/>
  <c r="F383" i="6" s="1"/>
  <c r="G6968" i="3"/>
  <c r="H6943" i="3"/>
  <c r="H6927" i="3"/>
  <c r="H6923" i="3"/>
  <c r="H6931" i="3"/>
  <c r="G6969" i="3"/>
  <c r="H6944" i="3"/>
  <c r="H6966" i="3"/>
  <c r="G6992" i="3"/>
  <c r="G7499" i="3"/>
  <c r="H7472" i="3"/>
  <c r="D372" i="5" l="1"/>
  <c r="D376" i="5"/>
  <c r="E386" i="7" s="1"/>
  <c r="F386" i="7" s="1"/>
  <c r="E382" i="7"/>
  <c r="F382" i="7" s="1"/>
  <c r="H6945" i="3"/>
  <c r="H6932" i="3"/>
  <c r="H6933" i="3" s="1"/>
  <c r="C378" i="4" s="1"/>
  <c r="E387" i="6" s="1"/>
  <c r="F387" i="6" s="1"/>
  <c r="H6928" i="3"/>
  <c r="H6929" i="3" s="1"/>
  <c r="C377" i="4" s="1"/>
  <c r="E386" i="6" s="1"/>
  <c r="F386" i="6" s="1"/>
  <c r="H6924" i="3"/>
  <c r="H6925" i="3" s="1"/>
  <c r="C376" i="4" s="1"/>
  <c r="E385" i="6" s="1"/>
  <c r="F385" i="6" s="1"/>
  <c r="G6994" i="3"/>
  <c r="H6968" i="3"/>
  <c r="G7018" i="3"/>
  <c r="H6992" i="3"/>
  <c r="H6969" i="3"/>
  <c r="G6995" i="3"/>
  <c r="G7523" i="3"/>
  <c r="H7499" i="3"/>
  <c r="D377" i="5" l="1"/>
  <c r="D373" i="5"/>
  <c r="E383" i="7" s="1"/>
  <c r="F383" i="7" s="1"/>
  <c r="E387" i="7"/>
  <c r="F387" i="7" s="1"/>
  <c r="H6956" i="3"/>
  <c r="H6957" i="3" s="1"/>
  <c r="H6958" i="3" s="1"/>
  <c r="C379" i="4" s="1"/>
  <c r="E388" i="6" s="1"/>
  <c r="F388" i="6" s="1"/>
  <c r="H6970" i="3"/>
  <c r="G7020" i="3"/>
  <c r="H6994" i="3"/>
  <c r="G7043" i="3"/>
  <c r="H7018" i="3"/>
  <c r="H6995" i="3"/>
  <c r="H6996" i="3" s="1"/>
  <c r="G7021" i="3"/>
  <c r="G7547" i="3"/>
  <c r="H7523" i="3"/>
  <c r="D378" i="5" l="1"/>
  <c r="D374" i="5"/>
  <c r="E384" i="7" s="1"/>
  <c r="F384" i="7" s="1"/>
  <c r="E388" i="7"/>
  <c r="F388" i="7" s="1"/>
  <c r="H7008" i="3"/>
  <c r="H7009" i="3" s="1"/>
  <c r="H7010" i="3" s="1"/>
  <c r="C381" i="4" s="1"/>
  <c r="E390" i="6" s="1"/>
  <c r="F390" i="6" s="1"/>
  <c r="H6982" i="3"/>
  <c r="H6983" i="3" s="1"/>
  <c r="H6984" i="3" s="1"/>
  <c r="C380" i="4" s="1"/>
  <c r="E389" i="6" s="1"/>
  <c r="F389" i="6" s="1"/>
  <c r="G7045" i="3"/>
  <c r="H7020" i="3"/>
  <c r="G7046" i="3"/>
  <c r="H7021" i="3"/>
  <c r="H7022" i="3" s="1"/>
  <c r="H7043" i="3"/>
  <c r="G7068" i="3"/>
  <c r="G7571" i="3"/>
  <c r="H7547" i="3"/>
  <c r="D380" i="5" l="1"/>
  <c r="D379" i="5"/>
  <c r="E390" i="7"/>
  <c r="F390" i="7" s="1"/>
  <c r="E389" i="7"/>
  <c r="F389" i="7" s="1"/>
  <c r="H7033" i="3"/>
  <c r="H7034" i="3" s="1"/>
  <c r="H7035" i="3" s="1"/>
  <c r="C382" i="4" s="1"/>
  <c r="E391" i="6" s="1"/>
  <c r="F391" i="6" s="1"/>
  <c r="G7070" i="3"/>
  <c r="H7045" i="3"/>
  <c r="G7094" i="3"/>
  <c r="H7068" i="3"/>
  <c r="G7071" i="3"/>
  <c r="H7046" i="3"/>
  <c r="H7047" i="3" s="1"/>
  <c r="G7597" i="3"/>
  <c r="H7571" i="3"/>
  <c r="D381" i="5" l="1"/>
  <c r="E391" i="7" s="1"/>
  <c r="F391" i="7" s="1"/>
  <c r="H7058" i="3"/>
  <c r="H7059" i="3" s="1"/>
  <c r="H7060" i="3" s="1"/>
  <c r="C383" i="4" s="1"/>
  <c r="E392" i="6" s="1"/>
  <c r="F392" i="6" s="1"/>
  <c r="G7096" i="3"/>
  <c r="H7070" i="3"/>
  <c r="H7071" i="3"/>
  <c r="G7097" i="3"/>
  <c r="H7094" i="3"/>
  <c r="G7127" i="3"/>
  <c r="G7625" i="3"/>
  <c r="H7597" i="3"/>
  <c r="D382" i="5" l="1"/>
  <c r="E392" i="7"/>
  <c r="F392" i="7" s="1"/>
  <c r="H7072" i="3"/>
  <c r="H7096" i="3"/>
  <c r="G7129" i="3"/>
  <c r="G7152" i="3"/>
  <c r="H7127" i="3"/>
  <c r="G7130" i="3"/>
  <c r="H7097" i="3"/>
  <c r="G7649" i="3"/>
  <c r="H7625" i="3"/>
  <c r="H7083" i="3" l="1"/>
  <c r="H7084" i="3" s="1"/>
  <c r="H7085" i="3" s="1"/>
  <c r="C384" i="4" s="1"/>
  <c r="E393" i="6" s="1"/>
  <c r="F393" i="6" s="1"/>
  <c r="H7098" i="3"/>
  <c r="G7154" i="3"/>
  <c r="H7129" i="3"/>
  <c r="H7113" i="3"/>
  <c r="H7117" i="3"/>
  <c r="H7130" i="3"/>
  <c r="G7155" i="3"/>
  <c r="G7177" i="3"/>
  <c r="H7152" i="3"/>
  <c r="H7649" i="3"/>
  <c r="G7673" i="3"/>
  <c r="D384" i="5" l="1"/>
  <c r="D383" i="5"/>
  <c r="E393" i="7" s="1"/>
  <c r="F393" i="7" s="1"/>
  <c r="E394" i="7"/>
  <c r="F394" i="7" s="1"/>
  <c r="H7131" i="3"/>
  <c r="H7118" i="3"/>
  <c r="H7119" i="3" s="1"/>
  <c r="C386" i="4" s="1"/>
  <c r="E395" i="6" s="1"/>
  <c r="F395" i="6" s="1"/>
  <c r="H7114" i="3"/>
  <c r="H7115" i="3" s="1"/>
  <c r="C385" i="4" s="1"/>
  <c r="E394" i="6" s="1"/>
  <c r="F394" i="6" s="1"/>
  <c r="H7154" i="3"/>
  <c r="G7179" i="3"/>
  <c r="G7180" i="3"/>
  <c r="H7155" i="3"/>
  <c r="G7203" i="3"/>
  <c r="H7177" i="3"/>
  <c r="H7673" i="3"/>
  <c r="G7699" i="3"/>
  <c r="D385" i="5" l="1"/>
  <c r="E395" i="7"/>
  <c r="F395" i="7" s="1"/>
  <c r="H7142" i="3"/>
  <c r="H7143" i="3" s="1"/>
  <c r="H7144" i="3" s="1"/>
  <c r="C387" i="4" s="1"/>
  <c r="E396" i="6" s="1"/>
  <c r="F396" i="6" s="1"/>
  <c r="H7156" i="3"/>
  <c r="G7205" i="3"/>
  <c r="H7179" i="3"/>
  <c r="H7203" i="3"/>
  <c r="G7235" i="3"/>
  <c r="G7206" i="3"/>
  <c r="H7180" i="3"/>
  <c r="H7181" i="3" s="1"/>
  <c r="H7699" i="3"/>
  <c r="G7724" i="3"/>
  <c r="D386" i="5" l="1"/>
  <c r="E396" i="7"/>
  <c r="F396" i="7" s="1"/>
  <c r="H7192" i="3"/>
  <c r="H7193" i="3" s="1"/>
  <c r="H7194" i="3" s="1"/>
  <c r="C389" i="4" s="1"/>
  <c r="E398" i="6" s="1"/>
  <c r="F398" i="6" s="1"/>
  <c r="H7167" i="3"/>
  <c r="H7168" i="3" s="1"/>
  <c r="H7169" i="3" s="1"/>
  <c r="C388" i="4" s="1"/>
  <c r="E397" i="6" s="1"/>
  <c r="F397" i="6" s="1"/>
  <c r="H7205" i="3"/>
  <c r="G7237" i="3"/>
  <c r="G7238" i="3"/>
  <c r="H7206" i="3"/>
  <c r="H7235" i="3"/>
  <c r="G7260" i="3"/>
  <c r="H7724" i="3"/>
  <c r="G7748" i="3"/>
  <c r="D388" i="5" l="1"/>
  <c r="D387" i="5"/>
  <c r="E397" i="7" s="1"/>
  <c r="F397" i="7" s="1"/>
  <c r="E398" i="7"/>
  <c r="F398" i="7" s="1"/>
  <c r="H7207" i="3"/>
  <c r="G7262" i="3"/>
  <c r="H7237" i="3"/>
  <c r="G7286" i="3"/>
  <c r="H7260" i="3"/>
  <c r="G7263" i="3"/>
  <c r="H7238" i="3"/>
  <c r="H7239" i="3" s="1"/>
  <c r="G7773" i="3"/>
  <c r="H7748" i="3"/>
  <c r="H7250" i="3" l="1"/>
  <c r="H7251" i="3" s="1"/>
  <c r="H7252" i="3" s="1"/>
  <c r="C392" i="4" s="1"/>
  <c r="E401" i="6" s="1"/>
  <c r="F401" i="6" s="1"/>
  <c r="H7221" i="3"/>
  <c r="H7225" i="3"/>
  <c r="H7226" i="3" s="1"/>
  <c r="H7227" i="3" s="1"/>
  <c r="C391" i="4" s="1"/>
  <c r="E400" i="6" s="1"/>
  <c r="F400" i="6" s="1"/>
  <c r="H7222" i="3"/>
  <c r="H7223" i="3" s="1"/>
  <c r="H7262" i="3"/>
  <c r="G7288" i="3"/>
  <c r="G7289" i="3"/>
  <c r="H7263" i="3"/>
  <c r="H7286" i="3"/>
  <c r="G7312" i="3"/>
  <c r="G7800" i="3"/>
  <c r="H7773" i="3"/>
  <c r="D389" i="5" l="1"/>
  <c r="D391" i="5"/>
  <c r="E401" i="7" s="1"/>
  <c r="F401" i="7" s="1"/>
  <c r="E399" i="7"/>
  <c r="F399" i="7" s="1"/>
  <c r="H7264" i="3"/>
  <c r="C390" i="4"/>
  <c r="E399" i="6" s="1"/>
  <c r="F399" i="6" s="1"/>
  <c r="G7314" i="3"/>
  <c r="H7288" i="3"/>
  <c r="G7339" i="3"/>
  <c r="H7312" i="3"/>
  <c r="G7315" i="3"/>
  <c r="H7289" i="3"/>
  <c r="H7290" i="3" s="1"/>
  <c r="G7826" i="3"/>
  <c r="H7800" i="3"/>
  <c r="D390" i="5" l="1"/>
  <c r="E400" i="7"/>
  <c r="F400" i="7" s="1"/>
  <c r="H7302" i="3"/>
  <c r="H7303" i="3" s="1"/>
  <c r="H7304" i="3" s="1"/>
  <c r="C394" i="4" s="1"/>
  <c r="E403" i="6" s="1"/>
  <c r="F403" i="6" s="1"/>
  <c r="H7276" i="3"/>
  <c r="H7277" i="3" s="1"/>
  <c r="H7278" i="3" s="1"/>
  <c r="C393" i="4" s="1"/>
  <c r="E402" i="6" s="1"/>
  <c r="F402" i="6" s="1"/>
  <c r="G7341" i="3"/>
  <c r="H7314" i="3"/>
  <c r="H7315" i="3"/>
  <c r="H7316" i="3" s="1"/>
  <c r="G7342" i="3"/>
  <c r="G7366" i="3"/>
  <c r="H7339" i="3"/>
  <c r="H7826" i="3"/>
  <c r="G7850" i="3"/>
  <c r="D393" i="5" l="1"/>
  <c r="D392" i="5"/>
  <c r="E403" i="7"/>
  <c r="F403" i="7" s="1"/>
  <c r="E402" i="7"/>
  <c r="F402" i="7" s="1"/>
  <c r="H7329" i="3"/>
  <c r="H7330" i="3" s="1"/>
  <c r="H7331" i="3" s="1"/>
  <c r="C395" i="4" s="1"/>
  <c r="E404" i="6" s="1"/>
  <c r="F404" i="6" s="1"/>
  <c r="G7368" i="3"/>
  <c r="H7341" i="3"/>
  <c r="G7392" i="3"/>
  <c r="H7366" i="3"/>
  <c r="G7369" i="3"/>
  <c r="H7342" i="3"/>
  <c r="H7343" i="3" s="1"/>
  <c r="G7876" i="3"/>
  <c r="H7850" i="3"/>
  <c r="D394" i="5" l="1"/>
  <c r="E404" i="7" s="1"/>
  <c r="F404" i="7" s="1"/>
  <c r="H7356" i="3"/>
  <c r="H7357" i="3" s="1"/>
  <c r="H7358" i="3" s="1"/>
  <c r="C396" i="4" s="1"/>
  <c r="E405" i="6" s="1"/>
  <c r="F405" i="6" s="1"/>
  <c r="H7876" i="3"/>
  <c r="G8235" i="3"/>
  <c r="H7368" i="3"/>
  <c r="G7394" i="3"/>
  <c r="G7395" i="3"/>
  <c r="H7369" i="3"/>
  <c r="H7370" i="3" s="1"/>
  <c r="G7417" i="3"/>
  <c r="H7417" i="3" s="1"/>
  <c r="G7444" i="3"/>
  <c r="H7392" i="3"/>
  <c r="D395" i="5" l="1"/>
  <c r="E405" i="7" s="1"/>
  <c r="F405" i="7" s="1"/>
  <c r="H7382" i="3"/>
  <c r="H7383" i="3" s="1"/>
  <c r="H7384" i="3" s="1"/>
  <c r="C397" i="4" s="1"/>
  <c r="E406" i="6" s="1"/>
  <c r="F406" i="6" s="1"/>
  <c r="G8259" i="3"/>
  <c r="H8235" i="3"/>
  <c r="G7446" i="3"/>
  <c r="H7394" i="3"/>
  <c r="G7419" i="3"/>
  <c r="H7419" i="3" s="1"/>
  <c r="G7471" i="3"/>
  <c r="H7444" i="3"/>
  <c r="H7395" i="3"/>
  <c r="H7396" i="3" s="1"/>
  <c r="G7447" i="3"/>
  <c r="G7420" i="3"/>
  <c r="H7420" i="3" s="1"/>
  <c r="H7421" i="3" s="1"/>
  <c r="D396" i="5" l="1"/>
  <c r="E406" i="7"/>
  <c r="F406" i="7" s="1"/>
  <c r="H7407" i="3"/>
  <c r="H7408" i="3" s="1"/>
  <c r="H7409" i="3" s="1"/>
  <c r="C398" i="4" s="1"/>
  <c r="E407" i="6" s="1"/>
  <c r="F407" i="6" s="1"/>
  <c r="H7434" i="3"/>
  <c r="H7435" i="3" s="1"/>
  <c r="H7436" i="3" s="1"/>
  <c r="C399" i="4" s="1"/>
  <c r="E408" i="6" s="1"/>
  <c r="F408" i="6" s="1"/>
  <c r="G8283" i="3"/>
  <c r="H8259" i="3"/>
  <c r="H7446" i="3"/>
  <c r="G7473" i="3"/>
  <c r="G7474" i="3"/>
  <c r="H7447" i="3"/>
  <c r="H7448" i="3" s="1"/>
  <c r="H7471" i="3"/>
  <c r="G7498" i="3"/>
  <c r="D397" i="5" l="1"/>
  <c r="D398" i="5"/>
  <c r="E408" i="7" s="1"/>
  <c r="F408" i="7" s="1"/>
  <c r="E407" i="7"/>
  <c r="F407" i="7" s="1"/>
  <c r="H7461" i="3"/>
  <c r="H7462" i="3" s="1"/>
  <c r="H7463" i="3" s="1"/>
  <c r="C400" i="4" s="1"/>
  <c r="E409" i="6" s="1"/>
  <c r="F409" i="6" s="1"/>
  <c r="G8307" i="3"/>
  <c r="H8283" i="3"/>
  <c r="H7473" i="3"/>
  <c r="G7500" i="3"/>
  <c r="G7522" i="3"/>
  <c r="H7498" i="3"/>
  <c r="H7474" i="3"/>
  <c r="G7501" i="3"/>
  <c r="D399" i="5" l="1"/>
  <c r="E409" i="7" s="1"/>
  <c r="F409" i="7" s="1"/>
  <c r="H7475" i="3"/>
  <c r="H7488" i="3" s="1"/>
  <c r="H7489" i="3" s="1"/>
  <c r="H7490" i="3" s="1"/>
  <c r="C401" i="4" s="1"/>
  <c r="E410" i="6" s="1"/>
  <c r="F410" i="6" s="1"/>
  <c r="G8331" i="3"/>
  <c r="H8307" i="3"/>
  <c r="H7500" i="3"/>
  <c r="G7524" i="3"/>
  <c r="G7525" i="3"/>
  <c r="H7501" i="3"/>
  <c r="H7502" i="3" s="1"/>
  <c r="H7522" i="3"/>
  <c r="G7546" i="3"/>
  <c r="H7512" i="3" l="1"/>
  <c r="H7513" i="3" s="1"/>
  <c r="H7514" i="3" s="1"/>
  <c r="C402" i="4" s="1"/>
  <c r="E411" i="6" s="1"/>
  <c r="F411" i="6" s="1"/>
  <c r="G8355" i="3"/>
  <c r="H8331" i="3"/>
  <c r="H7524" i="3"/>
  <c r="G7548" i="3"/>
  <c r="G7570" i="3"/>
  <c r="H7546" i="3"/>
  <c r="H7525" i="3"/>
  <c r="H7526" i="3" s="1"/>
  <c r="G7549" i="3"/>
  <c r="D401" i="5" l="1"/>
  <c r="D400" i="5"/>
  <c r="E410" i="7" s="1"/>
  <c r="F410" i="7" s="1"/>
  <c r="E411" i="7"/>
  <c r="F411" i="7" s="1"/>
  <c r="H7536" i="3"/>
  <c r="H7537" i="3" s="1"/>
  <c r="H7538" i="3" s="1"/>
  <c r="C403" i="4" s="1"/>
  <c r="E412" i="6" s="1"/>
  <c r="F412" i="6" s="1"/>
  <c r="G8379" i="3"/>
  <c r="H8355" i="3"/>
  <c r="G7572" i="3"/>
  <c r="H7548" i="3"/>
  <c r="G7573" i="3"/>
  <c r="H7549" i="3"/>
  <c r="G7596" i="3"/>
  <c r="H7570" i="3"/>
  <c r="D402" i="5" l="1"/>
  <c r="E412" i="7"/>
  <c r="F412" i="7" s="1"/>
  <c r="H7550" i="3"/>
  <c r="G8403" i="3"/>
  <c r="H8379" i="3"/>
  <c r="G7598" i="3"/>
  <c r="H7572" i="3"/>
  <c r="G7624" i="3"/>
  <c r="H7596" i="3"/>
  <c r="G7599" i="3"/>
  <c r="H7573" i="3"/>
  <c r="H7574" i="3" s="1"/>
  <c r="H7586" i="3" l="1"/>
  <c r="H7587" i="3" s="1"/>
  <c r="H7588" i="3" s="1"/>
  <c r="C405" i="4" s="1"/>
  <c r="E414" i="6" s="1"/>
  <c r="F414" i="6" s="1"/>
  <c r="H7560" i="3"/>
  <c r="H7561" i="3" s="1"/>
  <c r="H7562" i="3" s="1"/>
  <c r="C404" i="4" s="1"/>
  <c r="E413" i="6" s="1"/>
  <c r="F413" i="6" s="1"/>
  <c r="G8427" i="3"/>
  <c r="H8403" i="3"/>
  <c r="G7626" i="3"/>
  <c r="H7598" i="3"/>
  <c r="H7599" i="3"/>
  <c r="G7627" i="3"/>
  <c r="G7648" i="3"/>
  <c r="H7624" i="3"/>
  <c r="D403" i="5" l="1"/>
  <c r="D404" i="5"/>
  <c r="E414" i="7" s="1"/>
  <c r="F414" i="7" s="1"/>
  <c r="E413" i="7"/>
  <c r="F413" i="7" s="1"/>
  <c r="H7600" i="3"/>
  <c r="G8451" i="3"/>
  <c r="H8427" i="3"/>
  <c r="G7650" i="3"/>
  <c r="H7626" i="3"/>
  <c r="H7627" i="3"/>
  <c r="G7651" i="3"/>
  <c r="G7672" i="3"/>
  <c r="H7648" i="3"/>
  <c r="H7614" i="3" l="1"/>
  <c r="H7615" i="3" s="1"/>
  <c r="H7616" i="3" s="1"/>
  <c r="C406" i="4" s="1"/>
  <c r="E415" i="6" s="1"/>
  <c r="F415" i="6" s="1"/>
  <c r="H7628" i="3"/>
  <c r="G8474" i="3"/>
  <c r="H8451" i="3"/>
  <c r="G7674" i="3"/>
  <c r="H7650" i="3"/>
  <c r="H7672" i="3"/>
  <c r="G7698" i="3"/>
  <c r="H7651" i="3"/>
  <c r="G7675" i="3"/>
  <c r="D405" i="5" l="1"/>
  <c r="E415" i="7" s="1"/>
  <c r="F415" i="7" s="1"/>
  <c r="H7638" i="3"/>
  <c r="H7639" i="3" s="1"/>
  <c r="H7640" i="3" s="1"/>
  <c r="C407" i="4" s="1"/>
  <c r="E416" i="6" s="1"/>
  <c r="F416" i="6" s="1"/>
  <c r="H7652" i="3"/>
  <c r="G8498" i="3"/>
  <c r="H8474" i="3"/>
  <c r="H7674" i="3"/>
  <c r="G7700" i="3"/>
  <c r="H7675" i="3"/>
  <c r="G7701" i="3"/>
  <c r="H7698" i="3"/>
  <c r="G7723" i="3"/>
  <c r="D406" i="5" l="1"/>
  <c r="E416" i="7" s="1"/>
  <c r="F416" i="7" s="1"/>
  <c r="H7662" i="3"/>
  <c r="H7663" i="3" s="1"/>
  <c r="H7664" i="3" s="1"/>
  <c r="C408" i="4" s="1"/>
  <c r="E417" i="6" s="1"/>
  <c r="F417" i="6" s="1"/>
  <c r="H7676" i="3"/>
  <c r="G8522" i="3"/>
  <c r="H8498" i="3"/>
  <c r="H7700" i="3"/>
  <c r="G7725" i="3"/>
  <c r="H7723" i="3"/>
  <c r="G7747" i="3"/>
  <c r="G7726" i="3"/>
  <c r="H7701" i="3"/>
  <c r="H7702" i="3" s="1"/>
  <c r="D407" i="5" l="1"/>
  <c r="E417" i="7" s="1"/>
  <c r="F417" i="7" s="1"/>
  <c r="H7713" i="3"/>
  <c r="H7714" i="3" s="1"/>
  <c r="H7715" i="3" s="1"/>
  <c r="C410" i="4" s="1"/>
  <c r="E419" i="6" s="1"/>
  <c r="F419" i="6" s="1"/>
  <c r="H7688" i="3"/>
  <c r="H7689" i="3" s="1"/>
  <c r="H7690" i="3" s="1"/>
  <c r="C409" i="4" s="1"/>
  <c r="E418" i="6" s="1"/>
  <c r="F418" i="6" s="1"/>
  <c r="G8546" i="3"/>
  <c r="H8522" i="3"/>
  <c r="G7749" i="3"/>
  <c r="H7725" i="3"/>
  <c r="H7747" i="3"/>
  <c r="G7772" i="3"/>
  <c r="H7726" i="3"/>
  <c r="H7727" i="3" s="1"/>
  <c r="G7750" i="3"/>
  <c r="D408" i="5" l="1"/>
  <c r="D409" i="5"/>
  <c r="E419" i="7" s="1"/>
  <c r="F419" i="7" s="1"/>
  <c r="E418" i="7"/>
  <c r="F418" i="7" s="1"/>
  <c r="H7737" i="3"/>
  <c r="H7738" i="3" s="1"/>
  <c r="H7739" i="3" s="1"/>
  <c r="C411" i="4" s="1"/>
  <c r="E420" i="6" s="1"/>
  <c r="F420" i="6" s="1"/>
  <c r="H8546" i="3"/>
  <c r="G8571" i="3"/>
  <c r="G7774" i="3"/>
  <c r="H7749" i="3"/>
  <c r="H7772" i="3"/>
  <c r="G7799" i="3"/>
  <c r="H7750" i="3"/>
  <c r="H7751" i="3" s="1"/>
  <c r="G7775" i="3"/>
  <c r="D410" i="5" l="1"/>
  <c r="E420" i="7" s="1"/>
  <c r="F420" i="7" s="1"/>
  <c r="H7762" i="3"/>
  <c r="H7763" i="3" s="1"/>
  <c r="H7764" i="3" s="1"/>
  <c r="C412" i="4" s="1"/>
  <c r="E421" i="6" s="1"/>
  <c r="F421" i="6" s="1"/>
  <c r="G8596" i="3"/>
  <c r="H8571" i="3"/>
  <c r="G7801" i="3"/>
  <c r="H7774" i="3"/>
  <c r="H7775" i="3"/>
  <c r="G7802" i="3"/>
  <c r="H7799" i="3"/>
  <c r="G7825" i="3"/>
  <c r="D411" i="5" l="1"/>
  <c r="E421" i="7" s="1"/>
  <c r="F421" i="7" s="1"/>
  <c r="H7776" i="3"/>
  <c r="H7789" i="3"/>
  <c r="H7790" i="3" s="1"/>
  <c r="H7791" i="3" s="1"/>
  <c r="C413" i="4" s="1"/>
  <c r="E422" i="6" s="1"/>
  <c r="F422" i="6" s="1"/>
  <c r="G8621" i="3"/>
  <c r="H8596" i="3"/>
  <c r="G7827" i="3"/>
  <c r="H7801" i="3"/>
  <c r="G7849" i="3"/>
  <c r="H7825" i="3"/>
  <c r="H7802" i="3"/>
  <c r="H7803" i="3" s="1"/>
  <c r="G7828" i="3"/>
  <c r="D412" i="5" l="1"/>
  <c r="E422" i="7" s="1"/>
  <c r="F422" i="7" s="1"/>
  <c r="H7815" i="3"/>
  <c r="H7816" i="3" s="1"/>
  <c r="H7817" i="3" s="1"/>
  <c r="C414" i="4" s="1"/>
  <c r="E423" i="6" s="1"/>
  <c r="F423" i="6" s="1"/>
  <c r="G8646" i="3"/>
  <c r="H8621" i="3"/>
  <c r="H7827" i="3"/>
  <c r="G7851" i="3"/>
  <c r="G7852" i="3"/>
  <c r="H7828" i="3"/>
  <c r="G7875" i="3"/>
  <c r="H7849" i="3"/>
  <c r="D413" i="5" l="1"/>
  <c r="E423" i="7"/>
  <c r="F423" i="7" s="1"/>
  <c r="H7829" i="3"/>
  <c r="G8670" i="3"/>
  <c r="H8646" i="3"/>
  <c r="H7875" i="3"/>
  <c r="G8234" i="3"/>
  <c r="G7877" i="3"/>
  <c r="H7851" i="3"/>
  <c r="G7878" i="3"/>
  <c r="H7852" i="3"/>
  <c r="H7839" i="3" l="1"/>
  <c r="H7840" i="3" s="1"/>
  <c r="H7841" i="3" s="1"/>
  <c r="C415" i="4" s="1"/>
  <c r="E424" i="6" s="1"/>
  <c r="F424" i="6" s="1"/>
  <c r="H7853" i="3"/>
  <c r="G8694" i="3"/>
  <c r="H8670" i="3"/>
  <c r="H7878" i="3"/>
  <c r="G8237" i="3"/>
  <c r="H7877" i="3"/>
  <c r="G8236" i="3"/>
  <c r="G8258" i="3"/>
  <c r="H8234" i="3"/>
  <c r="D414" i="5" l="1"/>
  <c r="E424" i="7" s="1"/>
  <c r="F424" i="7" s="1"/>
  <c r="H7865" i="3"/>
  <c r="H7866" i="3" s="1"/>
  <c r="H7867" i="3" s="1"/>
  <c r="C416" i="4" s="1"/>
  <c r="E425" i="6" s="1"/>
  <c r="F425" i="6" s="1"/>
  <c r="G8718" i="3"/>
  <c r="H8694" i="3"/>
  <c r="H8258" i="3"/>
  <c r="G8282" i="3"/>
  <c r="G8260" i="3"/>
  <c r="H8236" i="3"/>
  <c r="G8261" i="3"/>
  <c r="H8237" i="3"/>
  <c r="H7879" i="3"/>
  <c r="D415" i="5" l="1"/>
  <c r="E425" i="7"/>
  <c r="F425" i="7" s="1"/>
  <c r="H7889" i="3"/>
  <c r="H7890" i="3" s="1"/>
  <c r="H7891" i="3" s="1"/>
  <c r="C417" i="4" s="1"/>
  <c r="E426" i="6" s="1"/>
  <c r="F426" i="6" s="1"/>
  <c r="F442" i="6" s="1"/>
  <c r="G19" i="8" s="1"/>
  <c r="H8238" i="3"/>
  <c r="G8743" i="3"/>
  <c r="H8718" i="3"/>
  <c r="G8285" i="3"/>
  <c r="H8261" i="3"/>
  <c r="G8284" i="3"/>
  <c r="H8260" i="3"/>
  <c r="H8282" i="3"/>
  <c r="G8306" i="3"/>
  <c r="D416" i="5" l="1"/>
  <c r="E426" i="7"/>
  <c r="F426" i="7" s="1"/>
  <c r="F442" i="7" s="1"/>
  <c r="G19" i="9" s="1"/>
  <c r="H8248" i="3"/>
  <c r="H8743" i="3"/>
  <c r="G8837" i="3"/>
  <c r="H8262" i="3"/>
  <c r="H8249" i="3"/>
  <c r="H8250" i="3" s="1"/>
  <c r="H8306" i="3"/>
  <c r="G8330" i="3"/>
  <c r="G8308" i="3"/>
  <c r="H8284" i="3"/>
  <c r="G8309" i="3"/>
  <c r="H8285" i="3"/>
  <c r="D434" i="5" l="1"/>
  <c r="E445" i="7"/>
  <c r="F445" i="7" s="1"/>
  <c r="H8272" i="3"/>
  <c r="H8273" i="3" s="1"/>
  <c r="H8274" i="3" s="1"/>
  <c r="C436" i="4" s="1"/>
  <c r="E446" i="6" s="1"/>
  <c r="F446" i="6" s="1"/>
  <c r="C435" i="4"/>
  <c r="E445" i="6" s="1"/>
  <c r="F445" i="6" s="1"/>
  <c r="G8872" i="3"/>
  <c r="H8837" i="3"/>
  <c r="H8286" i="3"/>
  <c r="G8333" i="3"/>
  <c r="H8309" i="3"/>
  <c r="G8332" i="3"/>
  <c r="H8308" i="3"/>
  <c r="H8310" i="3" s="1"/>
  <c r="G8354" i="3"/>
  <c r="H8330" i="3"/>
  <c r="D435" i="5" l="1"/>
  <c r="E446" i="7"/>
  <c r="F446" i="7" s="1"/>
  <c r="H8320" i="3"/>
  <c r="H8296" i="3"/>
  <c r="G8902" i="3"/>
  <c r="H8872" i="3"/>
  <c r="H8321" i="3"/>
  <c r="H8322" i="3" s="1"/>
  <c r="H8297" i="3"/>
  <c r="H8298" i="3" s="1"/>
  <c r="G8378" i="3"/>
  <c r="H8354" i="3"/>
  <c r="G8356" i="3"/>
  <c r="H8332" i="3"/>
  <c r="G8357" i="3"/>
  <c r="H8333" i="3"/>
  <c r="D437" i="5" l="1"/>
  <c r="D436" i="5"/>
  <c r="E447" i="7" s="1"/>
  <c r="F447" i="7" s="1"/>
  <c r="E448" i="7"/>
  <c r="F448" i="7" s="1"/>
  <c r="C437" i="4"/>
  <c r="E447" i="6" s="1"/>
  <c r="F447" i="6" s="1"/>
  <c r="C438" i="4"/>
  <c r="E448" i="6" s="1"/>
  <c r="F448" i="6" s="1"/>
  <c r="G8926" i="3"/>
  <c r="H8902" i="3"/>
  <c r="H8334" i="3"/>
  <c r="G8381" i="3"/>
  <c r="H8357" i="3"/>
  <c r="G8380" i="3"/>
  <c r="H8356" i="3"/>
  <c r="H8378" i="3"/>
  <c r="G8402" i="3"/>
  <c r="H8344" i="3" l="1"/>
  <c r="G8975" i="3"/>
  <c r="H8926" i="3"/>
  <c r="H8358" i="3"/>
  <c r="H8345" i="3"/>
  <c r="H8346" i="3" s="1"/>
  <c r="G8426" i="3"/>
  <c r="H8402" i="3"/>
  <c r="G8404" i="3"/>
  <c r="H8380" i="3"/>
  <c r="G8405" i="3"/>
  <c r="H8381" i="3"/>
  <c r="D438" i="5" l="1"/>
  <c r="E449" i="7"/>
  <c r="F449" i="7" s="1"/>
  <c r="H8368" i="3"/>
  <c r="H8369" i="3" s="1"/>
  <c r="H8370" i="3" s="1"/>
  <c r="C440" i="4" s="1"/>
  <c r="E450" i="6" s="1"/>
  <c r="F450" i="6" s="1"/>
  <c r="C439" i="4"/>
  <c r="E449" i="6" s="1"/>
  <c r="F449" i="6" s="1"/>
  <c r="G9001" i="3"/>
  <c r="H8975" i="3"/>
  <c r="H8382" i="3"/>
  <c r="G8429" i="3"/>
  <c r="H8405" i="3"/>
  <c r="G8428" i="3"/>
  <c r="H8404" i="3"/>
  <c r="G8450" i="3"/>
  <c r="H8426" i="3"/>
  <c r="D439" i="5" l="1"/>
  <c r="E450" i="7" s="1"/>
  <c r="F450" i="7" s="1"/>
  <c r="H8392" i="3"/>
  <c r="G9027" i="3"/>
  <c r="H9001" i="3"/>
  <c r="H8406" i="3"/>
  <c r="H8393" i="3"/>
  <c r="H8394" i="3" s="1"/>
  <c r="H8450" i="3"/>
  <c r="G8473" i="3"/>
  <c r="G8452" i="3"/>
  <c r="H8428" i="3"/>
  <c r="G8453" i="3"/>
  <c r="H8429" i="3"/>
  <c r="D440" i="5" l="1"/>
  <c r="E451" i="7"/>
  <c r="F451" i="7" s="1"/>
  <c r="H8416" i="3"/>
  <c r="H8417" i="3" s="1"/>
  <c r="H8418" i="3" s="1"/>
  <c r="C442" i="4" s="1"/>
  <c r="E452" i="6" s="1"/>
  <c r="F452" i="6" s="1"/>
  <c r="C441" i="4"/>
  <c r="E451" i="6" s="1"/>
  <c r="F451" i="6" s="1"/>
  <c r="G9052" i="3"/>
  <c r="H9027" i="3"/>
  <c r="H8430" i="3"/>
  <c r="G8476" i="3"/>
  <c r="H8453" i="3"/>
  <c r="G8475" i="3"/>
  <c r="H8452" i="3"/>
  <c r="H8473" i="3"/>
  <c r="G8497" i="3"/>
  <c r="D441" i="5" l="1"/>
  <c r="E452" i="7" s="1"/>
  <c r="F452" i="7" s="1"/>
  <c r="H8440" i="3"/>
  <c r="H8454" i="3"/>
  <c r="G9076" i="3"/>
  <c r="H9076" i="3" s="1"/>
  <c r="G9102" i="3"/>
  <c r="H9052" i="3"/>
  <c r="H8441" i="3"/>
  <c r="H8442" i="3" s="1"/>
  <c r="G8521" i="3"/>
  <c r="H8497" i="3"/>
  <c r="H8463" i="3"/>
  <c r="G8499" i="3"/>
  <c r="H8475" i="3"/>
  <c r="G8500" i="3"/>
  <c r="H8476" i="3"/>
  <c r="D442" i="5" l="1"/>
  <c r="D443" i="5"/>
  <c r="E454" i="7" s="1"/>
  <c r="F454" i="7" s="1"/>
  <c r="E453" i="7"/>
  <c r="F453" i="7" s="1"/>
  <c r="C443" i="4"/>
  <c r="E453" i="6" s="1"/>
  <c r="F453" i="6" s="1"/>
  <c r="G9128" i="3"/>
  <c r="H9102" i="3"/>
  <c r="H8464" i="3"/>
  <c r="H8465" i="3" s="1"/>
  <c r="H8477" i="3"/>
  <c r="G8523" i="3"/>
  <c r="H8499" i="3"/>
  <c r="G8524" i="3"/>
  <c r="H8500" i="3"/>
  <c r="G8545" i="3"/>
  <c r="H8521" i="3"/>
  <c r="H8487" i="3" l="1"/>
  <c r="C444" i="4"/>
  <c r="E454" i="6" s="1"/>
  <c r="F454" i="6" s="1"/>
  <c r="G9153" i="3"/>
  <c r="H9128" i="3"/>
  <c r="H8501" i="3"/>
  <c r="H8488" i="3"/>
  <c r="H8489" i="3" s="1"/>
  <c r="G8570" i="3"/>
  <c r="H8545" i="3"/>
  <c r="G8548" i="3"/>
  <c r="H8524" i="3"/>
  <c r="G8547" i="3"/>
  <c r="H8523" i="3"/>
  <c r="D444" i="5" l="1"/>
  <c r="E455" i="7" s="1"/>
  <c r="F455" i="7" s="1"/>
  <c r="H8511" i="3"/>
  <c r="H8512" i="3" s="1"/>
  <c r="H8513" i="3" s="1"/>
  <c r="C446" i="4" s="1"/>
  <c r="E456" i="6" s="1"/>
  <c r="F456" i="6" s="1"/>
  <c r="C445" i="4"/>
  <c r="E455" i="6" s="1"/>
  <c r="F455" i="6" s="1"/>
  <c r="H8525" i="3"/>
  <c r="G9180" i="3"/>
  <c r="H9180" i="3" s="1"/>
  <c r="G9206" i="3"/>
  <c r="H9153" i="3"/>
  <c r="H8547" i="3"/>
  <c r="G8572" i="3"/>
  <c r="H8548" i="3"/>
  <c r="G8573" i="3"/>
  <c r="G8595" i="3"/>
  <c r="H8570" i="3"/>
  <c r="D445" i="5" l="1"/>
  <c r="E456" i="7" s="1"/>
  <c r="F456" i="7" s="1"/>
  <c r="H8535" i="3"/>
  <c r="H8536" i="3" s="1"/>
  <c r="H8537" i="3" s="1"/>
  <c r="C447" i="4" s="1"/>
  <c r="E457" i="6" s="1"/>
  <c r="F457" i="6" s="1"/>
  <c r="H8549" i="3"/>
  <c r="G9232" i="3"/>
  <c r="H9206" i="3"/>
  <c r="G8598" i="3"/>
  <c r="H8573" i="3"/>
  <c r="G8597" i="3"/>
  <c r="H8572" i="3"/>
  <c r="H8595" i="3"/>
  <c r="G8620" i="3"/>
  <c r="D446" i="5" l="1"/>
  <c r="E457" i="7" s="1"/>
  <c r="F457" i="7" s="1"/>
  <c r="H8560" i="3"/>
  <c r="H8561" i="3" s="1"/>
  <c r="H8562" i="3" s="1"/>
  <c r="H8574" i="3"/>
  <c r="C448" i="4"/>
  <c r="E458" i="6" s="1"/>
  <c r="F458" i="6" s="1"/>
  <c r="G9258" i="3"/>
  <c r="H9232" i="3"/>
  <c r="G8623" i="3"/>
  <c r="H8598" i="3"/>
  <c r="G8622" i="3"/>
  <c r="H8597" i="3"/>
  <c r="H8620" i="3"/>
  <c r="G8645" i="3"/>
  <c r="D447" i="5" l="1"/>
  <c r="E458" i="7" s="1"/>
  <c r="F458" i="7" s="1"/>
  <c r="H8585" i="3"/>
  <c r="H8586" i="3" s="1"/>
  <c r="H8587" i="3" s="1"/>
  <c r="C449" i="4" s="1"/>
  <c r="E459" i="6" s="1"/>
  <c r="F459" i="6" s="1"/>
  <c r="H8599" i="3"/>
  <c r="G9286" i="3"/>
  <c r="H9258" i="3"/>
  <c r="G8647" i="3"/>
  <c r="H8622" i="3"/>
  <c r="G8648" i="3"/>
  <c r="H8623" i="3"/>
  <c r="H8645" i="3"/>
  <c r="G8669" i="3"/>
  <c r="D448" i="5" l="1"/>
  <c r="E459" i="7" s="1"/>
  <c r="F459" i="7" s="1"/>
  <c r="H8610" i="3"/>
  <c r="H8611" i="3" s="1"/>
  <c r="H8612" i="3" s="1"/>
  <c r="C450" i="4" s="1"/>
  <c r="E460" i="6" s="1"/>
  <c r="F460" i="6" s="1"/>
  <c r="G9312" i="3"/>
  <c r="H9286" i="3"/>
  <c r="H8624" i="3"/>
  <c r="G8672" i="3"/>
  <c r="H8648" i="3"/>
  <c r="G8671" i="3"/>
  <c r="H8647" i="3"/>
  <c r="H8669" i="3"/>
  <c r="G8693" i="3"/>
  <c r="D449" i="5" l="1"/>
  <c r="E460" i="7"/>
  <c r="F460" i="7" s="1"/>
  <c r="H8635" i="3"/>
  <c r="H9312" i="3"/>
  <c r="G9342" i="3"/>
  <c r="H8649" i="3"/>
  <c r="H8636" i="3"/>
  <c r="H8637" i="3" s="1"/>
  <c r="G8695" i="3"/>
  <c r="H8671" i="3"/>
  <c r="G8696" i="3"/>
  <c r="H8672" i="3"/>
  <c r="G8717" i="3"/>
  <c r="H8693" i="3"/>
  <c r="D450" i="5" l="1"/>
  <c r="E461" i="7" s="1"/>
  <c r="F461" i="7" s="1"/>
  <c r="H8659" i="3"/>
  <c r="H8660" i="3" s="1"/>
  <c r="H8661" i="3" s="1"/>
  <c r="C452" i="4" s="1"/>
  <c r="E462" i="6" s="1"/>
  <c r="F462" i="6" s="1"/>
  <c r="G9367" i="3"/>
  <c r="G9394" i="3" s="1"/>
  <c r="H9342" i="3"/>
  <c r="C451" i="4"/>
  <c r="E461" i="6" s="1"/>
  <c r="F461" i="6" s="1"/>
  <c r="H8673" i="3"/>
  <c r="G8720" i="3"/>
  <c r="H8696" i="3"/>
  <c r="G8719" i="3"/>
  <c r="H8695" i="3"/>
  <c r="G8742" i="3"/>
  <c r="H8717" i="3"/>
  <c r="D451" i="5" l="1"/>
  <c r="E462" i="7" s="1"/>
  <c r="F462" i="7" s="1"/>
  <c r="H8683" i="3"/>
  <c r="H8684" i="3" s="1"/>
  <c r="H8685" i="3" s="1"/>
  <c r="C453" i="4" s="1"/>
  <c r="E463" i="6" s="1"/>
  <c r="F463" i="6" s="1"/>
  <c r="H9367" i="3"/>
  <c r="H8742" i="3"/>
  <c r="G8769" i="3"/>
  <c r="G8836" i="3"/>
  <c r="H8697" i="3"/>
  <c r="G8745" i="3"/>
  <c r="H8720" i="3"/>
  <c r="G8744" i="3"/>
  <c r="H8719" i="3"/>
  <c r="D452" i="5" l="1"/>
  <c r="E463" i="7" s="1"/>
  <c r="F463" i="7" s="1"/>
  <c r="H8707" i="3"/>
  <c r="H8708" i="3" s="1"/>
  <c r="H8709" i="3" s="1"/>
  <c r="C454" i="4" s="1"/>
  <c r="E464" i="6" s="1"/>
  <c r="F464" i="6" s="1"/>
  <c r="H8721" i="3"/>
  <c r="H8744" i="3"/>
  <c r="G8838" i="3"/>
  <c r="H8745" i="3"/>
  <c r="G8770" i="3"/>
  <c r="G8839" i="3"/>
  <c r="H8836" i="3"/>
  <c r="G8871" i="3"/>
  <c r="G8791" i="3"/>
  <c r="H8769" i="3"/>
  <c r="D453" i="5" l="1"/>
  <c r="E464" i="7"/>
  <c r="F464" i="7" s="1"/>
  <c r="H8732" i="3"/>
  <c r="H8733" i="3" s="1"/>
  <c r="H8734" i="3" s="1"/>
  <c r="C455" i="4" s="1"/>
  <c r="E465" i="6" s="1"/>
  <c r="F465" i="6" s="1"/>
  <c r="G9421" i="3"/>
  <c r="H9394" i="3"/>
  <c r="H8871" i="3"/>
  <c r="G8901" i="3"/>
  <c r="G8792" i="3"/>
  <c r="H8770" i="3"/>
  <c r="H8771" i="3" s="1"/>
  <c r="G8873" i="3"/>
  <c r="H8838" i="3"/>
  <c r="G8813" i="3"/>
  <c r="H8813" i="3" s="1"/>
  <c r="H8791" i="3"/>
  <c r="G8874" i="3"/>
  <c r="H8839" i="3"/>
  <c r="H8746" i="3"/>
  <c r="D454" i="5" l="1"/>
  <c r="E465" i="7"/>
  <c r="F465" i="7" s="1"/>
  <c r="H8781" i="3"/>
  <c r="H8782" i="3" s="1"/>
  <c r="H8783" i="3" s="1"/>
  <c r="C459" i="4" s="1"/>
  <c r="E470" i="6" s="1"/>
  <c r="F470" i="6" s="1"/>
  <c r="H8757" i="3"/>
  <c r="H8758" i="3" s="1"/>
  <c r="H8759" i="3" s="1"/>
  <c r="C456" i="4" s="1"/>
  <c r="E466" i="6" s="1"/>
  <c r="F466" i="6" s="1"/>
  <c r="F467" i="6" s="1"/>
  <c r="G20" i="8" s="1"/>
  <c r="G9448" i="3"/>
  <c r="H9421" i="3"/>
  <c r="H8840" i="3"/>
  <c r="G8904" i="3"/>
  <c r="H8874" i="3"/>
  <c r="H8901" i="3"/>
  <c r="G8925" i="3"/>
  <c r="G8903" i="3"/>
  <c r="H8873" i="3"/>
  <c r="H8875" i="3" s="1"/>
  <c r="G8814" i="3"/>
  <c r="H8814" i="3" s="1"/>
  <c r="H8815" i="3" s="1"/>
  <c r="H8792" i="3"/>
  <c r="H8793" i="3" s="1"/>
  <c r="D455" i="5" l="1"/>
  <c r="D458" i="5"/>
  <c r="E470" i="7" s="1"/>
  <c r="F470" i="7" s="1"/>
  <c r="E466" i="7"/>
  <c r="F466" i="7" s="1"/>
  <c r="F467" i="7" s="1"/>
  <c r="G20" i="9" s="1"/>
  <c r="H8803" i="3"/>
  <c r="H8804" i="3" s="1"/>
  <c r="H8805" i="3" s="1"/>
  <c r="C460" i="4" s="1"/>
  <c r="E471" i="6" s="1"/>
  <c r="F471" i="6" s="1"/>
  <c r="H8861" i="3"/>
  <c r="H8862" i="3" s="1"/>
  <c r="H8863" i="3" s="1"/>
  <c r="C463" i="4" s="1"/>
  <c r="E474" i="6" s="1"/>
  <c r="F474" i="6" s="1"/>
  <c r="H8891" i="3"/>
  <c r="H8892" i="3" s="1"/>
  <c r="H8893" i="3" s="1"/>
  <c r="C464" i="4" s="1"/>
  <c r="E475" i="6" s="1"/>
  <c r="F475" i="6" s="1"/>
  <c r="H8825" i="3"/>
  <c r="H8826" i="3" s="1"/>
  <c r="H8827" i="3" s="1"/>
  <c r="C461" i="4" s="1"/>
  <c r="E472" i="6" s="1"/>
  <c r="F472" i="6" s="1"/>
  <c r="H8857" i="3"/>
  <c r="H8858" i="3" s="1"/>
  <c r="H8859" i="3" s="1"/>
  <c r="C462" i="4" s="1"/>
  <c r="E473" i="6" s="1"/>
  <c r="F473" i="6" s="1"/>
  <c r="G9474" i="3"/>
  <c r="H9474" i="3" s="1"/>
  <c r="G9499" i="3"/>
  <c r="H9448" i="3"/>
  <c r="H8925" i="3"/>
  <c r="G8974" i="3"/>
  <c r="G9000" i="3" s="1"/>
  <c r="G8951" i="3"/>
  <c r="G8928" i="3"/>
  <c r="H8904" i="3"/>
  <c r="G8927" i="3"/>
  <c r="H8903" i="3"/>
  <c r="D463" i="5" l="1"/>
  <c r="D460" i="5"/>
  <c r="D461" i="5"/>
  <c r="D459" i="5"/>
  <c r="E472" i="7"/>
  <c r="F472" i="7" s="1"/>
  <c r="E471" i="7"/>
  <c r="F471" i="7" s="1"/>
  <c r="E475" i="7"/>
  <c r="F475" i="7" s="1"/>
  <c r="E473" i="7"/>
  <c r="F473" i="7" s="1"/>
  <c r="H8905" i="3"/>
  <c r="G9552" i="3"/>
  <c r="G9527" i="3"/>
  <c r="H9527" i="3" s="1"/>
  <c r="H9499" i="3"/>
  <c r="G8952" i="3"/>
  <c r="H8952" i="3" s="1"/>
  <c r="G8977" i="3"/>
  <c r="H8928" i="3"/>
  <c r="G8976" i="3"/>
  <c r="H8927" i="3"/>
  <c r="H9000" i="3"/>
  <c r="G9026" i="3"/>
  <c r="H8974" i="3"/>
  <c r="H8951" i="3"/>
  <c r="D462" i="5" l="1"/>
  <c r="H8953" i="3"/>
  <c r="E474" i="7"/>
  <c r="F474" i="7" s="1"/>
  <c r="H8964" i="3"/>
  <c r="H8965" i="3" s="1"/>
  <c r="H8966" i="3" s="1"/>
  <c r="C467" i="4" s="1"/>
  <c r="E478" i="6" s="1"/>
  <c r="F478" i="6" s="1"/>
  <c r="H8915" i="3"/>
  <c r="H8916" i="3" s="1"/>
  <c r="H8917" i="3" s="1"/>
  <c r="C465" i="4" s="1"/>
  <c r="E476" i="6" s="1"/>
  <c r="F476" i="6" s="1"/>
  <c r="H8929" i="3"/>
  <c r="G9580" i="3"/>
  <c r="H9552" i="3"/>
  <c r="G9003" i="3"/>
  <c r="H8977" i="3"/>
  <c r="G9051" i="3"/>
  <c r="H9026" i="3"/>
  <c r="G9002" i="3"/>
  <c r="H8976" i="3"/>
  <c r="D464" i="5" l="1"/>
  <c r="D466" i="5"/>
  <c r="E476" i="7"/>
  <c r="F476" i="7" s="1"/>
  <c r="E478" i="7"/>
  <c r="F478" i="7" s="1"/>
  <c r="H8941" i="3"/>
  <c r="H8942" i="3" s="1"/>
  <c r="H8943" i="3" s="1"/>
  <c r="C466" i="4" s="1"/>
  <c r="E477" i="6" s="1"/>
  <c r="F477" i="6" s="1"/>
  <c r="H8978" i="3"/>
  <c r="G9605" i="3"/>
  <c r="H9580" i="3"/>
  <c r="G9028" i="3"/>
  <c r="H9002" i="3"/>
  <c r="H9051" i="3"/>
  <c r="G9101" i="3"/>
  <c r="G9075" i="3"/>
  <c r="H9075" i="3" s="1"/>
  <c r="G9029" i="3"/>
  <c r="H9003" i="3"/>
  <c r="D465" i="5" l="1"/>
  <c r="E477" i="7"/>
  <c r="F477" i="7" s="1"/>
  <c r="H8990" i="3"/>
  <c r="H8991" i="3" s="1"/>
  <c r="H8992" i="3" s="1"/>
  <c r="C468" i="4" s="1"/>
  <c r="E479" i="6" s="1"/>
  <c r="F479" i="6" s="1"/>
  <c r="G9632" i="3"/>
  <c r="H9605" i="3"/>
  <c r="G9054" i="3"/>
  <c r="H9029" i="3"/>
  <c r="G9127" i="3"/>
  <c r="H9101" i="3"/>
  <c r="H9004" i="3"/>
  <c r="G9053" i="3"/>
  <c r="H9028" i="3"/>
  <c r="H9030" i="3" s="1"/>
  <c r="D467" i="5" l="1"/>
  <c r="E479" i="7" s="1"/>
  <c r="F479" i="7" s="1"/>
  <c r="H9016" i="3"/>
  <c r="H9017" i="3" s="1"/>
  <c r="H9018" i="3" s="1"/>
  <c r="C469" i="4" s="1"/>
  <c r="E480" i="6" s="1"/>
  <c r="F480" i="6" s="1"/>
  <c r="H9041" i="3"/>
  <c r="H9042" i="3" s="1"/>
  <c r="H9043" i="3" s="1"/>
  <c r="C470" i="4" s="1"/>
  <c r="E481" i="6" s="1"/>
  <c r="F481" i="6" s="1"/>
  <c r="G9656" i="3"/>
  <c r="H9632" i="3"/>
  <c r="G9077" i="3"/>
  <c r="H9077" i="3" s="1"/>
  <c r="G9103" i="3"/>
  <c r="H9053" i="3"/>
  <c r="H9127" i="3"/>
  <c r="G9152" i="3"/>
  <c r="G9078" i="3"/>
  <c r="H9078" i="3" s="1"/>
  <c r="G9104" i="3"/>
  <c r="H9054" i="3"/>
  <c r="D468" i="5" l="1"/>
  <c r="D469" i="5"/>
  <c r="E481" i="7" s="1"/>
  <c r="F481" i="7" s="1"/>
  <c r="E480" i="7"/>
  <c r="F480" i="7" s="1"/>
  <c r="G9685" i="3"/>
  <c r="H9656" i="3"/>
  <c r="G9130" i="3"/>
  <c r="H9104" i="3"/>
  <c r="G9205" i="3"/>
  <c r="G9179" i="3"/>
  <c r="H9179" i="3" s="1"/>
  <c r="H9152" i="3"/>
  <c r="G9129" i="3"/>
  <c r="H9103" i="3"/>
  <c r="H9105" i="3" s="1"/>
  <c r="H9055" i="3"/>
  <c r="H9079" i="3"/>
  <c r="H9117" i="3" l="1"/>
  <c r="H9118" i="3" s="1"/>
  <c r="H9119" i="3" s="1"/>
  <c r="C473" i="4" s="1"/>
  <c r="E484" i="6" s="1"/>
  <c r="F484" i="6" s="1"/>
  <c r="H9065" i="3"/>
  <c r="H9066" i="3" s="1"/>
  <c r="H9067" i="3" s="1"/>
  <c r="C471" i="4" s="1"/>
  <c r="E482" i="6" s="1"/>
  <c r="F482" i="6" s="1"/>
  <c r="H9091" i="3"/>
  <c r="H9092" i="3" s="1"/>
  <c r="H9093" i="3" s="1"/>
  <c r="C472" i="4" s="1"/>
  <c r="E483" i="6" s="1"/>
  <c r="F483" i="6" s="1"/>
  <c r="G9714" i="3"/>
  <c r="H9685" i="3"/>
  <c r="G9154" i="3"/>
  <c r="H9129" i="3"/>
  <c r="G9231" i="3"/>
  <c r="H9205" i="3"/>
  <c r="G9155" i="3"/>
  <c r="H9130" i="3"/>
  <c r="D471" i="5" l="1"/>
  <c r="D472" i="5"/>
  <c r="E484" i="7" s="1"/>
  <c r="F484" i="7" s="1"/>
  <c r="D470" i="5"/>
  <c r="E483" i="7"/>
  <c r="F483" i="7" s="1"/>
  <c r="E482" i="7"/>
  <c r="F482" i="7" s="1"/>
  <c r="G9768" i="3"/>
  <c r="H9714" i="3"/>
  <c r="G9208" i="3"/>
  <c r="G9182" i="3"/>
  <c r="H9182" i="3" s="1"/>
  <c r="H9155" i="3"/>
  <c r="H9231" i="3"/>
  <c r="G9257" i="3"/>
  <c r="H9131" i="3"/>
  <c r="G9181" i="3"/>
  <c r="H9181" i="3" s="1"/>
  <c r="H9183" i="3" s="1"/>
  <c r="G9207" i="3"/>
  <c r="H9154" i="3"/>
  <c r="H9156" i="3" l="1"/>
  <c r="H9169" i="3"/>
  <c r="H9170" i="3" s="1"/>
  <c r="H9171" i="3" s="1"/>
  <c r="C475" i="4" s="1"/>
  <c r="E486" i="6" s="1"/>
  <c r="F486" i="6" s="1"/>
  <c r="H9142" i="3"/>
  <c r="H9143" i="3" s="1"/>
  <c r="H9144" i="3" s="1"/>
  <c r="C474" i="4" s="1"/>
  <c r="E485" i="6" s="1"/>
  <c r="F485" i="6" s="1"/>
  <c r="H9195" i="3"/>
  <c r="H9196" i="3" s="1"/>
  <c r="H9197" i="3" s="1"/>
  <c r="C476" i="4" s="1"/>
  <c r="E487" i="6" s="1"/>
  <c r="F487" i="6" s="1"/>
  <c r="G9743" i="3"/>
  <c r="H9768" i="3"/>
  <c r="G9233" i="3"/>
  <c r="H9207" i="3"/>
  <c r="G9285" i="3"/>
  <c r="H9257" i="3"/>
  <c r="G9234" i="3"/>
  <c r="H9208" i="3"/>
  <c r="D475" i="5" l="1"/>
  <c r="D473" i="5"/>
  <c r="D474" i="5"/>
  <c r="E486" i="7" s="1"/>
  <c r="F486" i="7" s="1"/>
  <c r="E487" i="7"/>
  <c r="F487" i="7" s="1"/>
  <c r="E485" i="7"/>
  <c r="F485" i="7" s="1"/>
  <c r="G9818" i="3"/>
  <c r="G9843" i="3" s="1"/>
  <c r="H9743" i="3"/>
  <c r="G9260" i="3"/>
  <c r="H9234" i="3"/>
  <c r="G9311" i="3"/>
  <c r="H9285" i="3"/>
  <c r="H9209" i="3"/>
  <c r="G9259" i="3"/>
  <c r="H9233" i="3"/>
  <c r="H9235" i="3" s="1"/>
  <c r="H9221" i="3" l="1"/>
  <c r="H9222" i="3" s="1"/>
  <c r="H9223" i="3" s="1"/>
  <c r="C477" i="4" s="1"/>
  <c r="E488" i="6" s="1"/>
  <c r="F488" i="6" s="1"/>
  <c r="H9247" i="3"/>
  <c r="H9248" i="3" s="1"/>
  <c r="H9249" i="3" s="1"/>
  <c r="C478" i="4" s="1"/>
  <c r="E489" i="6" s="1"/>
  <c r="F489" i="6" s="1"/>
  <c r="H9311" i="3"/>
  <c r="G9341" i="3"/>
  <c r="G9793" i="3"/>
  <c r="H9818" i="3"/>
  <c r="G9287" i="3"/>
  <c r="H9259" i="3"/>
  <c r="G9288" i="3"/>
  <c r="H9260" i="3"/>
  <c r="D476" i="5" l="1"/>
  <c r="D477" i="5"/>
  <c r="E489" i="7" s="1"/>
  <c r="F489" i="7" s="1"/>
  <c r="E488" i="7"/>
  <c r="F488" i="7" s="1"/>
  <c r="H9341" i="3"/>
  <c r="G9366" i="3"/>
  <c r="G9393" i="3" s="1"/>
  <c r="H9793" i="3"/>
  <c r="G9314" i="3"/>
  <c r="H9288" i="3"/>
  <c r="H9261" i="3"/>
  <c r="G9313" i="3"/>
  <c r="H9287" i="3"/>
  <c r="H9275" i="3" l="1"/>
  <c r="H9276" i="3" s="1"/>
  <c r="H9277" i="3" s="1"/>
  <c r="C479" i="4" s="1"/>
  <c r="E490" i="6" s="1"/>
  <c r="F490" i="6" s="1"/>
  <c r="H9289" i="3"/>
  <c r="H9313" i="3"/>
  <c r="G9343" i="3"/>
  <c r="H9314" i="3"/>
  <c r="G9344" i="3"/>
  <c r="H9366" i="3"/>
  <c r="D478" i="5" l="1"/>
  <c r="E490" i="7" s="1"/>
  <c r="F490" i="7" s="1"/>
  <c r="H9301" i="3"/>
  <c r="H9302" i="3" s="1"/>
  <c r="H9303" i="3" s="1"/>
  <c r="C480" i="4" s="1"/>
  <c r="E491" i="6" s="1"/>
  <c r="F491" i="6" s="1"/>
  <c r="G9368" i="3"/>
  <c r="G9395" i="3" s="1"/>
  <c r="H9343" i="3"/>
  <c r="G9868" i="3"/>
  <c r="H9843" i="3"/>
  <c r="G9369" i="3"/>
  <c r="G9396" i="3" s="1"/>
  <c r="H9344" i="3"/>
  <c r="H9315" i="3"/>
  <c r="D479" i="5" l="1"/>
  <c r="E491" i="7" s="1"/>
  <c r="F491" i="7" s="1"/>
  <c r="H9329" i="3"/>
  <c r="H9330" i="3" s="1"/>
  <c r="H9331" i="3" s="1"/>
  <c r="C481" i="4" s="1"/>
  <c r="E492" i="6" s="1"/>
  <c r="F492" i="6" s="1"/>
  <c r="F493" i="6" s="1"/>
  <c r="G21" i="8" s="1"/>
  <c r="H9369" i="3"/>
  <c r="G9893" i="3"/>
  <c r="H9893" i="3" s="1"/>
  <c r="G9918" i="3"/>
  <c r="H9868" i="3"/>
  <c r="H9345" i="3"/>
  <c r="H9368" i="3"/>
  <c r="H9370" i="3" s="1"/>
  <c r="G9420" i="3"/>
  <c r="H9393" i="3"/>
  <c r="D480" i="5" l="1"/>
  <c r="E492" i="7" s="1"/>
  <c r="F492" i="7" s="1"/>
  <c r="F493" i="7" s="1"/>
  <c r="G21" i="9" s="1"/>
  <c r="H9356" i="3"/>
  <c r="H9357" i="3" s="1"/>
  <c r="H9358" i="3" s="1"/>
  <c r="C484" i="4" s="1"/>
  <c r="E496" i="6" s="1"/>
  <c r="F496" i="6" s="1"/>
  <c r="H9383" i="3"/>
  <c r="H9384" i="3" s="1"/>
  <c r="H9385" i="3" s="1"/>
  <c r="C485" i="4" s="1"/>
  <c r="E497" i="6" s="1"/>
  <c r="F497" i="6" s="1"/>
  <c r="H9420" i="3"/>
  <c r="G9447" i="3"/>
  <c r="G9943" i="3"/>
  <c r="H9918" i="3"/>
  <c r="D484" i="5" l="1"/>
  <c r="E497" i="7" s="1"/>
  <c r="F497" i="7" s="1"/>
  <c r="D483" i="5"/>
  <c r="E496" i="7" s="1"/>
  <c r="F496" i="7" s="1"/>
  <c r="G9968" i="3"/>
  <c r="H9943" i="3"/>
  <c r="H9447" i="3"/>
  <c r="G9473" i="3"/>
  <c r="H9473" i="3" s="1"/>
  <c r="G9498" i="3"/>
  <c r="G9423" i="3"/>
  <c r="H9396" i="3"/>
  <c r="G9422" i="3"/>
  <c r="H9395" i="3"/>
  <c r="H9397" i="3" l="1"/>
  <c r="G9450" i="3"/>
  <c r="H9423" i="3"/>
  <c r="G9449" i="3"/>
  <c r="H9422" i="3"/>
  <c r="G9526" i="3"/>
  <c r="H9526" i="3" s="1"/>
  <c r="G9551" i="3"/>
  <c r="H9498" i="3"/>
  <c r="G9994" i="3"/>
  <c r="G10019" i="3" s="1"/>
  <c r="G10046" i="3" s="1"/>
  <c r="H9968" i="3"/>
  <c r="H9410" i="3" l="1"/>
  <c r="H9411" i="3" s="1"/>
  <c r="H9412" i="3" s="1"/>
  <c r="C486" i="4" s="1"/>
  <c r="E498" i="6" s="1"/>
  <c r="F498" i="6" s="1"/>
  <c r="G10075" i="3"/>
  <c r="H10046" i="3"/>
  <c r="H9424" i="3"/>
  <c r="H9551" i="3"/>
  <c r="G9579" i="3"/>
  <c r="H9994" i="3"/>
  <c r="G9475" i="3"/>
  <c r="H9475" i="3" s="1"/>
  <c r="G9500" i="3"/>
  <c r="H9449" i="3"/>
  <c r="G9476" i="3"/>
  <c r="H9476" i="3" s="1"/>
  <c r="G9501" i="3"/>
  <c r="H9450" i="3"/>
  <c r="D485" i="5" l="1"/>
  <c r="E498" i="7"/>
  <c r="F498" i="7" s="1"/>
  <c r="H9437" i="3"/>
  <c r="H9438" i="3" s="1"/>
  <c r="H9439" i="3" s="1"/>
  <c r="C487" i="4" s="1"/>
  <c r="E499" i="6" s="1"/>
  <c r="F499" i="6" s="1"/>
  <c r="H10075" i="3"/>
  <c r="G10108" i="3"/>
  <c r="H9451" i="3"/>
  <c r="G9554" i="3"/>
  <c r="G9529" i="3"/>
  <c r="H9529" i="3" s="1"/>
  <c r="H9501" i="3"/>
  <c r="G9553" i="3"/>
  <c r="G9528" i="3"/>
  <c r="H9528" i="3" s="1"/>
  <c r="H9500" i="3"/>
  <c r="G9604" i="3"/>
  <c r="H9579" i="3"/>
  <c r="H9477" i="3"/>
  <c r="H10019" i="3"/>
  <c r="D486" i="5" l="1"/>
  <c r="H9502" i="3"/>
  <c r="E499" i="7"/>
  <c r="F499" i="7" s="1"/>
  <c r="H9516" i="3"/>
  <c r="H9517" i="3" s="1"/>
  <c r="H9518" i="3" s="1"/>
  <c r="C490" i="4" s="1"/>
  <c r="E502" i="6" s="1"/>
  <c r="F502" i="6" s="1"/>
  <c r="H9463" i="3"/>
  <c r="H9464" i="3" s="1"/>
  <c r="H9465" i="3" s="1"/>
  <c r="C488" i="4" s="1"/>
  <c r="E500" i="6" s="1"/>
  <c r="F500" i="6" s="1"/>
  <c r="H9488" i="3"/>
  <c r="H9489" i="3" s="1"/>
  <c r="H9490" i="3" s="1"/>
  <c r="C489" i="4" s="1"/>
  <c r="E501" i="6" s="1"/>
  <c r="F501" i="6" s="1"/>
  <c r="G10139" i="3"/>
  <c r="H10108" i="3"/>
  <c r="H9530" i="3"/>
  <c r="H9604" i="3"/>
  <c r="G9631" i="3"/>
  <c r="G9582" i="3"/>
  <c r="H9554" i="3"/>
  <c r="G9581" i="3"/>
  <c r="H9553" i="3"/>
  <c r="D488" i="5" l="1"/>
  <c r="D489" i="5"/>
  <c r="D487" i="5"/>
  <c r="E500" i="7" s="1"/>
  <c r="F500" i="7" s="1"/>
  <c r="E501" i="7"/>
  <c r="F501" i="7" s="1"/>
  <c r="E502" i="7"/>
  <c r="F502" i="7" s="1"/>
  <c r="H9541" i="3"/>
  <c r="H9542" i="3" s="1"/>
  <c r="H9543" i="3" s="1"/>
  <c r="C491" i="4" s="1"/>
  <c r="E503" i="6" s="1"/>
  <c r="F503" i="6" s="1"/>
  <c r="G10164" i="3"/>
  <c r="H10139" i="3"/>
  <c r="H9555" i="3"/>
  <c r="G9655" i="3"/>
  <c r="H9631" i="3"/>
  <c r="G9606" i="3"/>
  <c r="H9581" i="3"/>
  <c r="G9607" i="3"/>
  <c r="H9582" i="3"/>
  <c r="D490" i="5" l="1"/>
  <c r="E503" i="7"/>
  <c r="F503" i="7" s="1"/>
  <c r="H9569" i="3"/>
  <c r="H9570" i="3" s="1"/>
  <c r="H9571" i="3" s="1"/>
  <c r="C492" i="4" s="1"/>
  <c r="E504" i="6" s="1"/>
  <c r="F504" i="6" s="1"/>
  <c r="G10190" i="3"/>
  <c r="H10164" i="3"/>
  <c r="G9634" i="3"/>
  <c r="H9607" i="3"/>
  <c r="G9633" i="3"/>
  <c r="H9606" i="3"/>
  <c r="H9583" i="3"/>
  <c r="G9684" i="3"/>
  <c r="H9655" i="3"/>
  <c r="D491" i="5" l="1"/>
  <c r="H9608" i="3"/>
  <c r="E504" i="7"/>
  <c r="F504" i="7" s="1"/>
  <c r="H9594" i="3"/>
  <c r="H9595" i="3" s="1"/>
  <c r="H9596" i="3" s="1"/>
  <c r="C493" i="4" s="1"/>
  <c r="E505" i="6" s="1"/>
  <c r="F505" i="6" s="1"/>
  <c r="H9621" i="3"/>
  <c r="H9622" i="3" s="1"/>
  <c r="H9623" i="3" s="1"/>
  <c r="C494" i="4" s="1"/>
  <c r="E506" i="6" s="1"/>
  <c r="F506" i="6" s="1"/>
  <c r="G10216" i="3"/>
  <c r="H10190" i="3"/>
  <c r="H9684" i="3"/>
  <c r="G9713" i="3"/>
  <c r="G9657" i="3"/>
  <c r="H9633" i="3"/>
  <c r="G9658" i="3"/>
  <c r="H9634" i="3"/>
  <c r="D492" i="5" l="1"/>
  <c r="D493" i="5"/>
  <c r="E506" i="7" s="1"/>
  <c r="F506" i="7" s="1"/>
  <c r="E505" i="7"/>
  <c r="F505" i="7" s="1"/>
  <c r="H10216" i="3"/>
  <c r="G10241" i="3"/>
  <c r="H10241" i="3" s="1"/>
  <c r="G9687" i="3"/>
  <c r="H9658" i="3"/>
  <c r="H9713" i="3"/>
  <c r="G9767" i="3"/>
  <c r="H9635" i="3"/>
  <c r="G9686" i="3"/>
  <c r="H9657" i="3"/>
  <c r="H9659" i="3" s="1"/>
  <c r="H9674" i="3" l="1"/>
  <c r="H9675" i="3" s="1"/>
  <c r="H9676" i="3" s="1"/>
  <c r="C496" i="4" s="1"/>
  <c r="E508" i="6" s="1"/>
  <c r="F508" i="6" s="1"/>
  <c r="H9645" i="3"/>
  <c r="H9646" i="3" s="1"/>
  <c r="H9647" i="3" s="1"/>
  <c r="C495" i="4" s="1"/>
  <c r="E507" i="6" s="1"/>
  <c r="F507" i="6" s="1"/>
  <c r="G9715" i="3"/>
  <c r="H9686" i="3"/>
  <c r="H9767" i="3"/>
  <c r="G9742" i="3"/>
  <c r="G9716" i="3"/>
  <c r="H9687" i="3"/>
  <c r="D494" i="5" l="1"/>
  <c r="D495" i="5"/>
  <c r="E508" i="7" s="1"/>
  <c r="F508" i="7" s="1"/>
  <c r="E507" i="7"/>
  <c r="F507" i="7" s="1"/>
  <c r="G9817" i="3"/>
  <c r="G9842" i="3" s="1"/>
  <c r="H9742" i="3"/>
  <c r="G9770" i="3"/>
  <c r="H9716" i="3"/>
  <c r="H9688" i="3"/>
  <c r="G9769" i="3"/>
  <c r="H9715" i="3"/>
  <c r="H9717" i="3" s="1"/>
  <c r="H9732" i="3" l="1"/>
  <c r="H9733" i="3" s="1"/>
  <c r="H9734" i="3" s="1"/>
  <c r="C498" i="4" s="1"/>
  <c r="E510" i="6" s="1"/>
  <c r="F510" i="6" s="1"/>
  <c r="H9703" i="3"/>
  <c r="H9704" i="3" s="1"/>
  <c r="H9705" i="3" s="1"/>
  <c r="C497" i="4" s="1"/>
  <c r="E509" i="6" s="1"/>
  <c r="F509" i="6" s="1"/>
  <c r="G9745" i="3"/>
  <c r="H9770" i="3"/>
  <c r="G9744" i="3"/>
  <c r="H9769" i="3"/>
  <c r="G9792" i="3"/>
  <c r="H9817" i="3"/>
  <c r="D496" i="5" l="1"/>
  <c r="E509" i="7" s="1"/>
  <c r="F509" i="7" s="1"/>
  <c r="D497" i="5"/>
  <c r="E510" i="7" s="1"/>
  <c r="F510" i="7" s="1"/>
  <c r="H9771" i="3"/>
  <c r="H9792" i="3"/>
  <c r="G9819" i="3"/>
  <c r="G9844" i="3" s="1"/>
  <c r="H9744" i="3"/>
  <c r="G9820" i="3"/>
  <c r="G9845" i="3" s="1"/>
  <c r="H9745" i="3"/>
  <c r="H9782" i="3" l="1"/>
  <c r="H9783" i="3" s="1"/>
  <c r="H9784" i="3" s="1"/>
  <c r="C500" i="4" s="1"/>
  <c r="E512" i="6" s="1"/>
  <c r="F512" i="6" s="1"/>
  <c r="H9746" i="3"/>
  <c r="G9795" i="3"/>
  <c r="H9820" i="3"/>
  <c r="G9794" i="3"/>
  <c r="H9819" i="3"/>
  <c r="D499" i="5" l="1"/>
  <c r="E512" i="7"/>
  <c r="F512" i="7" s="1"/>
  <c r="H9757" i="3"/>
  <c r="H9758" i="3" s="1"/>
  <c r="H9759" i="3" s="1"/>
  <c r="C499" i="4" s="1"/>
  <c r="E511" i="6" s="1"/>
  <c r="F511" i="6" s="1"/>
  <c r="H9821" i="3"/>
  <c r="H9842" i="3"/>
  <c r="G9867" i="3"/>
  <c r="H9794" i="3"/>
  <c r="H9795" i="3"/>
  <c r="D498" i="5" l="1"/>
  <c r="E511" i="7"/>
  <c r="F511" i="7" s="1"/>
  <c r="H9832" i="3"/>
  <c r="H9833" i="3" s="1"/>
  <c r="H9834" i="3" s="1"/>
  <c r="C502" i="4" s="1"/>
  <c r="E514" i="6" s="1"/>
  <c r="F514" i="6" s="1"/>
  <c r="G9917" i="3"/>
  <c r="G9892" i="3"/>
  <c r="H9892" i="3" s="1"/>
  <c r="H9867" i="3"/>
  <c r="H9796" i="3"/>
  <c r="D501" i="5" l="1"/>
  <c r="E514" i="7" s="1"/>
  <c r="F514" i="7" s="1"/>
  <c r="H9807" i="3"/>
  <c r="H9808" i="3" s="1"/>
  <c r="H9809" i="3" s="1"/>
  <c r="C501" i="4" s="1"/>
  <c r="E513" i="6" s="1"/>
  <c r="F513" i="6" s="1"/>
  <c r="G9869" i="3"/>
  <c r="H9844" i="3"/>
  <c r="H9917" i="3"/>
  <c r="G9942" i="3"/>
  <c r="G9870" i="3"/>
  <c r="H9845" i="3"/>
  <c r="D500" i="5" l="1"/>
  <c r="E513" i="7" s="1"/>
  <c r="F513" i="7" s="1"/>
  <c r="G9920" i="3"/>
  <c r="G9895" i="3"/>
  <c r="H9895" i="3" s="1"/>
  <c r="H9870" i="3"/>
  <c r="G9967" i="3"/>
  <c r="H9942" i="3"/>
  <c r="H9846" i="3"/>
  <c r="G9894" i="3"/>
  <c r="H9894" i="3" s="1"/>
  <c r="H9896" i="3" s="1"/>
  <c r="G9919" i="3"/>
  <c r="H9869" i="3"/>
  <c r="H9871" i="3" s="1"/>
  <c r="H9907" i="3" l="1"/>
  <c r="H9908" i="3" s="1"/>
  <c r="H9909" i="3" s="1"/>
  <c r="C505" i="4" s="1"/>
  <c r="E517" i="6" s="1"/>
  <c r="F517" i="6" s="1"/>
  <c r="H9882" i="3"/>
  <c r="H9883" i="3" s="1"/>
  <c r="H9884" i="3" s="1"/>
  <c r="C504" i="4" s="1"/>
  <c r="E516" i="6" s="1"/>
  <c r="F516" i="6" s="1"/>
  <c r="H9857" i="3"/>
  <c r="H9858" i="3" s="1"/>
  <c r="H9859" i="3" s="1"/>
  <c r="C503" i="4" s="1"/>
  <c r="E515" i="6" s="1"/>
  <c r="F515" i="6" s="1"/>
  <c r="G9944" i="3"/>
  <c r="H9919" i="3"/>
  <c r="H9967" i="3"/>
  <c r="G9993" i="3"/>
  <c r="G10018" i="3" s="1"/>
  <c r="G10045" i="3" s="1"/>
  <c r="G9945" i="3"/>
  <c r="H9920" i="3"/>
  <c r="D502" i="5" l="1"/>
  <c r="D503" i="5"/>
  <c r="D504" i="5"/>
  <c r="E515" i="7"/>
  <c r="F515" i="7" s="1"/>
  <c r="E516" i="7"/>
  <c r="F516" i="7" s="1"/>
  <c r="E517" i="7"/>
  <c r="F517" i="7" s="1"/>
  <c r="G10074" i="3"/>
  <c r="H10045" i="3"/>
  <c r="G9970" i="3"/>
  <c r="H9945" i="3"/>
  <c r="H9993" i="3"/>
  <c r="H9921" i="3"/>
  <c r="G9969" i="3"/>
  <c r="H9944" i="3"/>
  <c r="H9946" i="3" s="1"/>
  <c r="H9957" i="3" l="1"/>
  <c r="H9958" i="3" s="1"/>
  <c r="H9959" i="3" s="1"/>
  <c r="C507" i="4" s="1"/>
  <c r="E519" i="6" s="1"/>
  <c r="F519" i="6" s="1"/>
  <c r="H9932" i="3"/>
  <c r="H9933" i="3" s="1"/>
  <c r="H9934" i="3" s="1"/>
  <c r="C506" i="4" s="1"/>
  <c r="E518" i="6" s="1"/>
  <c r="F518" i="6" s="1"/>
  <c r="H10074" i="3"/>
  <c r="G10107" i="3"/>
  <c r="G9995" i="3"/>
  <c r="G10020" i="3" s="1"/>
  <c r="G10047" i="3" s="1"/>
  <c r="H9969" i="3"/>
  <c r="H10018" i="3"/>
  <c r="G9996" i="3"/>
  <c r="G10021" i="3" s="1"/>
  <c r="G10048" i="3" s="1"/>
  <c r="H9970" i="3"/>
  <c r="D505" i="5" l="1"/>
  <c r="D506" i="5"/>
  <c r="E518" i="7"/>
  <c r="F518" i="7" s="1"/>
  <c r="E519" i="7"/>
  <c r="F519" i="7" s="1"/>
  <c r="G10138" i="3"/>
  <c r="H10107" i="3"/>
  <c r="G10077" i="3"/>
  <c r="H10048" i="3"/>
  <c r="G10076" i="3"/>
  <c r="H10047" i="3"/>
  <c r="H9996" i="3"/>
  <c r="H9971" i="3"/>
  <c r="H9995" i="3"/>
  <c r="H9997" i="3" s="1"/>
  <c r="H10008" i="3" l="1"/>
  <c r="H10009" i="3" s="1"/>
  <c r="H10010" i="3" s="1"/>
  <c r="C509" i="4" s="1"/>
  <c r="E521" i="6" s="1"/>
  <c r="F521" i="6" s="1"/>
  <c r="H9983" i="3"/>
  <c r="H9984" i="3" s="1"/>
  <c r="H9985" i="3" s="1"/>
  <c r="C508" i="4" s="1"/>
  <c r="E520" i="6" s="1"/>
  <c r="F520" i="6" s="1"/>
  <c r="H10049" i="3"/>
  <c r="H10076" i="3"/>
  <c r="G10109" i="3"/>
  <c r="H10077" i="3"/>
  <c r="G10110" i="3"/>
  <c r="G10163" i="3"/>
  <c r="H10138" i="3"/>
  <c r="H10020" i="3"/>
  <c r="H10021" i="3"/>
  <c r="D507" i="5" l="1"/>
  <c r="D508" i="5"/>
  <c r="E521" i="7" s="1"/>
  <c r="F521" i="7" s="1"/>
  <c r="E520" i="7"/>
  <c r="F520" i="7" s="1"/>
  <c r="H10064" i="3"/>
  <c r="H10065" i="3" s="1"/>
  <c r="H10066" i="3" s="1"/>
  <c r="C513" i="4" s="1"/>
  <c r="E526" i="6" s="1"/>
  <c r="F526" i="6" s="1"/>
  <c r="G10189" i="3"/>
  <c r="H10163" i="3"/>
  <c r="G10140" i="3"/>
  <c r="H10109" i="3"/>
  <c r="G10141" i="3"/>
  <c r="H10110" i="3"/>
  <c r="H10078" i="3"/>
  <c r="H10022" i="3"/>
  <c r="D512" i="5" l="1"/>
  <c r="E526" i="7" s="1"/>
  <c r="F526" i="7" s="1"/>
  <c r="H10033" i="3"/>
  <c r="H10034" i="3" s="1"/>
  <c r="H10035" i="3" s="1"/>
  <c r="C510" i="4" s="1"/>
  <c r="E522" i="6" s="1"/>
  <c r="F522" i="6" s="1"/>
  <c r="F523" i="6" s="1"/>
  <c r="G22" i="8" s="1"/>
  <c r="H10094" i="3"/>
  <c r="H10095" i="3" s="1"/>
  <c r="H10096" i="3" s="1"/>
  <c r="C514" i="4" s="1"/>
  <c r="E527" i="6" s="1"/>
  <c r="F527" i="6" s="1"/>
  <c r="F528" i="6" s="1"/>
  <c r="G23" i="8" s="1"/>
  <c r="G10165" i="3"/>
  <c r="H10140" i="3"/>
  <c r="G10166" i="3"/>
  <c r="H10141" i="3"/>
  <c r="H10111" i="3"/>
  <c r="H10189" i="3"/>
  <c r="G10215" i="3"/>
  <c r="D509" i="5" l="1"/>
  <c r="D513" i="5"/>
  <c r="E527" i="7" s="1"/>
  <c r="F527" i="7" s="1"/>
  <c r="F528" i="7" s="1"/>
  <c r="G23" i="9" s="1"/>
  <c r="E522" i="7"/>
  <c r="F522" i="7" s="1"/>
  <c r="F523" i="7" s="1"/>
  <c r="G22" i="9" s="1"/>
  <c r="H10215" i="3"/>
  <c r="G10240" i="3"/>
  <c r="H10240" i="3" s="1"/>
  <c r="G10192" i="3"/>
  <c r="H10166" i="3"/>
  <c r="H10128" i="3"/>
  <c r="H10129" i="3" s="1"/>
  <c r="H10130" i="3" s="1"/>
  <c r="C518" i="4" s="1"/>
  <c r="E532" i="6" s="1"/>
  <c r="F532" i="6" s="1"/>
  <c r="H10124" i="3"/>
  <c r="H10125" i="3" s="1"/>
  <c r="H10126" i="3" s="1"/>
  <c r="C517" i="4" s="1"/>
  <c r="E531" i="6" s="1"/>
  <c r="F531" i="6" s="1"/>
  <c r="H10142" i="3"/>
  <c r="G10191" i="3"/>
  <c r="H10165" i="3"/>
  <c r="H10167" i="3" s="1"/>
  <c r="D517" i="5" l="1"/>
  <c r="D516" i="5"/>
  <c r="E531" i="7" s="1"/>
  <c r="F531" i="7" s="1"/>
  <c r="E532" i="7"/>
  <c r="F532" i="7" s="1"/>
  <c r="H10179" i="3"/>
  <c r="H10180" i="3" s="1"/>
  <c r="H10181" i="3" s="1"/>
  <c r="C520" i="4" s="1"/>
  <c r="E534" i="6" s="1"/>
  <c r="F534" i="6" s="1"/>
  <c r="H10153" i="3"/>
  <c r="H10154" i="3" s="1"/>
  <c r="H10155" i="3" s="1"/>
  <c r="C519" i="4" s="1"/>
  <c r="E533" i="6" s="1"/>
  <c r="F533" i="6" s="1"/>
  <c r="G10217" i="3"/>
  <c r="H10191" i="3"/>
  <c r="G10218" i="3"/>
  <c r="H10192" i="3"/>
  <c r="D518" i="5" l="1"/>
  <c r="E533" i="7" s="1"/>
  <c r="F533" i="7" s="1"/>
  <c r="D519" i="5"/>
  <c r="E534" i="7" s="1"/>
  <c r="F534" i="7" s="1"/>
  <c r="H10218" i="3"/>
  <c r="G10243" i="3"/>
  <c r="H10243" i="3" s="1"/>
  <c r="H10217" i="3"/>
  <c r="H10219" i="3" s="1"/>
  <c r="G10242" i="3"/>
  <c r="H10242" i="3" s="1"/>
  <c r="H10193" i="3"/>
  <c r="H10230" i="3" l="1"/>
  <c r="H10231" i="3" s="1"/>
  <c r="H10232" i="3" s="1"/>
  <c r="C522" i="4" s="1"/>
  <c r="E536" i="6" s="1"/>
  <c r="F536" i="6" s="1"/>
  <c r="H10205" i="3"/>
  <c r="H10206" i="3" s="1"/>
  <c r="H10207" i="3" s="1"/>
  <c r="C521" i="4" s="1"/>
  <c r="E535" i="6" s="1"/>
  <c r="F535" i="6" s="1"/>
  <c r="H10244" i="3"/>
  <c r="D520" i="5" l="1"/>
  <c r="D521" i="5"/>
  <c r="E535" i="7"/>
  <c r="F535" i="7" s="1"/>
  <c r="E536" i="7"/>
  <c r="F536" i="7" s="1"/>
  <c r="H10255" i="3"/>
  <c r="H10256" i="3" s="1"/>
  <c r="H10257" i="3" s="1"/>
  <c r="C523" i="4" s="1"/>
  <c r="D522" i="5" l="1"/>
  <c r="E537" i="6"/>
  <c r="F537" i="6" s="1"/>
  <c r="F538" i="6" s="1"/>
  <c r="G24" i="8" s="1"/>
  <c r="G26" i="8" s="1"/>
  <c r="G27" i="8" s="1"/>
  <c r="G28" i="8" s="1"/>
  <c r="G29" i="8" s="1"/>
  <c r="E537" i="7"/>
  <c r="F537" i="7" s="1"/>
  <c r="F538" i="7" s="1"/>
  <c r="G24" i="9" s="1"/>
  <c r="G26" i="9" s="1"/>
  <c r="G27" i="9" s="1"/>
  <c r="G28" i="9" s="1"/>
  <c r="G29" i="9" s="1"/>
</calcChain>
</file>

<file path=xl/sharedStrings.xml><?xml version="1.0" encoding="utf-8"?>
<sst xmlns="http://schemas.openxmlformats.org/spreadsheetml/2006/main" count="20818" uniqueCount="1861">
  <si>
    <t>NO</t>
  </si>
  <si>
    <t>NAMA BARANG</t>
  </si>
  <si>
    <t>SATUAN</t>
  </si>
  <si>
    <t xml:space="preserve">HARGA SATUAN </t>
  </si>
  <si>
    <t>ASPAL, BBM DAN PELUMAS</t>
  </si>
  <si>
    <t>Kg</t>
  </si>
  <si>
    <t>Ltr</t>
  </si>
  <si>
    <t>ltr</t>
  </si>
  <si>
    <t>M3</t>
  </si>
  <si>
    <t>Minyak Diesel / Solar</t>
  </si>
  <si>
    <t>Minyak Bekisting</t>
  </si>
  <si>
    <t>Set</t>
  </si>
  <si>
    <t>BAHAN LISTRIK</t>
  </si>
  <si>
    <t>Coaxial cable 5C - 75 ohm commscope</t>
  </si>
  <si>
    <t>m1</t>
  </si>
  <si>
    <t>Box Panel (3 mm)</t>
  </si>
  <si>
    <t>Bh</t>
  </si>
  <si>
    <t>Hard Board MDF</t>
  </si>
  <si>
    <t>Lbr</t>
  </si>
  <si>
    <t>Inbow dos plastik clipsal E 157 P</t>
  </si>
  <si>
    <t>bj</t>
  </si>
  <si>
    <t>Instalasi dalam gedung</t>
  </si>
  <si>
    <t>Titik</t>
  </si>
  <si>
    <t>Instansi listrik halaman</t>
  </si>
  <si>
    <t>Kabel NYY 2 x 2,5 mm</t>
  </si>
  <si>
    <t>Kabel Twisteed 2 x 16 mm</t>
  </si>
  <si>
    <t>Kabel telephone</t>
  </si>
  <si>
    <t>Klem clipsal 20 mm</t>
  </si>
  <si>
    <t>bh</t>
  </si>
  <si>
    <t xml:space="preserve">Lampu TL 20 Watt </t>
  </si>
  <si>
    <t xml:space="preserve">Lampu TL 40 Watt </t>
  </si>
  <si>
    <t>Magnet Contactor 80 A</t>
  </si>
  <si>
    <t>MCB 3 phase 40 A</t>
  </si>
  <si>
    <t>MCB 3 phase 63 A</t>
  </si>
  <si>
    <t>Pegangan Kabel</t>
  </si>
  <si>
    <t>Pc</t>
  </si>
  <si>
    <t>Pipa clipsal 20 mm</t>
  </si>
  <si>
    <t>bt</t>
  </si>
  <si>
    <t>Pipa flexible clipsal 20 mm</t>
  </si>
  <si>
    <t>Tee dos Clipsal 20 mm</t>
  </si>
  <si>
    <t>Sock clipsal 20 mm</t>
  </si>
  <si>
    <t>Steker</t>
  </si>
  <si>
    <t>Stop Kontak Khusus (Kedap Air)</t>
  </si>
  <si>
    <t>cbd</t>
  </si>
  <si>
    <t>Time Switch</t>
  </si>
  <si>
    <t>Terminal Penangkal Petir</t>
  </si>
  <si>
    <t>ttk</t>
  </si>
  <si>
    <t>Penghantar / BC 50 mm + Pipa</t>
  </si>
  <si>
    <t>Gronding Lengkap</t>
  </si>
  <si>
    <t>Penangkal petir</t>
  </si>
  <si>
    <t>T Foring</t>
  </si>
  <si>
    <t>BATU KALI</t>
  </si>
  <si>
    <t>m3</t>
  </si>
  <si>
    <t>Batu pecah 2 - 3 cm</t>
  </si>
  <si>
    <t>Batako Lubang</t>
  </si>
  <si>
    <t>Batako Buntu</t>
  </si>
  <si>
    <t>Batako Ringan  / Bata Ringan</t>
  </si>
  <si>
    <t>Bata Merah Super (Pripian)</t>
  </si>
  <si>
    <t>m2</t>
  </si>
  <si>
    <t>Batu Belah 10 cm / 15 cm</t>
  </si>
  <si>
    <t>Batu Koral Sikat lokal 10 kg</t>
  </si>
  <si>
    <t>zak</t>
  </si>
  <si>
    <t>kg</t>
  </si>
  <si>
    <t>Limestone</t>
  </si>
  <si>
    <t>Kapur padam</t>
  </si>
  <si>
    <t>Mill</t>
  </si>
  <si>
    <t>biji</t>
  </si>
  <si>
    <t>Paras Sarwagenep 18 x 9 x 35</t>
  </si>
  <si>
    <t>Paras Silakarang Tipis/Pripihan (Ukuran 15 x 30 x 4 Cm)</t>
  </si>
  <si>
    <t>Paras Kelating /  Kerobokan (Ukuran 3 x 20 x 40 Cm)</t>
  </si>
  <si>
    <t>Paras Sarwagenep tebal 3 cm x 20 x 40</t>
  </si>
  <si>
    <t>Paras Sarwagenep tebal 5 cm x 30 x 50</t>
  </si>
  <si>
    <t>Paras Krobokan tebal 5 cm x 30 x 50</t>
  </si>
  <si>
    <t>Paras ukir silakarang</t>
  </si>
  <si>
    <t xml:space="preserve">Conblock HB20 </t>
  </si>
  <si>
    <t xml:space="preserve">Conblock HB15 </t>
  </si>
  <si>
    <t xml:space="preserve">Conblock HB10 </t>
  </si>
  <si>
    <t>Pasir Beton</t>
  </si>
  <si>
    <t>Pasir Pasangan</t>
  </si>
  <si>
    <t>Pasir Urug / timbunan</t>
  </si>
  <si>
    <t>Tanah Urug</t>
  </si>
  <si>
    <t>Sirtu</t>
  </si>
  <si>
    <t>Batu lahar karangasem tebal 2 cm x 20 x 40</t>
  </si>
  <si>
    <t>Batu lahar karangasem tebal 3 cm x 20 x 40</t>
  </si>
  <si>
    <t>Batu lahar karangasem tebal 5 cmx 20 x40</t>
  </si>
  <si>
    <t>Batu Candi Hitam (Ukuran  5 x 20 x 40 Cm)</t>
  </si>
  <si>
    <t>Batu Putih Jogya / Palimanan (30 x 30 x 5 Cm)</t>
  </si>
  <si>
    <t>Batu Bali Green ( 2 x 20 x 40 cm )</t>
  </si>
  <si>
    <t>Batu Bali Green ( 3 x 20 x 40 cm )</t>
  </si>
  <si>
    <t>Paras Yogya ( 5 x 20 x40 cm )</t>
  </si>
  <si>
    <t>Paras Silakarang Tebal (Ukuran 15 x 30 x 8 Cm)</t>
  </si>
  <si>
    <t>Paras Kelating /  Kerobokan (Ukuran 18 x 9 x 35 Cm)</t>
  </si>
  <si>
    <t>Batu Tabas Karangasem</t>
  </si>
  <si>
    <t>Pelinggih Cetak Beton Padma T 2-3 m</t>
  </si>
  <si>
    <t>Pelinggih Cetak Beton Tugu T 2.5m</t>
  </si>
  <si>
    <t>Pelinggih Paras Cetak Padma T 2-3 m</t>
  </si>
  <si>
    <t>Pelinggih Paras cetak Tugu T 1.5 m</t>
  </si>
  <si>
    <t>Pelinggih Batu Hitam Padma T 2-3m</t>
  </si>
  <si>
    <t>Pelinggih Batu Hitam Tugu T 2.5 m</t>
  </si>
  <si>
    <t>Tembok Penyengker Beton Cetak T 1.5 m</t>
  </si>
  <si>
    <t>Tembok Penyengker Paras Cetak T 1.5 m</t>
  </si>
  <si>
    <t>Tembok Penyengker  Sarwa genep T 1.2 m</t>
  </si>
  <si>
    <t>Tembok Penyengker Batu Hitam  T 1.5 m</t>
  </si>
  <si>
    <t>Lelengen/Pilar Beton Cetak  T 1.8 - 2 m</t>
  </si>
  <si>
    <t>Lelengen/Pilar Paras Cetak 1.8 - 2 m</t>
  </si>
  <si>
    <t>Lelengen/Pilar Batu Hitam 1.8 - 2 m</t>
  </si>
  <si>
    <t>Paduraksa Paras Kelating/sarwagenep T 1.8-2m</t>
  </si>
  <si>
    <t>Paduraksa Batu Hitam T 1.8-2m</t>
  </si>
  <si>
    <t>Apit Surang Beton Cetak T 2-3 m</t>
  </si>
  <si>
    <t>ps</t>
  </si>
  <si>
    <t>Apit Surang Paras Cetak T 2-3 m</t>
  </si>
  <si>
    <t>Apit Surang Sarwagenep/Kelating T 3m</t>
  </si>
  <si>
    <t>Apit Surang Batu Hitam  T  3 m</t>
  </si>
  <si>
    <t>Apit Surang Sarwagenep/Kelating T 5 m</t>
  </si>
  <si>
    <t>Apit Surang Batu Hitam  T  5 m</t>
  </si>
  <si>
    <t>Sendi Batu candi (25x25x30 )</t>
  </si>
  <si>
    <t>Sendi Marmer 25x25x30)</t>
  </si>
  <si>
    <t>BESI BETON DAN PAGAR</t>
  </si>
  <si>
    <t>Besi Angker Diameter 8</t>
  </si>
  <si>
    <t>Baja Strip (0,2 x 2) cm / Plat Strip</t>
  </si>
  <si>
    <t>Besi strip beugel</t>
  </si>
  <si>
    <t>Beugel penguat /plaat</t>
  </si>
  <si>
    <t>Buah</t>
  </si>
  <si>
    <t>Besi / Baja profil</t>
  </si>
  <si>
    <t>Besi Baja WF 200 x 100 x 4,5 x 7 p = 6m</t>
  </si>
  <si>
    <t>Besi Baja WF 250 x 125 x 5 x 7</t>
  </si>
  <si>
    <t xml:space="preserve">Besi Baja Wf 150 </t>
  </si>
  <si>
    <t>Besi Baja Wf 100</t>
  </si>
  <si>
    <t>Batang</t>
  </si>
  <si>
    <t>M1</t>
  </si>
  <si>
    <t>Besi Siku L.30.30.3 x 6 meter</t>
  </si>
  <si>
    <t>Besi siku / engsel</t>
  </si>
  <si>
    <t>Kawat las listrik</t>
  </si>
  <si>
    <t>Dinabolt dia 12 mm (10-15cm)</t>
  </si>
  <si>
    <t>Besi hollow 50.50.3</t>
  </si>
  <si>
    <t>Besi scuare tube</t>
  </si>
  <si>
    <t>m'</t>
  </si>
  <si>
    <t>Besi lis kaca ( 1 x 1 )</t>
  </si>
  <si>
    <t>kawat duri</t>
  </si>
  <si>
    <t>Kawat jaring</t>
  </si>
  <si>
    <t>Kawat beton RRT</t>
  </si>
  <si>
    <t>Kawat Nyamuk</t>
  </si>
  <si>
    <t>Kawat ikat beton</t>
  </si>
  <si>
    <t>Kawat Baja Bindrat (20 kg)</t>
  </si>
  <si>
    <t>Kawat diameter 4 mm</t>
  </si>
  <si>
    <t>Pintu Gulung Besi / Pintu Harmonika</t>
  </si>
  <si>
    <t>Pintu Aluminium</t>
  </si>
  <si>
    <t>m</t>
  </si>
  <si>
    <t>Profil Kaca 3/4</t>
  </si>
  <si>
    <t>Profil Aluminium L 3 cm</t>
  </si>
  <si>
    <t>Sunscreen alluminium</t>
  </si>
  <si>
    <t>Sealant</t>
  </si>
  <si>
    <t>Tube</t>
  </si>
  <si>
    <t>Rolling Door Aluminium</t>
  </si>
  <si>
    <t>Venetions blinds dan vertical Blinds (Tirai)</t>
  </si>
  <si>
    <t>lbr</t>
  </si>
  <si>
    <t>Reng kap baja</t>
  </si>
  <si>
    <t>lonjor</t>
  </si>
  <si>
    <t>Rangka Aluminium C 0,75 mm P = 6 m</t>
  </si>
  <si>
    <t>Rangka Aluminium UK 0,75 mm P = 6 m</t>
  </si>
  <si>
    <t>Kusen Aluminium 4" c. 0.75 P = 6 m</t>
  </si>
  <si>
    <t>Kusen Aluminium 3" c. 0.75 P = 6 m</t>
  </si>
  <si>
    <t>ROSTER</t>
  </si>
  <si>
    <t>Roster kerawang pc 20x20</t>
  </si>
  <si>
    <t>Roster kerawang paras ukir 20/20</t>
  </si>
  <si>
    <t>Roster 12x11x24 Cm</t>
  </si>
  <si>
    <t>Roster Bata 20/20</t>
  </si>
  <si>
    <t xml:space="preserve">Roster keramik 30 x30 </t>
  </si>
  <si>
    <t>Roster palimanan ukir 20/20</t>
  </si>
  <si>
    <t>Roster palimanan ukir 30/30</t>
  </si>
  <si>
    <t>FINISHING</t>
  </si>
  <si>
    <t>Amplas (Flying weel)</t>
  </si>
  <si>
    <t>Cat Antara</t>
  </si>
  <si>
    <t>Cat dasar</t>
  </si>
  <si>
    <t>Cat Penutup</t>
  </si>
  <si>
    <t>Cat Kayu Mowilek</t>
  </si>
  <si>
    <t>Cat menie besi</t>
  </si>
  <si>
    <t>Cat menie Kayu</t>
  </si>
  <si>
    <t>Cat tembok Vinilex</t>
  </si>
  <si>
    <t>Kuas</t>
  </si>
  <si>
    <t>Lem Aica Aibon</t>
  </si>
  <si>
    <t>Pengencer Cat</t>
  </si>
  <si>
    <t>Plamir kayu</t>
  </si>
  <si>
    <t xml:space="preserve">Plamir tembok </t>
  </si>
  <si>
    <t>Residu / Teer</t>
  </si>
  <si>
    <t>Sending Seaker</t>
  </si>
  <si>
    <t>Teack Oil</t>
  </si>
  <si>
    <t>waterproofing</t>
  </si>
  <si>
    <t>Vernis</t>
  </si>
  <si>
    <t>Kalkarium</t>
  </si>
  <si>
    <t>Kapur sirih</t>
  </si>
  <si>
    <t>Soda api</t>
  </si>
  <si>
    <t>Formika</t>
  </si>
  <si>
    <t>Sabun</t>
  </si>
  <si>
    <t xml:space="preserve">KACA </t>
  </si>
  <si>
    <t>daun</t>
  </si>
  <si>
    <t>Glass Block</t>
  </si>
  <si>
    <t>Kaca 2 mm bening</t>
  </si>
  <si>
    <t>Kaca 3 mm bening</t>
  </si>
  <si>
    <t>Kaca 5 mm bening</t>
  </si>
  <si>
    <t>Kaca 6 mm bening</t>
  </si>
  <si>
    <t>Kaca 8 mm bening</t>
  </si>
  <si>
    <t>Kaca 10 mm bening</t>
  </si>
  <si>
    <t>Kaca 12 mm buram</t>
  </si>
  <si>
    <t>Kaca Cermin  3 mm</t>
  </si>
  <si>
    <t>Kaca Cermin 5 mm</t>
  </si>
  <si>
    <t>Kaca Es/Kapur 3 mm</t>
  </si>
  <si>
    <t>Kaca Es/Kapur 5 mm</t>
  </si>
  <si>
    <t>Kaca ryben 3 mm</t>
  </si>
  <si>
    <t>Kaca ryben 5 mm</t>
  </si>
  <si>
    <t>Kaca patri 5 mm</t>
  </si>
  <si>
    <t>Kaca wireglassed 5 mm</t>
  </si>
  <si>
    <t>Sealent Kaca</t>
  </si>
  <si>
    <t xml:space="preserve">KAYU </t>
  </si>
  <si>
    <t>Bambu sedang Ukuran 4 m</t>
  </si>
  <si>
    <t>gedeg Bambu biasa</t>
  </si>
  <si>
    <t>Kayu bingkirai Balok</t>
  </si>
  <si>
    <t>Kayu bingkirai papan</t>
  </si>
  <si>
    <t>Kayu dolken 8"-10"/4 (lokal)</t>
  </si>
  <si>
    <t xml:space="preserve">Kayu jati Balok Ex Bojonegoro </t>
  </si>
  <si>
    <t>Kayu jati papan Ex. Bojonegoro</t>
  </si>
  <si>
    <t xml:space="preserve">Kayu jati Usuk </t>
  </si>
  <si>
    <t>Kayu kamper balok 8/12</t>
  </si>
  <si>
    <t>Kayu kamper balok 6/12</t>
  </si>
  <si>
    <t>Kayu kamper usuk</t>
  </si>
  <si>
    <t>Kayu kamper reng</t>
  </si>
  <si>
    <t>ikat</t>
  </si>
  <si>
    <t>Kayu kamper papan 3/20</t>
  </si>
  <si>
    <t>Kayu kruing balok 6/12</t>
  </si>
  <si>
    <t>Kayu kruing balok 8/12</t>
  </si>
  <si>
    <t>Kayu kruing usuk/reng</t>
  </si>
  <si>
    <t>Kayu kruing papan 3/20</t>
  </si>
  <si>
    <t>Kayu meranti balok 6/12</t>
  </si>
  <si>
    <t>Kayu meranti usuk 5/7</t>
  </si>
  <si>
    <t>Kayu meranti usuk 4/6</t>
  </si>
  <si>
    <t>Kayu meranti reng</t>
  </si>
  <si>
    <t>Kayu meranti papan 3/20</t>
  </si>
  <si>
    <t>Kayu merbau Balok 6/12</t>
  </si>
  <si>
    <t>Kayu merbau papan 3/20</t>
  </si>
  <si>
    <t>Kayu Profil 4/5</t>
  </si>
  <si>
    <t>Kayu Nangka Balok</t>
  </si>
  <si>
    <t>Kayu Cempaka Balok</t>
  </si>
  <si>
    <t>Kayu Profil</t>
  </si>
  <si>
    <t>List kayu profil 2/4 P = 4m</t>
  </si>
  <si>
    <t>List Gypsum Stdr 10 cm p = 4 m</t>
  </si>
  <si>
    <t>List Gypsum Stdr 5 cm  p = 4 m</t>
  </si>
  <si>
    <t>Jaro Bubut</t>
  </si>
  <si>
    <t>Kayu seseh balok</t>
  </si>
  <si>
    <t>Minyak bekisting</t>
  </si>
  <si>
    <t>Perancah kayu</t>
  </si>
  <si>
    <t>Kayu Terentang lokal</t>
  </si>
  <si>
    <t>Kayu Kaso (lokal)</t>
  </si>
  <si>
    <t>MARMER / GRANIT</t>
  </si>
  <si>
    <t xml:space="preserve">Batu Granit </t>
  </si>
  <si>
    <t>Batu Traso</t>
  </si>
  <si>
    <t>Porselin</t>
  </si>
  <si>
    <t>KERAMIK</t>
  </si>
  <si>
    <t>Ubin Teraso</t>
  </si>
  <si>
    <t>KUNCI DAN PENGGANTUNG</t>
  </si>
  <si>
    <t>Door closer</t>
  </si>
  <si>
    <t>Engsel H ( 80 x 50)</t>
  </si>
  <si>
    <t>Engsel kupu-kupu Rafes 4' 304</t>
  </si>
  <si>
    <t>Engsel pintu Dekson Iron</t>
  </si>
  <si>
    <t xml:space="preserve">Engsel jendela  </t>
  </si>
  <si>
    <t>Engsel Angin</t>
  </si>
  <si>
    <t>Engsel pintu Kupu - Kupu</t>
  </si>
  <si>
    <t>Espagnoleth</t>
  </si>
  <si>
    <t>set</t>
  </si>
  <si>
    <t>Grendel Dekson 30 cm</t>
  </si>
  <si>
    <t>Grendel tanam B12</t>
  </si>
  <si>
    <t>Grendel Pintu</t>
  </si>
  <si>
    <t>Grendel Jendela</t>
  </si>
  <si>
    <t xml:space="preserve">Kait angin biasa  </t>
  </si>
  <si>
    <t xml:space="preserve">Kunci kuda 1 x putar </t>
  </si>
  <si>
    <t>Kunci kuda 2 x putar</t>
  </si>
  <si>
    <t>Kunci lif 1 x putar</t>
  </si>
  <si>
    <t>Kunci lif 2 x putar</t>
  </si>
  <si>
    <t>Kunci pintu TOP (SOLID)</t>
  </si>
  <si>
    <t>Kunci Union 1 x putar</t>
  </si>
  <si>
    <t>Kunci Union 2  x putar</t>
  </si>
  <si>
    <t>Kunci slot</t>
  </si>
  <si>
    <t>Rolling door plaat</t>
  </si>
  <si>
    <t>Kunci tanam kamar mandi</t>
  </si>
  <si>
    <t>Kunci Slot</t>
  </si>
  <si>
    <t>Kunci lemari</t>
  </si>
  <si>
    <t>Door stop</t>
  </si>
  <si>
    <t>Door holder</t>
  </si>
  <si>
    <t>Pasang Rel Pintu Sorong</t>
  </si>
  <si>
    <t xml:space="preserve">PAKU </t>
  </si>
  <si>
    <t>Paku 10 cm</t>
  </si>
  <si>
    <t>Paku kalsiboard</t>
  </si>
  <si>
    <t>Paku List</t>
  </si>
  <si>
    <t>Paku Reng</t>
  </si>
  <si>
    <t>Paku Usuk</t>
  </si>
  <si>
    <t>Paku Pancing 60 x 230</t>
  </si>
  <si>
    <t>Sekrup Kalisiboard</t>
  </si>
  <si>
    <t>buah</t>
  </si>
  <si>
    <t>ktk</t>
  </si>
  <si>
    <t xml:space="preserve">PAVING </t>
  </si>
  <si>
    <t>Paving 10 x 20 cm tebal 6 cm K225 (Polos)</t>
  </si>
  <si>
    <t>Paving 10 x 20 cm tebal 6 cm K175 (Polos)</t>
  </si>
  <si>
    <t>Paving 10 x 20 cm tebal 6 cm K225 (Warna)</t>
  </si>
  <si>
    <t>Paving 10 x 20 cm tebal 6 cm K350 (Polos)</t>
  </si>
  <si>
    <t>Paving 10 x 20 cm tebal 6 cm K350 (Warna)</t>
  </si>
  <si>
    <t>Paving 20 x 20 cm tebal 6 cm K350 (Polos)</t>
  </si>
  <si>
    <t>Paving 20 x 20 cm tebal 6 cm K350 (Warna)</t>
  </si>
  <si>
    <t>Paving 10 x 20 cm tebal 8 cm K175 (Polos)</t>
  </si>
  <si>
    <t>Paving 10 x 20 cm tebal 8 cm K225 (Polos)</t>
  </si>
  <si>
    <t>Paving 10 x 20 cm tebal 8 cm K225 (Warna))</t>
  </si>
  <si>
    <t>Paving 20 x 20 cm tebal 8 cm K175 (Polos)</t>
  </si>
  <si>
    <t>Paving 20 x 20 cm tebal 8 cm K225 (Polos)</t>
  </si>
  <si>
    <t>Paving 20 x 20 cm tebal 8 cm K225 (Warna)</t>
  </si>
  <si>
    <t>Paving 10 x 20 cm tebal 8 cm K350 (Polos)</t>
  </si>
  <si>
    <t>Paving 10 x 20 cm tebal 8 cm K350 (Warna))</t>
  </si>
  <si>
    <t>Paving 20 x 20 cm tebal 8 cm K350 (Polos)</t>
  </si>
  <si>
    <t>Paving 20 x 20 cm tebal 8 cm K350 (Warna))</t>
  </si>
  <si>
    <t>Paving 10 x 20 cm tebal 8 cm K425 (Polos)</t>
  </si>
  <si>
    <t>Paving 10 x 20 cm tebal 8 cm K425 (Warna)</t>
  </si>
  <si>
    <t>Paving 20 x 20 cm tebal 8 cm K425 (Polos)</t>
  </si>
  <si>
    <t>Paving 20 x 20 cm tebal 8 cm K425 (Warna)</t>
  </si>
  <si>
    <t>Paving 20 x 20 cm tebal 10 cm K225 (Polos)</t>
  </si>
  <si>
    <t>Paving 20 x 20 cm tebal 10 cm K225 (Warna)</t>
  </si>
  <si>
    <t>Paving 20 x 20 cm tebal 10 cm K350 (Polos)</t>
  </si>
  <si>
    <t>Paving 20 x 20 cm tebal 10 cm K350 (Warna)</t>
  </si>
  <si>
    <t>Paving 20 x 20 cm tebal 10 cm K425 (Polos)</t>
  </si>
  <si>
    <t>Paving 20 x 20 cm tebal 10 cm K425 (Warna)</t>
  </si>
  <si>
    <t>Paving Tiga Berlian tebal 6 cm K225 (Polos)</t>
  </si>
  <si>
    <t>Paving Tiga Berlian tebal 6 cm K225 (Warna)</t>
  </si>
  <si>
    <t>Bentala Exs Kapal (Paras)</t>
  </si>
  <si>
    <t>Bentala Exs Kapal (Terakota)</t>
  </si>
  <si>
    <t>Karung Plastik</t>
  </si>
  <si>
    <t>Besi strip</t>
  </si>
  <si>
    <t>Kanstein (Polos)</t>
  </si>
  <si>
    <t>Kanstein (Warna)</t>
  </si>
  <si>
    <t>Kanstein Segi Lima P40 K 350</t>
  </si>
  <si>
    <t>Kanstein Segi Lima P50  K 350</t>
  </si>
  <si>
    <t>Grass Block 36 X 54 cm tebal 9 cm K 225</t>
  </si>
  <si>
    <t>Koral cetak batu Sikat (40x40)</t>
  </si>
  <si>
    <t xml:space="preserve">ATAP </t>
  </si>
  <si>
    <t>Atap Ondulin Gelombang 1,8 x 0,8 m</t>
  </si>
  <si>
    <t>Alang-alang panjang 2,4 meter</t>
  </si>
  <si>
    <t>Alluminium foil M2 Double</t>
  </si>
  <si>
    <t>Roll</t>
  </si>
  <si>
    <t>Aluminium Foil</t>
  </si>
  <si>
    <t>Akustik 60 cm x 120 cm</t>
  </si>
  <si>
    <t>Lembar</t>
  </si>
  <si>
    <t>Asbes Bubungan</t>
  </si>
  <si>
    <t>Asbes Gelombang 1,80 m x 0,80 m/  4 mm</t>
  </si>
  <si>
    <t>Asbes Gelombang 1,80 m x 1,05 m</t>
  </si>
  <si>
    <t xml:space="preserve">Asbes Gelombang 2,10 m x 1,05 m </t>
  </si>
  <si>
    <t xml:space="preserve">Asbes Gelombang 2,4 m x 1,05 m </t>
  </si>
  <si>
    <t>Asbes Rata 2 m x 1 m x 4 mm</t>
  </si>
  <si>
    <t>Bubungan asbes cement</t>
  </si>
  <si>
    <t>Eternit/eternit</t>
  </si>
  <si>
    <t xml:space="preserve">Bentala tanah liat </t>
  </si>
  <si>
    <t>Bentala Besar polos Lubang 90 cm</t>
  </si>
  <si>
    <t>Bentala Besar Warna Lubang 90 cm</t>
  </si>
  <si>
    <t>Bentala Besar polos Lubang 25 cm</t>
  </si>
  <si>
    <t>Bentala Besar Warna Lubang 25 cm</t>
  </si>
  <si>
    <t>Bentala paras</t>
  </si>
  <si>
    <t>bubungan biasa/press mini</t>
  </si>
  <si>
    <t>Bubungan Besar Bambe</t>
  </si>
  <si>
    <t>Bubungan Kecil</t>
  </si>
  <si>
    <t>Bubungan Bambe Kecil</t>
  </si>
  <si>
    <t xml:space="preserve">Bubungan Bulat Karang Pilang </t>
  </si>
  <si>
    <t>Bubungan Beton Duco Munir</t>
  </si>
  <si>
    <t>Bubungan Karang Pilang kwalitas 1</t>
  </si>
  <si>
    <t>Bubungan Bulat Jati Wangi</t>
  </si>
  <si>
    <t>Bubungan Bulat Ngalayur isi 3,5/m</t>
  </si>
  <si>
    <t>Bubungan Besar good Year</t>
  </si>
  <si>
    <t>Bubungan Beton Cisangkan</t>
  </si>
  <si>
    <t>Bubungan Karang pilang</t>
  </si>
  <si>
    <t>Bubungan Karang Pilang isi 3,5/m</t>
  </si>
  <si>
    <t>Bubungan Pletong Jatiwangi</t>
  </si>
  <si>
    <t>Bubungan SL Utama</t>
  </si>
  <si>
    <t>Bj</t>
  </si>
  <si>
    <t>Bubungan SL Ngalayur</t>
  </si>
  <si>
    <t xml:space="preserve">Bubungan Segi Tiga Karang Pilang </t>
  </si>
  <si>
    <t>Bubungan Utama isi 3,5/m</t>
  </si>
  <si>
    <t>Bubungan Plentong Besar</t>
  </si>
  <si>
    <t>Genteng biasa / press mini</t>
  </si>
  <si>
    <t>Genteng Bambe</t>
  </si>
  <si>
    <t>Genteng Bambe Karang Pilang</t>
  </si>
  <si>
    <t>Genteng Bambe Kecil</t>
  </si>
  <si>
    <t>Genteng Beton Cisangkan</t>
  </si>
  <si>
    <t>Genteng Beton Duco Munir</t>
  </si>
  <si>
    <t>Genteng Gemini</t>
  </si>
  <si>
    <t>Genteng Good Year</t>
  </si>
  <si>
    <t>Genteng Kanmuri (glazur) isi 14/m2</t>
  </si>
  <si>
    <t>Genteng Kodok Lokal/glasuur</t>
  </si>
  <si>
    <t>Genteng Kodok Kamulan</t>
  </si>
  <si>
    <t>Genteng Kodok Karang Pilang (Bambe) isi 20/m2</t>
  </si>
  <si>
    <t>Genteng Kodok Karang Pilang (Bisma) isi 20/m2</t>
  </si>
  <si>
    <t>Genteng Kodok Karang Pilang (Good Year) isi 20/m2</t>
  </si>
  <si>
    <t>Genteng Karang pilang</t>
  </si>
  <si>
    <t>Genteng Kodok Soka</t>
  </si>
  <si>
    <t>Genteng Lestari</t>
  </si>
  <si>
    <t>Genteng Metal 80 x 77,6 (Polos)</t>
  </si>
  <si>
    <t>Genteng Metal 0,4 mm 2x5 (Pasir)</t>
  </si>
  <si>
    <t>m2/tipis</t>
  </si>
  <si>
    <t>Genteng Metal 0,4mm 2 x 5 (Pasir)</t>
  </si>
  <si>
    <t>Genteng Metal 80 x 77,6 biasa</t>
  </si>
  <si>
    <t>Genteng Metal 80 x 77,6 ( pasir)</t>
  </si>
  <si>
    <t>Genteng Morando Abadi isi 18/m2</t>
  </si>
  <si>
    <t>Genteng Morando Jatiwangi isi 18/m2</t>
  </si>
  <si>
    <t>Genteng Morando Ngalayur isi 20/m2</t>
  </si>
  <si>
    <t>Genteng Morando Metal</t>
  </si>
  <si>
    <t>Genteng Pejaten Mini</t>
  </si>
  <si>
    <t>Genteng Press mini</t>
  </si>
  <si>
    <t>Genteng Plentong</t>
  </si>
  <si>
    <t>Genteng plentong dicat</t>
  </si>
  <si>
    <t>Genteng Plentong Mantili</t>
  </si>
  <si>
    <t>nok metal polos</t>
  </si>
  <si>
    <t xml:space="preserve">Nok genteng metal </t>
  </si>
  <si>
    <t xml:space="preserve">Nok standart </t>
  </si>
  <si>
    <t>Genteng Plentong Jatiwangi isi 24/m2</t>
  </si>
  <si>
    <t xml:space="preserve">Genteng  Jatiwangi </t>
  </si>
  <si>
    <t>Genteng Pres Besar</t>
  </si>
  <si>
    <t>Genteng Pres Besar Cat</t>
  </si>
  <si>
    <t>Genteng Pres Mini</t>
  </si>
  <si>
    <t>Genteng Pres Mini Cat</t>
  </si>
  <si>
    <t>Genteng Besar polos Lubang 35 cm</t>
  </si>
  <si>
    <t>Genteng Besar Warna Lubang 35 cm</t>
  </si>
  <si>
    <t>Fiberglas  (1.80 x 0.80) M2</t>
  </si>
  <si>
    <t>Fiberglass Gelombang (1,80 x 0,8 )</t>
  </si>
  <si>
    <t>Ijuk</t>
  </si>
  <si>
    <t xml:space="preserve">Ikut Celedu Besar Polos </t>
  </si>
  <si>
    <t>Ikut Celedu Besar Warna</t>
  </si>
  <si>
    <t>Ikut Celedu Kecil Polos</t>
  </si>
  <si>
    <t>Ikut Celedu Kecil Warna</t>
  </si>
  <si>
    <t>Kawat las</t>
  </si>
  <si>
    <t>Kawat Diameter 4 mm</t>
  </si>
  <si>
    <t>Ikut Celedu paras</t>
  </si>
  <si>
    <t>Murda tanah liat / genteng</t>
  </si>
  <si>
    <t>Murda Kecil Polos Lubang 25 cm</t>
  </si>
  <si>
    <t>Murda Kecil Warna Lubang 25 cm</t>
  </si>
  <si>
    <t>Menur Paras Ukir</t>
  </si>
  <si>
    <t>Profil Aluminium "T"</t>
  </si>
  <si>
    <t>Ramset</t>
  </si>
  <si>
    <t>Seng BJLS 0,20 gelombang</t>
  </si>
  <si>
    <t>Seng BJLS 0,28 gelombang</t>
  </si>
  <si>
    <t>Seng BJLS 0,32 gelombang</t>
  </si>
  <si>
    <t>Seng Plat Lebar 0,90 M</t>
  </si>
  <si>
    <t>Seng Plat 3" x 6" BJLS 28</t>
  </si>
  <si>
    <t>Seng Plat Aluminium</t>
  </si>
  <si>
    <t>Bubungan seng gelombang</t>
  </si>
  <si>
    <t>Alluminium gelombang tebal 0,55</t>
  </si>
  <si>
    <t xml:space="preserve">Sirap </t>
  </si>
  <si>
    <t>m2/tps</t>
  </si>
  <si>
    <t>Subeng Besar Polos</t>
  </si>
  <si>
    <t>Subeng Besar Warna</t>
  </si>
  <si>
    <t>Subeng Kecil Polos</t>
  </si>
  <si>
    <t>Subeng Kecil Warna</t>
  </si>
  <si>
    <t>Tali Ijuk</t>
  </si>
  <si>
    <t>Tali pengikat alang-alang</t>
  </si>
  <si>
    <t>glg</t>
  </si>
  <si>
    <t>Listplank texture / plain 2 x 25 , 3m</t>
  </si>
  <si>
    <t>Listplank texture / plain 2 x 25  (2 in 1) double, 3m</t>
  </si>
  <si>
    <t>Listplank Klasiblank</t>
  </si>
  <si>
    <t>Bubungan metal berpasir</t>
  </si>
  <si>
    <t xml:space="preserve">PIPA </t>
  </si>
  <si>
    <t>ljr</t>
  </si>
  <si>
    <t>Pipa Galvanis /GSP S12.5 p = 6 m diameter 40 mm = 1.5"</t>
  </si>
  <si>
    <t>Pipa Galvanis /GSP S12.5 p = 6 m diameter 50 mm = 2"</t>
  </si>
  <si>
    <t>Pipa Galvanis /GSP S12.5 p = 6 m diameter 75 mm = 3"</t>
  </si>
  <si>
    <t>Pipa Galvanis /GSP S12.5 p = 6 m diameter 100 mm = 4"</t>
  </si>
  <si>
    <t>Pipa Galvanis /GSP S12.5 p = 6 m diameter 150 mm = 6"</t>
  </si>
  <si>
    <t>Pipa Galvanis /GSP S12.5 p = 6 m diameter 200 mm = 8"</t>
  </si>
  <si>
    <t xml:space="preserve">Pipa PVC ( AW P = 4 m ) 1/2" </t>
  </si>
  <si>
    <t xml:space="preserve">Pipa PVC ( AW P = 4 m ) 3/4" </t>
  </si>
  <si>
    <t>Pipa PVC ( AW P = 4 m ) 1"  = 25 mm</t>
  </si>
  <si>
    <t>Pipa PVC ( AW P = 4 m ) 1,5"  = 40 mm</t>
  </si>
  <si>
    <t>Pipa PVC ( AW P = 4 m ) 50mm = 2"</t>
  </si>
  <si>
    <t>Pipa PVC ( AW P = 4 m ) 75mm = 3"</t>
  </si>
  <si>
    <t>Pipa PVC ( AW P = 4 m ) 100mm = 4"</t>
  </si>
  <si>
    <t>Pipa PVC ( AW P = 4 m ) 150mm = 6"</t>
  </si>
  <si>
    <t>Pipa PVC ( AW P = 4 m ) 200mm = 8"</t>
  </si>
  <si>
    <t>Pipa Listrik Besi 5/8 "</t>
  </si>
  <si>
    <t>Pipa Listrik Paralon 5/8"</t>
  </si>
  <si>
    <t>PLAFOND</t>
  </si>
  <si>
    <t>Acustik 30/30</t>
  </si>
  <si>
    <t>Eternit 100 x100</t>
  </si>
  <si>
    <t>Asbes/etrnit</t>
  </si>
  <si>
    <t>Celling teak (0,62 x 2,40) m2</t>
  </si>
  <si>
    <t>Eternit</t>
  </si>
  <si>
    <t>Plywood 3 mm</t>
  </si>
  <si>
    <t>Plywood 4 mm</t>
  </si>
  <si>
    <t>Plywood 6 mm</t>
  </si>
  <si>
    <t>Plywood aluminium</t>
  </si>
  <si>
    <t>Teakwood jati 2.7 - 3 mm</t>
  </si>
  <si>
    <t>Gypsum Board (120x240x9)</t>
  </si>
  <si>
    <t>Kalsiboard (4,5 x 1220 x 2420) mm</t>
  </si>
  <si>
    <t>Kalsiboard (3,5 x 1220 x 2420) mm</t>
  </si>
  <si>
    <t>Kalsiboard 100 x 100</t>
  </si>
  <si>
    <t>Hard board MDF</t>
  </si>
  <si>
    <t xml:space="preserve">Multiplek 9 mm </t>
  </si>
  <si>
    <t xml:space="preserve">Multiplek 12 mm </t>
  </si>
  <si>
    <t xml:space="preserve">Multiplek 18 mm </t>
  </si>
  <si>
    <t>Rangka Aluminium</t>
  </si>
  <si>
    <t>Rangka Holo 4/4</t>
  </si>
  <si>
    <t>Teak wood (0,90x2,00 x Tebal)</t>
  </si>
  <si>
    <t>Rangka Holo 4/2</t>
  </si>
  <si>
    <t>Cornice Adhesive</t>
  </si>
  <si>
    <t>Plaster Board</t>
  </si>
  <si>
    <t>roll</t>
  </si>
  <si>
    <t>siku (angle)</t>
  </si>
  <si>
    <t xml:space="preserve">SANITAIR </t>
  </si>
  <si>
    <t xml:space="preserve">Bak mandi fibre glass </t>
  </si>
  <si>
    <t>Bak mandi keramik Terasso</t>
  </si>
  <si>
    <t>Cuci piring Stainless steal</t>
  </si>
  <si>
    <t>Cuci piring terasso</t>
  </si>
  <si>
    <t>Floor drain plastik</t>
  </si>
  <si>
    <t xml:space="preserve">Floor drain stainless </t>
  </si>
  <si>
    <t>Penyekat Urinoir " TOTO  " Type A 100 "</t>
  </si>
  <si>
    <t>Shower Spray " TOTO Tx  403SB</t>
  </si>
  <si>
    <t xml:space="preserve">Soap holder " TOTO  " Type TX2BV1B </t>
  </si>
  <si>
    <t>Seal tape</t>
  </si>
  <si>
    <t>Tempat sabun</t>
  </si>
  <si>
    <t>Urinoir " KIA</t>
  </si>
  <si>
    <t xml:space="preserve">Wastafel KIA </t>
  </si>
  <si>
    <t>SEMEN PC Setara</t>
  </si>
  <si>
    <t>Semen warna/semen grouting</t>
  </si>
  <si>
    <t xml:space="preserve">TALANG </t>
  </si>
  <si>
    <t>Talang Karet L = 0.60</t>
  </si>
  <si>
    <t>Talang Karet L = 0.90</t>
  </si>
  <si>
    <t>POMPA AIR</t>
  </si>
  <si>
    <t>150 Watt</t>
  </si>
  <si>
    <t>250 Watt</t>
  </si>
  <si>
    <t>Selang air 1/2" Figo</t>
  </si>
  <si>
    <t>Selang air 5/8" Figo</t>
  </si>
  <si>
    <t>BETON READYMIX</t>
  </si>
  <si>
    <t>Beton K-125</t>
  </si>
  <si>
    <t>Beton K-175</t>
  </si>
  <si>
    <t>Beton K-200</t>
  </si>
  <si>
    <t>Beton K-225</t>
  </si>
  <si>
    <t>Beton K-250</t>
  </si>
  <si>
    <t>Beton K-275</t>
  </si>
  <si>
    <t>Beton K-300</t>
  </si>
  <si>
    <t>Beton K-350</t>
  </si>
  <si>
    <t>Beton K-400</t>
  </si>
  <si>
    <t>Beton K-450</t>
  </si>
  <si>
    <t>Beton K-500</t>
  </si>
  <si>
    <t>LAIN-LAIN</t>
  </si>
  <si>
    <t>Pengelasan/ patri</t>
  </si>
  <si>
    <t>cm</t>
  </si>
  <si>
    <t>Pipa Tremi dan Casing pelindung</t>
  </si>
  <si>
    <t>Ls</t>
  </si>
  <si>
    <t>Karpet</t>
  </si>
  <si>
    <t>Parquet</t>
  </si>
  <si>
    <t>Wallpaper</t>
  </si>
  <si>
    <t>Strorox</t>
  </si>
  <si>
    <t>TANAMAN HIAS</t>
  </si>
  <si>
    <t xml:space="preserve">Lantana </t>
  </si>
  <si>
    <t>polybag</t>
  </si>
  <si>
    <t>Pucuk Merah 50 cm</t>
  </si>
  <si>
    <t>phn</t>
  </si>
  <si>
    <t>Sikas Tinggi 50 cm</t>
  </si>
  <si>
    <t>Taiwan</t>
  </si>
  <si>
    <t>Kucai</t>
  </si>
  <si>
    <t>Melati Prancis</t>
  </si>
  <si>
    <t>Carembosa</t>
  </si>
  <si>
    <t>Brokoli</t>
  </si>
  <si>
    <t>Agave</t>
  </si>
  <si>
    <t>Jempiring</t>
  </si>
  <si>
    <t>Rumput Jepang/mutiara</t>
  </si>
  <si>
    <t>Leikwanyou</t>
  </si>
  <si>
    <t>`</t>
  </si>
  <si>
    <t>Air Campuran Beton</t>
  </si>
  <si>
    <t>Stop Kontak</t>
  </si>
  <si>
    <t>Saklar  ganda</t>
  </si>
  <si>
    <t>Saklar tunggal</t>
  </si>
  <si>
    <t>Fiting lampu</t>
  </si>
  <si>
    <t>Lampu TL 25 Watt Komplit</t>
  </si>
  <si>
    <t>Lampu LED (5 Watt)</t>
  </si>
  <si>
    <t>Lampu LED (7 Watt)</t>
  </si>
  <si>
    <t>Lampu LED (10 Watt)</t>
  </si>
  <si>
    <t>Lampu LED (13 Watt)</t>
  </si>
  <si>
    <t>Lampu Sorot LED (5 Watt)</t>
  </si>
  <si>
    <t>Lampu Sorot LED (7 Watt)</t>
  </si>
  <si>
    <t>Lampu Sorot LED (10 Watt)</t>
  </si>
  <si>
    <t>Lampu Sorot LED (13 Watt)</t>
  </si>
  <si>
    <t>Lampu Esensial (5 Watt)</t>
  </si>
  <si>
    <t>Lampu Esensial (8 Watt)</t>
  </si>
  <si>
    <t>Lampu Esensial (11 Watt)</t>
  </si>
  <si>
    <t>Lampu Esensial (14 Watt)</t>
  </si>
  <si>
    <t>Lampu Esensial (18 Watt)</t>
  </si>
  <si>
    <t>Bata Merah</t>
  </si>
  <si>
    <r>
      <t>Besi Beton f</t>
    </r>
    <r>
      <rPr>
        <vertAlign val="subscript"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 xml:space="preserve"> 240 / BjTP 24 / U24 (Polos)</t>
    </r>
  </si>
  <si>
    <r>
      <t>Besi Beton f</t>
    </r>
    <r>
      <rPr>
        <vertAlign val="subscript"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 xml:space="preserve"> 390 / BjTS 40 / U40 (Ulir)</t>
    </r>
  </si>
  <si>
    <t>Cat Kayu</t>
  </si>
  <si>
    <t xml:space="preserve">Dempul / Plamur </t>
  </si>
  <si>
    <t>Thiner</t>
  </si>
  <si>
    <t>Cat besi</t>
  </si>
  <si>
    <t>Bingkai Nako</t>
  </si>
  <si>
    <t>Kaca Cermin 8 mm</t>
  </si>
  <si>
    <t>Gedeg kulit</t>
  </si>
  <si>
    <t xml:space="preserve">Semen PC 40 kg </t>
  </si>
  <si>
    <t>DAFTAR HARGA SATUAN UPAH</t>
  </si>
  <si>
    <t>SPESIFIKASI</t>
  </si>
  <si>
    <t>HARGA</t>
  </si>
  <si>
    <t>Mandor</t>
  </si>
  <si>
    <t>Hari</t>
  </si>
  <si>
    <t>Kepala Tukang Style Bali</t>
  </si>
  <si>
    <t>Mandor Style Bali</t>
  </si>
  <si>
    <t>Tukang Style Bali</t>
  </si>
  <si>
    <t>Pekerja Style Bali</t>
  </si>
  <si>
    <t>Tukang Las Konstruksi</t>
  </si>
  <si>
    <t>Sewa Alat Bantu</t>
  </si>
  <si>
    <t>Jam</t>
  </si>
  <si>
    <t>Alat Bantu ngebor</t>
  </si>
  <si>
    <t>Ongkos Ngebor O 30 cm utk sumur</t>
  </si>
  <si>
    <t>HARGA SATUAN BAHAN &amp; MATERIAL</t>
  </si>
  <si>
    <t>batang</t>
  </si>
  <si>
    <t>tube</t>
  </si>
  <si>
    <t>lembar</t>
  </si>
  <si>
    <t>TAHUN 2022</t>
  </si>
  <si>
    <t>DAFTAR ANALISA PEKERJAAN</t>
  </si>
  <si>
    <t>I.</t>
  </si>
  <si>
    <t>HARGA SATUAN PEKERJAAN PERSIAPAN</t>
  </si>
  <si>
    <t>OVERHEAD</t>
  </si>
  <si>
    <t>NO.</t>
  </si>
  <si>
    <t>URAIAN</t>
  </si>
  <si>
    <t>KODE</t>
  </si>
  <si>
    <t>KOEFISIEN</t>
  </si>
  <si>
    <t>HARGA SATUAN</t>
  </si>
  <si>
    <t>JUMLAH HARGA</t>
  </si>
  <si>
    <t xml:space="preserve"> (Rp.)</t>
  </si>
  <si>
    <t>A.</t>
  </si>
  <si>
    <t>TENAGA</t>
  </si>
  <si>
    <t>Pekerja</t>
  </si>
  <si>
    <t>L.01</t>
  </si>
  <si>
    <t>OH</t>
  </si>
  <si>
    <t>L.02</t>
  </si>
  <si>
    <t>Kepala Tukang</t>
  </si>
  <si>
    <t>L.03</t>
  </si>
  <si>
    <t>L.04</t>
  </si>
  <si>
    <t>JUMLAH TENAGA KERJA</t>
  </si>
  <si>
    <t>B.</t>
  </si>
  <si>
    <t>BAHAN</t>
  </si>
  <si>
    <t>Koral beton</t>
  </si>
  <si>
    <t xml:space="preserve">Kayu lokal 5/7 </t>
  </si>
  <si>
    <t>Residu</t>
  </si>
  <si>
    <t>liter</t>
  </si>
  <si>
    <t>JUMLAH HARGA BAHAN</t>
  </si>
  <si>
    <t>C.</t>
  </si>
  <si>
    <t>PERALATAN</t>
  </si>
  <si>
    <t>JUMLAH HARGA ALAT</t>
  </si>
  <si>
    <t>D.</t>
  </si>
  <si>
    <t>Jumlah (A + B + C)</t>
  </si>
  <si>
    <t>E.</t>
  </si>
  <si>
    <t xml:space="preserve">Overhead &amp; Profit </t>
  </si>
  <si>
    <t>F.</t>
  </si>
  <si>
    <t>Harga Satuan Pekerjaan (D+E)</t>
  </si>
  <si>
    <t>Seng gelombang</t>
  </si>
  <si>
    <t>Kayu 5/7</t>
  </si>
  <si>
    <t>Meni besi</t>
  </si>
  <si>
    <t>Kawat duri</t>
  </si>
  <si>
    <t xml:space="preserve"> Kayu bekisting</t>
  </si>
  <si>
    <t>Paku biasa 2"-3"</t>
  </si>
  <si>
    <t>Pembuatan 1 m2 kantor sementara lantai plesteran</t>
  </si>
  <si>
    <t>Paku biasa</t>
  </si>
  <si>
    <t>Pasir pasang</t>
  </si>
  <si>
    <t>Pasir beton</t>
  </si>
  <si>
    <t>Bata merah</t>
  </si>
  <si>
    <t>Seng plat</t>
  </si>
  <si>
    <t>Jendela nako</t>
  </si>
  <si>
    <t>Kunci tanam</t>
  </si>
  <si>
    <t>Pembuatan 1 m2 rumah jaga (konstruksi kayu)</t>
  </si>
  <si>
    <t>Pembuatan 1 m2 gudang semen dan peralatan</t>
  </si>
  <si>
    <t>Kayu lokal</t>
  </si>
  <si>
    <t>Pembuatan 1 m2 bedeng pekerja</t>
  </si>
  <si>
    <t>playwood 4 mm</t>
  </si>
  <si>
    <t>Pembersihan 1 m2 lapangan dan perataan</t>
  </si>
  <si>
    <t>Pembuatan 1 m2 steger/perancah dari bambu</t>
  </si>
  <si>
    <t>Tali ijuk</t>
  </si>
  <si>
    <t>Pembuatan 1 buah kotak adukan ukuran 40cm x 50cm x 25cm</t>
  </si>
  <si>
    <t>Kayu papan kelas III</t>
  </si>
  <si>
    <t>Pembuatan 1 m2 jalan sementara</t>
  </si>
  <si>
    <t>Batu belah</t>
  </si>
  <si>
    <t>Batu pecah</t>
  </si>
  <si>
    <t>Pembongkaran 1 m3 beton bertulang</t>
  </si>
  <si>
    <t>Pembongkaran 1 m3 dinding tembok bata</t>
  </si>
  <si>
    <t>Pemasangan 1 m2 pagar kawat jaring galvanis panjang 240 cm</t>
  </si>
  <si>
    <t>Semen PC</t>
  </si>
  <si>
    <t>II.</t>
  </si>
  <si>
    <t>HARGA SATUAN PEKERJAAN TANAH</t>
  </si>
  <si>
    <t>Penggalian 1 m3 tanah biasa sedalam 1 m</t>
  </si>
  <si>
    <t>Penggalian 1 m3 tanah biasa sedalam 2 m</t>
  </si>
  <si>
    <t>Penggalian 1 m3 tanah biasa sedalam 3 m</t>
  </si>
  <si>
    <t>Menggali 1 m3 tanah keras sedalam 1 m</t>
  </si>
  <si>
    <t>Menggali 1 m3 tanah cadas sedalam 1 m</t>
  </si>
  <si>
    <t>Menggali 1 m3 tanah lumpur sedalam 1 m</t>
  </si>
  <si>
    <t>Pengerjaan stripping 1 m2 tebing setinggi 1 meter</t>
  </si>
  <si>
    <t>Pembuangan 1 m3 tanah sejauh 30 meter</t>
  </si>
  <si>
    <t>Pembuangan 1 m3 tanah sejauh 150 meter</t>
  </si>
  <si>
    <t>Pengurugan kembali 1 m3 galian tanah</t>
  </si>
  <si>
    <t>Pengurugan kembali 1 m3 galian di hitung dari 1/3 kali dari koefisien pekerjaan galian</t>
  </si>
  <si>
    <t>Pemadatan tanah 1 m3 tanah ( per 20 cm )</t>
  </si>
  <si>
    <t>Pengurugan 1 m3 dengan pasir urug</t>
  </si>
  <si>
    <t>Pasir Urug</t>
  </si>
  <si>
    <t xml:space="preserve">Urugan Tanah </t>
  </si>
  <si>
    <t>Pemasangan 1 m2 lapisan ijuk tebal 10 cm untuk bidang resapan</t>
  </si>
  <si>
    <t>Pengurugan 1 m3 sirtu padat</t>
  </si>
  <si>
    <t>Pengurugan 1 m3 Lime stone</t>
  </si>
  <si>
    <t>lime stone</t>
  </si>
  <si>
    <t>III.</t>
  </si>
  <si>
    <t>HARGA SATUAN PEKERJAAN PONDASI</t>
  </si>
  <si>
    <t>Pemasangan 1 m3 pondasi batu belah/batu kali campuran 1SP : 3PP</t>
  </si>
  <si>
    <t>Semen Portland</t>
  </si>
  <si>
    <t>Pasir Pasang</t>
  </si>
  <si>
    <t>Pemasangan 1 m3 pondasi batu belah/batu kali  campuran 1SP : 4PP</t>
  </si>
  <si>
    <t>Pemasangan 1 m3 pondasi batu belah/batu kali campuran 1SP : 5PP</t>
  </si>
  <si>
    <t>Pemasangan 1 m3 pondasi batu belah/batu kali campuran 1SP : 6PP</t>
  </si>
  <si>
    <t xml:space="preserve">Pasir beton </t>
  </si>
  <si>
    <t>Kerikil</t>
  </si>
  <si>
    <t>Pemasangan 1 m3 pondasi siklop, 60% beton campuran 1SP : 2PB : 3Kr dan 40% batu belah</t>
  </si>
  <si>
    <t>Kawat beton</t>
  </si>
  <si>
    <t>Pemasangan 1 m3 pondasi sumuran, diameter 100 cm</t>
  </si>
  <si>
    <t>Oli + Solar</t>
  </si>
  <si>
    <t>Mesin Bor</t>
  </si>
  <si>
    <t>Alat Bantu</t>
  </si>
  <si>
    <t>B. Beton K-300 Bored Pile</t>
  </si>
  <si>
    <t>Beton K - 300</t>
  </si>
  <si>
    <t>Pipa Tremi dan Casing Pelindung</t>
  </si>
  <si>
    <t>c. Pembesian 6 o 13 Beugel O 8 Spiral</t>
  </si>
  <si>
    <t>Besi O 13</t>
  </si>
  <si>
    <t>Beugel Besi O 8</t>
  </si>
  <si>
    <t>Pemasangan 1 m3 tiang pancang 35 x 35 cm</t>
  </si>
  <si>
    <t xml:space="preserve"> Pasir urug</t>
  </si>
  <si>
    <t xml:space="preserve"> Pasir beton</t>
  </si>
  <si>
    <t xml:space="preserve"> koral beton</t>
  </si>
  <si>
    <t xml:space="preserve"> SemenPortland</t>
  </si>
  <si>
    <t xml:space="preserve"> Besi beton</t>
  </si>
  <si>
    <t xml:space="preserve"> Kawat Beton</t>
  </si>
  <si>
    <t xml:space="preserve"> Kayu kaso lokal</t>
  </si>
  <si>
    <t xml:space="preserve"> Paku Reng</t>
  </si>
  <si>
    <t xml:space="preserve"> Minyak Bekisting</t>
  </si>
  <si>
    <t>Pemasangan 1 m3 tiang pancang 40 x 40 cm</t>
  </si>
  <si>
    <t xml:space="preserve"> Kayu reng 5/7 kelas 3</t>
  </si>
  <si>
    <t>IV.</t>
  </si>
  <si>
    <t>HARGA SATUAN PEKERJAAN BETON</t>
  </si>
  <si>
    <t>Kerikil (Maks 30mm)</t>
  </si>
  <si>
    <t>Air</t>
  </si>
  <si>
    <t>Liter</t>
  </si>
  <si>
    <t>CATATAN</t>
  </si>
  <si>
    <t>Membuat 1 m3 lantai kerja beton mutu f'c = 7,4 Mpa (K100), slump (3-6) cm, w/c = 0.87</t>
  </si>
  <si>
    <t>Membuat 1 m3 lantai kerja beton mutu f'c = 14,5 Mpa (K175), slump (12 ± 2) cm, w/c = 0.66</t>
  </si>
  <si>
    <t>Membuat 1 m3 lantai kerja beton mutu f'c = 16,9 Mpa (K200), slump (12 ± 2) cm, w/c = 0.61</t>
  </si>
  <si>
    <t>Membuat 1 m3 lantai kerja beton mutu f'c = 19,3 Mpa (K225), slump (12 ± 2) cm, w/c = 0.58</t>
  </si>
  <si>
    <t>Membuat 1 m3 lantai kerja beton mutu f'c = 21,7 Mpa (K250), slump (12 ± 2) cm, w/c = 0.56</t>
  </si>
  <si>
    <t>Membuat 1 m3 lantai kerja beton mutu f'c = 24,0 Mpa (K275), slump (12 ± 2) cm, w/c = 0.53</t>
  </si>
  <si>
    <t>Membuat 1 m3 lantai kerja beton mutu f'c = 26,4 Mpa (K300), slump (12 ± 2) cm, w/c = 0.52</t>
  </si>
  <si>
    <t>Membuat 1 m3 lantai kerja beton mutu f'c = 28,8 Mpa (K325), slump (12 ± 2) cm, w/c = 0.49</t>
  </si>
  <si>
    <t>Membuat 1 m3 lantai kerja beton mutu f'c = 31,2 Mpa (K350), slump (12 ± 2) cm, w/c = 0.48</t>
  </si>
  <si>
    <t>Membuat 1 m3 beton kedap air dengan strorox - 100</t>
  </si>
  <si>
    <t>Kerikil (2cm/3cm)</t>
  </si>
  <si>
    <t>Pembesian 10 kg dengan besi polos atau besi ulir</t>
  </si>
  <si>
    <t>Besi beton (polos/ulir)</t>
  </si>
  <si>
    <t>Pemasangan 10 kg kabel presstressed polos/strands</t>
  </si>
  <si>
    <t>Jaring kawat baja dilas</t>
  </si>
  <si>
    <t>Pemasangan 1 m2 bekisting untuk pondasi</t>
  </si>
  <si>
    <t>Paku 5 - 10 cm</t>
  </si>
  <si>
    <t>Pemasangan 1 m2 bekisting untuk sloof</t>
  </si>
  <si>
    <t>Pemasangan 1 m2 bekisting untuk kolom</t>
  </si>
  <si>
    <t>Paku 5 - 12 cm</t>
  </si>
  <si>
    <t>kayu meranti usuk</t>
  </si>
  <si>
    <t>Plywood tebal 9 mm</t>
  </si>
  <si>
    <t>Pemasangan 1 m2 bekisting untuk balok</t>
  </si>
  <si>
    <t>Kayu kelas III</t>
  </si>
  <si>
    <t>Pemasangan 1 m2 bekisting untuk lantai</t>
  </si>
  <si>
    <t>Pemasangan 1 m2 bekisting untuk dinding</t>
  </si>
  <si>
    <t>Penjaga jarak bekisting/ spacer</t>
  </si>
  <si>
    <t>Pemasangan 1 m2 bekisting untuk tangga</t>
  </si>
  <si>
    <t>kayu kruing balok</t>
  </si>
  <si>
    <t>Sement potland</t>
  </si>
  <si>
    <t>koral beton</t>
  </si>
  <si>
    <t>Jumlah (A + B + C) Pas. Beton Cor 1 ; 3 : 5</t>
  </si>
  <si>
    <t>Jumlah (A + B + C) Beton Bertulang 1 : 2 : 3</t>
  </si>
  <si>
    <t>Pas. Beton bertulang 1 : 1.5: 2.5</t>
  </si>
  <si>
    <t>Besi beton polos</t>
  </si>
  <si>
    <t>Kerikil koral beton</t>
  </si>
  <si>
    <t>E</t>
  </si>
  <si>
    <t>Membuat 1 m2 Perancah / Steger (menggunakan Buruh)</t>
  </si>
  <si>
    <t>Dolken Kayu 8" - 10"/4 m</t>
  </si>
  <si>
    <t>ls</t>
  </si>
  <si>
    <t>Kayu Perancah</t>
  </si>
  <si>
    <t>Paku</t>
  </si>
  <si>
    <t>1 m3 cor Beton Basement k 300</t>
  </si>
  <si>
    <t>Bekisting</t>
  </si>
  <si>
    <t>-</t>
  </si>
  <si>
    <t>Besi Beton</t>
  </si>
  <si>
    <t>Beton K 300</t>
  </si>
  <si>
    <t>1 m3 cor Beton Pondasi k 100- 350 fe 125</t>
  </si>
  <si>
    <t xml:space="preserve">Bekisting </t>
  </si>
  <si>
    <t>Penempatan besi</t>
  </si>
  <si>
    <t>Beton K 100</t>
  </si>
  <si>
    <t>Beton K 125</t>
  </si>
  <si>
    <t>Beton K 150</t>
  </si>
  <si>
    <t>Beton K 175</t>
  </si>
  <si>
    <t>Beton K 200</t>
  </si>
  <si>
    <t>Beton K 225</t>
  </si>
  <si>
    <t>Beton K 250</t>
  </si>
  <si>
    <t>Beton K 275</t>
  </si>
  <si>
    <t>Beton K 325</t>
  </si>
  <si>
    <t>Beton K 350</t>
  </si>
  <si>
    <t>Harga satuan pekerjaan Beton ( K 125 )  FE  125</t>
  </si>
  <si>
    <t>Harga Satuan Pekerjaan Beton ( K 150 )  FE  125</t>
  </si>
  <si>
    <t>g.</t>
  </si>
  <si>
    <t>Harga Satuan Pekerjaan Beton ( K 175 )  FE  125</t>
  </si>
  <si>
    <t>h.</t>
  </si>
  <si>
    <t>Harga Satuan Pekerjaan Beton ( K 200 )  FE  125</t>
  </si>
  <si>
    <t>Harga Satuan Pekerjaan Beton ( K 225 )  FE  125</t>
  </si>
  <si>
    <t>J.</t>
  </si>
  <si>
    <t>Harga Satuan Pekerjaan Beton ( K 250 )  FE  125</t>
  </si>
  <si>
    <t>K.</t>
  </si>
  <si>
    <t>Harga Satuan Pekerjaan Beton ( K 275 )  FE  125</t>
  </si>
  <si>
    <t>L.</t>
  </si>
  <si>
    <t>Harga Satuan Pekerjaan Beton ( K 300 )  FE  125</t>
  </si>
  <si>
    <t>M.</t>
  </si>
  <si>
    <t>Harga Satuan Pekerjaan Beton ( K 325 )  FE  125</t>
  </si>
  <si>
    <t>N.</t>
  </si>
  <si>
    <t>Harga Satuan Pekerjaan Beton ( K 350)  FE 125</t>
  </si>
  <si>
    <t>1 m3 cor Beton Dinding k 100-350 fe 150</t>
  </si>
  <si>
    <t>Harga satuan pekerjaan Beton ( K 125 )  FE  150</t>
  </si>
  <si>
    <t>Harga satuan pekerjaan Beton ( K 150 )  FE  150</t>
  </si>
  <si>
    <t>G.</t>
  </si>
  <si>
    <t>Harga Satuan Pekerjaan Beton ( K 175 )  FE  150</t>
  </si>
  <si>
    <t>H.</t>
  </si>
  <si>
    <t>Harga Satuan Pekerjaan Beton ( K 200 )  FE  150</t>
  </si>
  <si>
    <t>Harga Satuan Pekerjaan Beton ( K 225 )  FE  150</t>
  </si>
  <si>
    <t>Harga Satuan Pekerjaan Beton ( K 250 )  FE  150</t>
  </si>
  <si>
    <t>Harga Satuan Pekerjaan Beton ( K 275 )  FE  150</t>
  </si>
  <si>
    <t>Harga Satuan Pekerjaan Beton ( K 300 )  FE  150</t>
  </si>
  <si>
    <t>Harga Satuan Pekerjaan Beton ( K 325 )  FE  150</t>
  </si>
  <si>
    <t>Harga Satuan Pekerjaan Beton ( K 350)  FE 150</t>
  </si>
  <si>
    <t>1 m3 cor Beton Sloof k 100 - 350  fe 150</t>
  </si>
  <si>
    <t>1 m3 cor Beton Lantai k 100 - 350 fe 110</t>
  </si>
  <si>
    <t>Pekerjaan Steger / bambu</t>
  </si>
  <si>
    <t>Harga Satuan Pekerjaan (D+E) (k 100) Fe 110</t>
  </si>
  <si>
    <t>Harga satuan pekerjaan Beton ( K 125 )  FE  110</t>
  </si>
  <si>
    <t>Harga satuan pekerjaan Beton ( K 150 )  FE  110</t>
  </si>
  <si>
    <t>Harga Satuan Pekerjaan Beton ( K 175 )  FE  110</t>
  </si>
  <si>
    <t>Harga Satuan Pekerjaan Beton ( K 200 )  FE  110</t>
  </si>
  <si>
    <t>Harga Satuan Pekerjaan Beton ( K 225 )  FE  110</t>
  </si>
  <si>
    <t>Harga Satuan Pekerjaan Beton ( K 250 )  FE  110</t>
  </si>
  <si>
    <t>Harga Satuan Pekerjaan Beton ( K 275 )  FE  110</t>
  </si>
  <si>
    <t>Harga Satuan Pekerjaan Beton ( K 300 )  FE  110</t>
  </si>
  <si>
    <t>Harga Satuan Pekerjaan Beton ( K 325 )  FE  110</t>
  </si>
  <si>
    <t>Harga Satuan Pekerjaan Beton ( K 350)  FE 110</t>
  </si>
  <si>
    <t>1 m3 cor Beton Kolom k 100- 350 fe 175</t>
  </si>
  <si>
    <t>Harga Satuan Pekerjaan (D+E) (k 100) Fe 175</t>
  </si>
  <si>
    <t>Harga satuan pekerjaan Beton ( K 125 )  FE  175</t>
  </si>
  <si>
    <t>Harga satuan pekerjaan Beton ( K 150 )  FE  175</t>
  </si>
  <si>
    <t>Harga Satuan Pekerjaan Beton ( K 175 )  FE  175</t>
  </si>
  <si>
    <t>Harga Satuan Pekerjaan Beton ( K 200 )  FE  175</t>
  </si>
  <si>
    <t>Harga Satuan Pekerjaan Beton ( K 225 )  FE  175</t>
  </si>
  <si>
    <t>Harga Satuan Pekerjaan Beton ( K 250 )  FE  175</t>
  </si>
  <si>
    <t>Harga Satuan Pekerjaan Beton ( K 275 )  FE  175</t>
  </si>
  <si>
    <t>Harga Satuan Pekerjaan Beton ( K 300 )  FE  175</t>
  </si>
  <si>
    <t>Harga Satuan Pekerjaan Beton ( K 325 )  FE  175</t>
  </si>
  <si>
    <t>Harga Satuan Pekerjaan Beton ( K 350)  FE 175</t>
  </si>
  <si>
    <t>1 m3 cor Beton Balok k 100-350 fe 200</t>
  </si>
  <si>
    <t>Harga Satuan Pekerjaan (D+E) (k 100) Fe 200</t>
  </si>
  <si>
    <t>Harga satuan pekerjaan Beton ( K 125 )  FE  200</t>
  </si>
  <si>
    <t>Harga satuan pekerjaan Beton ( K 150 )  FE  200</t>
  </si>
  <si>
    <t>Harga Satuan Pekerjaan Beton ( K 175 )  FE  200</t>
  </si>
  <si>
    <t>Harga Satuan Pekerjaan Beton ( K 200 )  FE  200</t>
  </si>
  <si>
    <t>Harga Satuan Pekerjaan Beton ( K 225 )  FE  200</t>
  </si>
  <si>
    <t>Harga Satuan Pekerjaan Beton ( K 250 )  FE  200</t>
  </si>
  <si>
    <t>Harga Satuan Pekerjaan Beton ( K 275 )  FE  200</t>
  </si>
  <si>
    <t>Harga Satuan Pekerjaan Beton ( K 300 )  FE  200</t>
  </si>
  <si>
    <t>Harga Satuan Pekerjaan Beton ( K 325 )  FE  200</t>
  </si>
  <si>
    <t>Harga Satuan Pekerjaan Beton ( K 350)  FE 200</t>
  </si>
  <si>
    <t>1 m3 cor Beton Tangga k 100-350 fe 110</t>
  </si>
  <si>
    <t>Solar</t>
  </si>
  <si>
    <t>HARGA SATUAN PEKERJAAN BESI DAN ALUMINIUM</t>
  </si>
  <si>
    <t>Pemasangan 1 kg besi profil</t>
  </si>
  <si>
    <t>Besi Profil</t>
  </si>
  <si>
    <t>Baja IWF 250</t>
  </si>
  <si>
    <t>Baja IWF 200</t>
  </si>
  <si>
    <t>Baja IWF 150</t>
  </si>
  <si>
    <t>Baja IWF 100</t>
  </si>
  <si>
    <t>Cat Menie besi</t>
  </si>
  <si>
    <t>O.</t>
  </si>
  <si>
    <t>Harga Satuan Pekerjaan (D+K)</t>
  </si>
  <si>
    <t>P.</t>
  </si>
  <si>
    <t>Harga Satuan Pekerjaan (E + L)</t>
  </si>
  <si>
    <t>Harga Satuan Pekerjaan (F + M)</t>
  </si>
  <si>
    <t>Harga Satuan Pekerjaan (G+N)</t>
  </si>
  <si>
    <t>Pengerjaan 100 kg pekerjaan perakitan</t>
  </si>
  <si>
    <t xml:space="preserve">Solar </t>
  </si>
  <si>
    <t>Minyak pelumas</t>
  </si>
  <si>
    <t xml:space="preserve">Sewa alat </t>
  </si>
  <si>
    <t>Pembuatan 1 m2 pintu besi plat baja tebal 2 mm rangkap,rangka baja siku</t>
  </si>
  <si>
    <t>Besi siku L 30.30.3</t>
  </si>
  <si>
    <t xml:space="preserve">Besi plat baja </t>
  </si>
  <si>
    <t>Pengerjaan 10 cm pengelasan dengan las listrik</t>
  </si>
  <si>
    <t>Pembuatan 1 m2 rangka jendela besi scuare tube (25 x 5) cm</t>
  </si>
  <si>
    <t>Pengelasan</t>
  </si>
  <si>
    <t>Pemasangan 1 m2 pintu rolling door besi/ pintu harmonika</t>
  </si>
  <si>
    <t>Pintu gulung besi</t>
  </si>
  <si>
    <t>Pemasangan 1 m2 pintu rolling door aluminium</t>
  </si>
  <si>
    <t>Pintu lipat</t>
  </si>
  <si>
    <t>Pemasangan 1 m2 sunscreen alluminium</t>
  </si>
  <si>
    <t>Profil alluminium 4  "</t>
  </si>
  <si>
    <t>Profil alluminium 3"</t>
  </si>
  <si>
    <t>Skrup fixer</t>
  </si>
  <si>
    <t>Sealent</t>
  </si>
  <si>
    <t>JUMLAH HARGA BAHAN 4"</t>
  </si>
  <si>
    <t>JUMLAH HARGA BAHAN 3"</t>
  </si>
  <si>
    <t>Harga Satuan Pekerjaan (D+E) 4" (frofil aluminium 4)</t>
  </si>
  <si>
    <t>Harga Satuan Pekerjaan 3" ( profil aluminium 3)</t>
  </si>
  <si>
    <t xml:space="preserve">Pemasangan 1 m² pintu alluminium strip lebar 8 cm </t>
  </si>
  <si>
    <t>Profil alluminium</t>
  </si>
  <si>
    <t>Alluminium strip</t>
  </si>
  <si>
    <t>Pemasangan 1 m² pintu kaca rangka alluminium 2'. 0,75 mm</t>
  </si>
  <si>
    <t xml:space="preserve">   Pintu Aluminium</t>
  </si>
  <si>
    <t xml:space="preserve">   Profil Kaca</t>
  </si>
  <si>
    <t xml:space="preserve">   Sealent</t>
  </si>
  <si>
    <t>Pemasangan 1 m² venetions blinds dan vertical blinds</t>
  </si>
  <si>
    <t>1. Venetions blinds dan certical blinds (tirai)</t>
  </si>
  <si>
    <t>Pemasangan 1 m² terali besi strip (2x3) mm</t>
  </si>
  <si>
    <t>Pemasangan 1 m² kawat nyamuk</t>
  </si>
  <si>
    <t>Kawat nyamuk</t>
  </si>
  <si>
    <t>m²</t>
  </si>
  <si>
    <t>Baja strip (0,2x2) cm</t>
  </si>
  <si>
    <t>Pemasangan 1 m² jendela nako &amp; tralis</t>
  </si>
  <si>
    <t>Jendela nako (rangka+kaca 5 mm)</t>
  </si>
  <si>
    <t>Paku skrup 1cm-2,5 cm</t>
  </si>
  <si>
    <t xml:space="preserve">Baja strip </t>
  </si>
  <si>
    <t>Seng plat 3'x6', seng BJLS 28</t>
  </si>
  <si>
    <t>Papan kayu kruing</t>
  </si>
  <si>
    <t>Pemasangan 1 m talang 1/2 lingkaran dia. 15 cm, Seng BJLS 20</t>
  </si>
  <si>
    <t>Seng plat 3'x6' BJLS 28</t>
  </si>
  <si>
    <t>besi strip</t>
  </si>
  <si>
    <t>Pemasangan 1 m1 Pasang Talang Karet</t>
  </si>
  <si>
    <t>Talang karet lbr 0.6</t>
  </si>
  <si>
    <t>Paku biasa 0.5" - 1 "</t>
  </si>
  <si>
    <t xml:space="preserve">kayu papan kelas 3 </t>
  </si>
  <si>
    <t>Pemasangan 1 m² rangka besi hollow 1x40.40.2 mm, modul 60x120 cm dinding partisi</t>
  </si>
  <si>
    <t>Rangka metal hollow 40.40.2 mm</t>
  </si>
  <si>
    <t>Assesories (perkuatan, las dll)</t>
  </si>
  <si>
    <t>100% x rangka</t>
  </si>
  <si>
    <t>Pemasangan 1 m² rangka kap baja C   utk penutup genteng metal</t>
  </si>
  <si>
    <t xml:space="preserve">Rangka baja C </t>
  </si>
  <si>
    <t xml:space="preserve">reng </t>
  </si>
  <si>
    <t>Dinabolt</t>
  </si>
  <si>
    <t>Benang</t>
  </si>
  <si>
    <t>Pemasangan 1 m² rangka kap baja C  utk penutup genteng tanah</t>
  </si>
  <si>
    <t>Pemasangan 1 m² rangka kap baja   UK  utk penutup genteng tanah</t>
  </si>
  <si>
    <t>Rangka baja uk</t>
  </si>
  <si>
    <t>Pemasangan 1 m² rangka kap baja   UK  utk penutup genteng metal</t>
  </si>
  <si>
    <t xml:space="preserve">Rangka baja uk </t>
  </si>
  <si>
    <t>HARGA SATUAN PEKERJAAN PASANGAN DINDING</t>
  </si>
  <si>
    <t>Pemasangan 1 m² dinding bata merah (5x11x12) cm tebal 1 bata campuran 1 SP : 2 PP</t>
  </si>
  <si>
    <t>m³</t>
  </si>
  <si>
    <t>Pemasangan 1 m² dinding bata merah (5x11x12) cm tebal 1 bata campuran 1 SP : 3 PP</t>
  </si>
  <si>
    <t>Pemasangan 1 m² dinding bata merah (5x11x12) cm tebal 1 bata campuran 1 SP : 4 PP</t>
  </si>
  <si>
    <t>Pemasangan 1 m² dinding bata merah (5x11x12) cm tebal 1 bata campuran 1 SP : 5 PP</t>
  </si>
  <si>
    <t>Pemasangan 1 m² dinding bata merah (5x11x12) cm tebal 1 bata campuran 1 SP : 6 PP</t>
  </si>
  <si>
    <t>Pemasangan 1 m² dinding bata merah (5x11x12) cm tebal 1 bata campuran 1 SP : 3KP : 10 PP</t>
  </si>
  <si>
    <t>Semen merah</t>
  </si>
  <si>
    <t>Pemasangan 1 m² dinding conblock HB20 campuran 1 SP : 3 PP</t>
  </si>
  <si>
    <t>HB-20</t>
  </si>
  <si>
    <t xml:space="preserve">Besi angker diameter 8 </t>
  </si>
  <si>
    <t>Pemasangan 1 m² dinding conblock HB20 campuran 1 SP : 4 PP</t>
  </si>
  <si>
    <t>Pemasangan 1 m² dinding conblock HB15 campuran 1 SP : 3 PP</t>
  </si>
  <si>
    <t>HB-15</t>
  </si>
  <si>
    <t>Pemasangan 1 m² dinding conblock HB15 campuran 1 SP : 4 PP</t>
  </si>
  <si>
    <t>Pemasangan 1 m² dinding conblock HB10 campuran 1 SP : 3 PP</t>
  </si>
  <si>
    <t>HB-10</t>
  </si>
  <si>
    <t>Pemasangan 1 m² dinding conblock HB10 campuran 1 SP : 4 PP</t>
  </si>
  <si>
    <t>Batako buntu</t>
  </si>
  <si>
    <t>Batako lubang</t>
  </si>
  <si>
    <t>Harga Satuan Pekerjaan (D+E) batako buntu</t>
  </si>
  <si>
    <t>Pemasangan 1 m² dinding kerawang (rooster bata) 12x11x24 campuran 1 SP : 3 PP</t>
  </si>
  <si>
    <t>Bata rooster</t>
  </si>
  <si>
    <t>Pemasangan 1 m² dinding kerawang (rooster) 12x11x24 campuran 1 SP : 4 PP</t>
  </si>
  <si>
    <t>Bata berongga</t>
  </si>
  <si>
    <t>Pemasangan 1 m² dinding bata berongga ekspose (roster kerawang pc) campuran 1 SP : 3 PP</t>
  </si>
  <si>
    <t xml:space="preserve"> </t>
  </si>
  <si>
    <t>HARGA SATUAN PEKERJAAN PLESTERAN</t>
  </si>
  <si>
    <t>Pemasangan 1 m² plesteran 1 SP : 1 PP tebal 15 mm</t>
  </si>
  <si>
    <t>Pemasangan 1 m² plesteran 1 SP : 2 PP tebal 15 mm</t>
  </si>
  <si>
    <t>Pemasangan 1 m² plesteran 1 SP : 3 PP tebal 15 mm</t>
  </si>
  <si>
    <t>Pemasangan 1 m² plesteran 1 SP : 4 PP tebal 15 mm</t>
  </si>
  <si>
    <t>Pemasangan 1 m² plesteran 1 SP : 5 PP tebal 15 mm</t>
  </si>
  <si>
    <t>Pemasangan 1 m² plesteran 1 SP : 6 PP tebal 15 mm</t>
  </si>
  <si>
    <t>Pemasangan 1 m² plesteran 1 SP : 7 PP tebal 15 mm</t>
  </si>
  <si>
    <t>Pemasangan 1 m² plesteran 1 SP : 8 PP tebal 15 mm</t>
  </si>
  <si>
    <t>Pemasangan 1 m² plesteran 1 SP : 2 KP : 8 PP tebal 15 mm</t>
  </si>
  <si>
    <t>Pemasangan 1 m² plesteran 1 SM : 1 KP : 1 PP tebal 15 mm</t>
  </si>
  <si>
    <t>Pemasangan 1 m² plesteran 1 SM : 1 KP : 2 PP tebal 15 mm</t>
  </si>
  <si>
    <t>Pemasangan 1 m² plesteran 1 SP : 1 PP tebal 20 mm</t>
  </si>
  <si>
    <t>Pemasangan 1 m² plesteran 1 SP : 3 PP tebal 20 mm</t>
  </si>
  <si>
    <t>Pemasangan 1 m² plesteran 1 SP : 4 PP tebal 20 mm</t>
  </si>
  <si>
    <t>Pemasangan 1 m² plesteran 1 SP : 5 PP tebal 20 mm</t>
  </si>
  <si>
    <t>Pemasangan 1 m² plesteran 1 SP : 6 PP tebal 20 mm</t>
  </si>
  <si>
    <t>Pemasangan 1 m² plesteran 1 SM : 1 KP : 2 PP tebal 20 mm</t>
  </si>
  <si>
    <t>Pemasangan 1 m² Plesteran beton 1 pc : 2 ps</t>
  </si>
  <si>
    <t>Pemasangan 1 m² plesteran granit 1 SP : 2 Granit tebal 1 cm</t>
  </si>
  <si>
    <t>Batu granit</t>
  </si>
  <si>
    <t>Pemasangan 1 m² plesteran traso 1 SP : 2 Traso tebal 1 cm</t>
  </si>
  <si>
    <t>Batu traso</t>
  </si>
  <si>
    <t>Pemasangan 1 m² Acian dengan Mill / ngelabur</t>
  </si>
  <si>
    <t>zak mill</t>
  </si>
  <si>
    <t>Pemasangan 1 m² finishing siar pasangan bata merah</t>
  </si>
  <si>
    <t>Pemasangan 1 m² finishing siar pasangan conblock ekspose</t>
  </si>
  <si>
    <t>Pemasangan 1 m² finishing siar pasangan batu kali , campuran 1 SP : 2 PP</t>
  </si>
  <si>
    <t>Pemasangan 1 m² acian dengan semen</t>
  </si>
  <si>
    <t>HARGA SATUAN PEKERJAAN PENUTUP LANTAI DAN PENUTUP DINDING</t>
  </si>
  <si>
    <t>Pemasangan 1 m² lantai ubin PC abu-abu ukuran 40 cmx 40 cm</t>
  </si>
  <si>
    <t>Ubin abu-abu</t>
  </si>
  <si>
    <t>M³</t>
  </si>
  <si>
    <t>Pemasangan 1 m² lantai ubin PC abu-abu ukuran 30 cmx 30 cm</t>
  </si>
  <si>
    <t>Pemasangan 1 m² lantai ubin PC abu-abu ukuran 20 cmx 20 cm</t>
  </si>
  <si>
    <t>Pemasangan 1 m² lantai ubin warna ukuran 40 cmx 40 cm</t>
  </si>
  <si>
    <t>Ubin warna</t>
  </si>
  <si>
    <t>Semen warna</t>
  </si>
  <si>
    <t>Pemasangan 1 m² lantai ubin warna ukuran 30 cmx 30 cm</t>
  </si>
  <si>
    <t>Pemasangan 1 m² lantai ubin warna ukuran 20 cmx 20 cm</t>
  </si>
  <si>
    <t>Pemasangan 1 m² lantai ubin teraso ukuran 40 cmx 40 cm</t>
  </si>
  <si>
    <t>Ubin teraso</t>
  </si>
  <si>
    <t>Pemasangan 1 m² lantai ubin teraso ukuran 30 cmx 30 cm</t>
  </si>
  <si>
    <t>Pemasangan 1 m² lantai ubin granit ukuran 40 cmx 40 cm</t>
  </si>
  <si>
    <t>Ubin granit</t>
  </si>
  <si>
    <t>Pemasangan 1 m² lantai ubin granit ukuran 30 cmx 30 cm</t>
  </si>
  <si>
    <t>Pemasangan 1 m² lantai ubin teralux marmer ukuran 40 cmx 40 cm</t>
  </si>
  <si>
    <t>Ubin teralux</t>
  </si>
  <si>
    <t>Pemasangan 1 m² lantai ubin teralux marmer ukuran 30 cmx 30 cm</t>
  </si>
  <si>
    <t>Pemasangan 1 m² lantai ubin teralux marmer ukuran 60 cmx 60 cm</t>
  </si>
  <si>
    <t>Plint ubin PC</t>
  </si>
  <si>
    <t>Plint ubin warna</t>
  </si>
  <si>
    <t>Plint ubin teraso</t>
  </si>
  <si>
    <t>Plint ubin granit</t>
  </si>
  <si>
    <t>Plin Ubin Granit</t>
  </si>
  <si>
    <t>Plint teralux kerang</t>
  </si>
  <si>
    <t>Plint teralux marmer</t>
  </si>
  <si>
    <t>Pemasangan 1 m² lantai teraso cor di tempat, tebal 3 cm</t>
  </si>
  <si>
    <t>Teraso cor</t>
  </si>
  <si>
    <t>Pemasangan 1 m² lantai keramik artistik 10 cm x 20 cm</t>
  </si>
  <si>
    <t>Ubin keramik</t>
  </si>
  <si>
    <t>Pemasangan 1 m² lantai keramik artistik 10 cm x 10 cm atau 5cm x 20 cm</t>
  </si>
  <si>
    <t>Pemasangan 1 m² lantai keramik ukuran 33 cm x 33 cm</t>
  </si>
  <si>
    <t>Keramik 40 x40</t>
  </si>
  <si>
    <t>Keramik 40 x 40 cm anti slip</t>
  </si>
  <si>
    <t>Keramik 20 x 20 cm</t>
  </si>
  <si>
    <t>Keramik 20 x 20 cm anti slip</t>
  </si>
  <si>
    <t xml:space="preserve">JUMLAH HARGA BAHAN </t>
  </si>
  <si>
    <t xml:space="preserve">Pemasangan 1 m² lantai keramik ukuran 10 cm x 40 cm untuk variasi /border </t>
  </si>
  <si>
    <t>Keramik 10 x 40 cm</t>
  </si>
  <si>
    <t>Ubin keramik anti slip</t>
  </si>
  <si>
    <t>semen warna (anti slip)</t>
  </si>
  <si>
    <t>Plint keramik 10 x 20</t>
  </si>
  <si>
    <t>Plin keramik 10 x 30</t>
  </si>
  <si>
    <t>I</t>
  </si>
  <si>
    <t>Kayu papan kelas 1</t>
  </si>
  <si>
    <t>Paku skrup 3.5</t>
  </si>
  <si>
    <t>Plint keramik</t>
  </si>
  <si>
    <t xml:space="preserve">Pemasangan 1 m² lantai marmer ukuran 100 cm x 100 cm </t>
  </si>
  <si>
    <t>Marmer</t>
  </si>
  <si>
    <t xml:space="preserve">Pemasangan 1 m² lantai karpet </t>
  </si>
  <si>
    <t>Lem</t>
  </si>
  <si>
    <t xml:space="preserve">Pemasangan 1 m² lantai parquet kayu </t>
  </si>
  <si>
    <t xml:space="preserve">Pemasangan 1 m² lantai kayu gymfloor </t>
  </si>
  <si>
    <t>Pemasangan 1 m² dinding porselin 11 cm x 11 cm</t>
  </si>
  <si>
    <t>Pemasangan 1 m² dinding porselin 10 cm x 20 cm</t>
  </si>
  <si>
    <t>Pemasangan 1 m² dinding porselin 20 cm x 20 cm</t>
  </si>
  <si>
    <t>Pemasangan 1 m² dinding keramik artistik 10 cm x 20 cm</t>
  </si>
  <si>
    <t>Keramik artistik</t>
  </si>
  <si>
    <t>Pemasangan 1 m² dinding keramik artistik 5 cm x 20 cm</t>
  </si>
  <si>
    <t>Pemasangan 1 m² dinding keramik 10 cm x 20 cm</t>
  </si>
  <si>
    <t>Pemasangan 1 m² dinding keramik 20 cm x 20 cm</t>
  </si>
  <si>
    <t>Keramik 20 x 20</t>
  </si>
  <si>
    <t>Pemasangan 1 m² dinding marmer 100 cm x 100 cm</t>
  </si>
  <si>
    <t xml:space="preserve">Pemasangan 1 m² dinding bata pelapis </t>
  </si>
  <si>
    <t>Bata pelapis kelas 2</t>
  </si>
  <si>
    <t xml:space="preserve">Pemasangan 1 m² dinding batu paras sarwagenep </t>
  </si>
  <si>
    <t>Batu paras sarwagenep</t>
  </si>
  <si>
    <t xml:space="preserve">Pemasangan 1 m² dinding batu tempel hitam </t>
  </si>
  <si>
    <t>Batu tempel hitam</t>
  </si>
  <si>
    <t>Pemasangan 1 m² dindig batu bali green</t>
  </si>
  <si>
    <t xml:space="preserve">Batu bali green </t>
  </si>
  <si>
    <t>pasir pasang</t>
  </si>
  <si>
    <t>SATUAN PEKERJAAN LANGIT-LANGIT (PLAFOND)</t>
  </si>
  <si>
    <t>Pemasangan 1 m² langit-langit asbes 1 x 1 m/3.2 ( tanpa rangka ) semen tebal 4 mm, 5 mm, 6 mm</t>
  </si>
  <si>
    <t>Asbes semen 1,8 x 0,8 tebal 4 mm</t>
  </si>
  <si>
    <t>M²</t>
  </si>
  <si>
    <t>Paku tripleks</t>
  </si>
  <si>
    <t>Pemasangan 1 m² rangka langit-langit 50 x 1 m</t>
  </si>
  <si>
    <t>kayu usuk meranti 4/6</t>
  </si>
  <si>
    <t>Paku usuk</t>
  </si>
  <si>
    <t>Pemasangan 1 m² langit-langit akustik ukuran 60 x 120cm</t>
  </si>
  <si>
    <t xml:space="preserve">Pemasangan 1 m² langit-langit plywood 30x60 cm/4mm tanpa rangka </t>
  </si>
  <si>
    <t>plywood 4 mm</t>
  </si>
  <si>
    <t xml:space="preserve">Pemasangan 1 m² langit-langit plywood 30x60 cm/4mm + rangka </t>
  </si>
  <si>
    <t xml:space="preserve">Pemasangan 1 m² langit-langit asbes + rangka </t>
  </si>
  <si>
    <t>asbes / eternit</t>
  </si>
  <si>
    <t>Pemasangan 1 m² langit-langit gypsum board ukuran (120 x 240 x 9 )mm, tebal 9 mm tanpa rangka</t>
  </si>
  <si>
    <t>gypsum board</t>
  </si>
  <si>
    <t>Paku skrup</t>
  </si>
  <si>
    <t>Pemasangan 1 m² langit-langit  klasiboard 1x1m + rangka</t>
  </si>
  <si>
    <t>klasiboard 100 x 100</t>
  </si>
  <si>
    <t>kayu meranti usuk 4/6</t>
  </si>
  <si>
    <t>Paku 2 - 5 '</t>
  </si>
  <si>
    <t>Pemasangan 1 m² langit-langit lambrisering  kayu , tebal 9 mm</t>
  </si>
  <si>
    <t>Kayu papan</t>
  </si>
  <si>
    <t>Pas. 1 m² langit-langit rangka besi hollow 1 x 40.40.2mm, modul 60 x 60 cm</t>
  </si>
  <si>
    <t>rangka metal hallow 40.40.2mm</t>
  </si>
  <si>
    <t>assesoris (perkutatan, las dll )</t>
  </si>
  <si>
    <t>Pemasangan 1 m² langit-langit akustik ukuran (60 x 120) cm, berikut rangka alluminium</t>
  </si>
  <si>
    <t>Profil allum " T "</t>
  </si>
  <si>
    <t>Akustik 60 x 120</t>
  </si>
  <si>
    <t>List kayu</t>
  </si>
  <si>
    <t>List gypsum</t>
  </si>
  <si>
    <t>Pemasangan 1 m2 Langit - Langit Gedeg kulit + Rangka</t>
  </si>
  <si>
    <t>Kayu Usuk 4/6 kelas 3</t>
  </si>
  <si>
    <t>gedeg kulit kelas 1</t>
  </si>
  <si>
    <t>Paku 2'-5'</t>
  </si>
  <si>
    <t>Pemasangan 1 m2 Plafond Kalsiboard 4.5 mm</t>
  </si>
  <si>
    <t>XI.</t>
  </si>
  <si>
    <t>HARGA SATUAN PEKERJAAN PENUTUP ATAP</t>
  </si>
  <si>
    <t>Pemasangan 1 m² atap genteng press mini</t>
  </si>
  <si>
    <t>L.11</t>
  </si>
  <si>
    <t>L.15</t>
  </si>
  <si>
    <t>Genteng press mini</t>
  </si>
  <si>
    <t>Pemasangan 1 m² atap genteng kodok glazuur isi 25</t>
  </si>
  <si>
    <t>Genteng kodok</t>
  </si>
  <si>
    <t>Pemasangan 1 m² atap genteng pelentong kecil</t>
  </si>
  <si>
    <t>Genteng plentong</t>
  </si>
  <si>
    <t>Genteng bubung</t>
  </si>
  <si>
    <t xml:space="preserve">  Pekerja</t>
  </si>
  <si>
    <t>Bubungan Genteng Kodok</t>
  </si>
  <si>
    <t xml:space="preserve">Pemasangan 1 m² roof light fibreglass 90 x 180 </t>
  </si>
  <si>
    <t>Roof light 90 x 180</t>
  </si>
  <si>
    <t>Pemasangan 1 m² atap asbes gelombang 0,8 m  x 1,8 m x 4 mm</t>
  </si>
  <si>
    <t xml:space="preserve">Asbes gelombang </t>
  </si>
  <si>
    <t>Paku pancing 6x23</t>
  </si>
  <si>
    <t>Bubung steel gelombang</t>
  </si>
  <si>
    <t>Pemasangan 1 m1 nok paten</t>
  </si>
  <si>
    <t>Pemasangan 1 m² atap sirap kayu</t>
  </si>
  <si>
    <t>Sirap kayu</t>
  </si>
  <si>
    <t>Nok genteng beton</t>
  </si>
  <si>
    <t>Seng plat 3 x 6 BJLS 28</t>
  </si>
  <si>
    <t>Paku biasa 2 - 5</t>
  </si>
  <si>
    <t>kayu papan 3cm</t>
  </si>
  <si>
    <t xml:space="preserve">Pemasangan 1 m2  genteng metal </t>
  </si>
  <si>
    <t>Pemasangan 1 m2  genteng beton</t>
  </si>
  <si>
    <t>Pemasangan 1 m2  bubungan genteng beton</t>
  </si>
  <si>
    <t>semen pc</t>
  </si>
  <si>
    <t>Seng gelombang 3" x 6" bjls 28</t>
  </si>
  <si>
    <t>spandek 3mm</t>
  </si>
  <si>
    <t>paku pancing</t>
  </si>
  <si>
    <t>Nok standard 40x18</t>
  </si>
  <si>
    <t>Paku hak panjang 15 cm</t>
  </si>
  <si>
    <t xml:space="preserve">Pemasangan 1 m² aluminium foil </t>
  </si>
  <si>
    <t>Aluminium foil</t>
  </si>
  <si>
    <t>HARGA SATUAN PEKERJAAN KAYU</t>
  </si>
  <si>
    <t>Pembuatan dan pemasangan 1 m³ kusen pintu dan kusen jendela , kayu klas I.</t>
  </si>
  <si>
    <t>Balok kayu</t>
  </si>
  <si>
    <t>paku 10 cm</t>
  </si>
  <si>
    <t>Lem kayu</t>
  </si>
  <si>
    <t>Pembuatan dan pemasangan 1 m³ kusen pintu dan kusen jendela , kayu klas II</t>
  </si>
  <si>
    <t>Pembuatan dan pemasangan 1 m² pintu klamp standard , kayu klas II</t>
  </si>
  <si>
    <t>Papan kayu kelas 2</t>
  </si>
  <si>
    <t>Paku 5 - 7 cm</t>
  </si>
  <si>
    <t>Pembuatan pekerjaan raam kayu kamper</t>
  </si>
  <si>
    <t>Papan kayu kamper</t>
  </si>
  <si>
    <t>List Kayu</t>
  </si>
  <si>
    <t>Paku list</t>
  </si>
  <si>
    <t xml:space="preserve">Pembuatan dan pemasangan 1 m² daun pintu panel, kayu klas I atau kelas II </t>
  </si>
  <si>
    <t>Papan kayu kelas 1</t>
  </si>
  <si>
    <t>Pembuatan dan pemasangan 1 m² pintu dan jendela kaca, kayu klas I atau klas II</t>
  </si>
  <si>
    <t>Papan kayu</t>
  </si>
  <si>
    <t>kaca 5 mm</t>
  </si>
  <si>
    <t>Pembuatan dan pemasangan 1 m² pintu plywood lapisan aluminium rangka kayu klas I atau klas 2</t>
  </si>
  <si>
    <t>plywood lap. Aluminium</t>
  </si>
  <si>
    <t>Pembuatan 1 m² daun pintu teakwood rangkap , rangka kayu klas I atau klas 2</t>
  </si>
  <si>
    <t>Paku 1 cm - 2,5 cm</t>
  </si>
  <si>
    <t>teakwood tebal 2.7 mm ukuran (90x220) cm</t>
  </si>
  <si>
    <t>Pembuatan 1 m² daun pintu plywood rangkap , rangka expose kayu klas I atau II</t>
  </si>
  <si>
    <t>Papan kayu klas 1</t>
  </si>
  <si>
    <t>Playwood tebal 4 mm ukuran (90x220) cm</t>
  </si>
  <si>
    <t>Pemasangan 1 m² jalusi kusen , kayu klas  II</t>
  </si>
  <si>
    <t>Pemasangan 1 m² teakwood rangkap, rangka expose kayu klas I atau klas 2</t>
  </si>
  <si>
    <t>Teakwood 4 mm 90 x 220</t>
  </si>
  <si>
    <t>Pemasangan 1 m² teakwood rangkap lapis formika , rangka expose kayu klas II</t>
  </si>
  <si>
    <t>Papan kayu klas 2</t>
  </si>
  <si>
    <t>Balok kayu kelas I</t>
  </si>
  <si>
    <t>Balok Kayu kelas II</t>
  </si>
  <si>
    <t>Balok Kayu kelas III</t>
  </si>
  <si>
    <t>Besi strip tebal 5 mm</t>
  </si>
  <si>
    <t>Balok kayu kelas 1</t>
  </si>
  <si>
    <t>Balok Kayu Kelas III</t>
  </si>
  <si>
    <t>Pemasangan 1 m2 Reng / rangka atap genteng keramik kayu klas 2</t>
  </si>
  <si>
    <t>Reng Kayu Kruing</t>
  </si>
  <si>
    <t>Pemasangan 1 m²  pasang usuk kamfer + reng  kayu  kamper utk genteng beton</t>
  </si>
  <si>
    <t>Kayu Kamper</t>
  </si>
  <si>
    <t>Reng kayu kamper</t>
  </si>
  <si>
    <t>Paku biasa "2 - 5 "</t>
  </si>
  <si>
    <t>Pemasangan 1 m²  pasang usuk kruing + reng  kayu  kamper utk genteng beton</t>
  </si>
  <si>
    <t>Kayu Kruing</t>
  </si>
  <si>
    <t>Pemasangan 1 m²  pasang usuk kamfer</t>
  </si>
  <si>
    <t>Usuk Kayu Kamfer</t>
  </si>
  <si>
    <t>Pemasangan 1 m²  pasang usuk  kayu  kruing</t>
  </si>
  <si>
    <t>Usuk Kayu Kruing</t>
  </si>
  <si>
    <t>Pemasangan 1 m²  pasang reng kayu kamfer</t>
  </si>
  <si>
    <t>Reng Kayu Kamfer</t>
  </si>
  <si>
    <t>Pemasangan 1 m² rangka atap sirap kayu klas II</t>
  </si>
  <si>
    <t>Pemasangan 1 m² rangka langit-langit (50x100) cm, kayu klas II atau III</t>
  </si>
  <si>
    <t>kayu usuk kelas 2</t>
  </si>
  <si>
    <t>Paku 7 cm  - 10 cm</t>
  </si>
  <si>
    <t>Pemasangan 1 m² rangka langit-langit (60x60) cm, kayu klas II atau III</t>
  </si>
  <si>
    <t>Kayu usuk kelas 2</t>
  </si>
  <si>
    <t>Papan kayu 3 x 20</t>
  </si>
  <si>
    <t>Papan kayu 3 x 30</t>
  </si>
  <si>
    <t>Paku 5 cm  dan 7 cm</t>
  </si>
  <si>
    <t>Pemasangan 1 m² list plank double ukuran 2 x(2x30) cm , kayu kamper</t>
  </si>
  <si>
    <t>Pemasangan 1 m1 Listplank 2 x 25 conwood teksture /plain</t>
  </si>
  <si>
    <t>Conwood tekture/plain</t>
  </si>
  <si>
    <t>Paku screw</t>
  </si>
  <si>
    <t>Siku engsel</t>
  </si>
  <si>
    <t>Pemasangan 1 m² list palnk 2 x 25 (2in1) double conwood teksture/plain</t>
  </si>
  <si>
    <t>conwood 2 x 25 cm (2 in 1) double plain/teksture</t>
  </si>
  <si>
    <t>siku engsel</t>
  </si>
  <si>
    <t>Pemasangan 1 m² dinding pemisah teakwood rangkap , kayu kruing</t>
  </si>
  <si>
    <t>Balok kayu 6 x 12 kamper</t>
  </si>
  <si>
    <t>Paku 5 dan 10 cm</t>
  </si>
  <si>
    <t>Teakwood 4 mm, 120 x 240</t>
  </si>
  <si>
    <t>Pemasangan 1 m² dinding pemisah plywood rangkap , kayu kruing</t>
  </si>
  <si>
    <t>Pemasangan 1 m² dinding lambrisering dari papan kayu kelas I atau kelas 2</t>
  </si>
  <si>
    <t>Paku skrup 10 cm</t>
  </si>
  <si>
    <t>Pemasangan 1 m² dinding lambrisering dari plywood ukuran (120 x 240) cm</t>
  </si>
  <si>
    <t>Plywood 4mm</t>
  </si>
  <si>
    <t>Pemasangan 1 m² dinding bilik ,rangka kayu III atau IV</t>
  </si>
  <si>
    <t>Bilik bambu</t>
  </si>
  <si>
    <t>Kayu bekisting</t>
  </si>
  <si>
    <t>List kayu 2/4</t>
  </si>
  <si>
    <t>Pemasangan 1 m² Rangka Dinding Pemisah Teakwood Rangkap, Rangka Holo</t>
  </si>
  <si>
    <t>Rangka Holo</t>
  </si>
  <si>
    <t>Btg</t>
  </si>
  <si>
    <t>Lem Kayu</t>
  </si>
  <si>
    <t>Pemasangan 1 m² Rangka Dinding Pemisah Plywood Rangkap, Rangka Holo</t>
  </si>
  <si>
    <t>Plywood 4 mm uk 120 x 240 cm</t>
  </si>
  <si>
    <t>Membuat 1 BT Saka Jati 11x11 cm</t>
  </si>
  <si>
    <t>Kayu Jati Balok Bojonegoro</t>
  </si>
  <si>
    <t>Membuat 1 BT Canggawang Jati 5/18</t>
  </si>
  <si>
    <t>Kayu Jati Papan Bojonegoro</t>
  </si>
  <si>
    <t>Pas. m1 Kayu kamper Diatas Lambang Mayeng 6/12</t>
  </si>
  <si>
    <t>Kayu Kamper Usuk</t>
  </si>
  <si>
    <t>Paku Biasa</t>
  </si>
  <si>
    <t>Upah Ketam</t>
  </si>
  <si>
    <t>Membuat 1 Bh Bintang Aring (60x60 cm )</t>
  </si>
  <si>
    <t>Membuat 1 BT Saka Tugeh Jati 7x7cm</t>
  </si>
  <si>
    <t xml:space="preserve">Membuat 1 Bh Sendi Tugeh Jati </t>
  </si>
  <si>
    <t>Pas. m1 ring-Ring Kamfer 2/12</t>
  </si>
  <si>
    <t>Kayu Kamper Papan</t>
  </si>
  <si>
    <t xml:space="preserve">Pas. m2 Reng Kamfer </t>
  </si>
  <si>
    <t>Kayu Kamper Reng</t>
  </si>
  <si>
    <t>Paku 5 cm</t>
  </si>
  <si>
    <t>Pas. m1 Gigin Barong Kamfer 3/9</t>
  </si>
  <si>
    <t>Pas. m1 Kamfer Dililit Tali Ijuk 3/9</t>
  </si>
  <si>
    <t>Pas. m1 Pemade/Pemucu Diketam Kamfer  6/12</t>
  </si>
  <si>
    <t>Kayu Kamper Balok</t>
  </si>
  <si>
    <t>Pas. m2 Usuk/Gerantang Expose Kamfer  5/7</t>
  </si>
  <si>
    <t>Paku 7 cm</t>
  </si>
  <si>
    <t>Pas. m2 Usuk Maling Kamfer  5/7</t>
  </si>
  <si>
    <t xml:space="preserve">Pas. m1 Tatab Kamfer  </t>
  </si>
  <si>
    <t>Pas. m1 Bingkai Praba Kayu Jati</t>
  </si>
  <si>
    <t>Kayu Jati Papan</t>
  </si>
  <si>
    <t>PEKERJAAN UKIRAN KAYU</t>
  </si>
  <si>
    <t>Pekerjaan 1 Bt Ukiran Saka</t>
  </si>
  <si>
    <t>Kepala Tukang ukir</t>
  </si>
  <si>
    <t>Pekerjaan 1 Bt Ukiran Tugeh</t>
  </si>
  <si>
    <t>Pekerjaan 1 Bt Ukiran  Canggah Wang</t>
  </si>
  <si>
    <t>Pekerjaan 1 Bt Ukiran  Kapu-kapu</t>
  </si>
  <si>
    <t>Pekerjaan 1 Bt Ukiran  Kincut</t>
  </si>
  <si>
    <t>Pekerjaan 1 Bt Ukiran  Lambang Mayeng</t>
  </si>
  <si>
    <t>Pekerjaan 1 Bh Ukiran  Petaka</t>
  </si>
  <si>
    <t>Pekerjaan 1 m1 Ukiran  Papan Listplang Type Patra Masir T</t>
  </si>
  <si>
    <t>Pekerjaan 1 m1 Ukiran  Bingkai</t>
  </si>
  <si>
    <t>Pekerjaan 1 bh Ukiran  Ring-ring Sudut</t>
  </si>
  <si>
    <t xml:space="preserve">Pekerjaan 1 m1 Ukiran  Ring-ring  </t>
  </si>
  <si>
    <t>Pekerjaan 1 m1 Ukiran  Klurak (lebar 6cm)</t>
  </si>
  <si>
    <t>Pekerjaan 1 m1 Ukiran  Mas-masan (lebar 3 cm)</t>
  </si>
  <si>
    <t>Pekerjaan 1 m1 Ukiran Tempelan Listplang Type Samblung (lebar 10 Cm)</t>
  </si>
  <si>
    <t>Pekerjaan 1 m2 Ukiran Panil</t>
  </si>
  <si>
    <t>XIII.</t>
  </si>
  <si>
    <t>HARGA SATUAN PEKERJAAN KUNCI DAN KACA</t>
  </si>
  <si>
    <t>Pemasangan 1 buah kunci tanam  biasa</t>
  </si>
  <si>
    <t>Pemasangan 1 buah kunci  kamar mandi</t>
  </si>
  <si>
    <t>Pemasangan 1 buah kunci lemari</t>
  </si>
  <si>
    <t>Pemasangan 1 buah kunci silinder</t>
  </si>
  <si>
    <t>Kunci silinder</t>
  </si>
  <si>
    <t>Pemasangan 1 pasang engsel pintu</t>
  </si>
  <si>
    <t>Pemasangan 1 ps engsel jendela kupu-kupu</t>
  </si>
  <si>
    <t>Engsel kupu-kupu</t>
  </si>
  <si>
    <t>Pemasangan 1 buah engsel angin</t>
  </si>
  <si>
    <t>Pemasangan 1 buah kunci slot</t>
  </si>
  <si>
    <t>Pemasangan 1 buah kait angin</t>
  </si>
  <si>
    <t>Kait angin</t>
  </si>
  <si>
    <t>Pemasangan 1 set espagnoleth</t>
  </si>
  <si>
    <t>Pemasangan 1 buah door holder</t>
  </si>
  <si>
    <t>Pemasangan 1 buah door closer</t>
  </si>
  <si>
    <t>Pemasangan 1 buah rel pintu sorong</t>
  </si>
  <si>
    <t>Rel pintu sorong</t>
  </si>
  <si>
    <t>Pemasangan 1 m² kaca tebal 3 mm</t>
  </si>
  <si>
    <t>Kaca tebal 3mm</t>
  </si>
  <si>
    <t>Pemasangan 1 m² kaca tebal 5 mm</t>
  </si>
  <si>
    <t>Kaca tebal 5 mm</t>
  </si>
  <si>
    <t>Pemasangan 1 m² kaca tebal 8 mm</t>
  </si>
  <si>
    <t>Kaca tebal 8 mm</t>
  </si>
  <si>
    <t>Pemasangan 1 m² kaca buram tebal 12 mm</t>
  </si>
  <si>
    <t>Kaca buram 12 mm</t>
  </si>
  <si>
    <t>Pemasangan 1 m² kaca cermin tebal 5 mm</t>
  </si>
  <si>
    <t>Kaca cermin 5 mm</t>
  </si>
  <si>
    <t>Pemasangan 1 m² kaca cermin tebal 8 mm</t>
  </si>
  <si>
    <t>Kaca cermin 8 mm</t>
  </si>
  <si>
    <t>Pemasangan 1 m² kaca wireglassed tebal 5 mm</t>
  </si>
  <si>
    <t>Pemasangan 1 m² kaca patri tebal 5 mm</t>
  </si>
  <si>
    <t>Pemasangan 1 m² kaca buram  tebal 12 mm</t>
  </si>
  <si>
    <t>HARGA SATUAN PEKERJAAN PENGECATAN</t>
  </si>
  <si>
    <t>1 M² Pengikisan  / pengerokan permukaan cat lama</t>
  </si>
  <si>
    <t>1 M² Pencucian bidang permukaan tembok yang pernah di cat</t>
  </si>
  <si>
    <t>1 M² Pengerokan karat pada permukaan baja secara manual</t>
  </si>
  <si>
    <t>Pengencer/thiner</t>
  </si>
  <si>
    <t>Amplas</t>
  </si>
  <si>
    <t>Pengecatan 1 M² bidang kayu baru (1 lapis plamier, 1 lapis cat dasar, 3 lapis cat penutup)</t>
  </si>
  <si>
    <t>Cat menie</t>
  </si>
  <si>
    <t>Plamier</t>
  </si>
  <si>
    <t xml:space="preserve">Cat penutup 3x </t>
  </si>
  <si>
    <t>Pengencer</t>
  </si>
  <si>
    <t>Pelaburan 1 M² bidang kayu dengan teak oil</t>
  </si>
  <si>
    <t>Teak oil</t>
  </si>
  <si>
    <t>Pelaburan 1 M² bidang kayu dengan politur</t>
  </si>
  <si>
    <t>Politur Ultra / jadi</t>
  </si>
  <si>
    <t>Pelaburan 1 M² bidang kayu dengan cat residu dan ter</t>
  </si>
  <si>
    <t>Residu atau tear</t>
  </si>
  <si>
    <t>kuas</t>
  </si>
  <si>
    <t>Pelaburan 1 M² bidang kayu dengan vernis</t>
  </si>
  <si>
    <t>Dempul</t>
  </si>
  <si>
    <t>Pengecatan 1 M² tembok baru (1 lapis plamuur, 1 lapis cat dasar, 2 lapis cat penutup)</t>
  </si>
  <si>
    <t>Pengecatan 1 M² tembok lama (1 lapis cat dasar, 2 lapis cat penutup)</t>
  </si>
  <si>
    <t>Pelaburan 1 M² tembok dengan kalkarium</t>
  </si>
  <si>
    <t>Pelaburan 1 M² tembok dengan kapur sirih</t>
  </si>
  <si>
    <t>Alang-alang</t>
  </si>
  <si>
    <t>Pelaburan 1 M² tembok lama dengan kapur sirih (pemeliharaan)</t>
  </si>
  <si>
    <t>Pemasangan 1 M² wallpaper</t>
  </si>
  <si>
    <t>Pengecatan 1 M² permukaan baja dengan menie besi dengan perancah</t>
  </si>
  <si>
    <t>l</t>
  </si>
  <si>
    <t>Perancah</t>
  </si>
  <si>
    <t>Pengecatan 1 M² permukaan bidang kayu dengan mowilek</t>
  </si>
  <si>
    <t>mowilek</t>
  </si>
  <si>
    <t>amplas</t>
  </si>
  <si>
    <t>Pengecatan 1 M² pelapisan batu alam (Coathing)</t>
  </si>
  <si>
    <t>cat dasar</t>
  </si>
  <si>
    <t>Pengecatan 1 M² permukaan tembok dengan KCA</t>
  </si>
  <si>
    <t>Cat KCA</t>
  </si>
  <si>
    <t xml:space="preserve">Pengecatan 1 M² permukaan baja galvanis secara manual sistem 3 lapis </t>
  </si>
  <si>
    <t>Cat antara</t>
  </si>
  <si>
    <t>Cat penutup</t>
  </si>
  <si>
    <t>Pengecatan 1 M² permukaan tembok dengan waterproofing</t>
  </si>
  <si>
    <t>Cat waterproofing</t>
  </si>
  <si>
    <t>Pengecatan 1 M² permukaan baja galvanis  secara manual 4 lapis</t>
  </si>
  <si>
    <t>Cat besi dasar/menie besi</t>
  </si>
  <si>
    <t>Cat besi emco</t>
  </si>
  <si>
    <t>pengencer</t>
  </si>
  <si>
    <t>XV.</t>
  </si>
  <si>
    <t>HARGA SATUAN PEKERJAAN SANITASI DALAM GEDUNG</t>
  </si>
  <si>
    <t>Unit</t>
  </si>
  <si>
    <t>Perlengkapan</t>
  </si>
  <si>
    <t>7.5 % x Closet</t>
  </si>
  <si>
    <t>Pemasangan 1 buah urinoir setara KIA</t>
  </si>
  <si>
    <t>%</t>
  </si>
  <si>
    <t>Pemasangan 1 buah tempat sabun</t>
  </si>
  <si>
    <t>tempat sabun</t>
  </si>
  <si>
    <t>Pemasangan 1 buah bak fibreglass vol 1 m3</t>
  </si>
  <si>
    <t>Porselin 11 x 11</t>
  </si>
  <si>
    <t xml:space="preserve">Pemasangan 1 buah bak mandi teraso </t>
  </si>
  <si>
    <t>12 % x bak</t>
  </si>
  <si>
    <t>Pemasangan 1 buah bak beton vol 1 m3</t>
  </si>
  <si>
    <t>Beton 1:2:3</t>
  </si>
  <si>
    <t>Baja tulangan</t>
  </si>
  <si>
    <t>Ubin porselin</t>
  </si>
  <si>
    <t>Pemasangan 1 buah bak cuci piring stainless steel</t>
  </si>
  <si>
    <t>Water drain</t>
  </si>
  <si>
    <t>Pemasangan 1 buah bak cuci piring teraso</t>
  </si>
  <si>
    <t>Bak cuci piring</t>
  </si>
  <si>
    <t>Pemasangan 1 buah floor drain</t>
  </si>
  <si>
    <t>Floor drain standart</t>
  </si>
  <si>
    <t>Pemasangan 1 buah bak kontrol pasangan bata 30 x 30 tinggi 35 cm</t>
  </si>
  <si>
    <t>Pasir koral beton</t>
  </si>
  <si>
    <t>Pemasangan 1 buah bak kontrol pasangan bata 45cm x 45cm tinggi 50 cm</t>
  </si>
  <si>
    <t>Pemasangan 1 buah bak kontrol pasangan bata 60cm x 60cm tinggi 65 cm</t>
  </si>
  <si>
    <t>Perlengkapan 35% pipa</t>
  </si>
  <si>
    <t>Kran air biasa</t>
  </si>
  <si>
    <t>Perlengkapan 35%</t>
  </si>
  <si>
    <t>XVI.</t>
  </si>
  <si>
    <t>HARGA SATUAN PEKERJAAN LISTRIK</t>
  </si>
  <si>
    <t>Pemasangan 1 instalasi Stopkontak, Lampu, Exhaustpan, dan celling fan</t>
  </si>
  <si>
    <t>Kabel NYM 3x2.5 mm Ex Supreme</t>
  </si>
  <si>
    <t>Pipa Clipsal 20 mm Hitam</t>
  </si>
  <si>
    <t>Tee dos Clipsal 20 mm Hitam</t>
  </si>
  <si>
    <t>Klem Clipsal 20 mm Hitam</t>
  </si>
  <si>
    <t>Sock Klipsal 20 mm Hitam</t>
  </si>
  <si>
    <t>In bow dos plastik Klipsal E 175 P</t>
  </si>
  <si>
    <t>Pemasangan 1 instalasi AC</t>
  </si>
  <si>
    <t>Pipa Fleksibel Clipsal 20 mm</t>
  </si>
  <si>
    <t>HARGA SATUAN PEKERJAAN LANDSCAPE</t>
  </si>
  <si>
    <t>Paving 20 x 20 cm tebal 8 cm K 175</t>
  </si>
  <si>
    <t>Paving 20 x 20 cm tebal 8 cm K 225</t>
  </si>
  <si>
    <t>Pasir urug</t>
  </si>
  <si>
    <t>Pasangan Grass Block</t>
  </si>
  <si>
    <t>Grass Block</t>
  </si>
  <si>
    <t>1m2 Pasangan Koral sikat</t>
  </si>
  <si>
    <t>Koral sikat</t>
  </si>
  <si>
    <t>Semen</t>
  </si>
  <si>
    <t>Kanstein polos</t>
  </si>
  <si>
    <t>1m2 Pengecetan Kanstein</t>
  </si>
  <si>
    <t>Cat</t>
  </si>
  <si>
    <t>1m2 Pengecetan Kanstein seanding seaker</t>
  </si>
  <si>
    <t>XVII.</t>
  </si>
  <si>
    <t>HARGA SATUAN PEKERJAAN ORNAMEN BATA DAN PARAS UTK PEK. STYLE BALI</t>
  </si>
  <si>
    <t>Pekerjaan 1m2 Pasangan Style Bali Paras Bata 1 muka</t>
  </si>
  <si>
    <t>Semen 40 kg</t>
  </si>
  <si>
    <t>Alat - alat</t>
  </si>
  <si>
    <t>Pekerjaan 1m2 Pasangan Bata Pripian Pres 1 muka</t>
  </si>
  <si>
    <t>Bata Pres</t>
  </si>
  <si>
    <t>Pekerjaan 1m2 Pasangan Paras Pripian 1 muka</t>
  </si>
  <si>
    <t>Pekerjaan 1m2 Pasangan Sarwa Genep Kombinasi</t>
  </si>
  <si>
    <t>Paras Sarwa Genep</t>
  </si>
  <si>
    <t>Pekerjaan 1m2 Pasangan Paras Jogja 1 muka</t>
  </si>
  <si>
    <t>Paras Jogja</t>
  </si>
  <si>
    <t>Pekerjaan 1m2 Pasangan Batu Palimanan 1 muka</t>
  </si>
  <si>
    <t>Batu Palimanan</t>
  </si>
  <si>
    <t xml:space="preserve">Pekerjaan 1m2 Pasangan Batu Candi </t>
  </si>
  <si>
    <t>Batu Candi</t>
  </si>
  <si>
    <t>Pekerjaan 1m2 Pasangan Batu Tabas Karangasem 1 muka</t>
  </si>
  <si>
    <t>Pipa galvanis 1.5 - 3"</t>
  </si>
  <si>
    <t>Pipa galvanis 3"</t>
  </si>
  <si>
    <t>Pipa galvanis 4"</t>
  </si>
  <si>
    <t>Pipa PVC 1"</t>
  </si>
  <si>
    <t>Pipa PVC 2"</t>
  </si>
  <si>
    <t>Pipa PVC 3"</t>
  </si>
  <si>
    <t xml:space="preserve"> Dolken kayu f 8-10/400 cm</t>
  </si>
  <si>
    <r>
      <t xml:space="preserve">Pemasangan 1 m3 pondasi batu kosong </t>
    </r>
    <r>
      <rPr>
        <b/>
        <i/>
        <sz val="11"/>
        <rFont val="Calibri"/>
        <family val="2"/>
        <scheme val="minor"/>
      </rPr>
      <t>(anstamping)</t>
    </r>
  </si>
  <si>
    <r>
      <t>Harga Satuan Pekerjaan b</t>
    </r>
    <r>
      <rPr>
        <sz val="11"/>
        <rFont val="Calibri"/>
        <family val="2"/>
        <scheme val="minor"/>
      </rPr>
      <t xml:space="preserve">ored pile </t>
    </r>
    <r>
      <rPr>
        <b/>
        <sz val="11"/>
        <rFont val="Calibri"/>
        <family val="2"/>
        <scheme val="minor"/>
      </rPr>
      <t>(A + B + C)</t>
    </r>
  </si>
  <si>
    <t>Membuat 1 m3 beton mutu f'c = 7,4 Mpa (K100), slump (12 ± 2) cm, w/c = 0.87</t>
  </si>
  <si>
    <t>Membuat 1 m3 beton mutu f'c = 9,8 Mpa (K125), slump (12 ± 2) cm, w/c = 0.78</t>
  </si>
  <si>
    <t>Membuat 1 m3 beton mutu f'c = 12,2 Mpa (K150), slump (12 ± 2) cm, w/c = 0.72</t>
  </si>
  <si>
    <r>
      <t xml:space="preserve">Bobot isi pasir  = 1.400 kg/m3, bobot isi kerikil = 1.350 kg/m3, </t>
    </r>
    <r>
      <rPr>
        <b/>
        <i/>
        <sz val="11"/>
        <rFont val="Calibri"/>
        <family val="2"/>
        <scheme val="minor"/>
      </rPr>
      <t>Buckling</t>
    </r>
    <r>
      <rPr>
        <b/>
        <sz val="11"/>
        <rFont val="Calibri"/>
        <family val="2"/>
        <scheme val="minor"/>
      </rPr>
      <t xml:space="preserve"> factor pasir = 20%</t>
    </r>
  </si>
  <si>
    <r>
      <t xml:space="preserve">Pemasangan 10 kg jaring kawat baja </t>
    </r>
    <r>
      <rPr>
        <b/>
        <i/>
        <sz val="11"/>
        <rFont val="Calibri"/>
        <family val="2"/>
        <scheme val="minor"/>
      </rPr>
      <t>(wiremesh)</t>
    </r>
  </si>
  <si>
    <t>Dolken kayu ø 8 - 10cm - panjang 4 m</t>
  </si>
  <si>
    <t>Pemasangan 1 m² dinding bata merah (5x11x12) cm tebal ½ bata campuran 1 SP : 2 PP</t>
  </si>
  <si>
    <t>Pemasangan 1 m² dinding bata merah (5x11x12) cm tebal ½ bata campuran 1 SP : 3 PP</t>
  </si>
  <si>
    <t>Pemasangan 1 m² dinding bata merah (5x11x12) cm tebal ½ bata campuran 1 SP : 4 PP</t>
  </si>
  <si>
    <t>Pemasangan 1 m² dinding bata merah (5x11x12) cm tebal ½ bata campuran 1 SP : 5 PP</t>
  </si>
  <si>
    <t>Pemasangan 1 m² dinding bata merah (5x11x12) cm tebal ½ bata campuran 1 SP : 6 PP</t>
  </si>
  <si>
    <t>Pemasangan 1 m² dinding bata merah (5x11x12) cm tebal ½ batu campuran 1 SP : 8 PP</t>
  </si>
  <si>
    <t>Pemasangan 1 m² dinding bata merah (5x11x12) cm tebal ½ bata campuran 1 SM : 1 KP : 1 PP</t>
  </si>
  <si>
    <t>Pemasangan 1 m² dinding bata merah (5x11x12) cm tebal ½ batu campuran 1 SM : 1 KP : 2 PP</t>
  </si>
  <si>
    <t>Pemasangan 1 m² plesteran 1 SP : ½ KP : 3 PP tebal 15 mm</t>
  </si>
  <si>
    <t>Paku biasa ½" - 1"</t>
  </si>
  <si>
    <t>Pemasangan 1 buah kran diameter ½ " atau ¾ " (0.75 -0.5)</t>
  </si>
  <si>
    <t>Pipa PVC ½"</t>
  </si>
  <si>
    <t>Pipa PVC ¾"</t>
  </si>
  <si>
    <t>Pipa PVC 1½"</t>
  </si>
  <si>
    <t xml:space="preserve">Kepala Tukang </t>
  </si>
  <si>
    <t>setara meranti</t>
  </si>
  <si>
    <t xml:space="preserve">Kayu bekisting   </t>
  </si>
  <si>
    <t>Kayu papan 3/20</t>
  </si>
  <si>
    <t>Kaca polos 3 mm</t>
  </si>
  <si>
    <t>Kunci Tanam 2 Slag biasa</t>
  </si>
  <si>
    <t>Bambu kayu 400 cm</t>
  </si>
  <si>
    <t>Kayu usuk 5/7 kelas III</t>
  </si>
  <si>
    <t>8,0 % x D</t>
  </si>
  <si>
    <t>REKAPITULASI DAFTAR HARGA SATUAN PEKERJAAN</t>
  </si>
  <si>
    <t>Tukang terampil ahli</t>
  </si>
  <si>
    <t>Minyak Oli / Pelumas</t>
  </si>
  <si>
    <t xml:space="preserve"> Semen Portland</t>
  </si>
  <si>
    <t xml:space="preserve">Sement Portland </t>
  </si>
  <si>
    <t>semen Portland (anti slip)</t>
  </si>
  <si>
    <t>semen Portland</t>
  </si>
  <si>
    <t xml:space="preserve"> Besi beton ulir</t>
  </si>
  <si>
    <t xml:space="preserve"> Plamir Tembok</t>
  </si>
  <si>
    <t>kerikil koral  Beton</t>
  </si>
  <si>
    <t>kayu bekisting</t>
  </si>
  <si>
    <t>Plywood 9 mm</t>
  </si>
  <si>
    <t xml:space="preserve">Pas. Beton Cor 1 : 3 : 5 </t>
  </si>
  <si>
    <t xml:space="preserve">Beton bertulang cor 1 : 2 : 3 </t>
  </si>
  <si>
    <t>Harga Satuan Pekerjaan (G+H)</t>
  </si>
  <si>
    <t>Harga Satuan Pekerjaan Beton (k 100) Fe 150</t>
  </si>
  <si>
    <t>Harga Satuan Pekerjaan Beton (k 100) Fe 125</t>
  </si>
  <si>
    <t>Kayu Phenol film 12 mm</t>
  </si>
  <si>
    <t>V.</t>
  </si>
  <si>
    <t>Pemasangan 1 kg rangka kuda-kuda IWF 250 dengan cat menie</t>
  </si>
  <si>
    <t>Pemasangan 1 kg rangka kuda-kuda IWF 200 dengan cat menie</t>
  </si>
  <si>
    <t>Pemasangan 1 kg rangka kuda-kuda IWF 150 dengan cat menie</t>
  </si>
  <si>
    <t>2.1.</t>
  </si>
  <si>
    <t>2.2.</t>
  </si>
  <si>
    <t>2.3.</t>
  </si>
  <si>
    <t>2.4.</t>
  </si>
  <si>
    <t xml:space="preserve">Tukang Ahli </t>
  </si>
  <si>
    <t>Tukang Ahli Gali</t>
  </si>
  <si>
    <t>Tukang Ahli Konstruksi</t>
  </si>
  <si>
    <t>Tukang Ahli Biasa</t>
  </si>
  <si>
    <t xml:space="preserve">Tukang Ahli Khusus Aluminium </t>
  </si>
  <si>
    <t xml:space="preserve">Tukang Ahli Aluminium/kaca </t>
  </si>
  <si>
    <t>Tukang Ahli</t>
  </si>
  <si>
    <t>Tukang Ahli Ukir</t>
  </si>
  <si>
    <t xml:space="preserve">Kaca Nako </t>
  </si>
  <si>
    <t>laden Tukang Ahli</t>
  </si>
  <si>
    <t>Hollow Alum. Rangka Plafond 4/ 4 P. 4 m</t>
  </si>
  <si>
    <t>Hollow Alum. Rangka Plafond 2/ 4 P. 4 m</t>
  </si>
  <si>
    <t>Baut skrup</t>
  </si>
  <si>
    <t>10.1</t>
  </si>
  <si>
    <t>10.2</t>
  </si>
  <si>
    <t>Pemasangan 1 m kusen alluminium fropil aluminium 4"</t>
  </si>
  <si>
    <t>Pemasangan 1 m kusen alluminium fropil aluminium 3"</t>
  </si>
  <si>
    <t>30.1</t>
  </si>
  <si>
    <t>30.2</t>
  </si>
  <si>
    <t>35.7</t>
  </si>
  <si>
    <t>30.3</t>
  </si>
  <si>
    <t>35.3</t>
  </si>
  <si>
    <t>30.4</t>
  </si>
  <si>
    <t>30.5</t>
  </si>
  <si>
    <t>30.6</t>
  </si>
  <si>
    <t>30.7</t>
  </si>
  <si>
    <t>30.8</t>
  </si>
  <si>
    <t>30.9</t>
  </si>
  <si>
    <t>30.10</t>
  </si>
  <si>
    <t>30.11</t>
  </si>
  <si>
    <t>31.1</t>
  </si>
  <si>
    <t>31.2</t>
  </si>
  <si>
    <t>31.3</t>
  </si>
  <si>
    <t>31.4</t>
  </si>
  <si>
    <t>31.5</t>
  </si>
  <si>
    <t>31.6</t>
  </si>
  <si>
    <t>31.7</t>
  </si>
  <si>
    <t>31.8</t>
  </si>
  <si>
    <t>31.9</t>
  </si>
  <si>
    <t>31.11</t>
  </si>
  <si>
    <t>31.10</t>
  </si>
  <si>
    <t>32.2</t>
  </si>
  <si>
    <t>32.3</t>
  </si>
  <si>
    <t>32.4</t>
  </si>
  <si>
    <t>32.5</t>
  </si>
  <si>
    <t>32.6</t>
  </si>
  <si>
    <t>32.7</t>
  </si>
  <si>
    <t>32.8</t>
  </si>
  <si>
    <t>32.9</t>
  </si>
  <si>
    <t>32.1</t>
  </si>
  <si>
    <t>32.10</t>
  </si>
  <si>
    <t>32.11</t>
  </si>
  <si>
    <t>33.1</t>
  </si>
  <si>
    <t>33.3</t>
  </si>
  <si>
    <t>33.4</t>
  </si>
  <si>
    <t>33.5</t>
  </si>
  <si>
    <t>33.6</t>
  </si>
  <si>
    <t>33.7</t>
  </si>
  <si>
    <t>33.8</t>
  </si>
  <si>
    <t>33.9</t>
  </si>
  <si>
    <t>33.10</t>
  </si>
  <si>
    <t>33.11</t>
  </si>
  <si>
    <t>33.2</t>
  </si>
  <si>
    <t>34.1</t>
  </si>
  <si>
    <t>34.2</t>
  </si>
  <si>
    <t>34.3</t>
  </si>
  <si>
    <t>34.4</t>
  </si>
  <si>
    <t>34.5</t>
  </si>
  <si>
    <t>34.6</t>
  </si>
  <si>
    <t>34.7</t>
  </si>
  <si>
    <t>34.8</t>
  </si>
  <si>
    <t>34.9</t>
  </si>
  <si>
    <t>34.10</t>
  </si>
  <si>
    <t>34.11</t>
  </si>
  <si>
    <t>35.1</t>
  </si>
  <si>
    <t>35.2</t>
  </si>
  <si>
    <t>35.5</t>
  </si>
  <si>
    <t>35.6</t>
  </si>
  <si>
    <t>35.8</t>
  </si>
  <si>
    <t>35.9</t>
  </si>
  <si>
    <t>35.10</t>
  </si>
  <si>
    <t>35.11</t>
  </si>
  <si>
    <t>35.4</t>
  </si>
  <si>
    <t>36.1</t>
  </si>
  <si>
    <t>36.2</t>
  </si>
  <si>
    <t>36.3</t>
  </si>
  <si>
    <t>36.4</t>
  </si>
  <si>
    <t>36.6</t>
  </si>
  <si>
    <t>36.7</t>
  </si>
  <si>
    <t>36.8</t>
  </si>
  <si>
    <t>36.9</t>
  </si>
  <si>
    <t>36.10</t>
  </si>
  <si>
    <t>36.11</t>
  </si>
  <si>
    <t>36.5</t>
  </si>
  <si>
    <t>VI.</t>
  </si>
  <si>
    <t>Harga Satuan Pekerjaan (G+H) batako lubang</t>
  </si>
  <si>
    <t>Pemasangan 1 m² dinding Batako buntu 1 SP : 4 PP</t>
  </si>
  <si>
    <t>Pemasangan 1 m² dinding batako berlubang 1 SP : 4 PP</t>
  </si>
  <si>
    <t>21.1</t>
  </si>
  <si>
    <t>21.2</t>
  </si>
  <si>
    <t>VII.</t>
  </si>
  <si>
    <t>Kapur Padam</t>
  </si>
  <si>
    <t>Semen Warna (SM)</t>
  </si>
  <si>
    <t>IX.</t>
  </si>
  <si>
    <t>Ubin Teralux Marmer</t>
  </si>
  <si>
    <t>Ubin Teralux Kerang</t>
  </si>
  <si>
    <t xml:space="preserve">Pemasangan 1 m² lantai keramik ukuran 40 cm x 40 cm </t>
  </si>
  <si>
    <t>Pemasangan 1 m² lantai keramik ukuran 40 cm x 40 cm anti slip</t>
  </si>
  <si>
    <t>Pemasangan 1 m² lantai keramik ukuran 20 cm x 20 cm anti slip</t>
  </si>
  <si>
    <t xml:space="preserve">Pemasangan 1 m² lantai keramik ukuran 20 cm x 20 cm </t>
  </si>
  <si>
    <t>Pemasangan 1 m² lantai keramik ukuran 30 cm x 30 cm Anti Slip</t>
  </si>
  <si>
    <t>Pemasangan 1 m² lantai keramik ukuran 30 cm x 30 cm</t>
  </si>
  <si>
    <t>VIII.</t>
  </si>
  <si>
    <t>37.1</t>
  </si>
  <si>
    <t>37.2</t>
  </si>
  <si>
    <t>X.</t>
  </si>
  <si>
    <t>Akustik 60 X 120</t>
  </si>
  <si>
    <t>Paku Triplek</t>
  </si>
  <si>
    <t>sekelas meranti</t>
  </si>
  <si>
    <t>Setara : Kayu kamper papan 3/20</t>
  </si>
  <si>
    <t>Lem Kayu Fox</t>
  </si>
  <si>
    <t>Usuk kayu kamper kalor</t>
  </si>
  <si>
    <t>papan teakwood</t>
  </si>
  <si>
    <t>Paku lis</t>
  </si>
  <si>
    <t>Kayu klas II</t>
  </si>
  <si>
    <t>Paku sekrup</t>
  </si>
  <si>
    <t>Teakwood jati 4 mm</t>
  </si>
  <si>
    <t>Teakwood 4 mm</t>
  </si>
  <si>
    <t>Var</t>
  </si>
  <si>
    <t>Kayu profil</t>
  </si>
  <si>
    <t>13.1</t>
  </si>
  <si>
    <t>13.2</t>
  </si>
  <si>
    <t>13.3</t>
  </si>
  <si>
    <t>Pemasangan 1 m³ konstruksi kuda-kuda konvensional, kayu klas I</t>
  </si>
  <si>
    <t>Pemasangan 1 m³ konstruksi kuda-kuda konvensional, kayu klas II</t>
  </si>
  <si>
    <t>Pemasangan 1 m³ konstruksi kuda-kuda konvensional, kayu klas III</t>
  </si>
  <si>
    <t>14.1</t>
  </si>
  <si>
    <t>14.2</t>
  </si>
  <si>
    <t>14.3</t>
  </si>
  <si>
    <t>Pemasangan 1 m³ konstruksi kuda-kuda expose, kayu klas I</t>
  </si>
  <si>
    <t>Pemasangan 1 m³ konstruksi kuda-kuda expose, kayu klas II</t>
  </si>
  <si>
    <t>Pemasangan 1 m³ konstruksi kuda-kuda expose, kayu klas III</t>
  </si>
  <si>
    <t>Pemasangan 1 m²  usuk ekspose kayu kamfer + reng (teakwood)</t>
  </si>
  <si>
    <t>Pemasangan 1 m²  usuk ekspose kayu kamfer + reng (gedeg kulit)</t>
  </si>
  <si>
    <t>25.1</t>
  </si>
  <si>
    <t>25.2</t>
  </si>
  <si>
    <t>Pemasangan 1 m² list plank ukuran 3 x 20  cm</t>
  </si>
  <si>
    <t>Pemasangan 1 m² list plank ukuran 3 x 30  cm</t>
  </si>
  <si>
    <t>Harga Satuan Pekerjaan kayu kamper</t>
  </si>
  <si>
    <t>Harga Satuan Pekerjaan kayu kruing</t>
  </si>
  <si>
    <t>Harga Satuan Pekerjaan kayu meranti</t>
  </si>
  <si>
    <t>Harga Satuan Pekerjaan teak wood</t>
  </si>
  <si>
    <t>Harga Satuan Pekerjaan gedeg kulit</t>
  </si>
  <si>
    <t>Harga Satuan Pekerjaan listplank 3 x 20</t>
  </si>
  <si>
    <t>Harga Satuan Pekerjaan listplank 3 x 30</t>
  </si>
  <si>
    <t>kunci slot</t>
  </si>
  <si>
    <t>XII.</t>
  </si>
  <si>
    <t>Cat Menie</t>
  </si>
  <si>
    <t>Cat dasar / cat kayu</t>
  </si>
  <si>
    <t>Cat penutup 2 x / cat kayu</t>
  </si>
  <si>
    <t>Politur Muda</t>
  </si>
  <si>
    <t>Politur Ultra</t>
  </si>
  <si>
    <t>Cat tembok</t>
  </si>
  <si>
    <t>Cat penutup 2x</t>
  </si>
  <si>
    <t>Kayu Perancah jembaran (PHB)</t>
  </si>
  <si>
    <t>Cat coathing batu alam</t>
  </si>
  <si>
    <t>cat coathing</t>
  </si>
  <si>
    <t>Cat tembok KCA</t>
  </si>
  <si>
    <t>Harga Satuan Pekerjaan Kayu Baru</t>
  </si>
  <si>
    <t>Harga Satuan Pekerjaan Kayu Lama</t>
  </si>
  <si>
    <t>4.1</t>
  </si>
  <si>
    <t>4.2</t>
  </si>
  <si>
    <t>1 M² Pengecatan bidang kayu baru (1 lapis plamier, 1 lapis cat dasar, 2 lapis cat penutup)</t>
  </si>
  <si>
    <t>1 M² Pengecatan bidang kayu lama (1 lapis plamier, 1 lapis cat dasar, 2 lapis cat penutup)</t>
  </si>
  <si>
    <t>Harga Satuan Pekerjaanlist kayu</t>
  </si>
  <si>
    <t>Harga Satuan Pekerjaan list gypsum</t>
  </si>
  <si>
    <t>Peladen Tukang Ahli</t>
  </si>
  <si>
    <t>Pengerjaan 1 buah closet jongkok</t>
  </si>
  <si>
    <t>Pemasangan 1 buah closet duduk</t>
  </si>
  <si>
    <t>Kloset duduk</t>
  </si>
  <si>
    <t>Kloset jongkok</t>
  </si>
  <si>
    <t>Urinoir</t>
  </si>
  <si>
    <t>Wastafel</t>
  </si>
  <si>
    <t>Pemasangan 1 buah wastafel</t>
  </si>
  <si>
    <t>Bak keramik teraso</t>
  </si>
  <si>
    <t>Water drain stainless</t>
  </si>
  <si>
    <t>Bak cuci piring stainless steel</t>
  </si>
  <si>
    <t>Pipa Galvanis /GSP S12.5 p = 6 m diameter 25 mm = 1"</t>
  </si>
  <si>
    <t>Pipa Galvanis /GSP S12.5 p = 6 m diameter 12 mm = 0,5"</t>
  </si>
  <si>
    <t>Pipa galvanis  1"</t>
  </si>
  <si>
    <t>Pipa galvanis ½"</t>
  </si>
  <si>
    <t>Cat marka jalan</t>
  </si>
  <si>
    <t>1.1</t>
  </si>
  <si>
    <t>1.2</t>
  </si>
  <si>
    <t>Pemasangan Paving Beton tebal 8 cm  k 175</t>
  </si>
  <si>
    <t>Pemasangan Paving Beton tebal 8 cm  k 225</t>
  </si>
  <si>
    <t>Paras Sarwagenep</t>
  </si>
  <si>
    <t>Bata pripian</t>
  </si>
  <si>
    <t>Kabel NYM</t>
  </si>
  <si>
    <t>Ubin Granit</t>
  </si>
  <si>
    <t>Marmer Super</t>
  </si>
  <si>
    <t>Marmer Klas I</t>
  </si>
  <si>
    <t>Keramik kelas I</t>
  </si>
  <si>
    <t>Keramik kelas I Antislip</t>
  </si>
  <si>
    <t xml:space="preserve">Keramik kelas II </t>
  </si>
  <si>
    <t xml:space="preserve">Granito </t>
  </si>
  <si>
    <t>Nero Granito</t>
  </si>
  <si>
    <t>keramik artistik</t>
  </si>
  <si>
    <t>keramik Dinding artistik</t>
  </si>
  <si>
    <t>Tegel PC Abu - Abu</t>
  </si>
  <si>
    <t>Tegel PC Warna</t>
  </si>
  <si>
    <t>Paku Sekrup</t>
  </si>
  <si>
    <t>Koral sikat cetak di tempat</t>
  </si>
  <si>
    <t>Spandeck</t>
  </si>
  <si>
    <t>Floor drain</t>
  </si>
  <si>
    <t>Kloset  jongkok</t>
  </si>
  <si>
    <t>Kran</t>
  </si>
  <si>
    <t>Bayam - Bayaman</t>
  </si>
  <si>
    <t>Laden /Pembantu Tukang</t>
  </si>
  <si>
    <t>Harga Asli</t>
  </si>
  <si>
    <t xml:space="preserve">Harga + OH </t>
  </si>
  <si>
    <t>Seng plat lebar 90 cm</t>
  </si>
  <si>
    <t>Nok genteng metal</t>
  </si>
  <si>
    <t>Kunci Tanam 2 Slaag biasa</t>
  </si>
  <si>
    <t>24.1</t>
  </si>
  <si>
    <t>24.2</t>
  </si>
  <si>
    <t>12.1</t>
  </si>
  <si>
    <t>12.2</t>
  </si>
  <si>
    <t>No.</t>
  </si>
  <si>
    <t>Uraian Pekerjaan</t>
  </si>
  <si>
    <t>Volume</t>
  </si>
  <si>
    <t>Harga Satuan</t>
  </si>
  <si>
    <t>(Rp)</t>
  </si>
  <si>
    <t>Jumlah Harga</t>
  </si>
  <si>
    <t>Total Harga Satuan Pekerjaan Persiapan</t>
  </si>
  <si>
    <t>Total Harga Satuan Pekerjaan Tanah</t>
  </si>
  <si>
    <t>Total Harga Satuan Pekerjaan Pondasi</t>
  </si>
  <si>
    <t>Total Harga Satuan Pekerjaan Struktur Beton</t>
  </si>
  <si>
    <t>Total Harga Satuan Pekerjaan Besi dan Aluminium</t>
  </si>
  <si>
    <t>Total Harga Satuan Pekerjaan Pasangan Dinding</t>
  </si>
  <si>
    <t>Total Harga Satuan Pekerjaan Plesteran</t>
  </si>
  <si>
    <t>Total Harga Satuan Pekerjaan Penutup Lantai dan Penutup Dinding</t>
  </si>
  <si>
    <t>Total Harga Satuan Pekerjaan Langit - langit (Plafon)</t>
  </si>
  <si>
    <t>Total Harga Satuan Pekerjaan Penutup Atap</t>
  </si>
  <si>
    <t>Total Harga Satuan Pekerjaan Kayu</t>
  </si>
  <si>
    <t>Total Harga Satuan Pekerjaan Kunci dan Kaca</t>
  </si>
  <si>
    <t>Total Harga Satuan Pekerjaan Pengecetan</t>
  </si>
  <si>
    <t>Total Harga Satuan Pekerjaan Sanitasi Dalam Gedung</t>
  </si>
  <si>
    <t>Total Harga Satuan Pekerjaan Listrik</t>
  </si>
  <si>
    <t>Total Harga Satuan Pekerjaan Landscape</t>
  </si>
  <si>
    <t>Total Harga Satuan Pekerjaan Ornamen Bata dan Paras Style Bali</t>
  </si>
  <si>
    <t>Total Harga Satuan Upah Pekerjaan Persiapan</t>
  </si>
  <si>
    <t>Total Harga Satuan Upah Pekerjaan Tanah</t>
  </si>
  <si>
    <t>Total Harga Satuan Upah Pekerjaan Pondasi</t>
  </si>
  <si>
    <t>Total Harga Satuan Upah Pekerjaan Struktur Beton</t>
  </si>
  <si>
    <t>Total Harga Satuan Upah Pekerjaan Besi dan Aluminium</t>
  </si>
  <si>
    <t>Total Harga Satuan Upah Pekerjaan Pasangan Dinding</t>
  </si>
  <si>
    <t>Total Harga Satuan Upah Pekerjaan Plesteran</t>
  </si>
  <si>
    <t>Total Harga Satuan Upah Pekerjaan Penutup Lantai dan Penutup Dinding</t>
  </si>
  <si>
    <t>Total Harga Satuan Upah Pekerjaan Langit - langit (Plafon)</t>
  </si>
  <si>
    <t>Total Harga Satuan Upah Pekerjaan Penutup Atap</t>
  </si>
  <si>
    <t>Total Harga Satuan Upah Pekerjaan Kayu</t>
  </si>
  <si>
    <t>Total Harga Satuan Upah Pekerjaan Kunci dan Kaca</t>
  </si>
  <si>
    <t>Total Harga Satuan Upah Pekerjaan Pengecetan</t>
  </si>
  <si>
    <t>Total Harga Satuan Upah Pekerjaan Sanitasi Dalam Gedung</t>
  </si>
  <si>
    <t>Total Harga Satuan Upah Pekerjaan Listrik</t>
  </si>
  <si>
    <t>Total Harga Satuan Upah Pekerjaan Landscape</t>
  </si>
  <si>
    <t>Total Harga Satuan Upah Pekerjaan Ornamen Bata dan Paras Style Bali</t>
  </si>
  <si>
    <t>XIV.</t>
  </si>
  <si>
    <t xml:space="preserve">TOTAL BIAYA </t>
  </si>
  <si>
    <t>PAJAK PPN (11%)</t>
  </si>
  <si>
    <t>TOTAL BIAYA SETELAH PAJAK</t>
  </si>
  <si>
    <t xml:space="preserve">PEMBULATAN </t>
  </si>
  <si>
    <t>REKAPITULASI</t>
  </si>
  <si>
    <t xml:space="preserve">RENCANA ANGGARAN BIAYA </t>
  </si>
  <si>
    <t>TAHUN ANGGARAN : 2022</t>
  </si>
  <si>
    <t xml:space="preserve">Pekerjaan </t>
  </si>
  <si>
    <t>Lokasi pekerjaan</t>
  </si>
  <si>
    <t xml:space="preserve">: </t>
  </si>
  <si>
    <t>: Denpasar, Bali</t>
  </si>
  <si>
    <t>Pengukuran dan pemasangan 1m1 bouwplank</t>
  </si>
  <si>
    <t>1m1 Pondasi Bored Pile Diameter 30 cm</t>
  </si>
  <si>
    <t>A. Pengeboran Diameter 30/m1 Bored Pile</t>
  </si>
  <si>
    <t>Membuat 1 m1 kolom praktis beton bertulang (11x11) cm</t>
  </si>
  <si>
    <t>Membuat 1 m1 ring balok beton bertulang (10 x 15) cm</t>
  </si>
  <si>
    <t>Pemasangan 1 m1 talang datar ,seng BJLS 28 lebar 90</t>
  </si>
  <si>
    <t>Pemasangan 1 m1 plesteran skoning 1 SP : 3 PP lebar 10 mm</t>
  </si>
  <si>
    <t>Pemasangan 1 m1 plint ubin PC abu-abu ukuran 15 cmx 20 cm</t>
  </si>
  <si>
    <t>Pemasangan 1 m1 plint ubin PC abu-abu ukuran 10 cmx 30 cm</t>
  </si>
  <si>
    <t>Pemasangan 1 m1 plint ubin PC abu-abu ukuran 10 cmx 40 cm</t>
  </si>
  <si>
    <t>Pemasangan 1 m1 plint ubin warna ukuran 10 cmx 20 cm</t>
  </si>
  <si>
    <t>Pemasangan 1 m1 plint ubin warna ukuran 10 cmx 30 cm</t>
  </si>
  <si>
    <t>Pemasangan 1 m1 plint ubin warna ukuran 10 cmx 40 cm</t>
  </si>
  <si>
    <t>Pemasangan 1 m1 plint ubin teraso ukuran 10 cmx 30 cm</t>
  </si>
  <si>
    <t>Pemasangan 1 m1 plint ubin teraso ukuran 10 cmx 40 cm</t>
  </si>
  <si>
    <t>Pemasangan 1 m1 plint ubin granit ukuran 10 cmx 40 cm</t>
  </si>
  <si>
    <t>Pemasangan 1 m1 plint ubin granit ukuran 10 cmx 30 cm</t>
  </si>
  <si>
    <t>Pemasangan 1 m1 plint ubin teralux kerang ukuran 10 cmx 40 cm</t>
  </si>
  <si>
    <t>Pemasangan 1 m1 plint ubin teralux kerang ukuran 10 cmx 30 cm</t>
  </si>
  <si>
    <t>Pemasangan 1 m1 plint ubin teralux marmer ukuran 10 cmx 60 cm</t>
  </si>
  <si>
    <t>Pemasangan 1 m1 plint ubin teralux marmer ukuran 10 cmx 40 cm</t>
  </si>
  <si>
    <t>Pemasangan 1 m1 plint ubin teralux marmer ukuran 10 cmx 30 cm</t>
  </si>
  <si>
    <t>Pemasangan 1 m1 plint keramik ukuran 10 cm x 30 cm</t>
  </si>
  <si>
    <t xml:space="preserve">Pemasangan 1 m1 plint keramik ukuran 10 cm x 20 cm </t>
  </si>
  <si>
    <t xml:space="preserve">Pemasangan 1 m1 plint kayu ukuran 2 cm x 10 cm </t>
  </si>
  <si>
    <t xml:space="preserve">Pemasangan 1 m1 plint keramik ukuran 5 cm x 20 cm </t>
  </si>
  <si>
    <t>Pemasangan 1 m1 list langit-langit kayu profil</t>
  </si>
  <si>
    <t>Pemasangan 1 m1 list langit-langit list gypsum</t>
  </si>
  <si>
    <t xml:space="preserve">Pemasangan 1 m1 bubungan genteng pelentong </t>
  </si>
  <si>
    <t xml:space="preserve">Pemasangan 1 m1 bubung genteng kodok </t>
  </si>
  <si>
    <t>Pemasangan 1 m1 bubungan  genteng pres mini</t>
  </si>
  <si>
    <t xml:space="preserve">Pemasangan 1 m1 bubung steel gelombang </t>
  </si>
  <si>
    <t>Pemasangan 1 m1 nok genteng metal berpasir</t>
  </si>
  <si>
    <t>Pemasangan 1 m1 nok genteng beton</t>
  </si>
  <si>
    <t>Pemasangan 1 m1 nok atap sirap</t>
  </si>
  <si>
    <t>Pemasangan 1 m1 atap seng gelombang</t>
  </si>
  <si>
    <t xml:space="preserve">Pemasangan 1 m1 nok atap seng </t>
  </si>
  <si>
    <t xml:space="preserve">Pemasangan 1 m1 atap aluminium/spandek 3mm </t>
  </si>
  <si>
    <t xml:space="preserve">Pemasangan 1 m1 nok aluminium </t>
  </si>
  <si>
    <t xml:space="preserve"> Membuat 1 m1 Lambang Mayang 11/12 kayu jati</t>
  </si>
  <si>
    <t>Pemasangan 1 m1 pipa galvanis diameter 1/2"</t>
  </si>
  <si>
    <t>Pemasangan 1 m1 pipa galvanis diameter  1"</t>
  </si>
  <si>
    <t>Pemasangan 1 m1 pipa galvanis diameter  1,5"</t>
  </si>
  <si>
    <t>Pemasangan 1 m1 pipa galvanis diameter  3"</t>
  </si>
  <si>
    <t>Pemasangan 1 m1 pipa galvanis diameter  4"</t>
  </si>
  <si>
    <t>Pemasangan 1 m1 pipa PVC tipe AW diameter  ½  "</t>
  </si>
  <si>
    <t>Pemasangan 1 m1 pipa PVC tipe AW diameter  ¾ "</t>
  </si>
  <si>
    <t>Pemasangan 1 m1 pipa PVC tipe AW diameter  1 "</t>
  </si>
  <si>
    <t>Pemasangan 1 m1 pipa PVC tipe AW diameter  1½ "</t>
  </si>
  <si>
    <t>Pemasangan 1 m1 pipa PVC tipe AW diameter  2 "</t>
  </si>
  <si>
    <t>Pemasangan 1 m1 pipa PVC tipe AW diameter  3 "</t>
  </si>
  <si>
    <t xml:space="preserve">1m1 Kanstein polos </t>
  </si>
  <si>
    <t xml:space="preserve"> Pembuatan 1 m2 Pagar Sementara dari kayu tinggi 2 meter</t>
  </si>
  <si>
    <t xml:space="preserve"> Pembuatan 1 m2 Pagar Sementara dari seng gelombang tinggi 2 meter</t>
  </si>
  <si>
    <t xml:space="preserve"> Pembuatan 1 m2 Pagar Sementara dari kawat duri  tinggi 1,8 meter</t>
  </si>
  <si>
    <t>LS</t>
  </si>
  <si>
    <t>1 m2 Pekerjaan Jaro bubut diameter 3 cm Kamper</t>
  </si>
  <si>
    <t>bg</t>
  </si>
  <si>
    <t>Pemasangan 1 buah bak mandi batu bata vol.0,3 m3</t>
  </si>
  <si>
    <t xml:space="preserve">UPAH PEKERJA </t>
  </si>
  <si>
    <t>titik</t>
  </si>
  <si>
    <t>Koef. Upah :</t>
  </si>
  <si>
    <t>Koef. Bahan :</t>
  </si>
  <si>
    <t>Judul Program</t>
  </si>
  <si>
    <t>:</t>
  </si>
  <si>
    <t>Versi Program</t>
  </si>
  <si>
    <t>Update ke 0</t>
  </si>
  <si>
    <t>Penyusun</t>
  </si>
  <si>
    <t>Indra Kusuma Jati Raj Suweda</t>
  </si>
  <si>
    <t>Email</t>
  </si>
  <si>
    <t>indrakrajsuweda@gmail.com</t>
  </si>
  <si>
    <t>Selalu cek versi terbaru dan juga program - program lainnya hanya di :</t>
  </si>
  <si>
    <t xml:space="preserve">"Terima kasih sudah membeli program ini sebagai bentuk dukungan kepada salah satu visi Inpetra ID </t>
  </si>
  <si>
    <t>mengembangkan program bantu yang berkualitas dan sesuai dengan kebutuhan kondisi di Indonesia"</t>
  </si>
  <si>
    <t xml:space="preserve">Ada permintaan program? Hubungi kami di : </t>
  </si>
  <si>
    <t>info@inpetra.id</t>
  </si>
  <si>
    <t>Analisa Rencana Anggaran Biaya untuk Pekerjaan Rumah dan Gedung</t>
  </si>
  <si>
    <t>V 1.00</t>
  </si>
  <si>
    <t>Juli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</si>
</sst>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2" formatCode="_-&quot;Rp&quot;* #,##0_-;\-&quot;Rp&quot;* #,##0_-;_-&quot;Rp&quot;* &quot;-&quot;_-;_-@_-"/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_(* #,##0.000_);_(* \(#,##0.000\);_(* &quot;-&quot;??_);_(@_)"/>
    <numFmt numFmtId="167" formatCode="_(* #,##0.0000_);_(* \(#,##0.0000\);_(* &quot;-&quot;????_);_(@_)"/>
    <numFmt numFmtId="168" formatCode="0.000"/>
    <numFmt numFmtId="169" formatCode="_(* #,##0.0000_);_(* \(#,##0.0000\);_(* &quot;-&quot;_);_(@_)"/>
    <numFmt numFmtId="170" formatCode="0.0000"/>
    <numFmt numFmtId="171" formatCode="_-* #,##0.00_-;\-* #,##0.00_-;_-* &quot;-&quot;????_-;_-@_-"/>
    <numFmt numFmtId="172" formatCode="_(* #,##0.00_);_(* \(#,##0.00\);_(* &quot;-&quot;_);_(@_)"/>
    <numFmt numFmtId="173" formatCode="_-&quot;Rp&quot;* #,##0.00_-;\-&quot;Rp&quot;* #,##0.00_-;_-&quot;Rp&quot;* &quot;-&quot;_-;_-@_-"/>
    <numFmt numFmtId="174" formatCode="_-* #,##0.00_-;\-* #,##0.00_-;_-* &quot;-&quot;_-;_-@_-"/>
    <numFmt numFmtId="175" formatCode="_-&quot;Rp&quot;* #,##0_-;\-&quot;Rp&quot;* #,##0_-;_-&quot;Rp&quot;* &quot;-&quot;??_-;_-@_-"/>
  </numFmts>
  <fonts count="35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 Light"/>
      <family val="2"/>
      <scheme val="major"/>
    </font>
    <font>
      <b/>
      <sz val="20"/>
      <color theme="1"/>
      <name val="Calibri Light"/>
      <family val="2"/>
      <scheme val="major"/>
    </font>
    <font>
      <vertAlign val="subscript"/>
      <sz val="11"/>
      <color theme="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 Light"/>
      <family val="2"/>
      <scheme val="major"/>
    </font>
    <font>
      <b/>
      <sz val="12"/>
      <name val="Calibri Light"/>
      <family val="2"/>
      <scheme val="major"/>
    </font>
    <font>
      <sz val="11"/>
      <name val="Calibri"/>
      <family val="2"/>
    </font>
    <font>
      <sz val="12"/>
      <name val="Calibri"/>
      <family val="2"/>
      <scheme val="minor"/>
    </font>
    <font>
      <b/>
      <sz val="11"/>
      <color theme="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8"/>
      <name val="Calibri"/>
      <family val="2"/>
    </font>
    <font>
      <b/>
      <sz val="11"/>
      <color theme="0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6"/>
      <color theme="1"/>
      <name val="Calibri Light"/>
      <family val="2"/>
      <scheme val="major"/>
    </font>
    <font>
      <u/>
      <sz val="11"/>
      <color theme="10"/>
      <name val="Calibri"/>
      <family val="2"/>
    </font>
    <font>
      <sz val="12"/>
      <color theme="0"/>
      <name val="Calibri"/>
      <family val="2"/>
      <scheme val="minor"/>
    </font>
    <font>
      <sz val="12"/>
      <color theme="0"/>
      <name val="Calibri"/>
      <family val="2"/>
      <charset val="1"/>
      <scheme val="minor"/>
    </font>
    <font>
      <u/>
      <sz val="12"/>
      <color theme="0"/>
      <name val="Calibri"/>
      <family val="2"/>
      <charset val="1"/>
      <scheme val="minor"/>
    </font>
    <font>
      <b/>
      <sz val="12"/>
      <color theme="0"/>
      <name val="Calibri Light"/>
      <family val="2"/>
      <scheme val="major"/>
    </font>
    <font>
      <sz val="12"/>
      <color theme="0"/>
      <name val="Calibri Light"/>
      <family val="2"/>
      <scheme val="major"/>
    </font>
    <font>
      <u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88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double">
        <color theme="0" tint="-0.499984740745262"/>
      </top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double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 style="thin">
        <color theme="0" tint="-0.24994659260841701"/>
      </right>
      <top/>
      <bottom style="double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double">
        <color theme="0" tint="-0.34998626667073579"/>
      </bottom>
      <diagonal/>
    </border>
    <border>
      <left/>
      <right/>
      <top style="thin">
        <color theme="0" tint="-0.34998626667073579"/>
      </top>
      <bottom style="double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" fillId="7" borderId="60" applyNumberFormat="0" applyFont="0" applyAlignment="0" applyProtection="0"/>
    <xf numFmtId="0" fontId="27" fillId="0" borderId="0" applyNumberFormat="0" applyFill="0" applyBorder="0" applyAlignment="0" applyProtection="0"/>
  </cellStyleXfs>
  <cellXfs count="65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2" borderId="0" xfId="0" applyFont="1" applyFill="1" applyAlignment="1">
      <alignment vertical="center"/>
    </xf>
    <xf numFmtId="42" fontId="0" fillId="0" borderId="0" xfId="3" applyFont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42" fontId="0" fillId="0" borderId="3" xfId="3" applyFont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42" fontId="2" fillId="2" borderId="3" xfId="3" applyFont="1" applyFill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42" fontId="0" fillId="0" borderId="4" xfId="3" applyFont="1" applyBorder="1" applyAlignment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0" fontId="2" fillId="4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left" vertical="center" indent="1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center"/>
    </xf>
    <xf numFmtId="0" fontId="7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Continuous" vertical="center"/>
    </xf>
    <xf numFmtId="164" fontId="7" fillId="0" borderId="12" xfId="0" applyNumberFormat="1" applyFont="1" applyBorder="1" applyAlignment="1">
      <alignment vertical="center"/>
    </xf>
    <xf numFmtId="0" fontId="7" fillId="0" borderId="16" xfId="0" applyFont="1" applyBorder="1" applyAlignment="1">
      <alignment horizontal="centerContinuous" vertical="center"/>
    </xf>
    <xf numFmtId="0" fontId="7" fillId="0" borderId="18" xfId="0" applyFont="1" applyBorder="1" applyAlignment="1">
      <alignment horizontal="centerContinuous" vertical="center"/>
    </xf>
    <xf numFmtId="0" fontId="7" fillId="0" borderId="12" xfId="0" applyFont="1" applyBorder="1" applyAlignment="1">
      <alignment horizontal="left" vertical="center"/>
    </xf>
    <xf numFmtId="166" fontId="7" fillId="0" borderId="12" xfId="1" applyNumberFormat="1" applyFont="1" applyFill="1" applyBorder="1" applyAlignment="1">
      <alignment horizontal="left" vertical="center"/>
    </xf>
    <xf numFmtId="164" fontId="7" fillId="0" borderId="12" xfId="1" applyNumberFormat="1" applyFont="1" applyFill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4" xfId="0" applyFont="1" applyBorder="1" applyAlignment="1">
      <alignment horizontal="centerContinuous" vertical="center"/>
    </xf>
    <xf numFmtId="0" fontId="7" fillId="0" borderId="20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horizontal="center" vertical="center"/>
    </xf>
    <xf numFmtId="0" fontId="7" fillId="0" borderId="21" xfId="0" applyFont="1" applyBorder="1" applyAlignment="1">
      <alignment horizontal="centerContinuous" vertical="center"/>
    </xf>
    <xf numFmtId="0" fontId="7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centerContinuous" vertical="center"/>
    </xf>
    <xf numFmtId="0" fontId="7" fillId="0" borderId="22" xfId="0" applyFont="1" applyBorder="1" applyAlignment="1">
      <alignment horizontal="left" vertical="center"/>
    </xf>
    <xf numFmtId="0" fontId="7" fillId="0" borderId="24" xfId="0" applyFont="1" applyBorder="1" applyAlignment="1">
      <alignment horizontal="center" vertical="center"/>
    </xf>
    <xf numFmtId="0" fontId="7" fillId="0" borderId="24" xfId="0" applyFont="1" applyBorder="1" applyAlignment="1">
      <alignment horizontal="left" vertical="center"/>
    </xf>
    <xf numFmtId="0" fontId="7" fillId="0" borderId="27" xfId="0" applyFont="1" applyBorder="1" applyAlignment="1">
      <alignment horizontal="center" vertical="center"/>
    </xf>
    <xf numFmtId="0" fontId="7" fillId="0" borderId="31" xfId="0" applyFont="1" applyBorder="1" applyAlignment="1">
      <alignment horizontal="left" vertical="center"/>
    </xf>
    <xf numFmtId="0" fontId="7" fillId="0" borderId="33" xfId="0" applyFont="1" applyBorder="1" applyAlignment="1">
      <alignment horizontal="center" vertical="center"/>
    </xf>
    <xf numFmtId="0" fontId="7" fillId="0" borderId="33" xfId="0" applyFont="1" applyBorder="1" applyAlignment="1">
      <alignment horizontal="centerContinuous" vertical="center"/>
    </xf>
    <xf numFmtId="0" fontId="7" fillId="0" borderId="27" xfId="0" applyFont="1" applyBorder="1" applyAlignment="1">
      <alignment horizontal="left" vertical="center"/>
    </xf>
    <xf numFmtId="43" fontId="7" fillId="0" borderId="0" xfId="0" applyNumberFormat="1" applyFont="1" applyAlignment="1">
      <alignment vertical="center"/>
    </xf>
    <xf numFmtId="166" fontId="7" fillId="0" borderId="37" xfId="1" applyNumberFormat="1" applyFont="1" applyFill="1" applyBorder="1" applyAlignment="1">
      <alignment horizontal="left" vertical="center"/>
    </xf>
    <xf numFmtId="0" fontId="7" fillId="0" borderId="31" xfId="0" applyFont="1" applyBorder="1" applyAlignment="1">
      <alignment horizontal="center" vertical="center"/>
    </xf>
    <xf numFmtId="43" fontId="7" fillId="0" borderId="0" xfId="1" applyFont="1" applyFill="1" applyBorder="1" applyAlignment="1">
      <alignment horizontal="left" vertical="center"/>
    </xf>
    <xf numFmtId="0" fontId="7" fillId="0" borderId="38" xfId="0" applyFont="1" applyBorder="1" applyAlignment="1">
      <alignment horizontal="left" vertical="center"/>
    </xf>
    <xf numFmtId="0" fontId="7" fillId="0" borderId="14" xfId="0" applyFont="1" applyBorder="1" applyAlignment="1">
      <alignment horizontal="center" vertical="center"/>
    </xf>
    <xf numFmtId="0" fontId="7" fillId="0" borderId="39" xfId="0" applyFont="1" applyBorder="1" applyAlignment="1">
      <alignment horizontal="left" vertical="center"/>
    </xf>
    <xf numFmtId="0" fontId="7" fillId="0" borderId="37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1" xfId="0" applyFont="1" applyBorder="1" applyAlignment="1">
      <alignment horizontal="centerContinuous" vertical="center"/>
    </xf>
    <xf numFmtId="166" fontId="7" fillId="0" borderId="12" xfId="0" applyNumberFormat="1" applyFont="1" applyBorder="1" applyAlignment="1">
      <alignment vertical="center"/>
    </xf>
    <xf numFmtId="0" fontId="7" fillId="0" borderId="37" xfId="0" applyFont="1" applyBorder="1" applyAlignment="1">
      <alignment horizontal="centerContinuous" vertical="center"/>
    </xf>
    <xf numFmtId="0" fontId="7" fillId="0" borderId="16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6" fillId="0" borderId="0" xfId="0" applyFont="1" applyAlignment="1">
      <alignment horizontal="centerContinuous" vertical="center"/>
    </xf>
    <xf numFmtId="164" fontId="7" fillId="0" borderId="0" xfId="0" applyNumberFormat="1" applyFont="1" applyAlignment="1">
      <alignment vertical="center"/>
    </xf>
    <xf numFmtId="164" fontId="7" fillId="0" borderId="21" xfId="0" applyNumberFormat="1" applyFont="1" applyBorder="1" applyAlignment="1">
      <alignment horizontal="centerContinuous" vertical="center"/>
    </xf>
    <xf numFmtId="0" fontId="6" fillId="0" borderId="0" xfId="0" applyFont="1" applyAlignment="1">
      <alignment vertical="center"/>
    </xf>
    <xf numFmtId="0" fontId="7" fillId="0" borderId="43" xfId="0" applyFont="1" applyBorder="1" applyAlignment="1">
      <alignment horizontal="center" vertical="center"/>
    </xf>
    <xf numFmtId="43" fontId="7" fillId="0" borderId="0" xfId="1" applyFont="1" applyFill="1" applyBorder="1" applyAlignment="1">
      <alignment horizontal="center" vertical="center"/>
    </xf>
    <xf numFmtId="0" fontId="7" fillId="0" borderId="45" xfId="0" applyFont="1" applyBorder="1" applyAlignment="1">
      <alignment horizontal="centerContinuous" vertical="center"/>
    </xf>
    <xf numFmtId="164" fontId="7" fillId="0" borderId="12" xfId="0" applyNumberFormat="1" applyFont="1" applyBorder="1" applyAlignment="1">
      <alignment horizontal="centerContinuous" vertical="center"/>
    </xf>
    <xf numFmtId="164" fontId="6" fillId="0" borderId="0" xfId="0" applyNumberFormat="1" applyFont="1" applyAlignment="1">
      <alignment horizontal="left" vertical="center"/>
    </xf>
    <xf numFmtId="0" fontId="7" fillId="0" borderId="45" xfId="0" applyFont="1" applyBorder="1" applyAlignment="1">
      <alignment horizontal="center" vertical="center"/>
    </xf>
    <xf numFmtId="164" fontId="7" fillId="0" borderId="18" xfId="0" applyNumberFormat="1" applyFont="1" applyBorder="1" applyAlignment="1">
      <alignment horizontal="centerContinuous" vertical="center"/>
    </xf>
    <xf numFmtId="164" fontId="7" fillId="0" borderId="37" xfId="0" applyNumberFormat="1" applyFont="1" applyBorder="1" applyAlignment="1">
      <alignment horizontal="centerContinuous" vertical="center"/>
    </xf>
    <xf numFmtId="171" fontId="7" fillId="0" borderId="0" xfId="0" applyNumberFormat="1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169" fontId="7" fillId="0" borderId="0" xfId="2" applyNumberFormat="1" applyFont="1" applyFill="1" applyBorder="1" applyAlignment="1">
      <alignment vertical="center"/>
    </xf>
    <xf numFmtId="0" fontId="7" fillId="0" borderId="23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164" fontId="7" fillId="0" borderId="18" xfId="0" applyNumberFormat="1" applyFont="1" applyBorder="1" applyAlignment="1">
      <alignment horizontal="center" vertical="center"/>
    </xf>
    <xf numFmtId="43" fontId="7" fillId="0" borderId="0" xfId="1" applyFont="1" applyFill="1" applyBorder="1" applyAlignment="1">
      <alignment vertical="center"/>
    </xf>
    <xf numFmtId="167" fontId="7" fillId="0" borderId="0" xfId="0" applyNumberFormat="1" applyFont="1" applyAlignment="1">
      <alignment horizontal="left" vertical="center"/>
    </xf>
    <xf numFmtId="164" fontId="7" fillId="0" borderId="0" xfId="0" applyNumberFormat="1" applyFont="1" applyAlignment="1">
      <alignment horizontal="left" vertical="center"/>
    </xf>
    <xf numFmtId="164" fontId="7" fillId="0" borderId="14" xfId="0" applyNumberFormat="1" applyFont="1" applyBorder="1" applyAlignment="1">
      <alignment horizontal="centerContinuous" vertical="center"/>
    </xf>
    <xf numFmtId="0" fontId="7" fillId="0" borderId="12" xfId="1" applyNumberFormat="1" applyFont="1" applyFill="1" applyBorder="1" applyAlignment="1">
      <alignment horizontal="left" vertical="center"/>
    </xf>
    <xf numFmtId="164" fontId="7" fillId="0" borderId="29" xfId="0" applyNumberFormat="1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7" fillId="0" borderId="0" xfId="0" applyNumberFormat="1" applyFont="1" applyAlignment="1">
      <alignment vertical="center"/>
    </xf>
    <xf numFmtId="0" fontId="6" fillId="0" borderId="9" xfId="0" applyNumberFormat="1" applyFont="1" applyBorder="1" applyAlignment="1">
      <alignment horizontal="center" vertical="center"/>
    </xf>
    <xf numFmtId="0" fontId="7" fillId="0" borderId="12" xfId="1" applyNumberFormat="1" applyFont="1" applyFill="1" applyBorder="1" applyAlignment="1">
      <alignment vertical="center"/>
    </xf>
    <xf numFmtId="0" fontId="7" fillId="0" borderId="12" xfId="0" applyNumberFormat="1" applyFont="1" applyBorder="1" applyAlignment="1">
      <alignment horizontal="left" vertical="center"/>
    </xf>
    <xf numFmtId="0" fontId="7" fillId="0" borderId="21" xfId="0" applyNumberFormat="1" applyFont="1" applyBorder="1" applyAlignment="1">
      <alignment horizontal="left" vertical="center"/>
    </xf>
    <xf numFmtId="0" fontId="7" fillId="0" borderId="23" xfId="0" applyNumberFormat="1" applyFont="1" applyBorder="1" applyAlignment="1">
      <alignment horizontal="left" vertical="center"/>
    </xf>
    <xf numFmtId="0" fontId="7" fillId="0" borderId="28" xfId="0" applyNumberFormat="1" applyFont="1" applyBorder="1" applyAlignment="1">
      <alignment horizontal="left" vertical="center"/>
    </xf>
    <xf numFmtId="0" fontId="7" fillId="0" borderId="28" xfId="1" applyNumberFormat="1" applyFont="1" applyFill="1" applyBorder="1" applyAlignment="1">
      <alignment horizontal="left" vertical="center"/>
    </xf>
    <xf numFmtId="0" fontId="6" fillId="0" borderId="28" xfId="1" applyNumberFormat="1" applyFont="1" applyFill="1" applyBorder="1" applyAlignment="1">
      <alignment horizontal="left" vertical="center"/>
    </xf>
    <xf numFmtId="0" fontId="7" fillId="0" borderId="32" xfId="1" applyNumberFormat="1" applyFont="1" applyFill="1" applyBorder="1" applyAlignment="1">
      <alignment horizontal="left" vertical="center"/>
    </xf>
    <xf numFmtId="0" fontId="7" fillId="0" borderId="0" xfId="1" applyNumberFormat="1" applyFont="1" applyFill="1" applyBorder="1" applyAlignment="1">
      <alignment horizontal="left" vertical="center"/>
    </xf>
    <xf numFmtId="0" fontId="7" fillId="0" borderId="14" xfId="0" applyNumberFormat="1" applyFont="1" applyBorder="1" applyAlignment="1">
      <alignment horizontal="left" vertical="center"/>
    </xf>
    <xf numFmtId="0" fontId="7" fillId="0" borderId="40" xfId="1" applyNumberFormat="1" applyFont="1" applyFill="1" applyBorder="1" applyAlignment="1">
      <alignment horizontal="left" vertical="center"/>
    </xf>
    <xf numFmtId="0" fontId="7" fillId="0" borderId="0" xfId="0" applyNumberFormat="1" applyFont="1" applyAlignment="1">
      <alignment horizontal="left" vertical="center"/>
    </xf>
    <xf numFmtId="0" fontId="6" fillId="0" borderId="32" xfId="1" applyNumberFormat="1" applyFont="1" applyFill="1" applyBorder="1" applyAlignment="1">
      <alignment horizontal="left" vertical="center"/>
    </xf>
    <xf numFmtId="0" fontId="6" fillId="0" borderId="0" xfId="1" applyNumberFormat="1" applyFont="1" applyFill="1" applyBorder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6" fillId="0" borderId="0" xfId="1" applyNumberFormat="1" applyFont="1" applyFill="1" applyBorder="1" applyAlignment="1">
      <alignment horizontal="left" vertical="center"/>
    </xf>
    <xf numFmtId="0" fontId="7" fillId="0" borderId="0" xfId="1" applyNumberFormat="1" applyFont="1" applyFill="1" applyBorder="1" applyAlignment="1">
      <alignment horizontal="center" vertical="center"/>
    </xf>
    <xf numFmtId="0" fontId="6" fillId="0" borderId="33" xfId="1" applyNumberFormat="1" applyFont="1" applyFill="1" applyBorder="1" applyAlignment="1">
      <alignment horizontal="left" vertical="center"/>
    </xf>
    <xf numFmtId="0" fontId="7" fillId="0" borderId="45" xfId="1" applyNumberFormat="1" applyFont="1" applyFill="1" applyBorder="1" applyAlignment="1">
      <alignment horizontal="left" vertical="center"/>
    </xf>
    <xf numFmtId="0" fontId="12" fillId="0" borderId="0" xfId="0" applyNumberFormat="1" applyFont="1" applyAlignment="1">
      <alignment horizontal="left" vertical="center"/>
    </xf>
    <xf numFmtId="0" fontId="7" fillId="0" borderId="0" xfId="0" applyNumberFormat="1" applyFont="1" applyAlignment="1">
      <alignment horizontal="center" vertical="center"/>
    </xf>
    <xf numFmtId="0" fontId="7" fillId="0" borderId="0" xfId="0" applyFont="1" applyBorder="1" applyAlignment="1">
      <alignment vertical="center"/>
    </xf>
    <xf numFmtId="173" fontId="7" fillId="0" borderId="0" xfId="3" applyNumberFormat="1" applyFont="1" applyFill="1" applyAlignment="1">
      <alignment horizontal="centerContinuous" vertical="center"/>
    </xf>
    <xf numFmtId="173" fontId="7" fillId="0" borderId="0" xfId="3" applyNumberFormat="1" applyFont="1" applyAlignment="1">
      <alignment horizontal="centerContinuous" vertical="center"/>
    </xf>
    <xf numFmtId="173" fontId="7" fillId="0" borderId="10" xfId="3" applyNumberFormat="1" applyFont="1" applyBorder="1" applyAlignment="1">
      <alignment horizontal="center" vertical="center"/>
    </xf>
    <xf numFmtId="173" fontId="7" fillId="0" borderId="13" xfId="3" applyNumberFormat="1" applyFont="1" applyBorder="1" applyAlignment="1">
      <alignment horizontal="centerContinuous" vertical="center"/>
    </xf>
    <xf numFmtId="173" fontId="7" fillId="0" borderId="13" xfId="3" applyNumberFormat="1" applyFont="1" applyFill="1" applyBorder="1" applyAlignment="1">
      <alignment horizontal="left" vertical="center"/>
    </xf>
    <xf numFmtId="173" fontId="7" fillId="0" borderId="15" xfId="3" applyNumberFormat="1" applyFont="1" applyFill="1" applyBorder="1" applyAlignment="1">
      <alignment horizontal="left" vertical="center"/>
    </xf>
    <xf numFmtId="173" fontId="6" fillId="0" borderId="17" xfId="3" applyNumberFormat="1" applyFont="1" applyFill="1" applyBorder="1" applyAlignment="1">
      <alignment horizontal="left" vertical="center"/>
    </xf>
    <xf numFmtId="173" fontId="7" fillId="0" borderId="19" xfId="3" applyNumberFormat="1" applyFont="1" applyBorder="1" applyAlignment="1">
      <alignment horizontal="centerContinuous" vertical="center"/>
    </xf>
    <xf numFmtId="173" fontId="7" fillId="0" borderId="13" xfId="3" applyNumberFormat="1" applyFont="1" applyBorder="1" applyAlignment="1">
      <alignment horizontal="left" vertical="center"/>
    </xf>
    <xf numFmtId="173" fontId="7" fillId="0" borderId="15" xfId="3" applyNumberFormat="1" applyFont="1" applyBorder="1" applyAlignment="1">
      <alignment horizontal="left" vertical="center"/>
    </xf>
    <xf numFmtId="173" fontId="7" fillId="0" borderId="17" xfId="3" applyNumberFormat="1" applyFont="1" applyFill="1" applyBorder="1" applyAlignment="1">
      <alignment horizontal="left" vertical="center"/>
    </xf>
    <xf numFmtId="173" fontId="7" fillId="0" borderId="7" xfId="3" applyNumberFormat="1" applyFont="1" applyBorder="1" applyAlignment="1">
      <alignment horizontal="centerContinuous" vertical="center"/>
    </xf>
    <xf numFmtId="173" fontId="7" fillId="0" borderId="26" xfId="3" applyNumberFormat="1" applyFont="1" applyBorder="1" applyAlignment="1">
      <alignment horizontal="left" vertical="center"/>
    </xf>
    <xf numFmtId="173" fontId="7" fillId="0" borderId="30" xfId="3" applyNumberFormat="1" applyFont="1" applyBorder="1" applyAlignment="1">
      <alignment horizontal="left" vertical="center"/>
    </xf>
    <xf numFmtId="173" fontId="7" fillId="0" borderId="30" xfId="3" applyNumberFormat="1" applyFont="1" applyFill="1" applyBorder="1" applyAlignment="1">
      <alignment horizontal="left" vertical="center"/>
    </xf>
    <xf numFmtId="173" fontId="6" fillId="0" borderId="30" xfId="3" applyNumberFormat="1" applyFont="1" applyBorder="1" applyAlignment="1">
      <alignment horizontal="left" vertical="center"/>
    </xf>
    <xf numFmtId="173" fontId="6" fillId="0" borderId="35" xfId="3" applyNumberFormat="1" applyFont="1" applyBorder="1" applyAlignment="1">
      <alignment horizontal="left" vertical="center"/>
    </xf>
    <xf numFmtId="173" fontId="7" fillId="0" borderId="36" xfId="3" applyNumberFormat="1" applyFont="1" applyBorder="1" applyAlignment="1">
      <alignment horizontal="centerContinuous" vertical="center"/>
    </xf>
    <xf numFmtId="173" fontId="7" fillId="0" borderId="35" xfId="3" applyNumberFormat="1" applyFont="1" applyBorder="1" applyAlignment="1">
      <alignment horizontal="centerContinuous" vertical="center"/>
    </xf>
    <xf numFmtId="173" fontId="7" fillId="0" borderId="30" xfId="3" applyNumberFormat="1" applyFont="1" applyBorder="1" applyAlignment="1">
      <alignment horizontal="centerContinuous" vertical="center"/>
    </xf>
    <xf numFmtId="173" fontId="7" fillId="0" borderId="0" xfId="3" applyNumberFormat="1" applyFont="1" applyAlignment="1">
      <alignment vertical="center"/>
    </xf>
    <xf numFmtId="173" fontId="7" fillId="0" borderId="0" xfId="3" applyNumberFormat="1" applyFont="1" applyBorder="1" applyAlignment="1">
      <alignment horizontal="centerContinuous" vertical="center"/>
    </xf>
    <xf numFmtId="173" fontId="6" fillId="0" borderId="30" xfId="3" applyNumberFormat="1" applyFont="1" applyFill="1" applyBorder="1" applyAlignment="1">
      <alignment horizontal="left" vertical="center"/>
    </xf>
    <xf numFmtId="173" fontId="7" fillId="0" borderId="7" xfId="3" applyNumberFormat="1" applyFont="1" applyFill="1" applyBorder="1" applyAlignment="1">
      <alignment horizontal="left" vertical="center"/>
    </xf>
    <xf numFmtId="173" fontId="7" fillId="0" borderId="0" xfId="3" applyNumberFormat="1" applyFont="1" applyAlignment="1">
      <alignment horizontal="center" vertical="center"/>
    </xf>
    <xf numFmtId="173" fontId="6" fillId="0" borderId="0" xfId="3" applyNumberFormat="1" applyFont="1" applyAlignment="1">
      <alignment horizontal="center" vertical="center"/>
    </xf>
    <xf numFmtId="173" fontId="7" fillId="0" borderId="9" xfId="3" applyNumberFormat="1" applyFont="1" applyBorder="1" applyAlignment="1">
      <alignment horizontal="center" vertical="center"/>
    </xf>
    <xf numFmtId="173" fontId="7" fillId="0" borderId="12" xfId="3" applyNumberFormat="1" applyFont="1" applyBorder="1" applyAlignment="1">
      <alignment horizontal="centerContinuous" vertical="center"/>
    </xf>
    <xf numFmtId="173" fontId="7" fillId="0" borderId="12" xfId="3" applyNumberFormat="1" applyFont="1" applyFill="1" applyBorder="1" applyAlignment="1">
      <alignment horizontal="left" vertical="center"/>
    </xf>
    <xf numFmtId="173" fontId="7" fillId="0" borderId="14" xfId="3" applyNumberFormat="1" applyFont="1" applyFill="1" applyBorder="1" applyAlignment="1">
      <alignment horizontal="left" vertical="center"/>
    </xf>
    <xf numFmtId="173" fontId="6" fillId="0" borderId="16" xfId="3" applyNumberFormat="1" applyFont="1" applyFill="1" applyBorder="1" applyAlignment="1">
      <alignment horizontal="left" vertical="center"/>
    </xf>
    <xf numFmtId="173" fontId="7" fillId="0" borderId="18" xfId="3" applyNumberFormat="1" applyFont="1" applyBorder="1" applyAlignment="1">
      <alignment horizontal="centerContinuous" vertical="center"/>
    </xf>
    <xf numFmtId="173" fontId="7" fillId="0" borderId="37" xfId="3" applyNumberFormat="1" applyFont="1" applyBorder="1" applyAlignment="1">
      <alignment horizontal="left" vertical="center"/>
    </xf>
    <xf numFmtId="173" fontId="7" fillId="0" borderId="37" xfId="3" applyNumberFormat="1" applyFont="1" applyFill="1" applyBorder="1" applyAlignment="1">
      <alignment horizontal="left" vertical="center"/>
    </xf>
    <xf numFmtId="173" fontId="6" fillId="0" borderId="37" xfId="3" applyNumberFormat="1" applyFont="1" applyBorder="1" applyAlignment="1">
      <alignment horizontal="left" vertical="center"/>
    </xf>
    <xf numFmtId="173" fontId="7" fillId="0" borderId="6" xfId="3" applyNumberFormat="1" applyFont="1" applyBorder="1" applyAlignment="1">
      <alignment horizontal="centerContinuous" vertical="center"/>
    </xf>
    <xf numFmtId="173" fontId="6" fillId="0" borderId="0" xfId="3" applyNumberFormat="1" applyFont="1" applyAlignment="1">
      <alignment horizontal="left" vertical="center"/>
    </xf>
    <xf numFmtId="173" fontId="7" fillId="0" borderId="14" xfId="3" applyNumberFormat="1" applyFont="1" applyBorder="1" applyAlignment="1">
      <alignment horizontal="left" vertical="center"/>
    </xf>
    <xf numFmtId="173" fontId="7" fillId="0" borderId="16" xfId="3" applyNumberFormat="1" applyFont="1" applyFill="1" applyBorder="1" applyAlignment="1">
      <alignment horizontal="left" vertical="center"/>
    </xf>
    <xf numFmtId="173" fontId="7" fillId="0" borderId="37" xfId="3" applyNumberFormat="1" applyFont="1" applyBorder="1" applyAlignment="1">
      <alignment horizontal="centerContinuous" vertical="center"/>
    </xf>
    <xf numFmtId="173" fontId="6" fillId="0" borderId="0" xfId="3" applyNumberFormat="1" applyFont="1" applyFill="1" applyBorder="1" applyAlignment="1">
      <alignment horizontal="center" vertical="center"/>
    </xf>
    <xf numFmtId="173" fontId="12" fillId="0" borderId="0" xfId="3" applyNumberFormat="1" applyFont="1" applyAlignment="1">
      <alignment vertical="center"/>
    </xf>
    <xf numFmtId="173" fontId="7" fillId="0" borderId="39" xfId="3" applyNumberFormat="1" applyFont="1" applyBorder="1" applyAlignment="1">
      <alignment horizontal="centerContinuous" vertical="center"/>
    </xf>
    <xf numFmtId="173" fontId="6" fillId="0" borderId="35" xfId="3" applyNumberFormat="1" applyFont="1" applyBorder="1" applyAlignment="1">
      <alignment horizontal="center" vertical="center"/>
    </xf>
    <xf numFmtId="173" fontId="7" fillId="0" borderId="0" xfId="3" applyNumberFormat="1" applyFont="1" applyFill="1" applyAlignment="1">
      <alignment vertical="center"/>
    </xf>
    <xf numFmtId="0" fontId="2" fillId="4" borderId="5" xfId="3" applyNumberFormat="1" applyFont="1" applyFill="1" applyBorder="1" applyAlignment="1">
      <alignment horizontal="center" vertical="center"/>
    </xf>
    <xf numFmtId="173" fontId="0" fillId="0" borderId="0" xfId="3" applyNumberFormat="1" applyFont="1" applyAlignment="1">
      <alignment vertical="center"/>
    </xf>
    <xf numFmtId="164" fontId="7" fillId="0" borderId="0" xfId="0" applyNumberFormat="1" applyFont="1" applyAlignment="1">
      <alignment horizontal="centerContinuous" vertical="center"/>
    </xf>
    <xf numFmtId="164" fontId="7" fillId="0" borderId="9" xfId="0" applyNumberFormat="1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left" vertical="center"/>
    </xf>
    <xf numFmtId="164" fontId="7" fillId="0" borderId="0" xfId="0" applyNumberFormat="1" applyFont="1" applyBorder="1" applyAlignment="1">
      <alignment horizontal="centerContinuous" vertical="center"/>
    </xf>
    <xf numFmtId="164" fontId="7" fillId="0" borderId="33" xfId="0" applyNumberFormat="1" applyFont="1" applyBorder="1" applyAlignment="1">
      <alignment horizontal="centerContinuous" vertical="center"/>
    </xf>
    <xf numFmtId="164" fontId="7" fillId="0" borderId="37" xfId="1" applyNumberFormat="1" applyFont="1" applyFill="1" applyBorder="1" applyAlignment="1">
      <alignment horizontal="left" vertical="center"/>
    </xf>
    <xf numFmtId="164" fontId="7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7" fillId="0" borderId="0" xfId="1" applyNumberFormat="1" applyFont="1" applyFill="1" applyBorder="1" applyAlignment="1">
      <alignment horizontal="center" vertical="center"/>
    </xf>
    <xf numFmtId="164" fontId="7" fillId="0" borderId="45" xfId="0" applyNumberFormat="1" applyFont="1" applyBorder="1" applyAlignment="1">
      <alignment horizontal="centerContinuous" vertical="center"/>
    </xf>
    <xf numFmtId="164" fontId="12" fillId="0" borderId="0" xfId="0" applyNumberFormat="1" applyFont="1" applyAlignment="1">
      <alignment vertical="center"/>
    </xf>
    <xf numFmtId="166" fontId="7" fillId="0" borderId="0" xfId="0" applyNumberFormat="1" applyFont="1" applyAlignment="1">
      <alignment horizontal="centerContinuous" vertical="center"/>
    </xf>
    <xf numFmtId="166" fontId="7" fillId="0" borderId="9" xfId="0" applyNumberFormat="1" applyFont="1" applyBorder="1" applyAlignment="1">
      <alignment horizontal="center" vertical="center"/>
    </xf>
    <xf numFmtId="166" fontId="7" fillId="0" borderId="12" xfId="0" applyNumberFormat="1" applyFont="1" applyBorder="1" applyAlignment="1">
      <alignment horizontal="centerContinuous" vertical="center"/>
    </xf>
    <xf numFmtId="166" fontId="7" fillId="0" borderId="16" xfId="0" applyNumberFormat="1" applyFont="1" applyBorder="1" applyAlignment="1">
      <alignment horizontal="left" vertical="center"/>
    </xf>
    <xf numFmtId="166" fontId="7" fillId="0" borderId="18" xfId="0" applyNumberFormat="1" applyFont="1" applyBorder="1" applyAlignment="1">
      <alignment horizontal="centerContinuous" vertical="center"/>
    </xf>
    <xf numFmtId="166" fontId="7" fillId="0" borderId="6" xfId="0" applyNumberFormat="1" applyFont="1" applyBorder="1" applyAlignment="1">
      <alignment horizontal="left" vertical="center"/>
    </xf>
    <xf numFmtId="166" fontId="7" fillId="0" borderId="24" xfId="0" applyNumberFormat="1" applyFont="1" applyBorder="1" applyAlignment="1">
      <alignment horizontal="left" vertical="center"/>
    </xf>
    <xf numFmtId="166" fontId="7" fillId="0" borderId="0" xfId="0" applyNumberFormat="1" applyFont="1" applyBorder="1" applyAlignment="1">
      <alignment horizontal="left" vertical="center"/>
    </xf>
    <xf numFmtId="166" fontId="7" fillId="0" borderId="0" xfId="0" applyNumberFormat="1" applyFont="1" applyBorder="1" applyAlignment="1">
      <alignment horizontal="right" vertical="center"/>
    </xf>
    <xf numFmtId="166" fontId="7" fillId="0" borderId="0" xfId="0" applyNumberFormat="1" applyFont="1" applyBorder="1" applyAlignment="1">
      <alignment horizontal="centerContinuous" vertical="center"/>
    </xf>
    <xf numFmtId="166" fontId="7" fillId="0" borderId="33" xfId="0" applyNumberFormat="1" applyFont="1" applyBorder="1" applyAlignment="1">
      <alignment horizontal="centerContinuous" vertical="center"/>
    </xf>
    <xf numFmtId="166" fontId="7" fillId="0" borderId="12" xfId="0" applyNumberFormat="1" applyFont="1" applyBorder="1" applyAlignment="1">
      <alignment horizontal="left" vertical="center"/>
    </xf>
    <xf numFmtId="166" fontId="7" fillId="0" borderId="21" xfId="0" applyNumberFormat="1" applyFont="1" applyBorder="1" applyAlignment="1">
      <alignment horizontal="left" vertical="center"/>
    </xf>
    <xf numFmtId="166" fontId="7" fillId="0" borderId="0" xfId="0" applyNumberFormat="1" applyFont="1" applyAlignment="1">
      <alignment horizontal="left" vertical="center"/>
    </xf>
    <xf numFmtId="166" fontId="7" fillId="0" borderId="0" xfId="0" applyNumberFormat="1" applyFont="1" applyAlignment="1">
      <alignment horizontal="right" vertical="center"/>
    </xf>
    <xf numFmtId="166" fontId="7" fillId="0" borderId="0" xfId="0" applyNumberFormat="1" applyFont="1" applyAlignment="1">
      <alignment vertical="center"/>
    </xf>
    <xf numFmtId="166" fontId="7" fillId="0" borderId="16" xfId="1" applyNumberFormat="1" applyFont="1" applyFill="1" applyBorder="1" applyAlignment="1">
      <alignment horizontal="left" vertical="center"/>
    </xf>
    <xf numFmtId="166" fontId="7" fillId="0" borderId="14" xfId="0" applyNumberFormat="1" applyFont="1" applyBorder="1" applyAlignment="1">
      <alignment vertical="center"/>
    </xf>
    <xf numFmtId="166" fontId="7" fillId="0" borderId="14" xfId="0" applyNumberFormat="1" applyFont="1" applyBorder="1" applyAlignment="1">
      <alignment horizontal="centerContinuous" vertical="center"/>
    </xf>
    <xf numFmtId="166" fontId="7" fillId="0" borderId="41" xfId="0" applyNumberFormat="1" applyFont="1" applyBorder="1" applyAlignment="1">
      <alignment horizontal="centerContinuous" vertical="center"/>
    </xf>
    <xf numFmtId="166" fontId="7" fillId="0" borderId="0" xfId="0" applyNumberFormat="1" applyFont="1" applyAlignment="1">
      <alignment horizontal="center" vertical="center"/>
    </xf>
    <xf numFmtId="166" fontId="6" fillId="0" borderId="0" xfId="1" applyNumberFormat="1" applyFont="1" applyFill="1" applyBorder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166" fontId="6" fillId="0" borderId="0" xfId="0" applyNumberFormat="1" applyFont="1" applyAlignment="1">
      <alignment horizontal="centerContinuous" vertical="center"/>
    </xf>
    <xf numFmtId="166" fontId="7" fillId="0" borderId="37" xfId="0" applyNumberFormat="1" applyFont="1" applyBorder="1" applyAlignment="1">
      <alignment horizontal="centerContinuous" vertical="center"/>
    </xf>
    <xf numFmtId="166" fontId="6" fillId="0" borderId="0" xfId="0" applyNumberFormat="1" applyFont="1" applyAlignment="1">
      <alignment vertical="center"/>
    </xf>
    <xf numFmtId="166" fontId="7" fillId="0" borderId="0" xfId="1" applyNumberFormat="1" applyFont="1" applyFill="1" applyBorder="1" applyAlignment="1">
      <alignment horizontal="center" vertical="center"/>
    </xf>
    <xf numFmtId="166" fontId="7" fillId="0" borderId="12" xfId="1" quotePrefix="1" applyNumberFormat="1" applyFont="1" applyFill="1" applyBorder="1" applyAlignment="1">
      <alignment horizontal="left" vertical="center"/>
    </xf>
    <xf numFmtId="166" fontId="7" fillId="0" borderId="45" xfId="0" applyNumberFormat="1" applyFont="1" applyBorder="1" applyAlignment="1">
      <alignment horizontal="centerContinuous" vertical="center"/>
    </xf>
    <xf numFmtId="166" fontId="7" fillId="0" borderId="18" xfId="2" applyNumberFormat="1" applyFont="1" applyFill="1" applyBorder="1" applyAlignment="1">
      <alignment vertical="center"/>
    </xf>
    <xf numFmtId="166" fontId="7" fillId="0" borderId="37" xfId="2" applyNumberFormat="1" applyFont="1" applyFill="1" applyBorder="1" applyAlignment="1">
      <alignment vertical="center"/>
    </xf>
    <xf numFmtId="166" fontId="7" fillId="0" borderId="12" xfId="2" applyNumberFormat="1" applyFont="1" applyFill="1" applyBorder="1" applyAlignment="1">
      <alignment vertical="center"/>
    </xf>
    <xf numFmtId="166" fontId="7" fillId="0" borderId="12" xfId="0" applyNumberFormat="1" applyFont="1" applyBorder="1" applyAlignment="1">
      <alignment horizontal="right" vertical="center"/>
    </xf>
    <xf numFmtId="166" fontId="12" fillId="0" borderId="0" xfId="0" applyNumberFormat="1" applyFont="1" applyAlignment="1">
      <alignment vertical="center"/>
    </xf>
    <xf numFmtId="166" fontId="7" fillId="0" borderId="21" xfId="2" applyNumberFormat="1" applyFont="1" applyFill="1" applyBorder="1" applyAlignment="1">
      <alignment vertical="center"/>
    </xf>
    <xf numFmtId="173" fontId="6" fillId="0" borderId="0" xfId="3" applyNumberFormat="1" applyFont="1" applyBorder="1" applyAlignment="1">
      <alignment horizontal="left" vertical="center"/>
    </xf>
    <xf numFmtId="166" fontId="7" fillId="0" borderId="0" xfId="0" applyNumberFormat="1" applyFont="1" applyBorder="1" applyAlignment="1">
      <alignment horizontal="center" vertical="center"/>
    </xf>
    <xf numFmtId="173" fontId="7" fillId="0" borderId="0" xfId="3" applyNumberFormat="1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166" fontId="7" fillId="0" borderId="0" xfId="0" applyNumberFormat="1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173" fontId="7" fillId="0" borderId="1" xfId="3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Continuous" vertical="center"/>
    </xf>
    <xf numFmtId="166" fontId="7" fillId="0" borderId="1" xfId="0" applyNumberFormat="1" applyFont="1" applyBorder="1" applyAlignment="1">
      <alignment horizontal="centerContinuous" vertical="center"/>
    </xf>
    <xf numFmtId="173" fontId="7" fillId="0" borderId="1" xfId="3" applyNumberFormat="1" applyFont="1" applyBorder="1" applyAlignment="1">
      <alignment horizontal="centerContinuous" vertical="center"/>
    </xf>
    <xf numFmtId="0" fontId="7" fillId="0" borderId="1" xfId="1" applyNumberFormat="1" applyFont="1" applyFill="1" applyBorder="1" applyAlignment="1">
      <alignment vertical="center"/>
    </xf>
    <xf numFmtId="166" fontId="7" fillId="0" borderId="1" xfId="0" applyNumberFormat="1" applyFont="1" applyBorder="1" applyAlignment="1">
      <alignment vertical="center"/>
    </xf>
    <xf numFmtId="164" fontId="7" fillId="2" borderId="1" xfId="0" applyNumberFormat="1" applyFont="1" applyFill="1" applyBorder="1" applyAlignment="1">
      <alignment vertical="center"/>
    </xf>
    <xf numFmtId="173" fontId="7" fillId="0" borderId="1" xfId="3" applyNumberFormat="1" applyFont="1" applyFill="1" applyBorder="1" applyAlignment="1">
      <alignment horizontal="left" vertical="center"/>
    </xf>
    <xf numFmtId="173" fontId="6" fillId="0" borderId="1" xfId="3" applyNumberFormat="1" applyFont="1" applyFill="1" applyBorder="1" applyAlignment="1">
      <alignment horizontal="left" vertical="center"/>
    </xf>
    <xf numFmtId="0" fontId="7" fillId="0" borderId="1" xfId="0" applyNumberFormat="1" applyFont="1" applyBorder="1" applyAlignment="1">
      <alignment horizontal="left" vertical="center"/>
    </xf>
    <xf numFmtId="166" fontId="7" fillId="0" borderId="1" xfId="1" applyNumberFormat="1" applyFont="1" applyFill="1" applyBorder="1" applyAlignment="1">
      <alignment horizontal="left" vertical="center"/>
    </xf>
    <xf numFmtId="164" fontId="7" fillId="2" borderId="1" xfId="1" applyNumberFormat="1" applyFont="1" applyFill="1" applyBorder="1" applyAlignment="1">
      <alignment horizontal="left" vertical="center"/>
    </xf>
    <xf numFmtId="173" fontId="7" fillId="0" borderId="1" xfId="3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66" fontId="7" fillId="0" borderId="1" xfId="0" applyNumberFormat="1" applyFont="1" applyBorder="1" applyAlignment="1">
      <alignment horizontal="left" vertical="center"/>
    </xf>
    <xf numFmtId="0" fontId="7" fillId="0" borderId="46" xfId="0" applyNumberFormat="1" applyFont="1" applyBorder="1" applyAlignment="1">
      <alignment horizontal="left" vertical="center"/>
    </xf>
    <xf numFmtId="0" fontId="7" fillId="0" borderId="46" xfId="0" applyFont="1" applyBorder="1" applyAlignment="1">
      <alignment horizontal="center" vertical="center"/>
    </xf>
    <xf numFmtId="0" fontId="7" fillId="0" borderId="46" xfId="0" applyFont="1" applyBorder="1" applyAlignment="1">
      <alignment horizontal="left" vertical="center"/>
    </xf>
    <xf numFmtId="166" fontId="7" fillId="0" borderId="46" xfId="0" applyNumberFormat="1" applyFont="1" applyBorder="1" applyAlignment="1">
      <alignment horizontal="left" vertical="center"/>
    </xf>
    <xf numFmtId="0" fontId="7" fillId="0" borderId="0" xfId="0" applyNumberFormat="1" applyFont="1" applyBorder="1" applyAlignment="1">
      <alignment horizontal="left" vertical="center"/>
    </xf>
    <xf numFmtId="0" fontId="6" fillId="0" borderId="0" xfId="0" applyNumberFormat="1" applyFont="1" applyBorder="1" applyAlignment="1">
      <alignment horizontal="left" vertical="center"/>
    </xf>
    <xf numFmtId="0" fontId="6" fillId="0" borderId="49" xfId="0" applyNumberFormat="1" applyFont="1" applyBorder="1" applyAlignment="1">
      <alignment horizontal="left" vertical="center"/>
    </xf>
    <xf numFmtId="0" fontId="7" fillId="0" borderId="49" xfId="0" applyFont="1" applyBorder="1" applyAlignment="1">
      <alignment horizontal="center" vertical="center"/>
    </xf>
    <xf numFmtId="0" fontId="7" fillId="0" borderId="49" xfId="0" applyFont="1" applyBorder="1" applyAlignment="1">
      <alignment horizontal="centerContinuous" vertical="center"/>
    </xf>
    <xf numFmtId="166" fontId="7" fillId="0" borderId="49" xfId="0" applyNumberFormat="1" applyFont="1" applyBorder="1" applyAlignment="1">
      <alignment horizontal="centerContinuous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73" fontId="7" fillId="0" borderId="2" xfId="3" applyNumberFormat="1" applyFont="1" applyBorder="1" applyAlignment="1">
      <alignment horizontal="left" vertical="center"/>
    </xf>
    <xf numFmtId="173" fontId="7" fillId="0" borderId="3" xfId="3" applyNumberFormat="1" applyFont="1" applyBorder="1" applyAlignment="1">
      <alignment horizontal="left" vertical="center"/>
    </xf>
    <xf numFmtId="173" fontId="7" fillId="0" borderId="3" xfId="3" applyNumberFormat="1" applyFont="1" applyFill="1" applyBorder="1" applyAlignment="1">
      <alignment horizontal="left" vertical="center"/>
    </xf>
    <xf numFmtId="173" fontId="6" fillId="0" borderId="3" xfId="3" applyNumberFormat="1" applyFont="1" applyBorder="1" applyAlignment="1">
      <alignment horizontal="left" vertical="center"/>
    </xf>
    <xf numFmtId="173" fontId="6" fillId="0" borderId="4" xfId="3" applyNumberFormat="1" applyFont="1" applyBorder="1" applyAlignment="1">
      <alignment horizontal="left" vertical="center"/>
    </xf>
    <xf numFmtId="173" fontId="6" fillId="3" borderId="1" xfId="3" applyNumberFormat="1" applyFont="1" applyFill="1" applyBorder="1" applyAlignment="1">
      <alignment horizontal="center" vertical="center"/>
    </xf>
    <xf numFmtId="173" fontId="6" fillId="3" borderId="2" xfId="3" applyNumberFormat="1" applyFont="1" applyFill="1" applyBorder="1" applyAlignment="1">
      <alignment horizontal="center" vertical="center"/>
    </xf>
    <xf numFmtId="0" fontId="7" fillId="0" borderId="49" xfId="0" applyNumberFormat="1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173" fontId="7" fillId="0" borderId="4" xfId="3" applyNumberFormat="1" applyFont="1" applyBorder="1" applyAlignment="1">
      <alignment horizontal="centerContinuous" vertical="center"/>
    </xf>
    <xf numFmtId="0" fontId="7" fillId="0" borderId="49" xfId="1" applyNumberFormat="1" applyFont="1" applyFill="1" applyBorder="1" applyAlignment="1">
      <alignment horizontal="left" vertical="center"/>
    </xf>
    <xf numFmtId="164" fontId="7" fillId="2" borderId="1" xfId="0" applyNumberFormat="1" applyFont="1" applyFill="1" applyBorder="1" applyAlignment="1">
      <alignment horizontal="left" vertical="center"/>
    </xf>
    <xf numFmtId="0" fontId="7" fillId="0" borderId="49" xfId="0" applyFont="1" applyBorder="1" applyAlignment="1">
      <alignment horizontal="left" vertical="center"/>
    </xf>
    <xf numFmtId="166" fontId="7" fillId="0" borderId="49" xfId="0" applyNumberFormat="1" applyFont="1" applyBorder="1" applyAlignment="1">
      <alignment horizontal="right" vertical="center"/>
    </xf>
    <xf numFmtId="173" fontId="7" fillId="0" borderId="4" xfId="3" applyNumberFormat="1" applyFont="1" applyFill="1" applyBorder="1" applyAlignment="1">
      <alignment horizontal="left" vertical="center"/>
    </xf>
    <xf numFmtId="0" fontId="7" fillId="0" borderId="46" xfId="0" applyFont="1" applyBorder="1" applyAlignment="1">
      <alignment horizontal="centerContinuous" vertical="center"/>
    </xf>
    <xf numFmtId="173" fontId="7" fillId="0" borderId="2" xfId="3" applyNumberFormat="1" applyFont="1" applyBorder="1" applyAlignment="1">
      <alignment horizontal="centerContinuous" vertical="center"/>
    </xf>
    <xf numFmtId="166" fontId="7" fillId="0" borderId="1" xfId="1" applyNumberFormat="1" applyFont="1" applyFill="1" applyBorder="1" applyAlignment="1">
      <alignment horizontal="centerContinuous" vertical="center"/>
    </xf>
    <xf numFmtId="0" fontId="9" fillId="0" borderId="1" xfId="1" applyNumberFormat="1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Continuous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166" fontId="8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vertical="center"/>
    </xf>
    <xf numFmtId="173" fontId="7" fillId="0" borderId="2" xfId="3" applyNumberFormat="1" applyFont="1" applyFill="1" applyBorder="1" applyAlignment="1">
      <alignment horizontal="left" vertical="center"/>
    </xf>
    <xf numFmtId="0" fontId="6" fillId="0" borderId="49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49" xfId="1" applyNumberFormat="1" applyFont="1" applyFill="1" applyBorder="1" applyAlignment="1">
      <alignment horizontal="left" vertical="center"/>
    </xf>
    <xf numFmtId="173" fontId="7" fillId="0" borderId="0" xfId="3" applyNumberFormat="1" applyFont="1" applyFill="1" applyBorder="1" applyAlignment="1">
      <alignment horizontal="left" vertical="center"/>
    </xf>
    <xf numFmtId="166" fontId="6" fillId="0" borderId="1" xfId="1" applyNumberFormat="1" applyFont="1" applyFill="1" applyBorder="1" applyAlignment="1">
      <alignment horizontal="left" vertical="center"/>
    </xf>
    <xf numFmtId="166" fontId="7" fillId="0" borderId="49" xfId="0" applyNumberFormat="1" applyFont="1" applyBorder="1" applyAlignment="1">
      <alignment horizontal="center" vertical="center"/>
    </xf>
    <xf numFmtId="173" fontId="7" fillId="0" borderId="2" xfId="3" applyNumberFormat="1" applyFont="1" applyBorder="1" applyAlignment="1">
      <alignment horizontal="center" vertical="center"/>
    </xf>
    <xf numFmtId="173" fontId="7" fillId="0" borderId="4" xfId="3" applyNumberFormat="1" applyFont="1" applyBorder="1" applyAlignment="1">
      <alignment horizontal="center" vertical="center"/>
    </xf>
    <xf numFmtId="43" fontId="6" fillId="0" borderId="49" xfId="1" applyFont="1" applyFill="1" applyBorder="1" applyAlignment="1">
      <alignment vertical="center"/>
    </xf>
    <xf numFmtId="43" fontId="6" fillId="0" borderId="4" xfId="1" applyFont="1" applyFill="1" applyBorder="1" applyAlignment="1">
      <alignment vertical="center"/>
    </xf>
    <xf numFmtId="164" fontId="7" fillId="0" borderId="1" xfId="1" applyNumberFormat="1" applyFont="1" applyFill="1" applyBorder="1" applyAlignment="1">
      <alignment horizontal="left" vertical="center"/>
    </xf>
    <xf numFmtId="164" fontId="7" fillId="0" borderId="0" xfId="1" applyNumberFormat="1" applyFont="1" applyFill="1" applyAlignment="1">
      <alignment horizontal="centerContinuous" vertical="center"/>
    </xf>
    <xf numFmtId="164" fontId="6" fillId="3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Continuous" vertical="center"/>
    </xf>
    <xf numFmtId="164" fontId="7" fillId="0" borderId="46" xfId="0" applyNumberFormat="1" applyFont="1" applyBorder="1" applyAlignment="1">
      <alignment horizontal="left" vertical="center"/>
    </xf>
    <xf numFmtId="164" fontId="7" fillId="0" borderId="46" xfId="0" applyNumberFormat="1" applyFont="1" applyBorder="1" applyAlignment="1">
      <alignment horizontal="center" vertical="center"/>
    </xf>
    <xf numFmtId="164" fontId="7" fillId="0" borderId="47" xfId="0" applyNumberFormat="1" applyFont="1" applyBorder="1" applyAlignment="1">
      <alignment horizontal="left" vertical="center"/>
    </xf>
    <xf numFmtId="164" fontId="7" fillId="0" borderId="0" xfId="0" applyNumberFormat="1" applyFont="1" applyBorder="1" applyAlignment="1">
      <alignment horizontal="center" vertical="center"/>
    </xf>
    <xf numFmtId="164" fontId="7" fillId="0" borderId="48" xfId="0" applyNumberFormat="1" applyFont="1" applyBorder="1" applyAlignment="1">
      <alignment horizontal="left" vertical="center"/>
    </xf>
    <xf numFmtId="164" fontId="7" fillId="0" borderId="48" xfId="0" applyNumberFormat="1" applyFont="1" applyBorder="1" applyAlignment="1">
      <alignment horizontal="centerContinuous" vertical="center"/>
    </xf>
    <xf numFmtId="164" fontId="7" fillId="0" borderId="49" xfId="0" applyNumberFormat="1" applyFont="1" applyBorder="1" applyAlignment="1">
      <alignment horizontal="center" vertical="center"/>
    </xf>
    <xf numFmtId="164" fontId="7" fillId="0" borderId="49" xfId="0" applyNumberFormat="1" applyFont="1" applyBorder="1" applyAlignment="1">
      <alignment horizontal="centerContinuous" vertical="center"/>
    </xf>
    <xf numFmtId="164" fontId="7" fillId="0" borderId="50" xfId="0" applyNumberFormat="1" applyFont="1" applyBorder="1" applyAlignment="1">
      <alignment horizontal="centerContinuous" vertical="center"/>
    </xf>
    <xf numFmtId="164" fontId="6" fillId="3" borderId="2" xfId="0" applyNumberFormat="1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7" fillId="0" borderId="49" xfId="0" applyNumberFormat="1" applyFont="1" applyBorder="1" applyAlignment="1">
      <alignment horizontal="left" vertical="center"/>
    </xf>
    <xf numFmtId="164" fontId="7" fillId="0" borderId="46" xfId="0" applyNumberFormat="1" applyFont="1" applyBorder="1" applyAlignment="1">
      <alignment horizontal="centerContinuous" vertical="center"/>
    </xf>
    <xf numFmtId="164" fontId="9" fillId="0" borderId="1" xfId="0" applyNumberFormat="1" applyFont="1" applyBorder="1" applyAlignment="1">
      <alignment horizontal="centerContinuous" vertical="center"/>
    </xf>
    <xf numFmtId="164" fontId="6" fillId="0" borderId="49" xfId="0" applyNumberFormat="1" applyFont="1" applyBorder="1" applyAlignment="1">
      <alignment vertical="center"/>
    </xf>
    <xf numFmtId="164" fontId="6" fillId="0" borderId="49" xfId="1" applyNumberFormat="1" applyFont="1" applyFill="1" applyBorder="1" applyAlignment="1">
      <alignment vertical="center"/>
    </xf>
    <xf numFmtId="164" fontId="7" fillId="0" borderId="0" xfId="0" applyNumberFormat="1" applyFont="1" applyFill="1" applyAlignment="1">
      <alignment vertical="center"/>
    </xf>
    <xf numFmtId="164" fontId="7" fillId="0" borderId="29" xfId="0" applyNumberFormat="1" applyFont="1" applyBorder="1" applyAlignment="1">
      <alignment horizontal="left" vertical="center"/>
    </xf>
    <xf numFmtId="164" fontId="7" fillId="0" borderId="34" xfId="0" applyNumberFormat="1" applyFont="1" applyBorder="1" applyAlignment="1">
      <alignment horizontal="centerContinuous" vertical="center"/>
    </xf>
    <xf numFmtId="164" fontId="7" fillId="0" borderId="16" xfId="0" applyNumberFormat="1" applyFont="1" applyBorder="1" applyAlignment="1">
      <alignment horizontal="centerContinuous" vertical="center"/>
    </xf>
    <xf numFmtId="164" fontId="7" fillId="0" borderId="6" xfId="0" applyNumberFormat="1" applyFont="1" applyBorder="1" applyAlignment="1">
      <alignment horizontal="centerContinuous" vertical="center"/>
    </xf>
    <xf numFmtId="164" fontId="7" fillId="0" borderId="25" xfId="0" applyNumberFormat="1" applyFont="1" applyBorder="1" applyAlignment="1">
      <alignment horizontal="centerContinuous" vertical="center"/>
    </xf>
    <xf numFmtId="164" fontId="7" fillId="0" borderId="25" xfId="0" applyNumberFormat="1" applyFont="1" applyBorder="1" applyAlignment="1">
      <alignment horizontal="left" vertical="center"/>
    </xf>
    <xf numFmtId="164" fontId="7" fillId="0" borderId="0" xfId="1" applyNumberFormat="1" applyFont="1" applyFill="1" applyAlignment="1">
      <alignment vertical="center"/>
    </xf>
    <xf numFmtId="164" fontId="7" fillId="0" borderId="42" xfId="0" applyNumberFormat="1" applyFont="1" applyBorder="1" applyAlignment="1">
      <alignment horizontal="centerContinuous" vertical="center"/>
    </xf>
    <xf numFmtId="0" fontId="0" fillId="0" borderId="52" xfId="0" applyBorder="1" applyAlignment="1">
      <alignment horizontal="left" vertical="center" indent="1"/>
    </xf>
    <xf numFmtId="173" fontId="0" fillId="0" borderId="52" xfId="3" applyNumberFormat="1" applyFont="1" applyBorder="1" applyAlignment="1">
      <alignment vertical="center"/>
    </xf>
    <xf numFmtId="0" fontId="0" fillId="0" borderId="52" xfId="0" applyBorder="1" applyAlignment="1">
      <alignment horizontal="left" vertical="center" wrapText="1" indent="1"/>
    </xf>
    <xf numFmtId="0" fontId="2" fillId="2" borderId="55" xfId="0" applyFont="1" applyFill="1" applyBorder="1" applyAlignment="1">
      <alignment vertical="center"/>
    </xf>
    <xf numFmtId="173" fontId="0" fillId="2" borderId="56" xfId="3" applyNumberFormat="1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horizontal="center" vertical="center"/>
    </xf>
    <xf numFmtId="43" fontId="6" fillId="0" borderId="0" xfId="1" applyFont="1" applyFill="1" applyBorder="1" applyAlignment="1">
      <alignment horizontal="center" vertical="center"/>
    </xf>
    <xf numFmtId="164" fontId="6" fillId="0" borderId="0" xfId="1" applyNumberFormat="1" applyFont="1" applyFill="1" applyBorder="1" applyAlignment="1">
      <alignment horizontal="center" vertical="center"/>
    </xf>
    <xf numFmtId="173" fontId="6" fillId="0" borderId="4" xfId="0" applyNumberFormat="1" applyFont="1" applyBorder="1" applyAlignment="1">
      <alignment vertical="center"/>
    </xf>
    <xf numFmtId="173" fontId="6" fillId="0" borderId="4" xfId="1" applyNumberFormat="1" applyFont="1" applyFill="1" applyBorder="1" applyAlignment="1">
      <alignment vertical="center"/>
    </xf>
    <xf numFmtId="173" fontId="2" fillId="2" borderId="56" xfId="3" applyNumberFormat="1" applyFont="1" applyFill="1" applyBorder="1" applyAlignment="1">
      <alignment vertical="center"/>
    </xf>
    <xf numFmtId="0" fontId="0" fillId="0" borderId="52" xfId="0" applyBorder="1" applyAlignment="1">
      <alignment horizontal="left" vertical="center" indent="2"/>
    </xf>
    <xf numFmtId="164" fontId="7" fillId="2" borderId="12" xfId="1" applyNumberFormat="1" applyFont="1" applyFill="1" applyBorder="1" applyAlignment="1">
      <alignment horizontal="left" vertical="center"/>
    </xf>
    <xf numFmtId="0" fontId="6" fillId="0" borderId="49" xfId="0" applyNumberFormat="1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166" fontId="6" fillId="0" borderId="49" xfId="0" applyNumberFormat="1" applyFont="1" applyBorder="1" applyAlignment="1">
      <alignment horizontal="center" vertical="center"/>
    </xf>
    <xf numFmtId="164" fontId="6" fillId="0" borderId="49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73" fontId="6" fillId="0" borderId="4" xfId="3" applyNumberFormat="1" applyFont="1" applyBorder="1" applyAlignment="1">
      <alignment horizontal="center" vertical="center"/>
    </xf>
    <xf numFmtId="0" fontId="7" fillId="0" borderId="49" xfId="0" applyFont="1" applyBorder="1" applyAlignment="1">
      <alignment vertical="center"/>
    </xf>
    <xf numFmtId="166" fontId="7" fillId="0" borderId="49" xfId="0" applyNumberFormat="1" applyFont="1" applyBorder="1" applyAlignment="1">
      <alignment vertical="center"/>
    </xf>
    <xf numFmtId="164" fontId="7" fillId="0" borderId="49" xfId="0" applyNumberFormat="1" applyFont="1" applyBorder="1" applyAlignment="1">
      <alignment vertical="center"/>
    </xf>
    <xf numFmtId="173" fontId="7" fillId="0" borderId="4" xfId="3" applyNumberFormat="1" applyFont="1" applyBorder="1" applyAlignment="1">
      <alignment vertical="center"/>
    </xf>
    <xf numFmtId="164" fontId="7" fillId="6" borderId="1" xfId="1" applyNumberFormat="1" applyFont="1" applyFill="1" applyBorder="1" applyAlignment="1">
      <alignment horizontal="left" vertical="center"/>
    </xf>
    <xf numFmtId="166" fontId="7" fillId="0" borderId="49" xfId="0" applyNumberFormat="1" applyFont="1" applyBorder="1" applyAlignment="1">
      <alignment horizontal="left" vertical="center"/>
    </xf>
    <xf numFmtId="166" fontId="7" fillId="0" borderId="1" xfId="1" quotePrefix="1" applyNumberFormat="1" applyFont="1" applyFill="1" applyBorder="1" applyAlignment="1">
      <alignment horizontal="left" vertical="center"/>
    </xf>
    <xf numFmtId="0" fontId="7" fillId="0" borderId="49" xfId="0" applyNumberFormat="1" applyFont="1" applyBorder="1" applyAlignment="1">
      <alignment vertical="center"/>
    </xf>
    <xf numFmtId="173" fontId="6" fillId="0" borderId="3" xfId="3" applyNumberFormat="1" applyFont="1" applyFill="1" applyBorder="1" applyAlignment="1">
      <alignment horizontal="left" vertical="center"/>
    </xf>
    <xf numFmtId="0" fontId="7" fillId="0" borderId="4" xfId="0" applyFont="1" applyBorder="1" applyAlignment="1">
      <alignment vertical="center"/>
    </xf>
    <xf numFmtId="173" fontId="6" fillId="0" borderId="4" xfId="3" applyNumberFormat="1" applyFont="1" applyFill="1" applyBorder="1" applyAlignment="1">
      <alignment horizontal="left" vertical="center"/>
    </xf>
    <xf numFmtId="166" fontId="6" fillId="0" borderId="1" xfId="0" applyNumberFormat="1" applyFont="1" applyBorder="1" applyAlignment="1">
      <alignment horizontal="left" vertical="center"/>
    </xf>
    <xf numFmtId="164" fontId="6" fillId="0" borderId="1" xfId="0" applyNumberFormat="1" applyFont="1" applyBorder="1" applyAlignment="1">
      <alignment horizontal="centerContinuous" vertical="center"/>
    </xf>
    <xf numFmtId="173" fontId="7" fillId="0" borderId="0" xfId="3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173" fontId="6" fillId="0" borderId="0" xfId="0" applyNumberFormat="1" applyFont="1" applyBorder="1" applyAlignment="1">
      <alignment horizontal="center" vertical="center"/>
    </xf>
    <xf numFmtId="173" fontId="7" fillId="0" borderId="1" xfId="3" applyNumberFormat="1" applyFont="1" applyFill="1" applyBorder="1" applyAlignment="1">
      <alignment horizontal="right" vertical="center"/>
    </xf>
    <xf numFmtId="173" fontId="6" fillId="0" borderId="0" xfId="1" applyNumberFormat="1" applyFont="1" applyFill="1" applyBorder="1" applyAlignment="1">
      <alignment horizontal="center" vertical="center"/>
    </xf>
    <xf numFmtId="0" fontId="7" fillId="0" borderId="57" xfId="0" applyFont="1" applyBorder="1" applyAlignment="1">
      <alignment horizontal="left" vertical="center"/>
    </xf>
    <xf numFmtId="173" fontId="7" fillId="0" borderId="47" xfId="3" applyNumberFormat="1" applyFont="1" applyBorder="1" applyAlignment="1">
      <alignment horizontal="left" vertical="center"/>
    </xf>
    <xf numFmtId="0" fontId="7" fillId="0" borderId="58" xfId="0" applyFont="1" applyBorder="1" applyAlignment="1">
      <alignment horizontal="center" vertical="center"/>
    </xf>
    <xf numFmtId="173" fontId="7" fillId="0" borderId="48" xfId="3" applyNumberFormat="1" applyFont="1" applyBorder="1" applyAlignment="1">
      <alignment horizontal="left" vertical="center"/>
    </xf>
    <xf numFmtId="173" fontId="7" fillId="0" borderId="48" xfId="3" applyNumberFormat="1" applyFont="1" applyFill="1" applyBorder="1" applyAlignment="1">
      <alignment horizontal="left" vertical="center"/>
    </xf>
    <xf numFmtId="173" fontId="6" fillId="0" borderId="48" xfId="3" applyNumberFormat="1" applyFont="1" applyBorder="1" applyAlignment="1">
      <alignment horizontal="left" vertical="center"/>
    </xf>
    <xf numFmtId="0" fontId="7" fillId="0" borderId="59" xfId="0" applyFont="1" applyBorder="1" applyAlignment="1">
      <alignment horizontal="left" vertical="center"/>
    </xf>
    <xf numFmtId="173" fontId="7" fillId="0" borderId="50" xfId="3" applyNumberFormat="1" applyFont="1" applyBorder="1" applyAlignment="1">
      <alignment horizontal="centerContinuous" vertical="center"/>
    </xf>
    <xf numFmtId="0" fontId="7" fillId="0" borderId="57" xfId="0" applyNumberFormat="1" applyFont="1" applyBorder="1" applyAlignment="1">
      <alignment horizontal="left" vertical="center"/>
    </xf>
    <xf numFmtId="0" fontId="7" fillId="0" borderId="58" xfId="1" applyNumberFormat="1" applyFont="1" applyFill="1" applyBorder="1" applyAlignment="1">
      <alignment horizontal="left" vertical="center"/>
    </xf>
    <xf numFmtId="0" fontId="7" fillId="0" borderId="58" xfId="0" applyNumberFormat="1" applyFont="1" applyBorder="1" applyAlignment="1">
      <alignment horizontal="left" vertical="center"/>
    </xf>
    <xf numFmtId="0" fontId="6" fillId="0" borderId="58" xfId="1" applyNumberFormat="1" applyFont="1" applyFill="1" applyBorder="1" applyAlignment="1">
      <alignment horizontal="left" vertical="center"/>
    </xf>
    <xf numFmtId="0" fontId="7" fillId="0" borderId="59" xfId="1" applyNumberFormat="1" applyFont="1" applyFill="1" applyBorder="1" applyAlignment="1">
      <alignment horizontal="left" vertical="center"/>
    </xf>
    <xf numFmtId="164" fontId="7" fillId="2" borderId="12" xfId="0" applyNumberFormat="1" applyFont="1" applyFill="1" applyBorder="1" applyAlignment="1">
      <alignment vertical="center"/>
    </xf>
    <xf numFmtId="164" fontId="7" fillId="2" borderId="1" xfId="1" applyNumberFormat="1" applyFont="1" applyFill="1" applyBorder="1" applyAlignment="1">
      <alignment vertical="center"/>
    </xf>
    <xf numFmtId="173" fontId="7" fillId="0" borderId="47" xfId="3" applyNumberFormat="1" applyFont="1" applyBorder="1" applyAlignment="1">
      <alignment horizontal="centerContinuous" vertical="center"/>
    </xf>
    <xf numFmtId="164" fontId="7" fillId="0" borderId="47" xfId="0" applyNumberFormat="1" applyFont="1" applyBorder="1" applyAlignment="1">
      <alignment horizontal="centerContinuous" vertical="center"/>
    </xf>
    <xf numFmtId="0" fontId="7" fillId="0" borderId="59" xfId="0" applyFont="1" applyBorder="1" applyAlignment="1">
      <alignment horizontal="center" vertical="center"/>
    </xf>
    <xf numFmtId="173" fontId="6" fillId="0" borderId="50" xfId="3" applyNumberFormat="1" applyFont="1" applyBorder="1" applyAlignment="1">
      <alignment horizontal="left" vertical="center"/>
    </xf>
    <xf numFmtId="0" fontId="6" fillId="0" borderId="59" xfId="1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 indent="1"/>
    </xf>
    <xf numFmtId="0" fontId="2" fillId="4" borderId="5" xfId="0" applyFont="1" applyFill="1" applyBorder="1" applyAlignment="1">
      <alignment horizontal="left" vertical="center" indent="1"/>
    </xf>
    <xf numFmtId="0" fontId="2" fillId="2" borderId="0" xfId="0" applyFont="1" applyFill="1" applyAlignment="1">
      <alignment horizontal="left" vertical="center" indent="1"/>
    </xf>
    <xf numFmtId="0" fontId="2" fillId="2" borderId="54" xfId="0" applyFont="1" applyFill="1" applyBorder="1" applyAlignment="1">
      <alignment horizontal="left" vertical="center" indent="1"/>
    </xf>
    <xf numFmtId="0" fontId="0" fillId="0" borderId="0" xfId="0" applyFont="1" applyAlignment="1">
      <alignment vertical="center" wrapText="1"/>
    </xf>
    <xf numFmtId="0" fontId="0" fillId="0" borderId="52" xfId="0" applyFont="1" applyBorder="1" applyAlignment="1">
      <alignment vertical="center" wrapText="1"/>
    </xf>
    <xf numFmtId="173" fontId="0" fillId="0" borderId="52" xfId="3" applyNumberFormat="1" applyFont="1" applyBorder="1" applyAlignment="1">
      <alignment vertical="center" wrapText="1"/>
    </xf>
    <xf numFmtId="0" fontId="0" fillId="0" borderId="52" xfId="0" applyFont="1" applyBorder="1" applyAlignment="1">
      <alignment horizontal="left" vertical="center" wrapText="1" indent="1"/>
    </xf>
    <xf numFmtId="0" fontId="0" fillId="0" borderId="52" xfId="0" applyBorder="1" applyAlignment="1">
      <alignment vertical="center"/>
    </xf>
    <xf numFmtId="0" fontId="0" fillId="0" borderId="52" xfId="0" applyFont="1" applyBorder="1" applyAlignment="1">
      <alignment vertical="center"/>
    </xf>
    <xf numFmtId="43" fontId="6" fillId="0" borderId="59" xfId="1" applyFont="1" applyFill="1" applyBorder="1" applyAlignment="1">
      <alignment vertical="center"/>
    </xf>
    <xf numFmtId="173" fontId="6" fillId="0" borderId="50" xfId="1" applyNumberFormat="1" applyFont="1" applyFill="1" applyBorder="1" applyAlignment="1">
      <alignment vertical="center"/>
    </xf>
    <xf numFmtId="164" fontId="6" fillId="0" borderId="50" xfId="1" applyNumberFormat="1" applyFont="1" applyFill="1" applyBorder="1" applyAlignment="1">
      <alignment vertical="center"/>
    </xf>
    <xf numFmtId="0" fontId="7" fillId="0" borderId="1" xfId="0" applyNumberFormat="1" applyFont="1" applyBorder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0" fontId="6" fillId="8" borderId="0" xfId="0" applyNumberFormat="1" applyFont="1" applyFill="1" applyAlignment="1">
      <alignment horizontal="left" vertical="center"/>
    </xf>
    <xf numFmtId="0" fontId="7" fillId="8" borderId="0" xfId="0" applyFont="1" applyFill="1" applyAlignment="1">
      <alignment horizontal="center" vertical="center"/>
    </xf>
    <xf numFmtId="0" fontId="7" fillId="8" borderId="0" xfId="0" applyFont="1" applyFill="1" applyAlignment="1">
      <alignment vertical="center"/>
    </xf>
    <xf numFmtId="166" fontId="7" fillId="8" borderId="0" xfId="0" applyNumberFormat="1" applyFont="1" applyFill="1" applyAlignment="1">
      <alignment vertical="center"/>
    </xf>
    <xf numFmtId="164" fontId="7" fillId="8" borderId="0" xfId="0" applyNumberFormat="1" applyFont="1" applyFill="1" applyAlignment="1">
      <alignment vertical="center"/>
    </xf>
    <xf numFmtId="173" fontId="7" fillId="8" borderId="0" xfId="3" applyNumberFormat="1" applyFont="1" applyFill="1" applyAlignment="1">
      <alignment vertical="center"/>
    </xf>
    <xf numFmtId="0" fontId="6" fillId="9" borderId="0" xfId="0" applyFont="1" applyFill="1" applyAlignment="1">
      <alignment horizontal="center" vertical="center"/>
    </xf>
    <xf numFmtId="0" fontId="6" fillId="9" borderId="0" xfId="0" applyNumberFormat="1" applyFont="1" applyFill="1" applyAlignment="1">
      <alignment horizontal="left" vertical="center"/>
    </xf>
    <xf numFmtId="0" fontId="7" fillId="9" borderId="0" xfId="0" applyFont="1" applyFill="1" applyAlignment="1">
      <alignment horizontal="centerContinuous" vertical="center"/>
    </xf>
    <xf numFmtId="166" fontId="7" fillId="9" borderId="0" xfId="0" applyNumberFormat="1" applyFont="1" applyFill="1" applyAlignment="1">
      <alignment horizontal="centerContinuous" vertical="center"/>
    </xf>
    <xf numFmtId="164" fontId="7" fillId="9" borderId="0" xfId="0" applyNumberFormat="1" applyFont="1" applyFill="1" applyAlignment="1">
      <alignment horizontal="centerContinuous" vertical="center"/>
    </xf>
    <xf numFmtId="173" fontId="7" fillId="9" borderId="0" xfId="3" applyNumberFormat="1" applyFont="1" applyFill="1" applyAlignment="1">
      <alignment horizontal="centerContinuous" vertical="center"/>
    </xf>
    <xf numFmtId="0" fontId="7" fillId="9" borderId="0" xfId="0" applyFont="1" applyFill="1" applyAlignment="1">
      <alignment horizontal="center" vertical="center"/>
    </xf>
    <xf numFmtId="166" fontId="7" fillId="9" borderId="0" xfId="0" applyNumberFormat="1" applyFont="1" applyFill="1" applyAlignment="1">
      <alignment horizontal="center" vertical="center"/>
    </xf>
    <xf numFmtId="164" fontId="7" fillId="9" borderId="0" xfId="0" applyNumberFormat="1" applyFont="1" applyFill="1" applyAlignment="1">
      <alignment horizontal="center" vertical="center"/>
    </xf>
    <xf numFmtId="173" fontId="7" fillId="9" borderId="0" xfId="3" applyNumberFormat="1" applyFont="1" applyFill="1" applyAlignment="1">
      <alignment horizontal="center" vertical="center"/>
    </xf>
    <xf numFmtId="166" fontId="7" fillId="0" borderId="1" xfId="2" applyNumberFormat="1" applyFont="1" applyFill="1" applyBorder="1" applyAlignment="1">
      <alignment vertical="center"/>
    </xf>
    <xf numFmtId="166" fontId="7" fillId="0" borderId="1" xfId="0" applyNumberFormat="1" applyFont="1" applyBorder="1" applyAlignment="1">
      <alignment horizontal="right" vertical="center"/>
    </xf>
    <xf numFmtId="174" fontId="7" fillId="2" borderId="1" xfId="2" applyNumberFormat="1" applyFont="1" applyFill="1" applyBorder="1" applyAlignment="1">
      <alignment horizontal="centerContinuous" vertical="center"/>
    </xf>
    <xf numFmtId="174" fontId="7" fillId="2" borderId="1" xfId="2" applyNumberFormat="1" applyFont="1" applyFill="1" applyBorder="1" applyAlignment="1">
      <alignment vertical="center"/>
    </xf>
    <xf numFmtId="174" fontId="7" fillId="2" borderId="1" xfId="2" applyNumberFormat="1" applyFont="1" applyFill="1" applyBorder="1" applyAlignment="1">
      <alignment horizontal="left" vertical="center"/>
    </xf>
    <xf numFmtId="164" fontId="7" fillId="2" borderId="1" xfId="0" applyNumberFormat="1" applyFont="1" applyFill="1" applyBorder="1" applyAlignment="1">
      <alignment horizontal="centerContinuous" vertical="center"/>
    </xf>
    <xf numFmtId="0" fontId="7" fillId="0" borderId="6" xfId="0" applyFont="1" applyBorder="1" applyAlignment="1">
      <alignment horizontal="center" vertical="center"/>
    </xf>
    <xf numFmtId="0" fontId="7" fillId="0" borderId="37" xfId="0" applyFont="1" applyBorder="1" applyAlignment="1">
      <alignment horizontal="left" vertical="center"/>
    </xf>
    <xf numFmtId="173" fontId="6" fillId="0" borderId="44" xfId="3" applyNumberFormat="1" applyFont="1" applyBorder="1" applyAlignment="1">
      <alignment horizontal="left" vertical="center"/>
    </xf>
    <xf numFmtId="166" fontId="11" fillId="0" borderId="1" xfId="0" applyNumberFormat="1" applyFont="1" applyBorder="1" applyAlignment="1">
      <alignment vertical="center"/>
    </xf>
    <xf numFmtId="168" fontId="11" fillId="0" borderId="0" xfId="0" applyNumberFormat="1" applyFont="1" applyAlignment="1">
      <alignment vertical="center"/>
    </xf>
    <xf numFmtId="3" fontId="11" fillId="0" borderId="0" xfId="0" applyNumberFormat="1" applyFont="1" applyAlignment="1">
      <alignment vertical="center"/>
    </xf>
    <xf numFmtId="0" fontId="11" fillId="0" borderId="1" xfId="0" applyNumberFormat="1" applyFont="1" applyBorder="1" applyAlignment="1">
      <alignment vertical="center"/>
    </xf>
    <xf numFmtId="174" fontId="0" fillId="2" borderId="1" xfId="2" applyNumberFormat="1" applyFont="1" applyFill="1" applyBorder="1" applyAlignment="1">
      <alignment vertical="center"/>
    </xf>
    <xf numFmtId="172" fontId="7" fillId="0" borderId="0" xfId="2" applyNumberFormat="1" applyFont="1" applyFill="1" applyBorder="1" applyAlignment="1">
      <alignment horizontal="right" vertical="center"/>
    </xf>
    <xf numFmtId="2" fontId="7" fillId="0" borderId="0" xfId="0" applyNumberFormat="1" applyFont="1" applyAlignment="1">
      <alignment vertical="center"/>
    </xf>
    <xf numFmtId="2" fontId="11" fillId="0" borderId="0" xfId="0" applyNumberFormat="1" applyFont="1" applyAlignment="1">
      <alignment vertical="center"/>
    </xf>
    <xf numFmtId="172" fontId="11" fillId="0" borderId="0" xfId="2" applyNumberFormat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170" fontId="11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8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7" fillId="0" borderId="18" xfId="1" applyNumberFormat="1" applyFont="1" applyFill="1" applyBorder="1" applyAlignment="1">
      <alignment horizontal="left" vertical="center"/>
    </xf>
    <xf numFmtId="42" fontId="0" fillId="0" borderId="3" xfId="3" applyFont="1" applyFill="1" applyBorder="1" applyAlignment="1">
      <alignment vertical="center"/>
    </xf>
    <xf numFmtId="164" fontId="7" fillId="0" borderId="18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2" fillId="2" borderId="55" xfId="0" applyFont="1" applyFill="1" applyBorder="1" applyAlignment="1">
      <alignment horizontal="left" vertical="center" indent="1"/>
    </xf>
    <xf numFmtId="0" fontId="7" fillId="0" borderId="0" xfId="0" applyFont="1" applyBorder="1" applyAlignment="1">
      <alignment horizontal="center" vertical="center"/>
    </xf>
    <xf numFmtId="0" fontId="0" fillId="0" borderId="52" xfId="0" applyFont="1" applyFill="1" applyBorder="1" applyAlignment="1">
      <alignment horizontal="left" vertical="center" indent="1"/>
    </xf>
    <xf numFmtId="0" fontId="0" fillId="0" borderId="52" xfId="0" applyFont="1" applyFill="1" applyBorder="1" applyAlignment="1">
      <alignment horizontal="left" vertical="center" indent="2"/>
    </xf>
    <xf numFmtId="173" fontId="1" fillId="0" borderId="52" xfId="3" applyNumberFormat="1" applyFont="1" applyFill="1" applyBorder="1" applyAlignment="1">
      <alignment vertical="center"/>
    </xf>
    <xf numFmtId="0" fontId="6" fillId="0" borderId="59" xfId="0" applyNumberFormat="1" applyFont="1" applyBorder="1" applyAlignment="1">
      <alignment horizontal="left" vertical="center"/>
    </xf>
    <xf numFmtId="0" fontId="7" fillId="0" borderId="0" xfId="0" applyFont="1" applyFill="1" applyAlignment="1">
      <alignment horizontal="centerContinuous" vertical="center"/>
    </xf>
    <xf numFmtId="166" fontId="7" fillId="0" borderId="0" xfId="0" applyNumberFormat="1" applyFont="1" applyFill="1" applyAlignment="1">
      <alignment horizontal="centerContinuous" vertical="center"/>
    </xf>
    <xf numFmtId="164" fontId="7" fillId="0" borderId="0" xfId="0" applyNumberFormat="1" applyFont="1" applyFill="1" applyAlignment="1">
      <alignment horizontal="centerContinuous" vertical="center"/>
    </xf>
    <xf numFmtId="173" fontId="0" fillId="0" borderId="0" xfId="0" applyNumberFormat="1" applyAlignment="1">
      <alignment vertical="center"/>
    </xf>
    <xf numFmtId="0" fontId="0" fillId="4" borderId="3" xfId="0" applyFill="1" applyBorder="1" applyAlignment="1">
      <alignment horizontal="center" vertical="center"/>
    </xf>
    <xf numFmtId="0" fontId="0" fillId="4" borderId="3" xfId="0" applyFill="1" applyBorder="1" applyAlignment="1">
      <alignment horizontal="left" vertical="center" indent="1"/>
    </xf>
    <xf numFmtId="42" fontId="0" fillId="4" borderId="3" xfId="3" applyFont="1" applyFill="1" applyBorder="1" applyAlignment="1">
      <alignment vertical="center"/>
    </xf>
    <xf numFmtId="42" fontId="18" fillId="4" borderId="3" xfId="3" applyFont="1" applyFill="1" applyBorder="1" applyAlignment="1">
      <alignment vertical="center"/>
    </xf>
    <xf numFmtId="41" fontId="19" fillId="4" borderId="0" xfId="2" applyFont="1" applyFill="1" applyBorder="1" applyProtection="1"/>
    <xf numFmtId="0" fontId="7" fillId="8" borderId="0" xfId="0" applyFont="1" applyFill="1" applyAlignment="1">
      <alignment horizontal="centerContinuous" vertical="center"/>
    </xf>
    <xf numFmtId="166" fontId="7" fillId="8" borderId="0" xfId="0" applyNumberFormat="1" applyFont="1" applyFill="1" applyAlignment="1">
      <alignment horizontal="centerContinuous" vertical="center"/>
    </xf>
    <xf numFmtId="164" fontId="7" fillId="8" borderId="0" xfId="0" applyNumberFormat="1" applyFont="1" applyFill="1" applyAlignment="1">
      <alignment horizontal="centerContinuous" vertical="center"/>
    </xf>
    <xf numFmtId="164" fontId="7" fillId="8" borderId="0" xfId="1" applyNumberFormat="1" applyFont="1" applyFill="1" applyAlignment="1">
      <alignment vertical="center"/>
    </xf>
    <xf numFmtId="173" fontId="7" fillId="8" borderId="0" xfId="3" applyNumberFormat="1" applyFont="1" applyFill="1" applyAlignment="1">
      <alignment horizontal="centerContinuous" vertical="center"/>
    </xf>
    <xf numFmtId="173" fontId="7" fillId="0" borderId="0" xfId="3" applyNumberFormat="1" applyFont="1" applyFill="1" applyAlignment="1">
      <alignment horizontal="center" vertical="center"/>
    </xf>
    <xf numFmtId="0" fontId="6" fillId="8" borderId="0" xfId="4" applyFont="1" applyFill="1" applyBorder="1" applyAlignment="1">
      <alignment horizontal="center" vertical="center"/>
    </xf>
    <xf numFmtId="0" fontId="6" fillId="8" borderId="0" xfId="4" applyNumberFormat="1" applyFont="1" applyFill="1" applyBorder="1" applyAlignment="1">
      <alignment horizontal="left" vertical="center"/>
    </xf>
    <xf numFmtId="0" fontId="7" fillId="8" borderId="0" xfId="4" applyFont="1" applyFill="1" applyBorder="1" applyAlignment="1">
      <alignment horizontal="center" vertical="center"/>
    </xf>
    <xf numFmtId="0" fontId="7" fillId="8" borderId="0" xfId="4" applyFont="1" applyFill="1" applyBorder="1" applyAlignment="1">
      <alignment vertical="center"/>
    </xf>
    <xf numFmtId="166" fontId="7" fillId="8" borderId="0" xfId="4" applyNumberFormat="1" applyFont="1" applyFill="1" applyBorder="1" applyAlignment="1">
      <alignment vertical="center"/>
    </xf>
    <xf numFmtId="164" fontId="7" fillId="8" borderId="0" xfId="4" applyNumberFormat="1" applyFont="1" applyFill="1" applyBorder="1" applyAlignment="1">
      <alignment vertical="center"/>
    </xf>
    <xf numFmtId="173" fontId="7" fillId="8" borderId="0" xfId="4" applyNumberFormat="1" applyFont="1" applyFill="1" applyBorder="1" applyAlignment="1">
      <alignment vertical="center"/>
    </xf>
    <xf numFmtId="173" fontId="7" fillId="8" borderId="0" xfId="3" applyNumberFormat="1" applyFont="1" applyFill="1" applyBorder="1" applyAlignment="1">
      <alignment vertical="center"/>
    </xf>
    <xf numFmtId="0" fontId="0" fillId="0" borderId="52" xfId="0" applyBorder="1" applyAlignment="1">
      <alignment horizontal="left" vertical="center"/>
    </xf>
    <xf numFmtId="0" fontId="2" fillId="2" borderId="61" xfId="0" applyFont="1" applyFill="1" applyBorder="1" applyAlignment="1">
      <alignment horizontal="left" vertical="center" indent="1"/>
    </xf>
    <xf numFmtId="0" fontId="2" fillId="2" borderId="62" xfId="0" applyFont="1" applyFill="1" applyBorder="1" applyAlignment="1">
      <alignment vertical="center"/>
    </xf>
    <xf numFmtId="0" fontId="2" fillId="3" borderId="5" xfId="0" applyFont="1" applyFill="1" applyBorder="1" applyAlignment="1">
      <alignment horizontal="center" vertical="center"/>
    </xf>
    <xf numFmtId="173" fontId="0" fillId="5" borderId="52" xfId="3" applyNumberFormat="1" applyFont="1" applyFill="1" applyBorder="1" applyAlignment="1">
      <alignment vertical="center"/>
    </xf>
    <xf numFmtId="0" fontId="0" fillId="5" borderId="52" xfId="0" applyFont="1" applyFill="1" applyBorder="1" applyAlignment="1">
      <alignment horizontal="left" vertical="center" indent="1"/>
    </xf>
    <xf numFmtId="173" fontId="1" fillId="5" borderId="52" xfId="3" applyNumberFormat="1" applyFont="1" applyFill="1" applyBorder="1" applyAlignment="1">
      <alignment vertical="center"/>
    </xf>
    <xf numFmtId="42" fontId="0" fillId="2" borderId="64" xfId="3" applyFont="1" applyFill="1" applyBorder="1" applyAlignment="1">
      <alignment vertical="center"/>
    </xf>
    <xf numFmtId="43" fontId="7" fillId="0" borderId="0" xfId="0" applyNumberFormat="1" applyFont="1" applyFill="1" applyBorder="1" applyAlignment="1">
      <alignment vertical="center"/>
    </xf>
    <xf numFmtId="168" fontId="7" fillId="0" borderId="0" xfId="0" applyNumberFormat="1" applyFont="1" applyFill="1" applyBorder="1" applyAlignment="1">
      <alignment vertical="center"/>
    </xf>
    <xf numFmtId="168" fontId="11" fillId="0" borderId="0" xfId="0" applyNumberFormat="1" applyFont="1" applyFill="1" applyBorder="1" applyAlignment="1">
      <alignment vertical="center"/>
    </xf>
    <xf numFmtId="165" fontId="7" fillId="0" borderId="0" xfId="0" applyNumberFormat="1" applyFont="1" applyFill="1" applyBorder="1" applyAlignment="1">
      <alignment vertical="center"/>
    </xf>
    <xf numFmtId="170" fontId="11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42" fontId="0" fillId="0" borderId="0" xfId="3" applyNumberFormat="1" applyFont="1" applyAlignment="1">
      <alignment vertical="center"/>
    </xf>
    <xf numFmtId="42" fontId="2" fillId="3" borderId="1" xfId="3" applyNumberFormat="1" applyFont="1" applyFill="1" applyBorder="1" applyAlignment="1">
      <alignment horizontal="center" vertical="center"/>
    </xf>
    <xf numFmtId="42" fontId="0" fillId="2" borderId="62" xfId="3" applyNumberFormat="1" applyFont="1" applyFill="1" applyBorder="1" applyAlignment="1">
      <alignment vertical="center"/>
    </xf>
    <xf numFmtId="42" fontId="0" fillId="0" borderId="52" xfId="3" applyNumberFormat="1" applyFont="1" applyBorder="1" applyAlignment="1">
      <alignment vertical="center"/>
    </xf>
    <xf numFmtId="42" fontId="0" fillId="2" borderId="55" xfId="3" applyNumberFormat="1" applyFont="1" applyFill="1" applyBorder="1" applyAlignment="1">
      <alignment vertical="center"/>
    </xf>
    <xf numFmtId="42" fontId="2" fillId="2" borderId="55" xfId="3" applyNumberFormat="1" applyFont="1" applyFill="1" applyBorder="1" applyAlignment="1">
      <alignment vertical="center"/>
    </xf>
    <xf numFmtId="42" fontId="1" fillId="5" borderId="52" xfId="3" applyNumberFormat="1" applyFont="1" applyFill="1" applyBorder="1" applyAlignment="1">
      <alignment vertical="center"/>
    </xf>
    <xf numFmtId="42" fontId="1" fillId="0" borderId="52" xfId="3" applyNumberFormat="1" applyFont="1" applyFill="1" applyBorder="1" applyAlignment="1">
      <alignment vertical="center"/>
    </xf>
    <xf numFmtId="42" fontId="0" fillId="0" borderId="52" xfId="3" applyNumberFormat="1" applyFont="1" applyBorder="1" applyAlignment="1">
      <alignment vertical="center" wrapText="1"/>
    </xf>
    <xf numFmtId="175" fontId="0" fillId="0" borderId="0" xfId="0" applyNumberFormat="1" applyAlignment="1">
      <alignment vertical="center"/>
    </xf>
    <xf numFmtId="175" fontId="2" fillId="3" borderId="1" xfId="0" applyNumberFormat="1" applyFont="1" applyFill="1" applyBorder="1" applyAlignment="1">
      <alignment horizontal="center" vertical="center"/>
    </xf>
    <xf numFmtId="175" fontId="0" fillId="2" borderId="63" xfId="0" applyNumberFormat="1" applyFill="1" applyBorder="1" applyAlignment="1">
      <alignment vertical="center"/>
    </xf>
    <xf numFmtId="175" fontId="0" fillId="0" borderId="52" xfId="0" applyNumberFormat="1" applyBorder="1" applyAlignment="1">
      <alignment vertical="center"/>
    </xf>
    <xf numFmtId="175" fontId="0" fillId="2" borderId="56" xfId="0" applyNumberFormat="1" applyFill="1" applyBorder="1" applyAlignment="1">
      <alignment vertical="center"/>
    </xf>
    <xf numFmtId="175" fontId="0" fillId="5" borderId="52" xfId="0" applyNumberFormat="1" applyFont="1" applyFill="1" applyBorder="1" applyAlignment="1">
      <alignment vertical="center"/>
    </xf>
    <xf numFmtId="175" fontId="0" fillId="5" borderId="52" xfId="0" applyNumberFormat="1" applyFill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left" vertical="center" wrapText="1"/>
    </xf>
    <xf numFmtId="42" fontId="21" fillId="0" borderId="0" xfId="0" applyNumberFormat="1" applyFont="1" applyAlignment="1">
      <alignment horizontal="left" vertical="center" wrapText="1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 wrapText="1" indent="2"/>
    </xf>
    <xf numFmtId="0" fontId="21" fillId="0" borderId="0" xfId="0" applyFont="1" applyAlignment="1">
      <alignment horizontal="left" vertical="center" indent="2"/>
    </xf>
    <xf numFmtId="0" fontId="21" fillId="0" borderId="0" xfId="0" applyFont="1" applyAlignment="1">
      <alignment horizontal="center" vertical="center" wrapText="1"/>
    </xf>
    <xf numFmtId="42" fontId="2" fillId="3" borderId="65" xfId="3" applyFont="1" applyFill="1" applyBorder="1" applyAlignment="1">
      <alignment vertical="center" wrapText="1"/>
    </xf>
    <xf numFmtId="0" fontId="22" fillId="8" borderId="52" xfId="0" applyFont="1" applyFill="1" applyBorder="1" applyAlignment="1">
      <alignment horizontal="left" vertical="center" wrapText="1" indent="2"/>
    </xf>
    <xf numFmtId="0" fontId="21" fillId="0" borderId="52" xfId="0" applyFont="1" applyBorder="1" applyAlignment="1">
      <alignment horizontal="left" vertical="center" wrapText="1" indent="2"/>
    </xf>
    <xf numFmtId="0" fontId="21" fillId="0" borderId="52" xfId="0" applyFont="1" applyBorder="1" applyAlignment="1">
      <alignment horizontal="left" vertical="center" wrapText="1"/>
    </xf>
    <xf numFmtId="42" fontId="21" fillId="0" borderId="52" xfId="0" applyNumberFormat="1" applyFont="1" applyBorder="1" applyAlignment="1">
      <alignment horizontal="left" vertical="center" wrapText="1"/>
    </xf>
    <xf numFmtId="42" fontId="21" fillId="0" borderId="52" xfId="0" applyNumberFormat="1" applyFont="1" applyBorder="1" applyAlignment="1">
      <alignment vertical="center" wrapText="1"/>
    </xf>
    <xf numFmtId="0" fontId="21" fillId="2" borderId="52" xfId="0" applyFont="1" applyFill="1" applyBorder="1" applyAlignment="1">
      <alignment horizontal="left" vertical="center" wrapText="1" indent="2"/>
    </xf>
    <xf numFmtId="0" fontId="21" fillId="2" borderId="52" xfId="0" applyFont="1" applyFill="1" applyBorder="1" applyAlignment="1">
      <alignment horizontal="left" vertical="center" wrapText="1"/>
    </xf>
    <xf numFmtId="42" fontId="21" fillId="2" borderId="52" xfId="0" applyNumberFormat="1" applyFont="1" applyFill="1" applyBorder="1" applyAlignment="1">
      <alignment horizontal="left" vertical="center" wrapText="1"/>
    </xf>
    <xf numFmtId="42" fontId="21" fillId="2" borderId="52" xfId="0" applyNumberFormat="1" applyFont="1" applyFill="1" applyBorder="1" applyAlignment="1">
      <alignment vertical="center" wrapText="1"/>
    </xf>
    <xf numFmtId="0" fontId="22" fillId="8" borderId="66" xfId="0" applyFont="1" applyFill="1" applyBorder="1" applyAlignment="1">
      <alignment horizontal="left" vertical="center" wrapText="1" indent="2"/>
    </xf>
    <xf numFmtId="0" fontId="20" fillId="10" borderId="68" xfId="0" applyFont="1" applyFill="1" applyBorder="1" applyAlignment="1">
      <alignment horizontal="center" vertical="center"/>
    </xf>
    <xf numFmtId="0" fontId="20" fillId="10" borderId="69" xfId="0" applyFont="1" applyFill="1" applyBorder="1" applyAlignment="1">
      <alignment horizontal="center" vertical="center"/>
    </xf>
    <xf numFmtId="0" fontId="20" fillId="10" borderId="71" xfId="0" applyFont="1" applyFill="1" applyBorder="1" applyAlignment="1">
      <alignment horizontal="center" vertical="center"/>
    </xf>
    <xf numFmtId="0" fontId="20" fillId="10" borderId="72" xfId="0" applyFont="1" applyFill="1" applyBorder="1" applyAlignment="1">
      <alignment horizontal="center" vertical="center"/>
    </xf>
    <xf numFmtId="42" fontId="21" fillId="0" borderId="73" xfId="0" applyNumberFormat="1" applyFont="1" applyBorder="1" applyAlignment="1">
      <alignment vertical="center" wrapText="1"/>
    </xf>
    <xf numFmtId="0" fontId="21" fillId="0" borderId="54" xfId="0" applyFont="1" applyBorder="1" applyAlignment="1">
      <alignment horizontal="left" vertical="center" wrapText="1"/>
    </xf>
    <xf numFmtId="0" fontId="21" fillId="0" borderId="56" xfId="0" applyFont="1" applyBorder="1" applyAlignment="1">
      <alignment horizontal="left" vertical="center" wrapText="1"/>
    </xf>
    <xf numFmtId="0" fontId="21" fillId="2" borderId="54" xfId="0" applyFont="1" applyFill="1" applyBorder="1" applyAlignment="1">
      <alignment horizontal="left" vertical="center" wrapText="1"/>
    </xf>
    <xf numFmtId="0" fontId="21" fillId="2" borderId="56" xfId="0" applyFont="1" applyFill="1" applyBorder="1" applyAlignment="1">
      <alignment horizontal="left" vertical="center" wrapText="1"/>
    </xf>
    <xf numFmtId="42" fontId="21" fillId="2" borderId="55" xfId="0" applyNumberFormat="1" applyFont="1" applyFill="1" applyBorder="1" applyAlignment="1">
      <alignment horizontal="left" vertical="center" wrapText="1"/>
    </xf>
    <xf numFmtId="42" fontId="21" fillId="2" borderId="56" xfId="0" applyNumberFormat="1" applyFont="1" applyFill="1" applyBorder="1" applyAlignment="1">
      <alignment vertical="center" wrapText="1"/>
    </xf>
    <xf numFmtId="0" fontId="21" fillId="0" borderId="56" xfId="0" applyFont="1" applyBorder="1" applyAlignment="1">
      <alignment horizontal="center" vertical="center" wrapText="1"/>
    </xf>
    <xf numFmtId="0" fontId="21" fillId="2" borderId="55" xfId="0" applyFont="1" applyFill="1" applyBorder="1" applyAlignment="1">
      <alignment horizontal="center" vertical="center" wrapText="1"/>
    </xf>
    <xf numFmtId="0" fontId="21" fillId="0" borderId="54" xfId="0" applyFont="1" applyBorder="1" applyAlignment="1">
      <alignment horizontal="right" vertical="center" wrapText="1" indent="1"/>
    </xf>
    <xf numFmtId="0" fontId="21" fillId="0" borderId="0" xfId="0" applyFont="1" applyAlignment="1">
      <alignment horizontal="right" vertical="center" wrapText="1" indent="1"/>
    </xf>
    <xf numFmtId="0" fontId="21" fillId="2" borderId="55" xfId="0" applyFont="1" applyFill="1" applyBorder="1" applyAlignment="1">
      <alignment horizontal="right" vertical="center" wrapText="1" indent="1"/>
    </xf>
    <xf numFmtId="0" fontId="21" fillId="0" borderId="0" xfId="0" applyFont="1" applyAlignment="1">
      <alignment horizontal="right" vertical="center" indent="1"/>
    </xf>
    <xf numFmtId="165" fontId="7" fillId="0" borderId="0" xfId="0" applyNumberFormat="1" applyFont="1" applyBorder="1" applyAlignment="1">
      <alignment vertical="center"/>
    </xf>
    <xf numFmtId="166" fontId="7" fillId="0" borderId="0" xfId="1" applyNumberFormat="1" applyFont="1" applyFill="1" applyBorder="1" applyAlignment="1">
      <alignment horizontal="left" vertical="center"/>
    </xf>
    <xf numFmtId="42" fontId="20" fillId="11" borderId="77" xfId="0" applyNumberFormat="1" applyFont="1" applyFill="1" applyBorder="1" applyAlignment="1">
      <alignment vertical="center"/>
    </xf>
    <xf numFmtId="0" fontId="0" fillId="0" borderId="78" xfId="0" applyBorder="1" applyAlignment="1">
      <alignment horizontal="right" vertical="center" indent="1"/>
    </xf>
    <xf numFmtId="0" fontId="0" fillId="0" borderId="74" xfId="0" applyBorder="1" applyAlignment="1">
      <alignment horizontal="right" vertical="center" indent="1"/>
    </xf>
    <xf numFmtId="0" fontId="3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0" fillId="0" borderId="75" xfId="0" applyBorder="1" applyAlignment="1">
      <alignment vertical="center"/>
    </xf>
    <xf numFmtId="0" fontId="0" fillId="0" borderId="76" xfId="0" applyBorder="1" applyAlignment="1">
      <alignment vertical="center"/>
    </xf>
    <xf numFmtId="0" fontId="0" fillId="0" borderId="77" xfId="0" applyBorder="1" applyAlignment="1">
      <alignment vertical="center"/>
    </xf>
    <xf numFmtId="0" fontId="0" fillId="0" borderId="80" xfId="0" applyBorder="1" applyAlignment="1">
      <alignment vertical="center"/>
    </xf>
    <xf numFmtId="0" fontId="0" fillId="0" borderId="81" xfId="0" applyBorder="1" applyAlignment="1">
      <alignment vertical="center"/>
    </xf>
    <xf numFmtId="0" fontId="0" fillId="0" borderId="82" xfId="0" applyBorder="1" applyAlignment="1">
      <alignment vertical="center"/>
    </xf>
    <xf numFmtId="0" fontId="24" fillId="11" borderId="83" xfId="0" applyFont="1" applyFill="1" applyBorder="1" applyAlignment="1">
      <alignment horizontal="center" vertical="center"/>
    </xf>
    <xf numFmtId="0" fontId="24" fillId="11" borderId="85" xfId="0" applyFont="1" applyFill="1" applyBorder="1" applyAlignment="1">
      <alignment horizontal="center" vertical="center"/>
    </xf>
    <xf numFmtId="42" fontId="2" fillId="0" borderId="78" xfId="0" applyNumberFormat="1" applyFont="1" applyBorder="1" applyAlignment="1">
      <alignment vertical="center"/>
    </xf>
    <xf numFmtId="42" fontId="2" fillId="0" borderId="74" xfId="0" applyNumberFormat="1" applyFont="1" applyBorder="1" applyAlignment="1">
      <alignment vertical="center"/>
    </xf>
    <xf numFmtId="42" fontId="2" fillId="4" borderId="74" xfId="0" applyNumberFormat="1" applyFont="1" applyFill="1" applyBorder="1" applyAlignment="1">
      <alignment vertical="center"/>
    </xf>
    <xf numFmtId="42" fontId="2" fillId="4" borderId="79" xfId="0" applyNumberFormat="1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6" fontId="7" fillId="0" borderId="1" xfId="0" applyNumberFormat="1" applyFont="1" applyBorder="1" applyAlignment="1">
      <alignment horizontal="center" vertical="center"/>
    </xf>
    <xf numFmtId="0" fontId="7" fillId="0" borderId="1" xfId="1" applyNumberFormat="1" applyFont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 indent="1"/>
    </xf>
    <xf numFmtId="0" fontId="0" fillId="0" borderId="0" xfId="0" applyFont="1"/>
    <xf numFmtId="166" fontId="7" fillId="0" borderId="0" xfId="0" applyNumberFormat="1" applyFont="1" applyBorder="1" applyAlignment="1">
      <alignment vertical="center"/>
    </xf>
    <xf numFmtId="164" fontId="7" fillId="0" borderId="0" xfId="0" applyNumberFormat="1" applyFont="1" applyBorder="1" applyAlignment="1">
      <alignment vertical="center"/>
    </xf>
    <xf numFmtId="0" fontId="7" fillId="0" borderId="2" xfId="0" applyNumberFormat="1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Continuous" vertical="center"/>
    </xf>
    <xf numFmtId="166" fontId="7" fillId="0" borderId="2" xfId="0" applyNumberFormat="1" applyFont="1" applyBorder="1" applyAlignment="1">
      <alignment horizontal="left" vertical="center"/>
    </xf>
    <xf numFmtId="164" fontId="7" fillId="0" borderId="2" xfId="0" applyNumberFormat="1" applyFont="1" applyBorder="1" applyAlignment="1">
      <alignment horizontal="centerContinuous" vertical="center"/>
    </xf>
    <xf numFmtId="174" fontId="0" fillId="2" borderId="1" xfId="2" applyNumberFormat="1" applyFont="1" applyFill="1" applyBorder="1"/>
    <xf numFmtId="174" fontId="0" fillId="2" borderId="1" xfId="2" applyNumberFormat="1" applyFont="1" applyFill="1" applyBorder="1" applyAlignment="1">
      <alignment horizontal="left" vertical="center"/>
    </xf>
    <xf numFmtId="173" fontId="7" fillId="0" borderId="1" xfId="3" applyNumberFormat="1" applyFont="1" applyBorder="1" applyAlignment="1">
      <alignment vertical="center"/>
    </xf>
    <xf numFmtId="173" fontId="6" fillId="0" borderId="1" xfId="3" applyNumberFormat="1" applyFont="1" applyBorder="1" applyAlignment="1">
      <alignment horizontal="centerContinuous" vertical="center"/>
    </xf>
    <xf numFmtId="173" fontId="7" fillId="0" borderId="47" xfId="3" applyNumberFormat="1" applyFont="1" applyFill="1" applyBorder="1" applyAlignment="1">
      <alignment horizontal="left" vertical="center"/>
    </xf>
    <xf numFmtId="0" fontId="7" fillId="0" borderId="46" xfId="0" applyFont="1" applyBorder="1" applyAlignment="1">
      <alignment vertical="center"/>
    </xf>
    <xf numFmtId="166" fontId="7" fillId="0" borderId="46" xfId="0" applyNumberFormat="1" applyFont="1" applyBorder="1" applyAlignment="1">
      <alignment vertical="center"/>
    </xf>
    <xf numFmtId="164" fontId="7" fillId="0" borderId="46" xfId="0" applyNumberFormat="1" applyFont="1" applyBorder="1" applyAlignment="1">
      <alignment vertical="center"/>
    </xf>
    <xf numFmtId="173" fontId="7" fillId="0" borderId="46" xfId="3" applyNumberFormat="1" applyFont="1" applyBorder="1" applyAlignment="1">
      <alignment vertical="center"/>
    </xf>
    <xf numFmtId="173" fontId="7" fillId="0" borderId="49" xfId="3" applyNumberFormat="1" applyFont="1" applyBorder="1" applyAlignment="1">
      <alignment horizontal="centerContinuous" vertical="center"/>
    </xf>
    <xf numFmtId="0" fontId="0" fillId="0" borderId="1" xfId="0" applyFont="1" applyBorder="1" applyAlignment="1">
      <alignment horizontal="left" vertical="center"/>
    </xf>
    <xf numFmtId="164" fontId="7" fillId="0" borderId="1" xfId="1" applyNumberFormat="1" applyFont="1" applyFill="1" applyBorder="1" applyAlignment="1">
      <alignment vertical="center"/>
    </xf>
    <xf numFmtId="173" fontId="7" fillId="0" borderId="1" xfId="3" applyNumberFormat="1" applyFont="1" applyFill="1" applyBorder="1" applyAlignment="1">
      <alignment vertical="center"/>
    </xf>
    <xf numFmtId="173" fontId="6" fillId="0" borderId="48" xfId="3" applyNumberFormat="1" applyFont="1" applyFill="1" applyBorder="1" applyAlignment="1">
      <alignment horizontal="left" vertical="center"/>
    </xf>
    <xf numFmtId="0" fontId="7" fillId="0" borderId="59" xfId="0" applyNumberFormat="1" applyFont="1" applyBorder="1" applyAlignment="1">
      <alignment horizontal="left" vertical="center"/>
    </xf>
    <xf numFmtId="0" fontId="6" fillId="0" borderId="58" xfId="0" applyNumberFormat="1" applyFont="1" applyBorder="1" applyAlignment="1">
      <alignment horizontal="left" vertical="center"/>
    </xf>
    <xf numFmtId="0" fontId="0" fillId="0" borderId="52" xfId="0" applyNumberFormat="1" applyBorder="1" applyAlignment="1">
      <alignment horizontal="left" vertical="center" indent="1"/>
    </xf>
    <xf numFmtId="9" fontId="7" fillId="0" borderId="1" xfId="0" applyNumberFormat="1" applyFont="1" applyBorder="1" applyAlignment="1">
      <alignment horizontal="center" vertical="center"/>
    </xf>
    <xf numFmtId="164" fontId="6" fillId="3" borderId="4" xfId="0" applyNumberFormat="1" applyFont="1" applyFill="1" applyBorder="1" applyAlignment="1">
      <alignment horizontal="center" vertical="center"/>
    </xf>
    <xf numFmtId="173" fontId="6" fillId="3" borderId="4" xfId="3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6" fontId="7" fillId="0" borderId="1" xfId="0" applyNumberFormat="1" applyFont="1" applyBorder="1" applyAlignment="1">
      <alignment horizontal="center" vertical="center"/>
    </xf>
    <xf numFmtId="166" fontId="7" fillId="0" borderId="1" xfId="0" applyNumberFormat="1" applyFont="1" applyBorder="1" applyAlignment="1">
      <alignment horizontal="center" vertical="center"/>
    </xf>
    <xf numFmtId="164" fontId="7" fillId="2" borderId="1" xfId="1" applyNumberFormat="1" applyFont="1" applyFill="1" applyBorder="1" applyAlignment="1">
      <alignment horizontal="centerContinuous" vertical="center"/>
    </xf>
    <xf numFmtId="0" fontId="7" fillId="0" borderId="74" xfId="0" applyFont="1" applyFill="1" applyBorder="1" applyAlignment="1">
      <alignment horizontal="center" vertical="center"/>
    </xf>
    <xf numFmtId="0" fontId="7" fillId="0" borderId="74" xfId="0" applyFont="1" applyBorder="1" applyAlignment="1">
      <alignment horizontal="center" vertical="center"/>
    </xf>
    <xf numFmtId="0" fontId="7" fillId="0" borderId="74" xfId="0" applyFont="1" applyFill="1" applyBorder="1" applyAlignment="1">
      <alignment horizontal="right" vertical="center"/>
    </xf>
    <xf numFmtId="0" fontId="20" fillId="11" borderId="75" xfId="0" applyFont="1" applyFill="1" applyBorder="1" applyAlignment="1">
      <alignment horizontal="right" vertical="center" indent="2"/>
    </xf>
    <xf numFmtId="0" fontId="20" fillId="11" borderId="76" xfId="0" applyFont="1" applyFill="1" applyBorder="1" applyAlignment="1">
      <alignment horizontal="right" vertical="center" indent="2"/>
    </xf>
    <xf numFmtId="0" fontId="2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4" fillId="11" borderId="84" xfId="0" applyFont="1" applyFill="1" applyBorder="1" applyAlignment="1">
      <alignment horizontal="center" vertical="center"/>
    </xf>
    <xf numFmtId="0" fontId="2" fillId="4" borderId="74" xfId="0" applyFont="1" applyFill="1" applyBorder="1" applyAlignment="1">
      <alignment horizontal="right" vertical="center" indent="2"/>
    </xf>
    <xf numFmtId="0" fontId="2" fillId="4" borderId="79" xfId="0" applyFont="1" applyFill="1" applyBorder="1" applyAlignment="1">
      <alignment horizontal="right" vertical="center" indent="2"/>
    </xf>
    <xf numFmtId="0" fontId="2" fillId="3" borderId="52" xfId="0" applyFont="1" applyFill="1" applyBorder="1" applyAlignment="1">
      <alignment horizontal="right" vertical="center" wrapText="1" indent="1"/>
    </xf>
    <xf numFmtId="0" fontId="20" fillId="10" borderId="68" xfId="0" applyFont="1" applyFill="1" applyBorder="1" applyAlignment="1">
      <alignment horizontal="center" vertical="center"/>
    </xf>
    <xf numFmtId="0" fontId="20" fillId="10" borderId="71" xfId="0" applyFont="1" applyFill="1" applyBorder="1" applyAlignment="1">
      <alignment horizontal="center" vertical="center"/>
    </xf>
    <xf numFmtId="0" fontId="22" fillId="8" borderId="52" xfId="0" applyFont="1" applyFill="1" applyBorder="1" applyAlignment="1">
      <alignment horizontal="left" vertical="center" wrapText="1"/>
    </xf>
    <xf numFmtId="0" fontId="20" fillId="10" borderId="67" xfId="0" applyFont="1" applyFill="1" applyBorder="1" applyAlignment="1">
      <alignment horizontal="center" vertical="center"/>
    </xf>
    <xf numFmtId="0" fontId="20" fillId="10" borderId="70" xfId="0" applyFont="1" applyFill="1" applyBorder="1" applyAlignment="1">
      <alignment horizontal="center" vertical="center"/>
    </xf>
    <xf numFmtId="0" fontId="22" fillId="8" borderId="66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left" vertical="center" indent="1"/>
    </xf>
    <xf numFmtId="0" fontId="2" fillId="4" borderId="1" xfId="0" applyFont="1" applyFill="1" applyBorder="1" applyAlignment="1">
      <alignment horizontal="center" vertical="center"/>
    </xf>
    <xf numFmtId="0" fontId="2" fillId="4" borderId="1" xfId="3" applyNumberFormat="1" applyFont="1" applyFill="1" applyBorder="1" applyAlignment="1">
      <alignment horizontal="center" vertical="center"/>
    </xf>
    <xf numFmtId="0" fontId="7" fillId="0" borderId="74" xfId="0" applyFont="1" applyFill="1" applyBorder="1" applyAlignment="1">
      <alignment horizontal="center" vertical="center"/>
    </xf>
    <xf numFmtId="166" fontId="6" fillId="3" borderId="1" xfId="0" applyNumberFormat="1" applyFont="1" applyFill="1" applyBorder="1" applyAlignment="1">
      <alignment horizontal="center" vertical="center"/>
    </xf>
    <xf numFmtId="166" fontId="15" fillId="3" borderId="1" xfId="0" applyNumberFormat="1" applyFont="1" applyFill="1" applyBorder="1" applyAlignment="1">
      <alignment horizontal="center" vertical="center"/>
    </xf>
    <xf numFmtId="166" fontId="15" fillId="3" borderId="2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15" fillId="3" borderId="1" xfId="0" applyNumberFormat="1" applyFont="1" applyFill="1" applyBorder="1" applyAlignment="1">
      <alignment horizontal="center" vertical="center"/>
    </xf>
    <xf numFmtId="166" fontId="7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6" fontId="7" fillId="0" borderId="53" xfId="0" applyNumberFormat="1" applyFont="1" applyBorder="1" applyAlignment="1">
      <alignment horizontal="center" vertical="center"/>
    </xf>
    <xf numFmtId="164" fontId="7" fillId="0" borderId="5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3" fontId="7" fillId="0" borderId="49" xfId="1" applyFont="1" applyFill="1" applyBorder="1" applyAlignment="1">
      <alignment horizontal="center" vertical="center"/>
    </xf>
    <xf numFmtId="164" fontId="7" fillId="0" borderId="49" xfId="1" applyNumberFormat="1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2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16" fillId="0" borderId="0" xfId="1" applyNumberFormat="1" applyFont="1" applyFill="1" applyAlignment="1">
      <alignment horizontal="center" vertical="center"/>
    </xf>
    <xf numFmtId="173" fontId="16" fillId="0" borderId="0" xfId="1" applyNumberFormat="1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164" fontId="17" fillId="0" borderId="0" xfId="1" applyNumberFormat="1" applyFont="1" applyFill="1" applyAlignment="1">
      <alignment horizontal="center" vertical="center"/>
    </xf>
    <xf numFmtId="173" fontId="17" fillId="0" borderId="0" xfId="1" applyNumberFormat="1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0" fillId="0" borderId="0" xfId="0" applyFont="1" applyFill="1" applyAlignment="1">
      <alignment vertical="center" wrapText="1"/>
    </xf>
    <xf numFmtId="9" fontId="7" fillId="12" borderId="0" xfId="0" applyNumberFormat="1" applyFont="1" applyFill="1" applyBorder="1" applyAlignment="1">
      <alignment horizontal="center" vertical="center"/>
    </xf>
    <xf numFmtId="0" fontId="2" fillId="3" borderId="1" xfId="3" applyNumberFormat="1" applyFont="1" applyFill="1" applyBorder="1" applyAlignment="1">
      <alignment vertical="center"/>
    </xf>
    <xf numFmtId="0" fontId="2" fillId="3" borderId="86" xfId="3" applyNumberFormat="1" applyFont="1" applyFill="1" applyBorder="1" applyAlignment="1">
      <alignment horizontal="center" vertical="center"/>
    </xf>
    <xf numFmtId="0" fontId="2" fillId="3" borderId="87" xfId="3" applyNumberFormat="1" applyFont="1" applyFill="1" applyBorder="1" applyAlignment="1">
      <alignment horizontal="center" vertical="center"/>
    </xf>
    <xf numFmtId="0" fontId="28" fillId="13" borderId="0" xfId="0" applyFont="1" applyFill="1" applyAlignment="1">
      <alignment vertical="center"/>
    </xf>
    <xf numFmtId="0" fontId="29" fillId="13" borderId="0" xfId="0" applyFont="1" applyFill="1" applyAlignment="1">
      <alignment horizontal="center" vertical="center"/>
    </xf>
    <xf numFmtId="0" fontId="29" fillId="13" borderId="0" xfId="0" applyFont="1" applyFill="1" applyAlignment="1">
      <alignment vertical="center"/>
    </xf>
    <xf numFmtId="0" fontId="29" fillId="13" borderId="0" xfId="0" quotePrefix="1" applyFont="1" applyFill="1" applyAlignment="1">
      <alignment vertical="center"/>
    </xf>
    <xf numFmtId="0" fontId="30" fillId="13" borderId="0" xfId="5" quotePrefix="1" applyFont="1" applyFill="1" applyAlignment="1">
      <alignment vertical="center"/>
    </xf>
    <xf numFmtId="0" fontId="31" fillId="13" borderId="0" xfId="0" applyFont="1" applyFill="1" applyAlignment="1">
      <alignment vertical="center"/>
    </xf>
    <xf numFmtId="0" fontId="32" fillId="13" borderId="0" xfId="0" applyFont="1" applyFill="1" applyAlignment="1">
      <alignment vertical="center"/>
    </xf>
    <xf numFmtId="0" fontId="31" fillId="13" borderId="0" xfId="0" applyFont="1" applyFill="1" applyAlignment="1">
      <alignment vertical="center" wrapText="1"/>
    </xf>
    <xf numFmtId="0" fontId="33" fillId="13" borderId="0" xfId="5" applyFont="1" applyFill="1" applyAlignment="1">
      <alignment vertical="center"/>
    </xf>
    <xf numFmtId="0" fontId="34" fillId="13" borderId="0" xfId="0" applyFont="1" applyFill="1" applyAlignment="1">
      <alignment vertical="center"/>
    </xf>
  </cellXfs>
  <cellStyles count="6">
    <cellStyle name="Comma" xfId="1" builtinId="3"/>
    <cellStyle name="Comma [0]" xfId="2" builtinId="6"/>
    <cellStyle name="Currency [0]" xfId="3" builtinId="7"/>
    <cellStyle name="Hyperlink" xfId="5" builtinId="8"/>
    <cellStyle name="Normal" xfId="0" builtinId="0"/>
    <cellStyle name="Note" xfId="4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inpetra.id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18</xdr:row>
      <xdr:rowOff>171450</xdr:rowOff>
    </xdr:from>
    <xdr:to>
      <xdr:col>5</xdr:col>
      <xdr:colOff>552450</xdr:colOff>
      <xdr:row>20</xdr:row>
      <xdr:rowOff>28575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354EFA-6216-403F-A0F3-524245999462}"/>
            </a:ext>
          </a:extLst>
        </xdr:cNvPr>
        <xdr:cNvSpPr/>
      </xdr:nvSpPr>
      <xdr:spPr>
        <a:xfrm>
          <a:off x="1724025" y="4114800"/>
          <a:ext cx="1638300" cy="333375"/>
        </a:xfrm>
        <a:prstGeom prst="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100" b="1"/>
            <a:t>Web</a:t>
          </a:r>
          <a:r>
            <a:rPr lang="en-US" sz="1100" b="1" baseline="0"/>
            <a:t> : Inpetra.ID</a:t>
          </a:r>
          <a:endParaRPr lang="en-US" sz="1100" b="1"/>
        </a:p>
      </xdr:txBody>
    </xdr:sp>
    <xdr:clientData/>
  </xdr:twoCellAnchor>
  <xdr:twoCellAnchor editAs="oneCell">
    <xdr:from>
      <xdr:col>3</xdr:col>
      <xdr:colOff>219075</xdr:colOff>
      <xdr:row>11</xdr:row>
      <xdr:rowOff>142875</xdr:rowOff>
    </xdr:from>
    <xdr:to>
      <xdr:col>5</xdr:col>
      <xdr:colOff>485775</xdr:colOff>
      <xdr:row>18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6E9BDDF-5FFB-44D6-B786-F0EECD2B4E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0" y="2457450"/>
          <a:ext cx="1485900" cy="1485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info@inpetra.id" TargetMode="External"/><Relationship Id="rId1" Type="http://schemas.openxmlformats.org/officeDocument/2006/relationships/hyperlink" Target="mailto:indrakrajsuweda@gmail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31CA1-A62E-4E30-96AD-E1ED9D080FCB}">
  <sheetPr>
    <tabColor theme="6" tint="-0.499984740745262"/>
  </sheetPr>
  <dimension ref="B2:J27"/>
  <sheetViews>
    <sheetView tabSelected="1" workbookViewId="0"/>
  </sheetViews>
  <sheetFormatPr defaultRowHeight="18.75" customHeight="1" x14ac:dyDescent="0.25"/>
  <cols>
    <col min="1" max="1" width="4.28515625" style="651" customWidth="1"/>
    <col min="2" max="2" width="16.7109375" style="651" customWidth="1"/>
    <col min="3" max="3" width="2.85546875" style="650" customWidth="1"/>
    <col min="4" max="16384" width="9.140625" style="651"/>
  </cols>
  <sheetData>
    <row r="2" spans="2:10" ht="15.75" x14ac:dyDescent="0.25">
      <c r="B2" s="649" t="s">
        <v>1845</v>
      </c>
      <c r="C2" s="650" t="s">
        <v>1846</v>
      </c>
      <c r="D2" s="651" t="s">
        <v>1858</v>
      </c>
    </row>
    <row r="3" spans="2:10" ht="15.75" x14ac:dyDescent="0.25">
      <c r="B3" s="649" t="s">
        <v>1847</v>
      </c>
      <c r="C3" s="650" t="s">
        <v>1846</v>
      </c>
      <c r="D3" s="651" t="s">
        <v>1859</v>
      </c>
    </row>
    <row r="4" spans="2:10" ht="15.75" x14ac:dyDescent="0.25">
      <c r="B4" s="649" t="s">
        <v>1848</v>
      </c>
      <c r="C4" s="650" t="s">
        <v>1846</v>
      </c>
      <c r="D4" s="652" t="s">
        <v>1860</v>
      </c>
    </row>
    <row r="5" spans="2:10" ht="15.75" x14ac:dyDescent="0.25">
      <c r="B5" s="649"/>
    </row>
    <row r="6" spans="2:10" ht="15.75" x14ac:dyDescent="0.25">
      <c r="B6" s="649" t="s">
        <v>1849</v>
      </c>
      <c r="C6" s="650" t="s">
        <v>1846</v>
      </c>
      <c r="D6" s="651" t="s">
        <v>1850</v>
      </c>
    </row>
    <row r="7" spans="2:10" ht="15.75" x14ac:dyDescent="0.25">
      <c r="B7" s="649" t="s">
        <v>1851</v>
      </c>
      <c r="C7" s="650" t="s">
        <v>1846</v>
      </c>
      <c r="D7" s="653" t="s">
        <v>1852</v>
      </c>
    </row>
    <row r="8" spans="2:10" ht="15.75" x14ac:dyDescent="0.25">
      <c r="C8" s="651"/>
      <c r="J8" s="654"/>
    </row>
    <row r="10" spans="2:10" ht="15.75" x14ac:dyDescent="0.25">
      <c r="B10" s="655" t="s">
        <v>1853</v>
      </c>
      <c r="C10" s="656"/>
      <c r="D10" s="656"/>
      <c r="E10" s="656"/>
      <c r="F10" s="656"/>
      <c r="G10" s="656"/>
      <c r="H10" s="656"/>
      <c r="I10" s="656"/>
    </row>
    <row r="12" spans="2:10" ht="15.75" x14ac:dyDescent="0.25"/>
    <row r="23" spans="2:10" ht="15.75" x14ac:dyDescent="0.25">
      <c r="B23" s="651" t="s">
        <v>1854</v>
      </c>
    </row>
    <row r="24" spans="2:10" ht="15.75" x14ac:dyDescent="0.25">
      <c r="B24" s="651" t="s">
        <v>1855</v>
      </c>
    </row>
    <row r="26" spans="2:10" ht="15.75" x14ac:dyDescent="0.25">
      <c r="B26" s="651" t="s">
        <v>1856</v>
      </c>
      <c r="C26" s="651"/>
    </row>
    <row r="27" spans="2:10" ht="15.75" x14ac:dyDescent="0.25">
      <c r="B27" s="657" t="s">
        <v>1857</v>
      </c>
      <c r="C27" s="658"/>
      <c r="D27" s="658"/>
      <c r="E27" s="658"/>
      <c r="F27" s="658"/>
      <c r="G27" s="658"/>
      <c r="H27" s="658"/>
      <c r="I27" s="658"/>
      <c r="J27" s="658"/>
    </row>
  </sheetData>
  <hyperlinks>
    <hyperlink ref="D7" r:id="rId1" xr:uid="{93F9154E-7DD0-4F4D-BE3B-AF2D06EF6722}"/>
    <hyperlink ref="B27" r:id="rId2" xr:uid="{ED75118C-87CE-4223-8DBD-C0A82FEF7268}"/>
  </hyperlinks>
  <pageMargins left="0.7" right="0.7" top="0.75" bottom="0.75" header="0.3" footer="0.3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7631A-FB10-46E7-9085-F617B48D0821}">
  <sheetPr>
    <tabColor rgb="FFC00000"/>
  </sheetPr>
  <dimension ref="A1:P10537"/>
  <sheetViews>
    <sheetView showGridLines="0" zoomScale="90" zoomScaleNormal="90" workbookViewId="0"/>
  </sheetViews>
  <sheetFormatPr defaultColWidth="9.140625" defaultRowHeight="18.75" customHeight="1" x14ac:dyDescent="0.25"/>
  <cols>
    <col min="1" max="1" width="5.7109375" style="18" bestFit="1" customWidth="1"/>
    <col min="2" max="2" width="6.7109375" style="552" customWidth="1"/>
    <col min="3" max="3" width="32.28515625" style="107" customWidth="1"/>
    <col min="4" max="4" width="6.42578125" style="552" customWidth="1"/>
    <col min="5" max="5" width="9.140625" style="18"/>
    <col min="6" max="6" width="11.85546875" style="191" customWidth="1"/>
    <col min="7" max="7" width="15.85546875" style="314" customWidth="1"/>
    <col min="8" max="8" width="17.7109375" style="162" bestFit="1" customWidth="1"/>
    <col min="9" max="9" width="9.140625" style="18"/>
    <col min="10" max="10" width="13.7109375" style="219" bestFit="1" customWidth="1"/>
    <col min="11" max="11" width="13.5703125" style="18" bestFit="1" customWidth="1"/>
    <col min="12" max="12" width="20.42578125" style="18" customWidth="1"/>
    <col min="13" max="13" width="26" style="191" hidden="1" customWidth="1"/>
    <col min="14" max="14" width="9.140625" style="18"/>
    <col min="15" max="15" width="13.7109375" style="18" bestFit="1" customWidth="1"/>
    <col min="16" max="16384" width="9.140625" style="18"/>
  </cols>
  <sheetData>
    <row r="1" spans="1:13" ht="26.25" x14ac:dyDescent="0.25">
      <c r="B1" s="635" t="s">
        <v>616</v>
      </c>
      <c r="C1" s="635"/>
      <c r="D1" s="635"/>
      <c r="E1" s="635"/>
      <c r="F1" s="635"/>
      <c r="G1" s="636"/>
      <c r="H1" s="637"/>
      <c r="M1" s="18"/>
    </row>
    <row r="2" spans="1:13" ht="18.75" customHeight="1" x14ac:dyDescent="0.25">
      <c r="B2" s="638" t="s">
        <v>615</v>
      </c>
      <c r="C2" s="638"/>
      <c r="D2" s="638"/>
      <c r="E2" s="638"/>
      <c r="F2" s="638"/>
      <c r="G2" s="639"/>
      <c r="H2" s="640"/>
      <c r="M2" s="18"/>
    </row>
    <row r="3" spans="1:13" ht="18.75" customHeight="1" x14ac:dyDescent="0.25">
      <c r="B3" s="19"/>
      <c r="C3" s="93"/>
      <c r="D3" s="19"/>
      <c r="E3" s="21"/>
      <c r="F3" s="176"/>
      <c r="G3" s="288"/>
      <c r="H3" s="118"/>
      <c r="M3" s="176"/>
    </row>
    <row r="4" spans="1:13" ht="18.75" customHeight="1" x14ac:dyDescent="0.25">
      <c r="A4" s="388" t="s">
        <v>617</v>
      </c>
      <c r="B4" s="389" t="s">
        <v>618</v>
      </c>
      <c r="C4" s="388"/>
      <c r="D4" s="449"/>
      <c r="E4" s="450"/>
      <c r="F4" s="451"/>
      <c r="G4" s="453"/>
      <c r="H4" s="394"/>
      <c r="J4" s="614" t="s">
        <v>619</v>
      </c>
      <c r="K4" s="614"/>
      <c r="M4" s="451"/>
    </row>
    <row r="5" spans="1:13" ht="18.75" customHeight="1" x14ac:dyDescent="0.25">
      <c r="B5" s="20"/>
      <c r="C5" s="94"/>
      <c r="D5" s="19"/>
      <c r="E5" s="21"/>
      <c r="F5" s="176"/>
      <c r="G5" s="165"/>
      <c r="H5" s="119"/>
      <c r="J5" s="592" t="s">
        <v>1475</v>
      </c>
      <c r="K5" s="593">
        <v>0.08</v>
      </c>
      <c r="M5" s="176"/>
    </row>
    <row r="6" spans="1:13" ht="18.75" customHeight="1" x14ac:dyDescent="0.25">
      <c r="B6" s="19">
        <v>1</v>
      </c>
      <c r="C6" s="93" t="s">
        <v>1834</v>
      </c>
      <c r="D6" s="19"/>
      <c r="E6" s="21"/>
      <c r="F6" s="176"/>
      <c r="G6" s="288"/>
      <c r="H6" s="119"/>
      <c r="M6" s="176"/>
    </row>
    <row r="7" spans="1:13" ht="18.75" customHeight="1" x14ac:dyDescent="0.25">
      <c r="B7" s="618" t="s">
        <v>620</v>
      </c>
      <c r="C7" s="620" t="s">
        <v>621</v>
      </c>
      <c r="D7" s="618" t="s">
        <v>622</v>
      </c>
      <c r="E7" s="618" t="s">
        <v>2</v>
      </c>
      <c r="F7" s="615" t="s">
        <v>623</v>
      </c>
      <c r="G7" s="289" t="s">
        <v>624</v>
      </c>
      <c r="H7" s="256" t="s">
        <v>625</v>
      </c>
      <c r="M7" s="615" t="s">
        <v>623</v>
      </c>
    </row>
    <row r="8" spans="1:13" ht="18.75" customHeight="1" x14ac:dyDescent="0.25">
      <c r="B8" s="619"/>
      <c r="C8" s="621"/>
      <c r="D8" s="619"/>
      <c r="E8" s="619"/>
      <c r="F8" s="616"/>
      <c r="G8" s="289" t="s">
        <v>626</v>
      </c>
      <c r="H8" s="256" t="s">
        <v>626</v>
      </c>
      <c r="J8" s="594" t="s">
        <v>1843</v>
      </c>
      <c r="K8" s="593">
        <v>1</v>
      </c>
      <c r="M8" s="616"/>
    </row>
    <row r="9" spans="1:13" ht="18.75" customHeight="1" x14ac:dyDescent="0.25">
      <c r="B9" s="550" t="s">
        <v>627</v>
      </c>
      <c r="C9" s="223" t="s">
        <v>628</v>
      </c>
      <c r="D9" s="550"/>
      <c r="E9" s="224"/>
      <c r="F9" s="225"/>
      <c r="G9" s="290"/>
      <c r="H9" s="226"/>
      <c r="J9" s="594" t="s">
        <v>1844</v>
      </c>
      <c r="K9" s="593">
        <v>1</v>
      </c>
      <c r="M9" s="225"/>
    </row>
    <row r="10" spans="1:13" ht="18.75" customHeight="1" x14ac:dyDescent="0.25">
      <c r="B10" s="550"/>
      <c r="C10" s="223" t="s">
        <v>629</v>
      </c>
      <c r="D10" s="550" t="s">
        <v>630</v>
      </c>
      <c r="E10" s="224" t="s">
        <v>631</v>
      </c>
      <c r="F10" s="228">
        <f>$K$8*M10</f>
        <v>0.4</v>
      </c>
      <c r="G10" s="229">
        <f>Upah!E16</f>
        <v>95000</v>
      </c>
      <c r="H10" s="230">
        <f>+G10*F10</f>
        <v>38000</v>
      </c>
      <c r="M10" s="228">
        <v>0.4</v>
      </c>
    </row>
    <row r="11" spans="1:13" ht="18.75" customHeight="1" x14ac:dyDescent="0.25">
      <c r="B11" s="550"/>
      <c r="C11" s="223" t="s">
        <v>1508</v>
      </c>
      <c r="D11" s="550" t="s">
        <v>632</v>
      </c>
      <c r="E11" s="224" t="s">
        <v>631</v>
      </c>
      <c r="F11" s="228">
        <f t="shared" ref="F11:F13" si="0">$K$8*M11</f>
        <v>0.2</v>
      </c>
      <c r="G11" s="229">
        <f>Upah!E13</f>
        <v>110000</v>
      </c>
      <c r="H11" s="230">
        <f>+G11*F11</f>
        <v>22000</v>
      </c>
      <c r="M11" s="228">
        <v>0.2</v>
      </c>
    </row>
    <row r="12" spans="1:13" ht="18.75" customHeight="1" x14ac:dyDescent="0.25">
      <c r="B12" s="550"/>
      <c r="C12" s="223" t="s">
        <v>633</v>
      </c>
      <c r="D12" s="550" t="s">
        <v>634</v>
      </c>
      <c r="E12" s="224" t="s">
        <v>631</v>
      </c>
      <c r="F12" s="228">
        <f t="shared" si="0"/>
        <v>0.02</v>
      </c>
      <c r="G12" s="229">
        <f>Upah!E11</f>
        <v>115000</v>
      </c>
      <c r="H12" s="230">
        <f>+G12*F12</f>
        <v>2300</v>
      </c>
      <c r="M12" s="228">
        <v>0.02</v>
      </c>
    </row>
    <row r="13" spans="1:13" ht="18.75" customHeight="1" x14ac:dyDescent="0.25">
      <c r="B13" s="550"/>
      <c r="C13" s="223" t="s">
        <v>600</v>
      </c>
      <c r="D13" s="550" t="s">
        <v>635</v>
      </c>
      <c r="E13" s="224" t="s">
        <v>631</v>
      </c>
      <c r="F13" s="228">
        <f t="shared" si="0"/>
        <v>0.02</v>
      </c>
      <c r="G13" s="229">
        <f>Upah!E9</f>
        <v>140000</v>
      </c>
      <c r="H13" s="230">
        <f>+G13*F13</f>
        <v>2800</v>
      </c>
      <c r="M13" s="228">
        <v>0.02</v>
      </c>
    </row>
    <row r="14" spans="1:13" ht="18.75" customHeight="1" x14ac:dyDescent="0.25">
      <c r="B14" s="550"/>
      <c r="C14" s="223"/>
      <c r="D14" s="550"/>
      <c r="E14" s="224"/>
      <c r="F14" s="622" t="s">
        <v>636</v>
      </c>
      <c r="G14" s="623"/>
      <c r="H14" s="231">
        <f>SUM(H10:H13)</f>
        <v>65100</v>
      </c>
      <c r="M14" s="18"/>
    </row>
    <row r="15" spans="1:13" ht="18.75" customHeight="1" x14ac:dyDescent="0.25">
      <c r="B15" s="550" t="s">
        <v>637</v>
      </c>
      <c r="C15" s="223" t="s">
        <v>638</v>
      </c>
      <c r="D15" s="550"/>
      <c r="E15" s="224"/>
      <c r="F15" s="225"/>
      <c r="G15" s="290"/>
      <c r="H15" s="226"/>
      <c r="M15" s="225"/>
    </row>
    <row r="16" spans="1:13" ht="18.75" customHeight="1" x14ac:dyDescent="0.25">
      <c r="B16" s="550"/>
      <c r="C16" s="232" t="s">
        <v>1444</v>
      </c>
      <c r="D16" s="550"/>
      <c r="E16" s="550" t="s">
        <v>612</v>
      </c>
      <c r="F16" s="233">
        <v>1.25</v>
      </c>
      <c r="G16" s="234">
        <f>Bahan!D244</f>
        <v>34500</v>
      </c>
      <c r="H16" s="235">
        <f t="shared" ref="H16:H22" si="1">+G16*F16</f>
        <v>43125</v>
      </c>
      <c r="M16" s="233">
        <v>1.25</v>
      </c>
    </row>
    <row r="17" spans="2:13" ht="18.75" customHeight="1" x14ac:dyDescent="0.25">
      <c r="B17" s="550"/>
      <c r="C17" s="223" t="s">
        <v>708</v>
      </c>
      <c r="D17" s="550"/>
      <c r="E17" s="550" t="s">
        <v>62</v>
      </c>
      <c r="F17" s="233">
        <v>5</v>
      </c>
      <c r="G17" s="234">
        <f>ROUNDUP(Bahan!D580/40/100,0)*100</f>
        <v>1700</v>
      </c>
      <c r="H17" s="235">
        <f t="shared" si="1"/>
        <v>8500</v>
      </c>
      <c r="M17" s="233">
        <v>5</v>
      </c>
    </row>
    <row r="18" spans="2:13" ht="18.75" customHeight="1" x14ac:dyDescent="0.25">
      <c r="B18" s="550"/>
      <c r="C18" s="223" t="s">
        <v>77</v>
      </c>
      <c r="D18" s="550"/>
      <c r="E18" s="550" t="s">
        <v>52</v>
      </c>
      <c r="F18" s="233">
        <v>5.0000000000000001E-3</v>
      </c>
      <c r="G18" s="234">
        <f>Bahan!D88</f>
        <v>230000</v>
      </c>
      <c r="H18" s="235">
        <f t="shared" si="1"/>
        <v>1150</v>
      </c>
      <c r="M18" s="233">
        <v>5.0000000000000001E-3</v>
      </c>
    </row>
    <row r="19" spans="2:13" ht="18.75" customHeight="1" x14ac:dyDescent="0.25">
      <c r="B19" s="550"/>
      <c r="C19" s="223" t="s">
        <v>639</v>
      </c>
      <c r="D19" s="550"/>
      <c r="E19" s="550" t="s">
        <v>52</v>
      </c>
      <c r="F19" s="233">
        <v>8.9999999999999993E-3</v>
      </c>
      <c r="G19" s="234">
        <f>Bahan!D73</f>
        <v>335000</v>
      </c>
      <c r="H19" s="235">
        <f t="shared" si="1"/>
        <v>3014.9999999999995</v>
      </c>
      <c r="M19" s="233">
        <v>8.9999999999999993E-3</v>
      </c>
    </row>
    <row r="20" spans="2:13" ht="18.75" customHeight="1" x14ac:dyDescent="0.25">
      <c r="B20" s="550"/>
      <c r="C20" s="223" t="s">
        <v>640</v>
      </c>
      <c r="D20" s="550"/>
      <c r="E20" s="550" t="s">
        <v>52</v>
      </c>
      <c r="F20" s="233">
        <v>7.1999999999999995E-2</v>
      </c>
      <c r="G20" s="234">
        <f>Bahan!D260</f>
        <v>4230000</v>
      </c>
      <c r="H20" s="235">
        <f t="shared" si="1"/>
        <v>304560</v>
      </c>
      <c r="J20" s="219" t="s">
        <v>1468</v>
      </c>
      <c r="M20" s="233">
        <v>7.1999999999999995E-2</v>
      </c>
    </row>
    <row r="21" spans="2:13" ht="18.75" customHeight="1" x14ac:dyDescent="0.25">
      <c r="B21" s="550"/>
      <c r="C21" s="223" t="s">
        <v>660</v>
      </c>
      <c r="D21" s="550"/>
      <c r="E21" s="550" t="s">
        <v>62</v>
      </c>
      <c r="F21" s="233">
        <v>7.4999999999999997E-2</v>
      </c>
      <c r="G21" s="234">
        <f>Bahan!D341</f>
        <v>25000</v>
      </c>
      <c r="H21" s="235">
        <f t="shared" si="1"/>
        <v>1875</v>
      </c>
      <c r="M21" s="233">
        <v>7.4999999999999997E-2</v>
      </c>
    </row>
    <row r="22" spans="2:13" ht="18.75" customHeight="1" x14ac:dyDescent="0.25">
      <c r="B22" s="550"/>
      <c r="C22" s="223" t="s">
        <v>641</v>
      </c>
      <c r="D22" s="550"/>
      <c r="E22" s="550" t="s">
        <v>642</v>
      </c>
      <c r="F22" s="233">
        <v>0.4</v>
      </c>
      <c r="G22" s="234">
        <f>Bahan!D204</f>
        <v>40000</v>
      </c>
      <c r="H22" s="235">
        <f t="shared" si="1"/>
        <v>16000</v>
      </c>
      <c r="M22" s="233">
        <v>0.4</v>
      </c>
    </row>
    <row r="23" spans="2:13" ht="18.75" customHeight="1" x14ac:dyDescent="0.25">
      <c r="B23" s="550"/>
      <c r="C23" s="223"/>
      <c r="D23" s="550"/>
      <c r="E23" s="224"/>
      <c r="F23" s="622" t="s">
        <v>643</v>
      </c>
      <c r="G23" s="623"/>
      <c r="H23" s="231">
        <f>SUM(H16:H22)</f>
        <v>378225</v>
      </c>
      <c r="M23" s="18"/>
    </row>
    <row r="24" spans="2:13" ht="18.75" customHeight="1" x14ac:dyDescent="0.25">
      <c r="B24" s="550" t="s">
        <v>644</v>
      </c>
      <c r="C24" s="223" t="s">
        <v>645</v>
      </c>
      <c r="D24" s="550"/>
      <c r="E24" s="224"/>
      <c r="F24" s="225"/>
      <c r="G24" s="290"/>
      <c r="H24" s="235"/>
      <c r="M24" s="225"/>
    </row>
    <row r="25" spans="2:13" ht="18.75" customHeight="1" x14ac:dyDescent="0.25">
      <c r="B25" s="236"/>
      <c r="C25" s="232"/>
      <c r="D25" s="550"/>
      <c r="E25" s="224"/>
      <c r="F25" s="622" t="s">
        <v>646</v>
      </c>
      <c r="G25" s="623"/>
      <c r="H25" s="230">
        <f>SUM(H24:H24)</f>
        <v>0</v>
      </c>
      <c r="M25" s="18"/>
    </row>
    <row r="26" spans="2:13" ht="18.75" customHeight="1" x14ac:dyDescent="0.25">
      <c r="B26" s="236"/>
      <c r="C26" s="232"/>
      <c r="D26" s="550"/>
      <c r="E26" s="224"/>
      <c r="F26" s="237"/>
      <c r="G26" s="290"/>
      <c r="H26" s="226"/>
      <c r="M26" s="237"/>
    </row>
    <row r="27" spans="2:13" ht="18.75" customHeight="1" x14ac:dyDescent="0.25">
      <c r="B27" s="248"/>
      <c r="C27" s="238"/>
      <c r="D27" s="239"/>
      <c r="E27" s="240"/>
      <c r="F27" s="241"/>
      <c r="G27" s="293"/>
      <c r="H27" s="251"/>
      <c r="M27" s="241"/>
    </row>
    <row r="28" spans="2:13" ht="18.75" customHeight="1" x14ac:dyDescent="0.25">
      <c r="B28" s="249" t="s">
        <v>647</v>
      </c>
      <c r="C28" s="242" t="s">
        <v>648</v>
      </c>
      <c r="D28" s="435"/>
      <c r="E28" s="92"/>
      <c r="F28" s="183"/>
      <c r="G28" s="295"/>
      <c r="H28" s="252">
        <f>SUM(H10:H25)/2</f>
        <v>443325</v>
      </c>
      <c r="M28" s="183"/>
    </row>
    <row r="29" spans="2:13" ht="18.75" customHeight="1" x14ac:dyDescent="0.25">
      <c r="B29" s="249" t="s">
        <v>649</v>
      </c>
      <c r="C29" s="242" t="s">
        <v>650</v>
      </c>
      <c r="D29" s="435"/>
      <c r="E29" s="92"/>
      <c r="F29" s="184" t="str">
        <f>$J$5</f>
        <v>8,0 % x D</v>
      </c>
      <c r="G29" s="295"/>
      <c r="H29" s="253">
        <f>+H28*$K$5</f>
        <v>35466</v>
      </c>
      <c r="M29" s="184" t="str">
        <f>$J$5</f>
        <v>8,0 % x D</v>
      </c>
    </row>
    <row r="30" spans="2:13" ht="18.75" customHeight="1" x14ac:dyDescent="0.25">
      <c r="B30" s="249" t="s">
        <v>651</v>
      </c>
      <c r="C30" s="243" t="s">
        <v>652</v>
      </c>
      <c r="D30" s="435"/>
      <c r="E30" s="91"/>
      <c r="F30" s="185"/>
      <c r="G30" s="296"/>
      <c r="H30" s="254">
        <f>ROUNDUP((H29+H28)/100,0)*100</f>
        <v>478800</v>
      </c>
      <c r="M30" s="185"/>
    </row>
    <row r="31" spans="2:13" ht="18.75" customHeight="1" x14ac:dyDescent="0.25">
      <c r="B31" s="250"/>
      <c r="C31" s="244"/>
      <c r="D31" s="245"/>
      <c r="E31" s="246"/>
      <c r="F31" s="247"/>
      <c r="G31" s="299"/>
      <c r="H31" s="255"/>
      <c r="M31" s="247"/>
    </row>
    <row r="32" spans="2:13" ht="18.75" customHeight="1" x14ac:dyDescent="0.25">
      <c r="B32" s="20"/>
      <c r="C32" s="93"/>
      <c r="D32" s="19"/>
      <c r="E32" s="21"/>
      <c r="F32" s="176"/>
      <c r="G32" s="165"/>
      <c r="H32" s="119"/>
      <c r="M32" s="176"/>
    </row>
    <row r="33" spans="2:13" ht="18.75" customHeight="1" x14ac:dyDescent="0.25">
      <c r="B33" s="19">
        <v>2</v>
      </c>
      <c r="C33" s="93" t="s">
        <v>1835</v>
      </c>
      <c r="D33" s="19"/>
      <c r="E33" s="21"/>
      <c r="F33" s="176"/>
      <c r="G33" s="288"/>
      <c r="H33" s="119"/>
      <c r="M33" s="176"/>
    </row>
    <row r="34" spans="2:13" ht="18.75" customHeight="1" x14ac:dyDescent="0.25">
      <c r="B34" s="618" t="s">
        <v>620</v>
      </c>
      <c r="C34" s="620" t="s">
        <v>621</v>
      </c>
      <c r="D34" s="618" t="s">
        <v>622</v>
      </c>
      <c r="E34" s="618" t="s">
        <v>2</v>
      </c>
      <c r="F34" s="615" t="s">
        <v>623</v>
      </c>
      <c r="G34" s="289" t="s">
        <v>624</v>
      </c>
      <c r="H34" s="256" t="s">
        <v>625</v>
      </c>
      <c r="M34" s="615" t="s">
        <v>623</v>
      </c>
    </row>
    <row r="35" spans="2:13" ht="18.75" customHeight="1" x14ac:dyDescent="0.25">
      <c r="B35" s="633"/>
      <c r="C35" s="634"/>
      <c r="D35" s="633"/>
      <c r="E35" s="633"/>
      <c r="F35" s="617"/>
      <c r="G35" s="300" t="s">
        <v>626</v>
      </c>
      <c r="H35" s="257" t="s">
        <v>626</v>
      </c>
      <c r="M35" s="617"/>
    </row>
    <row r="36" spans="2:13" ht="18.75" customHeight="1" x14ac:dyDescent="0.25">
      <c r="B36" s="221"/>
      <c r="C36" s="222"/>
      <c r="D36" s="221"/>
      <c r="E36" s="550"/>
      <c r="F36" s="555"/>
      <c r="G36" s="551"/>
      <c r="H36" s="220"/>
      <c r="M36" s="590"/>
    </row>
    <row r="37" spans="2:13" ht="18.75" customHeight="1" x14ac:dyDescent="0.25">
      <c r="B37" s="550" t="s">
        <v>627</v>
      </c>
      <c r="C37" s="223" t="s">
        <v>628</v>
      </c>
      <c r="D37" s="550"/>
      <c r="E37" s="224"/>
      <c r="F37" s="225"/>
      <c r="G37" s="290"/>
      <c r="H37" s="226"/>
      <c r="M37" s="225"/>
    </row>
    <row r="38" spans="2:13" ht="18.75" customHeight="1" x14ac:dyDescent="0.25">
      <c r="B38" s="550"/>
      <c r="C38" s="223" t="s">
        <v>629</v>
      </c>
      <c r="D38" s="550" t="s">
        <v>630</v>
      </c>
      <c r="E38" s="224" t="s">
        <v>631</v>
      </c>
      <c r="F38" s="228">
        <f t="shared" ref="F38:F41" si="2">$K$8*M38</f>
        <v>0.2</v>
      </c>
      <c r="G38" s="229">
        <f>G10</f>
        <v>95000</v>
      </c>
      <c r="H38" s="230">
        <f>+G38*F38</f>
        <v>19000</v>
      </c>
      <c r="M38" s="228">
        <v>0.2</v>
      </c>
    </row>
    <row r="39" spans="2:13" ht="18.75" customHeight="1" x14ac:dyDescent="0.25">
      <c r="B39" s="550"/>
      <c r="C39" s="223" t="s">
        <v>1508</v>
      </c>
      <c r="D39" s="550" t="s">
        <v>632</v>
      </c>
      <c r="E39" s="224" t="s">
        <v>631</v>
      </c>
      <c r="F39" s="228">
        <f t="shared" si="2"/>
        <v>0.4</v>
      </c>
      <c r="G39" s="229">
        <f>G11</f>
        <v>110000</v>
      </c>
      <c r="H39" s="230">
        <f>+G39*F39</f>
        <v>44000</v>
      </c>
      <c r="M39" s="228">
        <v>0.4</v>
      </c>
    </row>
    <row r="40" spans="2:13" ht="18.75" customHeight="1" x14ac:dyDescent="0.25">
      <c r="B40" s="550"/>
      <c r="C40" s="223" t="s">
        <v>633</v>
      </c>
      <c r="D40" s="550" t="s">
        <v>634</v>
      </c>
      <c r="E40" s="224" t="s">
        <v>631</v>
      </c>
      <c r="F40" s="228">
        <f t="shared" si="2"/>
        <v>0.02</v>
      </c>
      <c r="G40" s="229">
        <f>G12</f>
        <v>115000</v>
      </c>
      <c r="H40" s="230">
        <f>+G40*F40</f>
        <v>2300</v>
      </c>
      <c r="M40" s="228">
        <v>0.02</v>
      </c>
    </row>
    <row r="41" spans="2:13" ht="18.75" customHeight="1" x14ac:dyDescent="0.25">
      <c r="B41" s="550"/>
      <c r="C41" s="223" t="s">
        <v>600</v>
      </c>
      <c r="D41" s="550" t="s">
        <v>635</v>
      </c>
      <c r="E41" s="224" t="s">
        <v>631</v>
      </c>
      <c r="F41" s="228">
        <f t="shared" si="2"/>
        <v>0.02</v>
      </c>
      <c r="G41" s="229">
        <f>G13</f>
        <v>140000</v>
      </c>
      <c r="H41" s="230">
        <f>+G41*F41</f>
        <v>2800</v>
      </c>
      <c r="M41" s="228">
        <v>0.02</v>
      </c>
    </row>
    <row r="42" spans="2:13" ht="18.75" customHeight="1" x14ac:dyDescent="0.25">
      <c r="B42" s="550"/>
      <c r="C42" s="223"/>
      <c r="D42" s="550"/>
      <c r="E42" s="224"/>
      <c r="F42" s="624" t="s">
        <v>636</v>
      </c>
      <c r="G42" s="625"/>
      <c r="H42" s="231">
        <f>SUM(H38:H41)</f>
        <v>68100</v>
      </c>
      <c r="M42" s="18"/>
    </row>
    <row r="43" spans="2:13" ht="18.75" customHeight="1" x14ac:dyDescent="0.25">
      <c r="B43" s="550" t="s">
        <v>637</v>
      </c>
      <c r="C43" s="223" t="s">
        <v>638</v>
      </c>
      <c r="D43" s="550"/>
      <c r="E43" s="224"/>
      <c r="F43" s="225"/>
      <c r="G43" s="290"/>
      <c r="H43" s="226"/>
      <c r="M43" s="225"/>
    </row>
    <row r="44" spans="2:13" ht="18.75" customHeight="1" x14ac:dyDescent="0.25">
      <c r="B44" s="550"/>
      <c r="C44" s="232" t="s">
        <v>1444</v>
      </c>
      <c r="D44" s="550"/>
      <c r="E44" s="550" t="s">
        <v>612</v>
      </c>
      <c r="F44" s="233">
        <v>1.25</v>
      </c>
      <c r="G44" s="234">
        <f>G16</f>
        <v>34500</v>
      </c>
      <c r="H44" s="235">
        <f t="shared" ref="H44:H51" si="3">+G44*F44</f>
        <v>43125</v>
      </c>
      <c r="M44" s="233">
        <v>1.25</v>
      </c>
    </row>
    <row r="45" spans="2:13" ht="18.75" customHeight="1" x14ac:dyDescent="0.25">
      <c r="B45" s="550"/>
      <c r="C45" s="223" t="s">
        <v>708</v>
      </c>
      <c r="D45" s="550"/>
      <c r="E45" s="550" t="s">
        <v>62</v>
      </c>
      <c r="F45" s="233">
        <v>2.5</v>
      </c>
      <c r="G45" s="234">
        <f>G17</f>
        <v>1700</v>
      </c>
      <c r="H45" s="235">
        <f t="shared" si="3"/>
        <v>4250</v>
      </c>
      <c r="M45" s="233">
        <v>2.5</v>
      </c>
    </row>
    <row r="46" spans="2:13" ht="18.75" customHeight="1" x14ac:dyDescent="0.25">
      <c r="B46" s="550"/>
      <c r="C46" s="223" t="s">
        <v>653</v>
      </c>
      <c r="D46" s="550"/>
      <c r="E46" s="550" t="s">
        <v>155</v>
      </c>
      <c r="F46" s="233">
        <v>1.2</v>
      </c>
      <c r="G46" s="234">
        <f>Bahan!D487</f>
        <v>55000</v>
      </c>
      <c r="H46" s="235">
        <f t="shared" si="3"/>
        <v>66000</v>
      </c>
      <c r="J46" s="557" t="s">
        <v>439</v>
      </c>
      <c r="M46" s="233">
        <v>1.2</v>
      </c>
    </row>
    <row r="47" spans="2:13" ht="18.75" customHeight="1" x14ac:dyDescent="0.25">
      <c r="B47" s="550"/>
      <c r="C47" s="223" t="s">
        <v>77</v>
      </c>
      <c r="D47" s="550"/>
      <c r="E47" s="550" t="s">
        <v>52</v>
      </c>
      <c r="F47" s="233">
        <v>5.0000000000000001E-3</v>
      </c>
      <c r="G47" s="234">
        <f>G18</f>
        <v>230000</v>
      </c>
      <c r="H47" s="235">
        <f t="shared" si="3"/>
        <v>1150</v>
      </c>
      <c r="M47" s="233">
        <v>5.0000000000000001E-3</v>
      </c>
    </row>
    <row r="48" spans="2:13" ht="18.75" customHeight="1" x14ac:dyDescent="0.25">
      <c r="B48" s="550"/>
      <c r="C48" s="223" t="s">
        <v>639</v>
      </c>
      <c r="D48" s="550"/>
      <c r="E48" s="550" t="s">
        <v>52</v>
      </c>
      <c r="F48" s="233">
        <v>8.9999999999999993E-3</v>
      </c>
      <c r="G48" s="234">
        <f>G19</f>
        <v>335000</v>
      </c>
      <c r="H48" s="235">
        <f t="shared" si="3"/>
        <v>3014.9999999999995</v>
      </c>
      <c r="M48" s="233">
        <v>8.9999999999999993E-3</v>
      </c>
    </row>
    <row r="49" spans="2:13" ht="18.75" customHeight="1" x14ac:dyDescent="0.25">
      <c r="B49" s="550"/>
      <c r="C49" s="223" t="s">
        <v>654</v>
      </c>
      <c r="D49" s="550"/>
      <c r="E49" s="550" t="s">
        <v>52</v>
      </c>
      <c r="F49" s="233">
        <v>7.1999999999999995E-2</v>
      </c>
      <c r="G49" s="234">
        <f>G20</f>
        <v>4230000</v>
      </c>
      <c r="H49" s="235">
        <f t="shared" si="3"/>
        <v>304560</v>
      </c>
      <c r="M49" s="233">
        <v>7.1999999999999995E-2</v>
      </c>
    </row>
    <row r="50" spans="2:13" ht="18.75" customHeight="1" x14ac:dyDescent="0.25">
      <c r="B50" s="550"/>
      <c r="C50" s="223" t="s">
        <v>660</v>
      </c>
      <c r="D50" s="550"/>
      <c r="E50" s="550" t="s">
        <v>62</v>
      </c>
      <c r="F50" s="233">
        <v>7.4999999999999997E-2</v>
      </c>
      <c r="G50" s="234">
        <f>G21</f>
        <v>25000</v>
      </c>
      <c r="H50" s="235">
        <f t="shared" si="3"/>
        <v>1875</v>
      </c>
      <c r="M50" s="233">
        <v>7.4999999999999997E-2</v>
      </c>
    </row>
    <row r="51" spans="2:13" ht="18.75" customHeight="1" x14ac:dyDescent="0.25">
      <c r="B51" s="550"/>
      <c r="C51" s="223" t="s">
        <v>655</v>
      </c>
      <c r="D51" s="550"/>
      <c r="E51" s="550" t="s">
        <v>642</v>
      </c>
      <c r="F51" s="233">
        <v>7.4999999999999997E-2</v>
      </c>
      <c r="G51" s="234">
        <f>Bahan!D188</f>
        <v>40000</v>
      </c>
      <c r="H51" s="235">
        <f t="shared" si="3"/>
        <v>3000</v>
      </c>
      <c r="M51" s="233">
        <v>7.4999999999999997E-2</v>
      </c>
    </row>
    <row r="52" spans="2:13" ht="18.75" customHeight="1" x14ac:dyDescent="0.25">
      <c r="B52" s="550"/>
      <c r="C52" s="223"/>
      <c r="D52" s="550"/>
      <c r="E52" s="224"/>
      <c r="F52" s="624" t="s">
        <v>643</v>
      </c>
      <c r="G52" s="625"/>
      <c r="H52" s="231">
        <f>SUM(H44:H51)</f>
        <v>426975</v>
      </c>
      <c r="M52" s="18"/>
    </row>
    <row r="53" spans="2:13" ht="18.75" customHeight="1" x14ac:dyDescent="0.25">
      <c r="B53" s="550" t="s">
        <v>644</v>
      </c>
      <c r="C53" s="223" t="s">
        <v>645</v>
      </c>
      <c r="D53" s="550"/>
      <c r="E53" s="224"/>
      <c r="F53" s="225"/>
      <c r="G53" s="290"/>
      <c r="H53" s="235"/>
      <c r="M53" s="225"/>
    </row>
    <row r="54" spans="2:13" ht="18.75" customHeight="1" x14ac:dyDescent="0.25">
      <c r="B54" s="236"/>
      <c r="C54" s="232"/>
      <c r="D54" s="550"/>
      <c r="E54" s="224"/>
      <c r="F54" s="624" t="s">
        <v>646</v>
      </c>
      <c r="G54" s="625"/>
      <c r="H54" s="230">
        <f>SUM(H53:H53)</f>
        <v>0</v>
      </c>
      <c r="M54" s="18"/>
    </row>
    <row r="55" spans="2:13" ht="18.75" customHeight="1" x14ac:dyDescent="0.25">
      <c r="B55" s="236"/>
      <c r="C55" s="232"/>
      <c r="D55" s="550"/>
      <c r="E55" s="224"/>
      <c r="F55" s="237"/>
      <c r="G55" s="290"/>
      <c r="H55" s="226"/>
      <c r="M55" s="237"/>
    </row>
    <row r="56" spans="2:13" ht="18.75" customHeight="1" x14ac:dyDescent="0.25">
      <c r="B56" s="248"/>
      <c r="C56" s="238"/>
      <c r="D56" s="239"/>
      <c r="E56" s="240"/>
      <c r="F56" s="241"/>
      <c r="G56" s="291"/>
      <c r="H56" s="251"/>
      <c r="M56" s="241"/>
    </row>
    <row r="57" spans="2:13" ht="18.75" customHeight="1" x14ac:dyDescent="0.25">
      <c r="B57" s="249" t="s">
        <v>647</v>
      </c>
      <c r="C57" s="242" t="s">
        <v>648</v>
      </c>
      <c r="D57" s="435"/>
      <c r="E57" s="92"/>
      <c r="F57" s="183"/>
      <c r="G57" s="167"/>
      <c r="H57" s="252">
        <f>+H54+H52+H42</f>
        <v>495075</v>
      </c>
      <c r="M57" s="183"/>
    </row>
    <row r="58" spans="2:13" ht="18.75" customHeight="1" x14ac:dyDescent="0.25">
      <c r="B58" s="249" t="s">
        <v>649</v>
      </c>
      <c r="C58" s="242" t="s">
        <v>650</v>
      </c>
      <c r="D58" s="435"/>
      <c r="E58" s="92"/>
      <c r="F58" s="184" t="str">
        <f>$J$5</f>
        <v>8,0 % x D</v>
      </c>
      <c r="G58" s="167"/>
      <c r="H58" s="253">
        <f>+H57*$K$5</f>
        <v>39606</v>
      </c>
      <c r="M58" s="184" t="str">
        <f>$J$5</f>
        <v>8,0 % x D</v>
      </c>
    </row>
    <row r="59" spans="2:13" ht="18.75" customHeight="1" x14ac:dyDescent="0.25">
      <c r="B59" s="249" t="s">
        <v>651</v>
      </c>
      <c r="C59" s="243" t="s">
        <v>652</v>
      </c>
      <c r="D59" s="435"/>
      <c r="E59" s="91"/>
      <c r="F59" s="185"/>
      <c r="G59" s="168"/>
      <c r="H59" s="254">
        <f>ROUNDUP((H58+H57)/100,0)*100</f>
        <v>534700</v>
      </c>
      <c r="M59" s="185"/>
    </row>
    <row r="60" spans="2:13" ht="18.75" customHeight="1" x14ac:dyDescent="0.25">
      <c r="B60" s="259"/>
      <c r="C60" s="258"/>
      <c r="D60" s="245"/>
      <c r="E60" s="246"/>
      <c r="F60" s="247"/>
      <c r="G60" s="298"/>
      <c r="H60" s="260"/>
      <c r="M60" s="247"/>
    </row>
    <row r="61" spans="2:13" ht="18.75" customHeight="1" x14ac:dyDescent="0.25">
      <c r="B61" s="20"/>
      <c r="C61" s="93"/>
      <c r="D61" s="19"/>
      <c r="E61" s="21"/>
      <c r="F61" s="176"/>
      <c r="G61" s="165"/>
      <c r="H61" s="119"/>
      <c r="M61" s="176"/>
    </row>
    <row r="62" spans="2:13" ht="18.75" customHeight="1" x14ac:dyDescent="0.25">
      <c r="B62" s="19">
        <v>3</v>
      </c>
      <c r="C62" s="93" t="s">
        <v>1836</v>
      </c>
      <c r="D62" s="19"/>
      <c r="E62" s="21"/>
      <c r="F62" s="176"/>
      <c r="G62" s="288"/>
      <c r="H62" s="119"/>
      <c r="M62" s="176"/>
    </row>
    <row r="63" spans="2:13" ht="18.75" customHeight="1" x14ac:dyDescent="0.25">
      <c r="B63" s="618" t="s">
        <v>620</v>
      </c>
      <c r="C63" s="620" t="s">
        <v>621</v>
      </c>
      <c r="D63" s="618" t="s">
        <v>622</v>
      </c>
      <c r="E63" s="618" t="s">
        <v>2</v>
      </c>
      <c r="F63" s="615" t="s">
        <v>623</v>
      </c>
      <c r="G63" s="289" t="s">
        <v>624</v>
      </c>
      <c r="H63" s="256" t="s">
        <v>625</v>
      </c>
      <c r="M63" s="615" t="s">
        <v>623</v>
      </c>
    </row>
    <row r="64" spans="2:13" ht="18.75" customHeight="1" x14ac:dyDescent="0.25">
      <c r="B64" s="619"/>
      <c r="C64" s="621"/>
      <c r="D64" s="619"/>
      <c r="E64" s="619"/>
      <c r="F64" s="616"/>
      <c r="G64" s="289" t="s">
        <v>626</v>
      </c>
      <c r="H64" s="256" t="s">
        <v>626</v>
      </c>
      <c r="M64" s="616"/>
    </row>
    <row r="65" spans="2:13" ht="18.75" customHeight="1" x14ac:dyDescent="0.25">
      <c r="B65" s="221"/>
      <c r="C65" s="222"/>
      <c r="D65" s="221"/>
      <c r="E65" s="550"/>
      <c r="F65" s="555"/>
      <c r="G65" s="551"/>
      <c r="H65" s="220"/>
      <c r="M65" s="590"/>
    </row>
    <row r="66" spans="2:13" ht="18.75" customHeight="1" x14ac:dyDescent="0.25">
      <c r="B66" s="550" t="s">
        <v>627</v>
      </c>
      <c r="C66" s="223" t="s">
        <v>628</v>
      </c>
      <c r="D66" s="550"/>
      <c r="E66" s="224"/>
      <c r="F66" s="225"/>
      <c r="G66" s="290"/>
      <c r="H66" s="226"/>
      <c r="M66" s="225"/>
    </row>
    <row r="67" spans="2:13" ht="18.75" customHeight="1" x14ac:dyDescent="0.25">
      <c r="B67" s="550"/>
      <c r="C67" s="223" t="s">
        <v>629</v>
      </c>
      <c r="D67" s="550" t="s">
        <v>630</v>
      </c>
      <c r="E67" s="224" t="s">
        <v>631</v>
      </c>
      <c r="F67" s="228">
        <f t="shared" ref="F67:F70" si="4">$K$8*M67</f>
        <v>0.2</v>
      </c>
      <c r="G67" s="229">
        <f>G38</f>
        <v>95000</v>
      </c>
      <c r="H67" s="230">
        <f>+G67*F67</f>
        <v>19000</v>
      </c>
      <c r="M67" s="228">
        <v>0.2</v>
      </c>
    </row>
    <row r="68" spans="2:13" ht="18.75" customHeight="1" x14ac:dyDescent="0.25">
      <c r="B68" s="550"/>
      <c r="C68" s="223" t="s">
        <v>1508</v>
      </c>
      <c r="D68" s="550" t="s">
        <v>632</v>
      </c>
      <c r="E68" s="224" t="s">
        <v>631</v>
      </c>
      <c r="F68" s="228">
        <f t="shared" si="4"/>
        <v>0.3</v>
      </c>
      <c r="G68" s="229">
        <f>G39</f>
        <v>110000</v>
      </c>
      <c r="H68" s="230">
        <f>+G68*F68</f>
        <v>33000</v>
      </c>
      <c r="M68" s="228">
        <v>0.3</v>
      </c>
    </row>
    <row r="69" spans="2:13" ht="18.75" customHeight="1" x14ac:dyDescent="0.25">
      <c r="B69" s="550"/>
      <c r="C69" s="223" t="s">
        <v>633</v>
      </c>
      <c r="D69" s="550" t="s">
        <v>634</v>
      </c>
      <c r="E69" s="224" t="s">
        <v>631</v>
      </c>
      <c r="F69" s="228">
        <f t="shared" si="4"/>
        <v>0.02</v>
      </c>
      <c r="G69" s="229">
        <f>G40</f>
        <v>115000</v>
      </c>
      <c r="H69" s="230">
        <f>+G69*F69</f>
        <v>2300</v>
      </c>
      <c r="M69" s="228">
        <v>0.02</v>
      </c>
    </row>
    <row r="70" spans="2:13" ht="18.75" customHeight="1" x14ac:dyDescent="0.25">
      <c r="B70" s="550"/>
      <c r="C70" s="223" t="s">
        <v>600</v>
      </c>
      <c r="D70" s="550" t="s">
        <v>635</v>
      </c>
      <c r="E70" s="224" t="s">
        <v>631</v>
      </c>
      <c r="F70" s="228">
        <f t="shared" si="4"/>
        <v>0.02</v>
      </c>
      <c r="G70" s="229">
        <f>G41</f>
        <v>140000</v>
      </c>
      <c r="H70" s="230">
        <f>+G70*F70</f>
        <v>2800</v>
      </c>
      <c r="M70" s="228">
        <v>0.02</v>
      </c>
    </row>
    <row r="71" spans="2:13" ht="18.75" customHeight="1" x14ac:dyDescent="0.25">
      <c r="B71" s="550"/>
      <c r="C71" s="223"/>
      <c r="D71" s="550"/>
      <c r="E71" s="224"/>
      <c r="F71" s="237" t="s">
        <v>636</v>
      </c>
      <c r="G71" s="290"/>
      <c r="H71" s="231">
        <f>SUM(H67:H70)</f>
        <v>57100</v>
      </c>
      <c r="M71" s="237" t="s">
        <v>636</v>
      </c>
    </row>
    <row r="72" spans="2:13" ht="18.75" customHeight="1" x14ac:dyDescent="0.25">
      <c r="B72" s="550" t="s">
        <v>637</v>
      </c>
      <c r="C72" s="223" t="s">
        <v>638</v>
      </c>
      <c r="D72" s="550"/>
      <c r="E72" s="224"/>
      <c r="F72" s="225"/>
      <c r="G72" s="290"/>
      <c r="H72" s="226"/>
      <c r="M72" s="225"/>
    </row>
    <row r="73" spans="2:13" ht="18.75" customHeight="1" x14ac:dyDescent="0.25">
      <c r="B73" s="550"/>
      <c r="C73" s="232" t="s">
        <v>1444</v>
      </c>
      <c r="D73" s="550"/>
      <c r="E73" s="550" t="s">
        <v>612</v>
      </c>
      <c r="F73" s="233">
        <v>1</v>
      </c>
      <c r="G73" s="234">
        <f>G44</f>
        <v>34500</v>
      </c>
      <c r="H73" s="235">
        <f t="shared" ref="H73:H78" si="5">+G73*F73</f>
        <v>34500</v>
      </c>
      <c r="M73" s="233">
        <v>1</v>
      </c>
    </row>
    <row r="74" spans="2:13" ht="18.75" customHeight="1" x14ac:dyDescent="0.25">
      <c r="B74" s="550"/>
      <c r="C74" s="223" t="s">
        <v>708</v>
      </c>
      <c r="D74" s="550"/>
      <c r="E74" s="550" t="s">
        <v>62</v>
      </c>
      <c r="F74" s="233">
        <v>2</v>
      </c>
      <c r="G74" s="234">
        <f>G45</f>
        <v>1700</v>
      </c>
      <c r="H74" s="235">
        <f t="shared" si="5"/>
        <v>3400</v>
      </c>
      <c r="M74" s="233">
        <v>2</v>
      </c>
    </row>
    <row r="75" spans="2:13" ht="18.75" customHeight="1" x14ac:dyDescent="0.25">
      <c r="B75" s="550"/>
      <c r="C75" s="223" t="s">
        <v>656</v>
      </c>
      <c r="D75" s="550"/>
      <c r="E75" s="550" t="s">
        <v>14</v>
      </c>
      <c r="F75" s="233">
        <v>25</v>
      </c>
      <c r="G75" s="234">
        <f>Bahan!D150</f>
        <v>31000</v>
      </c>
      <c r="H75" s="235">
        <f t="shared" si="5"/>
        <v>775000</v>
      </c>
      <c r="M75" s="233">
        <v>25</v>
      </c>
    </row>
    <row r="76" spans="2:13" ht="18.75" customHeight="1" x14ac:dyDescent="0.25">
      <c r="B76" s="550"/>
      <c r="C76" s="223" t="s">
        <v>77</v>
      </c>
      <c r="D76" s="550"/>
      <c r="E76" s="550" t="s">
        <v>52</v>
      </c>
      <c r="F76" s="233">
        <v>5.0000000000000001E-3</v>
      </c>
      <c r="G76" s="234">
        <f>G47</f>
        <v>230000</v>
      </c>
      <c r="H76" s="235">
        <f t="shared" si="5"/>
        <v>1150</v>
      </c>
      <c r="M76" s="233">
        <v>5.0000000000000001E-3</v>
      </c>
    </row>
    <row r="77" spans="2:13" ht="18.75" customHeight="1" x14ac:dyDescent="0.25">
      <c r="B77" s="550"/>
      <c r="C77" s="223" t="s">
        <v>639</v>
      </c>
      <c r="D77" s="550"/>
      <c r="E77" s="550" t="s">
        <v>52</v>
      </c>
      <c r="F77" s="233">
        <v>8.9999999999999993E-3</v>
      </c>
      <c r="G77" s="234">
        <f>G48</f>
        <v>335000</v>
      </c>
      <c r="H77" s="235">
        <f t="shared" si="5"/>
        <v>3014.9999999999995</v>
      </c>
      <c r="M77" s="233">
        <v>8.9999999999999993E-3</v>
      </c>
    </row>
    <row r="78" spans="2:13" ht="18.75" customHeight="1" x14ac:dyDescent="0.25">
      <c r="B78" s="550"/>
      <c r="C78" s="223" t="s">
        <v>660</v>
      </c>
      <c r="D78" s="550"/>
      <c r="E78" s="550" t="s">
        <v>62</v>
      </c>
      <c r="F78" s="233">
        <v>8.9999999999999993E-3</v>
      </c>
      <c r="G78" s="234">
        <f>G50</f>
        <v>25000</v>
      </c>
      <c r="H78" s="235">
        <f t="shared" si="5"/>
        <v>224.99999999999997</v>
      </c>
      <c r="M78" s="233">
        <v>8.9999999999999993E-3</v>
      </c>
    </row>
    <row r="79" spans="2:13" ht="18.75" customHeight="1" x14ac:dyDescent="0.25">
      <c r="B79" s="550"/>
      <c r="C79" s="223"/>
      <c r="D79" s="550"/>
      <c r="E79" s="224"/>
      <c r="F79" s="237" t="s">
        <v>643</v>
      </c>
      <c r="G79" s="290"/>
      <c r="H79" s="231">
        <f>SUM(H73:H78)</f>
        <v>817290</v>
      </c>
      <c r="M79" s="237" t="s">
        <v>643</v>
      </c>
    </row>
    <row r="80" spans="2:13" ht="18.75" customHeight="1" x14ac:dyDescent="0.25">
      <c r="B80" s="550"/>
      <c r="C80" s="223"/>
      <c r="D80" s="550"/>
      <c r="E80" s="224"/>
      <c r="F80" s="225"/>
      <c r="G80" s="290"/>
      <c r="H80" s="226"/>
      <c r="M80" s="225"/>
    </row>
    <row r="81" spans="2:13" ht="18.75" customHeight="1" x14ac:dyDescent="0.25">
      <c r="B81" s="550" t="s">
        <v>644</v>
      </c>
      <c r="C81" s="223" t="s">
        <v>645</v>
      </c>
      <c r="D81" s="550"/>
      <c r="E81" s="224"/>
      <c r="F81" s="225"/>
      <c r="G81" s="290"/>
      <c r="H81" s="235"/>
      <c r="M81" s="225"/>
    </row>
    <row r="82" spans="2:13" ht="18.75" customHeight="1" x14ac:dyDescent="0.25">
      <c r="B82" s="236"/>
      <c r="C82" s="232"/>
      <c r="D82" s="550"/>
      <c r="E82" s="224"/>
      <c r="F82" s="237" t="s">
        <v>646</v>
      </c>
      <c r="G82" s="290"/>
      <c r="H82" s="230">
        <f>SUM(H81:H81)</f>
        <v>0</v>
      </c>
      <c r="M82" s="237" t="s">
        <v>646</v>
      </c>
    </row>
    <row r="83" spans="2:13" ht="18.75" customHeight="1" x14ac:dyDescent="0.25">
      <c r="B83" s="236"/>
      <c r="C83" s="232"/>
      <c r="D83" s="550"/>
      <c r="E83" s="224"/>
      <c r="F83" s="237"/>
      <c r="G83" s="290"/>
      <c r="H83" s="226"/>
      <c r="M83" s="237"/>
    </row>
    <row r="84" spans="2:13" ht="18.75" customHeight="1" x14ac:dyDescent="0.25">
      <c r="B84" s="236"/>
      <c r="C84" s="232"/>
      <c r="D84" s="550"/>
      <c r="E84" s="224"/>
      <c r="F84" s="237"/>
      <c r="G84" s="290"/>
      <c r="H84" s="226"/>
      <c r="M84" s="237"/>
    </row>
    <row r="85" spans="2:13" ht="18.75" customHeight="1" x14ac:dyDescent="0.25">
      <c r="B85" s="248"/>
      <c r="C85" s="238"/>
      <c r="D85" s="239"/>
      <c r="E85" s="240"/>
      <c r="F85" s="241"/>
      <c r="G85" s="291"/>
      <c r="H85" s="251"/>
      <c r="M85" s="241"/>
    </row>
    <row r="86" spans="2:13" ht="18.75" customHeight="1" x14ac:dyDescent="0.25">
      <c r="B86" s="249" t="s">
        <v>647</v>
      </c>
      <c r="C86" s="242" t="s">
        <v>648</v>
      </c>
      <c r="D86" s="435"/>
      <c r="E86" s="92"/>
      <c r="F86" s="183"/>
      <c r="G86" s="167"/>
      <c r="H86" s="252">
        <f>+H82+H79+H71</f>
        <v>874390</v>
      </c>
      <c r="M86" s="183"/>
    </row>
    <row r="87" spans="2:13" ht="18.75" customHeight="1" x14ac:dyDescent="0.25">
      <c r="B87" s="249" t="s">
        <v>649</v>
      </c>
      <c r="C87" s="242" t="s">
        <v>650</v>
      </c>
      <c r="D87" s="435"/>
      <c r="E87" s="92"/>
      <c r="F87" s="184" t="str">
        <f>$J$5</f>
        <v>8,0 % x D</v>
      </c>
      <c r="G87" s="167"/>
      <c r="H87" s="253">
        <f>+H86*$K$5</f>
        <v>69951.199999999997</v>
      </c>
      <c r="M87" s="184" t="str">
        <f>$J$5</f>
        <v>8,0 % x D</v>
      </c>
    </row>
    <row r="88" spans="2:13" ht="18.75" customHeight="1" x14ac:dyDescent="0.25">
      <c r="B88" s="249" t="s">
        <v>651</v>
      </c>
      <c r="C88" s="243" t="s">
        <v>652</v>
      </c>
      <c r="D88" s="435"/>
      <c r="E88" s="91"/>
      <c r="F88" s="185"/>
      <c r="G88" s="168"/>
      <c r="H88" s="254">
        <f>ROUNDUP((H87+H86)/100,0)*100</f>
        <v>944400</v>
      </c>
      <c r="M88" s="185"/>
    </row>
    <row r="89" spans="2:13" ht="18.75" customHeight="1" x14ac:dyDescent="0.25">
      <c r="B89" s="259"/>
      <c r="C89" s="258"/>
      <c r="D89" s="245"/>
      <c r="E89" s="246"/>
      <c r="F89" s="247"/>
      <c r="G89" s="298"/>
      <c r="H89" s="260"/>
      <c r="M89" s="247"/>
    </row>
    <row r="90" spans="2:13" ht="18.75" customHeight="1" x14ac:dyDescent="0.25">
      <c r="B90" s="20"/>
      <c r="C90" s="93"/>
      <c r="D90" s="19"/>
      <c r="E90" s="21"/>
      <c r="F90" s="176"/>
      <c r="G90" s="165"/>
      <c r="H90" s="119"/>
      <c r="M90" s="176"/>
    </row>
    <row r="91" spans="2:13" ht="18.75" customHeight="1" x14ac:dyDescent="0.25">
      <c r="B91" s="19">
        <v>4</v>
      </c>
      <c r="C91" s="93" t="s">
        <v>1782</v>
      </c>
      <c r="D91" s="19"/>
      <c r="E91" s="21"/>
      <c r="F91" s="176"/>
      <c r="G91" s="165"/>
      <c r="H91" s="119"/>
      <c r="M91" s="176"/>
    </row>
    <row r="92" spans="2:13" ht="18.75" customHeight="1" x14ac:dyDescent="0.25">
      <c r="B92" s="618" t="s">
        <v>620</v>
      </c>
      <c r="C92" s="620" t="s">
        <v>621</v>
      </c>
      <c r="D92" s="618" t="s">
        <v>622</v>
      </c>
      <c r="E92" s="618" t="s">
        <v>2</v>
      </c>
      <c r="F92" s="615" t="s">
        <v>623</v>
      </c>
      <c r="G92" s="289" t="s">
        <v>624</v>
      </c>
      <c r="H92" s="256" t="s">
        <v>625</v>
      </c>
      <c r="M92" s="615" t="s">
        <v>623</v>
      </c>
    </row>
    <row r="93" spans="2:13" ht="18.75" customHeight="1" x14ac:dyDescent="0.25">
      <c r="B93" s="619"/>
      <c r="C93" s="621"/>
      <c r="D93" s="619"/>
      <c r="E93" s="619"/>
      <c r="F93" s="616"/>
      <c r="G93" s="289" t="s">
        <v>626</v>
      </c>
      <c r="H93" s="256" t="s">
        <v>626</v>
      </c>
      <c r="M93" s="616"/>
    </row>
    <row r="94" spans="2:13" ht="18.75" customHeight="1" x14ac:dyDescent="0.25">
      <c r="B94" s="221"/>
      <c r="C94" s="222"/>
      <c r="D94" s="221"/>
      <c r="E94" s="550"/>
      <c r="F94" s="555"/>
      <c r="G94" s="551"/>
      <c r="H94" s="220"/>
      <c r="M94" s="590"/>
    </row>
    <row r="95" spans="2:13" ht="18.75" customHeight="1" x14ac:dyDescent="0.25">
      <c r="B95" s="550" t="s">
        <v>627</v>
      </c>
      <c r="C95" s="223" t="s">
        <v>628</v>
      </c>
      <c r="D95" s="550"/>
      <c r="E95" s="224"/>
      <c r="F95" s="225"/>
      <c r="G95" s="290"/>
      <c r="H95" s="226"/>
      <c r="M95" s="225"/>
    </row>
    <row r="96" spans="2:13" ht="18.75" customHeight="1" x14ac:dyDescent="0.25">
      <c r="B96" s="550"/>
      <c r="C96" s="223" t="s">
        <v>629</v>
      </c>
      <c r="D96" s="550" t="s">
        <v>630</v>
      </c>
      <c r="E96" s="224" t="s">
        <v>631</v>
      </c>
      <c r="F96" s="228">
        <f t="shared" ref="F96:F99" si="6">$K$8*M96</f>
        <v>0.1</v>
      </c>
      <c r="G96" s="229">
        <f>G67</f>
        <v>95000</v>
      </c>
      <c r="H96" s="230">
        <f>+G96*F96</f>
        <v>9500</v>
      </c>
      <c r="M96" s="228">
        <v>0.1</v>
      </c>
    </row>
    <row r="97" spans="2:13" ht="18.75" customHeight="1" x14ac:dyDescent="0.25">
      <c r="B97" s="550"/>
      <c r="C97" s="223" t="s">
        <v>1508</v>
      </c>
      <c r="D97" s="550" t="s">
        <v>632</v>
      </c>
      <c r="E97" s="224" t="s">
        <v>631</v>
      </c>
      <c r="F97" s="228">
        <f t="shared" si="6"/>
        <v>0.1</v>
      </c>
      <c r="G97" s="229">
        <f>G68</f>
        <v>110000</v>
      </c>
      <c r="H97" s="230">
        <f>+G97*F97</f>
        <v>11000</v>
      </c>
      <c r="M97" s="228">
        <v>0.1</v>
      </c>
    </row>
    <row r="98" spans="2:13" ht="18.75" customHeight="1" x14ac:dyDescent="0.25">
      <c r="B98" s="550"/>
      <c r="C98" s="223" t="s">
        <v>633</v>
      </c>
      <c r="D98" s="550" t="s">
        <v>634</v>
      </c>
      <c r="E98" s="224" t="s">
        <v>631</v>
      </c>
      <c r="F98" s="228">
        <f t="shared" si="6"/>
        <v>0.01</v>
      </c>
      <c r="G98" s="229">
        <f>G69</f>
        <v>115000</v>
      </c>
      <c r="H98" s="230">
        <f>+G98*F98</f>
        <v>1150</v>
      </c>
      <c r="M98" s="228">
        <v>0.01</v>
      </c>
    </row>
    <row r="99" spans="2:13" ht="18.75" customHeight="1" x14ac:dyDescent="0.25">
      <c r="B99" s="550"/>
      <c r="C99" s="223" t="s">
        <v>600</v>
      </c>
      <c r="D99" s="550" t="s">
        <v>635</v>
      </c>
      <c r="E99" s="224" t="s">
        <v>631</v>
      </c>
      <c r="F99" s="228">
        <f t="shared" si="6"/>
        <v>5.0000000000000001E-3</v>
      </c>
      <c r="G99" s="229">
        <f>G70</f>
        <v>140000</v>
      </c>
      <c r="H99" s="230">
        <f>+G99*F99</f>
        <v>700</v>
      </c>
      <c r="M99" s="228">
        <v>5.0000000000000001E-3</v>
      </c>
    </row>
    <row r="100" spans="2:13" ht="18.75" customHeight="1" x14ac:dyDescent="0.25">
      <c r="B100" s="550"/>
      <c r="C100" s="223"/>
      <c r="D100" s="550"/>
      <c r="E100" s="224"/>
      <c r="F100" s="237" t="s">
        <v>636</v>
      </c>
      <c r="G100" s="290"/>
      <c r="H100" s="231">
        <f>SUM(H96:H99)</f>
        <v>22350</v>
      </c>
      <c r="M100" s="237" t="s">
        <v>636</v>
      </c>
    </row>
    <row r="101" spans="2:13" ht="18.75" customHeight="1" x14ac:dyDescent="0.25">
      <c r="B101" s="550" t="s">
        <v>637</v>
      </c>
      <c r="C101" s="223" t="s">
        <v>638</v>
      </c>
      <c r="D101" s="550"/>
      <c r="E101" s="224"/>
      <c r="F101" s="225"/>
      <c r="G101" s="290"/>
      <c r="H101" s="226"/>
      <c r="K101" s="51"/>
      <c r="M101" s="225"/>
    </row>
    <row r="102" spans="2:13" ht="18.75" customHeight="1" x14ac:dyDescent="0.25">
      <c r="B102" s="550"/>
      <c r="C102" s="232" t="s">
        <v>657</v>
      </c>
      <c r="D102" s="550"/>
      <c r="E102" s="550" t="s">
        <v>52</v>
      </c>
      <c r="F102" s="233">
        <v>1E-3</v>
      </c>
      <c r="G102" s="229">
        <f>Bahan!D241</f>
        <v>3900000</v>
      </c>
      <c r="H102" s="230">
        <f>+G102*F102</f>
        <v>3900</v>
      </c>
      <c r="M102" s="233">
        <v>1E-3</v>
      </c>
    </row>
    <row r="103" spans="2:13" ht="18.75" customHeight="1" x14ac:dyDescent="0.25">
      <c r="B103" s="550"/>
      <c r="C103" s="223" t="s">
        <v>658</v>
      </c>
      <c r="D103" s="550"/>
      <c r="E103" s="550" t="s">
        <v>62</v>
      </c>
      <c r="F103" s="233">
        <v>0.02</v>
      </c>
      <c r="G103" s="229">
        <f>+G50</f>
        <v>25000</v>
      </c>
      <c r="H103" s="230">
        <f>+G103*F103</f>
        <v>500</v>
      </c>
      <c r="M103" s="233">
        <v>0.02</v>
      </c>
    </row>
    <row r="104" spans="2:13" ht="18.75" customHeight="1" x14ac:dyDescent="0.25">
      <c r="B104" s="550"/>
      <c r="C104" s="223" t="s">
        <v>1470</v>
      </c>
      <c r="D104" s="550"/>
      <c r="E104" s="550" t="s">
        <v>52</v>
      </c>
      <c r="F104" s="233">
        <v>1E-3</v>
      </c>
      <c r="G104" s="229">
        <f>Bahan!D261</f>
        <v>7125000</v>
      </c>
      <c r="H104" s="230">
        <f>+G104*F104</f>
        <v>7125</v>
      </c>
      <c r="J104" s="557" t="s">
        <v>236</v>
      </c>
      <c r="M104" s="233">
        <v>1E-3</v>
      </c>
    </row>
    <row r="105" spans="2:13" ht="18.75" customHeight="1" x14ac:dyDescent="0.25">
      <c r="B105" s="550"/>
      <c r="C105" s="223"/>
      <c r="D105" s="550"/>
      <c r="E105" s="224"/>
      <c r="F105" s="237" t="s">
        <v>643</v>
      </c>
      <c r="G105" s="290"/>
      <c r="H105" s="231">
        <f>SUM(H102:H104)</f>
        <v>11525</v>
      </c>
      <c r="M105" s="237" t="s">
        <v>643</v>
      </c>
    </row>
    <row r="106" spans="2:13" ht="18.75" customHeight="1" x14ac:dyDescent="0.25">
      <c r="B106" s="550"/>
      <c r="C106" s="223"/>
      <c r="D106" s="550"/>
      <c r="E106" s="224"/>
      <c r="F106" s="225"/>
      <c r="G106" s="290"/>
      <c r="H106" s="226"/>
      <c r="M106" s="225"/>
    </row>
    <row r="107" spans="2:13" ht="18.75" customHeight="1" x14ac:dyDescent="0.25">
      <c r="B107" s="550" t="s">
        <v>644</v>
      </c>
      <c r="C107" s="223" t="s">
        <v>645</v>
      </c>
      <c r="D107" s="550"/>
      <c r="E107" s="224"/>
      <c r="F107" s="225"/>
      <c r="G107" s="290"/>
      <c r="H107" s="235"/>
      <c r="M107" s="225"/>
    </row>
    <row r="108" spans="2:13" ht="18.75" customHeight="1" x14ac:dyDescent="0.25">
      <c r="B108" s="236"/>
      <c r="C108" s="232"/>
      <c r="D108" s="550"/>
      <c r="E108" s="224"/>
      <c r="F108" s="237" t="s">
        <v>646</v>
      </c>
      <c r="G108" s="290"/>
      <c r="H108" s="230">
        <f>SUM(H107:H107)</f>
        <v>0</v>
      </c>
      <c r="M108" s="237" t="s">
        <v>646</v>
      </c>
    </row>
    <row r="109" spans="2:13" ht="18.75" customHeight="1" x14ac:dyDescent="0.25">
      <c r="B109" s="236"/>
      <c r="C109" s="232"/>
      <c r="D109" s="550"/>
      <c r="E109" s="224"/>
      <c r="F109" s="237"/>
      <c r="G109" s="290"/>
      <c r="H109" s="226"/>
      <c r="M109" s="237"/>
    </row>
    <row r="110" spans="2:13" ht="18.75" customHeight="1" x14ac:dyDescent="0.25">
      <c r="B110" s="248"/>
      <c r="C110" s="238"/>
      <c r="D110" s="239"/>
      <c r="E110" s="240"/>
      <c r="F110" s="241"/>
      <c r="G110" s="291"/>
      <c r="H110" s="251"/>
      <c r="M110" s="241"/>
    </row>
    <row r="111" spans="2:13" ht="18.75" customHeight="1" x14ac:dyDescent="0.25">
      <c r="B111" s="249" t="s">
        <v>647</v>
      </c>
      <c r="C111" s="104" t="s">
        <v>648</v>
      </c>
      <c r="D111" s="435"/>
      <c r="E111" s="92"/>
      <c r="F111" s="183"/>
      <c r="G111" s="167"/>
      <c r="H111" s="252">
        <f>+H108+H105+H100</f>
        <v>33875</v>
      </c>
      <c r="M111" s="183"/>
    </row>
    <row r="112" spans="2:13" ht="18.75" customHeight="1" x14ac:dyDescent="0.25">
      <c r="B112" s="249" t="s">
        <v>649</v>
      </c>
      <c r="C112" s="242" t="s">
        <v>650</v>
      </c>
      <c r="D112" s="435"/>
      <c r="E112" s="92"/>
      <c r="F112" s="184" t="str">
        <f>$J$5</f>
        <v>8,0 % x D</v>
      </c>
      <c r="G112" s="167"/>
      <c r="H112" s="253">
        <f>+H111*$K$5</f>
        <v>2710</v>
      </c>
      <c r="M112" s="184" t="str">
        <f>$J$5</f>
        <v>8,0 % x D</v>
      </c>
    </row>
    <row r="113" spans="2:13" ht="18.75" customHeight="1" x14ac:dyDescent="0.25">
      <c r="B113" s="249" t="s">
        <v>651</v>
      </c>
      <c r="C113" s="111" t="s">
        <v>652</v>
      </c>
      <c r="D113" s="435"/>
      <c r="E113" s="91"/>
      <c r="F113" s="185"/>
      <c r="G113" s="168"/>
      <c r="H113" s="254">
        <f>ROUNDUP((H112+H111)/100,0)*100</f>
        <v>36600</v>
      </c>
      <c r="J113" s="471"/>
      <c r="M113" s="185"/>
    </row>
    <row r="114" spans="2:13" ht="18.75" customHeight="1" x14ac:dyDescent="0.25">
      <c r="B114" s="259"/>
      <c r="C114" s="261"/>
      <c r="D114" s="245"/>
      <c r="E114" s="246"/>
      <c r="F114" s="247"/>
      <c r="G114" s="298"/>
      <c r="H114" s="260"/>
      <c r="M114" s="247"/>
    </row>
    <row r="115" spans="2:13" ht="18.75" customHeight="1" x14ac:dyDescent="0.25">
      <c r="B115" s="20"/>
      <c r="C115" s="93"/>
      <c r="D115" s="19"/>
      <c r="E115" s="21"/>
      <c r="F115" s="176"/>
      <c r="G115" s="165"/>
      <c r="H115" s="119"/>
      <c r="M115" s="176"/>
    </row>
    <row r="116" spans="2:13" ht="18.75" customHeight="1" x14ac:dyDescent="0.25">
      <c r="B116" s="19">
        <f>+B91+1</f>
        <v>5</v>
      </c>
      <c r="C116" s="93" t="s">
        <v>659</v>
      </c>
      <c r="D116" s="19"/>
      <c r="E116" s="21"/>
      <c r="F116" s="176"/>
      <c r="G116" s="288"/>
      <c r="H116" s="119"/>
      <c r="M116" s="176"/>
    </row>
    <row r="117" spans="2:13" ht="18.75" customHeight="1" x14ac:dyDescent="0.25">
      <c r="B117" s="618" t="s">
        <v>620</v>
      </c>
      <c r="C117" s="620" t="s">
        <v>621</v>
      </c>
      <c r="D117" s="618" t="s">
        <v>622</v>
      </c>
      <c r="E117" s="618" t="s">
        <v>2</v>
      </c>
      <c r="F117" s="615" t="s">
        <v>623</v>
      </c>
      <c r="G117" s="289" t="s">
        <v>624</v>
      </c>
      <c r="H117" s="256" t="s">
        <v>625</v>
      </c>
      <c r="M117" s="615" t="s">
        <v>623</v>
      </c>
    </row>
    <row r="118" spans="2:13" ht="18.75" customHeight="1" x14ac:dyDescent="0.25">
      <c r="B118" s="619"/>
      <c r="C118" s="621"/>
      <c r="D118" s="619"/>
      <c r="E118" s="619"/>
      <c r="F118" s="616"/>
      <c r="G118" s="289" t="s">
        <v>626</v>
      </c>
      <c r="H118" s="256" t="s">
        <v>626</v>
      </c>
      <c r="M118" s="616"/>
    </row>
    <row r="119" spans="2:13" ht="18.75" customHeight="1" x14ac:dyDescent="0.25">
      <c r="B119" s="221"/>
      <c r="C119" s="222"/>
      <c r="D119" s="221"/>
      <c r="E119" s="550"/>
      <c r="F119" s="555"/>
      <c r="G119" s="551"/>
      <c r="H119" s="220"/>
      <c r="M119" s="590"/>
    </row>
    <row r="120" spans="2:13" ht="18.75" customHeight="1" x14ac:dyDescent="0.25">
      <c r="B120" s="550" t="s">
        <v>627</v>
      </c>
      <c r="C120" s="223" t="s">
        <v>628</v>
      </c>
      <c r="D120" s="550"/>
      <c r="E120" s="224"/>
      <c r="F120" s="225"/>
      <c r="G120" s="290"/>
      <c r="H120" s="226"/>
      <c r="M120" s="225"/>
    </row>
    <row r="121" spans="2:13" ht="18.75" customHeight="1" x14ac:dyDescent="0.25">
      <c r="B121" s="550"/>
      <c r="C121" s="223" t="s">
        <v>629</v>
      </c>
      <c r="D121" s="550" t="s">
        <v>630</v>
      </c>
      <c r="E121" s="224" t="s">
        <v>631</v>
      </c>
      <c r="F121" s="228">
        <f t="shared" ref="F121:F125" si="7">$K$8*M121</f>
        <v>2</v>
      </c>
      <c r="G121" s="229">
        <f>G96</f>
        <v>95000</v>
      </c>
      <c r="H121" s="230">
        <f>+G121*F121</f>
        <v>190000</v>
      </c>
      <c r="M121" s="228">
        <v>2</v>
      </c>
    </row>
    <row r="122" spans="2:13" ht="18.75" customHeight="1" x14ac:dyDescent="0.25">
      <c r="B122" s="550"/>
      <c r="C122" s="223" t="s">
        <v>1508</v>
      </c>
      <c r="D122" s="550" t="s">
        <v>632</v>
      </c>
      <c r="E122" s="224" t="s">
        <v>631</v>
      </c>
      <c r="F122" s="228">
        <f t="shared" si="7"/>
        <v>2</v>
      </c>
      <c r="G122" s="229">
        <f>G97</f>
        <v>110000</v>
      </c>
      <c r="H122" s="230">
        <f>+G122*F122</f>
        <v>220000</v>
      </c>
      <c r="M122" s="228">
        <v>2</v>
      </c>
    </row>
    <row r="123" spans="2:13" ht="18.75" customHeight="1" x14ac:dyDescent="0.25">
      <c r="B123" s="550"/>
      <c r="C123" s="223" t="s">
        <v>1508</v>
      </c>
      <c r="D123" s="550" t="s">
        <v>632</v>
      </c>
      <c r="E123" s="224" t="s">
        <v>631</v>
      </c>
      <c r="F123" s="228">
        <f t="shared" si="7"/>
        <v>1</v>
      </c>
      <c r="G123" s="229">
        <f>Upah!E13</f>
        <v>110000</v>
      </c>
      <c r="H123" s="230">
        <f>+G123*F123</f>
        <v>110000</v>
      </c>
      <c r="M123" s="228">
        <v>1</v>
      </c>
    </row>
    <row r="124" spans="2:13" ht="18.75" customHeight="1" x14ac:dyDescent="0.25">
      <c r="B124" s="550"/>
      <c r="C124" s="223" t="s">
        <v>633</v>
      </c>
      <c r="D124" s="550" t="s">
        <v>634</v>
      </c>
      <c r="E124" s="224" t="s">
        <v>631</v>
      </c>
      <c r="F124" s="228">
        <f t="shared" si="7"/>
        <v>0.3</v>
      </c>
      <c r="G124" s="229">
        <f>G98</f>
        <v>115000</v>
      </c>
      <c r="H124" s="230">
        <f>+G124*F124</f>
        <v>34500</v>
      </c>
      <c r="M124" s="228">
        <v>0.3</v>
      </c>
    </row>
    <row r="125" spans="2:13" ht="18.75" customHeight="1" x14ac:dyDescent="0.25">
      <c r="B125" s="550"/>
      <c r="C125" s="223" t="s">
        <v>600</v>
      </c>
      <c r="D125" s="550" t="s">
        <v>635</v>
      </c>
      <c r="E125" s="224" t="s">
        <v>631</v>
      </c>
      <c r="F125" s="228">
        <f t="shared" si="7"/>
        <v>0.05</v>
      </c>
      <c r="G125" s="229">
        <f>G99</f>
        <v>140000</v>
      </c>
      <c r="H125" s="230">
        <f>+G125*F125</f>
        <v>7000</v>
      </c>
      <c r="M125" s="228">
        <v>0.05</v>
      </c>
    </row>
    <row r="126" spans="2:13" ht="18.75" customHeight="1" x14ac:dyDescent="0.25">
      <c r="B126" s="550"/>
      <c r="C126" s="223"/>
      <c r="D126" s="550"/>
      <c r="E126" s="224"/>
      <c r="F126" s="237" t="s">
        <v>636</v>
      </c>
      <c r="G126" s="290"/>
      <c r="H126" s="231">
        <f>SUM(H121:H125)</f>
        <v>561500</v>
      </c>
      <c r="M126" s="237" t="s">
        <v>636</v>
      </c>
    </row>
    <row r="127" spans="2:13" ht="18.75" customHeight="1" x14ac:dyDescent="0.25">
      <c r="B127" s="550" t="s">
        <v>637</v>
      </c>
      <c r="C127" s="223" t="s">
        <v>638</v>
      </c>
      <c r="D127" s="550"/>
      <c r="E127" s="224"/>
      <c r="F127" s="225"/>
      <c r="G127" s="290"/>
      <c r="H127" s="226"/>
      <c r="M127" s="225"/>
    </row>
    <row r="128" spans="2:13" ht="18.75" customHeight="1" x14ac:dyDescent="0.25">
      <c r="B128" s="550"/>
      <c r="C128" s="232" t="s">
        <v>1444</v>
      </c>
      <c r="D128" s="550"/>
      <c r="E128" s="550" t="s">
        <v>612</v>
      </c>
      <c r="F128" s="233">
        <v>1.25</v>
      </c>
      <c r="G128" s="234">
        <f>+G44</f>
        <v>34500</v>
      </c>
      <c r="H128" s="235">
        <f t="shared" ref="H128:H141" si="8">+G128*F128</f>
        <v>43125</v>
      </c>
      <c r="M128" s="233">
        <v>1.25</v>
      </c>
    </row>
    <row r="129" spans="2:13" ht="18.75" customHeight="1" x14ac:dyDescent="0.25">
      <c r="B129" s="550"/>
      <c r="C129" s="232" t="s">
        <v>657</v>
      </c>
      <c r="D129" s="550"/>
      <c r="E129" s="550" t="s">
        <v>52</v>
      </c>
      <c r="F129" s="233">
        <v>0.18</v>
      </c>
      <c r="G129" s="262">
        <f>G102</f>
        <v>3900000</v>
      </c>
      <c r="H129" s="235">
        <f t="shared" si="8"/>
        <v>702000</v>
      </c>
      <c r="M129" s="233">
        <v>0.18</v>
      </c>
    </row>
    <row r="130" spans="2:13" ht="18.75" customHeight="1" x14ac:dyDescent="0.25">
      <c r="B130" s="550"/>
      <c r="C130" s="223" t="s">
        <v>660</v>
      </c>
      <c r="D130" s="550"/>
      <c r="E130" s="550" t="s">
        <v>5</v>
      </c>
      <c r="F130" s="233">
        <v>0.08</v>
      </c>
      <c r="G130" s="234">
        <f>G103</f>
        <v>25000</v>
      </c>
      <c r="H130" s="235">
        <f t="shared" si="8"/>
        <v>2000</v>
      </c>
      <c r="M130" s="233">
        <v>0.08</v>
      </c>
    </row>
    <row r="131" spans="2:13" ht="18.75" customHeight="1" x14ac:dyDescent="0.25">
      <c r="B131" s="550"/>
      <c r="C131" s="223" t="s">
        <v>331</v>
      </c>
      <c r="D131" s="550"/>
      <c r="E131" s="550" t="s">
        <v>5</v>
      </c>
      <c r="F131" s="233">
        <v>1.1000000000000001</v>
      </c>
      <c r="G131" s="234">
        <f>Bahan!D131</f>
        <v>25000</v>
      </c>
      <c r="H131" s="235">
        <f t="shared" si="8"/>
        <v>27500.000000000004</v>
      </c>
      <c r="M131" s="233">
        <v>1.1000000000000001</v>
      </c>
    </row>
    <row r="132" spans="2:13" ht="18.75" customHeight="1" x14ac:dyDescent="0.25">
      <c r="B132" s="550"/>
      <c r="C132" s="223" t="s">
        <v>708</v>
      </c>
      <c r="D132" s="550"/>
      <c r="E132" s="550" t="s">
        <v>5</v>
      </c>
      <c r="F132" s="233">
        <v>35</v>
      </c>
      <c r="G132" s="234">
        <f>+G45</f>
        <v>1700</v>
      </c>
      <c r="H132" s="235">
        <f t="shared" si="8"/>
        <v>59500</v>
      </c>
      <c r="M132" s="233">
        <v>35</v>
      </c>
    </row>
    <row r="133" spans="2:13" ht="18.75" customHeight="1" x14ac:dyDescent="0.25">
      <c r="B133" s="550"/>
      <c r="C133" s="223" t="s">
        <v>661</v>
      </c>
      <c r="D133" s="550"/>
      <c r="E133" s="550" t="s">
        <v>52</v>
      </c>
      <c r="F133" s="233">
        <v>0.15</v>
      </c>
      <c r="G133" s="234">
        <f>Bahan!D90</f>
        <v>230000</v>
      </c>
      <c r="H133" s="230">
        <f t="shared" si="8"/>
        <v>34500</v>
      </c>
      <c r="M133" s="233">
        <v>0.15</v>
      </c>
    </row>
    <row r="134" spans="2:13" ht="18.75" customHeight="1" x14ac:dyDescent="0.25">
      <c r="B134" s="550"/>
      <c r="C134" s="223" t="s">
        <v>662</v>
      </c>
      <c r="D134" s="550"/>
      <c r="E134" s="550" t="s">
        <v>8</v>
      </c>
      <c r="F134" s="233">
        <v>0.1</v>
      </c>
      <c r="G134" s="234">
        <f>G76</f>
        <v>230000</v>
      </c>
      <c r="H134" s="235">
        <f t="shared" si="8"/>
        <v>23000</v>
      </c>
      <c r="M134" s="233">
        <v>0.1</v>
      </c>
    </row>
    <row r="135" spans="2:13" ht="18.75" customHeight="1" x14ac:dyDescent="0.25">
      <c r="B135" s="550"/>
      <c r="C135" s="223" t="s">
        <v>639</v>
      </c>
      <c r="D135" s="550"/>
      <c r="E135" s="550" t="s">
        <v>8</v>
      </c>
      <c r="F135" s="233">
        <v>0.15</v>
      </c>
      <c r="G135" s="234">
        <f>G77</f>
        <v>335000</v>
      </c>
      <c r="H135" s="235">
        <f t="shared" si="8"/>
        <v>50250</v>
      </c>
      <c r="M135" s="233">
        <v>0.15</v>
      </c>
    </row>
    <row r="136" spans="2:13" ht="18.75" customHeight="1" x14ac:dyDescent="0.25">
      <c r="B136" s="550"/>
      <c r="C136" s="223" t="s">
        <v>663</v>
      </c>
      <c r="D136" s="550"/>
      <c r="E136" s="550" t="s">
        <v>28</v>
      </c>
      <c r="F136" s="233">
        <v>30</v>
      </c>
      <c r="G136" s="234">
        <f>Bahan!D69</f>
        <v>3750</v>
      </c>
      <c r="H136" s="235">
        <f t="shared" si="8"/>
        <v>112500</v>
      </c>
      <c r="M136" s="233">
        <v>30</v>
      </c>
    </row>
    <row r="137" spans="2:13" ht="18.75" customHeight="1" x14ac:dyDescent="0.25">
      <c r="B137" s="550"/>
      <c r="C137" s="223" t="s">
        <v>664</v>
      </c>
      <c r="D137" s="550"/>
      <c r="E137" s="550" t="s">
        <v>18</v>
      </c>
      <c r="F137" s="233">
        <v>0.25</v>
      </c>
      <c r="G137" s="234">
        <f>Bahan!D491</f>
        <v>85000</v>
      </c>
      <c r="H137" s="235">
        <f t="shared" si="8"/>
        <v>21250</v>
      </c>
      <c r="M137" s="233">
        <v>0.25</v>
      </c>
    </row>
    <row r="138" spans="2:13" ht="18.75" customHeight="1" x14ac:dyDescent="0.25">
      <c r="B138" s="550"/>
      <c r="C138" s="223" t="s">
        <v>665</v>
      </c>
      <c r="D138" s="550"/>
      <c r="E138" s="550" t="s">
        <v>16</v>
      </c>
      <c r="F138" s="233">
        <v>0.2</v>
      </c>
      <c r="G138" s="234">
        <f>Bahan!D216</f>
        <v>41000</v>
      </c>
      <c r="H138" s="235">
        <f t="shared" si="8"/>
        <v>8200</v>
      </c>
      <c r="M138" s="233">
        <v>0.2</v>
      </c>
    </row>
    <row r="139" spans="2:13" ht="18.75" customHeight="1" x14ac:dyDescent="0.25">
      <c r="B139" s="550"/>
      <c r="C139" s="223" t="s">
        <v>1471</v>
      </c>
      <c r="D139" s="550"/>
      <c r="E139" s="550" t="s">
        <v>58</v>
      </c>
      <c r="F139" s="233">
        <v>0.08</v>
      </c>
      <c r="G139" s="234">
        <f>Bahan!D219</f>
        <v>100000</v>
      </c>
      <c r="H139" s="235">
        <f t="shared" si="8"/>
        <v>8000</v>
      </c>
      <c r="M139" s="233">
        <v>0.08</v>
      </c>
    </row>
    <row r="140" spans="2:13" ht="18.75" customHeight="1" x14ac:dyDescent="0.25">
      <c r="B140" s="550"/>
      <c r="C140" s="223" t="s">
        <v>666</v>
      </c>
      <c r="D140" s="550"/>
      <c r="E140" s="550" t="s">
        <v>16</v>
      </c>
      <c r="F140" s="233">
        <v>0.15</v>
      </c>
      <c r="G140" s="234">
        <f>Bahan!D326</f>
        <v>142000</v>
      </c>
      <c r="H140" s="235">
        <f t="shared" si="8"/>
        <v>21300</v>
      </c>
      <c r="M140" s="233">
        <v>0.15</v>
      </c>
    </row>
    <row r="141" spans="2:13" ht="18.75" customHeight="1" x14ac:dyDescent="0.25">
      <c r="B141" s="550"/>
      <c r="C141" s="223" t="s">
        <v>486</v>
      </c>
      <c r="D141" s="550"/>
      <c r="E141" s="550" t="s">
        <v>18</v>
      </c>
      <c r="F141" s="233">
        <v>7.4999999999999997E-2</v>
      </c>
      <c r="G141" s="234">
        <f>Bahan!D538</f>
        <v>114000</v>
      </c>
      <c r="H141" s="235">
        <f t="shared" si="8"/>
        <v>8550</v>
      </c>
      <c r="M141" s="233">
        <v>7.4999999999999997E-2</v>
      </c>
    </row>
    <row r="142" spans="2:13" ht="18.75" customHeight="1" x14ac:dyDescent="0.25">
      <c r="B142" s="550"/>
      <c r="C142" s="223"/>
      <c r="D142" s="550"/>
      <c r="E142" s="224"/>
      <c r="F142" s="237" t="s">
        <v>643</v>
      </c>
      <c r="G142" s="290"/>
      <c r="H142" s="231">
        <f>SUM(H128:H141)</f>
        <v>1121675</v>
      </c>
      <c r="M142" s="237" t="s">
        <v>643</v>
      </c>
    </row>
    <row r="143" spans="2:13" ht="18.75" customHeight="1" x14ac:dyDescent="0.25">
      <c r="B143" s="550"/>
      <c r="C143" s="223"/>
      <c r="D143" s="550"/>
      <c r="E143" s="224"/>
      <c r="F143" s="225"/>
      <c r="G143" s="290"/>
      <c r="H143" s="226"/>
      <c r="M143" s="225"/>
    </row>
    <row r="144" spans="2:13" ht="18.75" customHeight="1" x14ac:dyDescent="0.25">
      <c r="B144" s="550" t="s">
        <v>644</v>
      </c>
      <c r="C144" s="223" t="s">
        <v>645</v>
      </c>
      <c r="D144" s="550"/>
      <c r="E144" s="224"/>
      <c r="F144" s="225"/>
      <c r="G144" s="290"/>
      <c r="H144" s="235"/>
      <c r="M144" s="225"/>
    </row>
    <row r="145" spans="2:13" ht="18.75" customHeight="1" x14ac:dyDescent="0.25">
      <c r="B145" s="236"/>
      <c r="C145" s="232"/>
      <c r="D145" s="550"/>
      <c r="E145" s="224"/>
      <c r="F145" s="237" t="s">
        <v>646</v>
      </c>
      <c r="G145" s="290"/>
      <c r="H145" s="230">
        <f>SUM(H144:H144)</f>
        <v>0</v>
      </c>
      <c r="M145" s="237" t="s">
        <v>646</v>
      </c>
    </row>
    <row r="146" spans="2:13" ht="18.75" customHeight="1" x14ac:dyDescent="0.25">
      <c r="B146" s="236"/>
      <c r="C146" s="232"/>
      <c r="D146" s="550"/>
      <c r="E146" s="224"/>
      <c r="F146" s="237"/>
      <c r="G146" s="290"/>
      <c r="H146" s="226"/>
      <c r="M146" s="237"/>
    </row>
    <row r="147" spans="2:13" ht="18.75" customHeight="1" x14ac:dyDescent="0.25">
      <c r="B147" s="248"/>
      <c r="C147" s="238"/>
      <c r="D147" s="239"/>
      <c r="E147" s="240"/>
      <c r="F147" s="241"/>
      <c r="G147" s="291"/>
      <c r="H147" s="251"/>
      <c r="M147" s="241"/>
    </row>
    <row r="148" spans="2:13" ht="18.75" customHeight="1" x14ac:dyDescent="0.25">
      <c r="B148" s="249" t="s">
        <v>647</v>
      </c>
      <c r="C148" s="104" t="s">
        <v>648</v>
      </c>
      <c r="D148" s="435"/>
      <c r="E148" s="92"/>
      <c r="F148" s="183"/>
      <c r="G148" s="167"/>
      <c r="H148" s="252">
        <f>+H145+H142+H126</f>
        <v>1683175</v>
      </c>
      <c r="M148" s="183"/>
    </row>
    <row r="149" spans="2:13" ht="18.75" customHeight="1" x14ac:dyDescent="0.25">
      <c r="B149" s="249" t="s">
        <v>649</v>
      </c>
      <c r="C149" s="242" t="s">
        <v>650</v>
      </c>
      <c r="D149" s="435"/>
      <c r="E149" s="92"/>
      <c r="F149" s="184" t="str">
        <f>$J$5</f>
        <v>8,0 % x D</v>
      </c>
      <c r="G149" s="167"/>
      <c r="H149" s="253">
        <f>+H148*$K$5</f>
        <v>134654</v>
      </c>
      <c r="M149" s="184" t="str">
        <f>$J$5</f>
        <v>8,0 % x D</v>
      </c>
    </row>
    <row r="150" spans="2:13" ht="18.75" customHeight="1" x14ac:dyDescent="0.25">
      <c r="B150" s="249" t="s">
        <v>651</v>
      </c>
      <c r="C150" s="111" t="s">
        <v>652</v>
      </c>
      <c r="D150" s="435"/>
      <c r="E150" s="91"/>
      <c r="F150" s="185"/>
      <c r="G150" s="168"/>
      <c r="H150" s="254">
        <f>ROUNDUP((H149+H148)/100,0)*100</f>
        <v>1817900</v>
      </c>
      <c r="M150" s="185"/>
    </row>
    <row r="151" spans="2:13" ht="18.75" customHeight="1" x14ac:dyDescent="0.25">
      <c r="B151" s="250"/>
      <c r="C151" s="261"/>
      <c r="D151" s="245"/>
      <c r="E151" s="263"/>
      <c r="F151" s="264"/>
      <c r="G151" s="302"/>
      <c r="H151" s="265"/>
      <c r="M151" s="264"/>
    </row>
    <row r="152" spans="2:13" ht="18.75" customHeight="1" x14ac:dyDescent="0.25">
      <c r="B152" s="18"/>
      <c r="C152" s="94"/>
      <c r="D152" s="18"/>
      <c r="G152" s="66"/>
      <c r="H152" s="138"/>
    </row>
    <row r="153" spans="2:13" ht="18.75" customHeight="1" x14ac:dyDescent="0.25">
      <c r="B153" s="19">
        <f>+B116+1</f>
        <v>6</v>
      </c>
      <c r="C153" s="93" t="s">
        <v>667</v>
      </c>
      <c r="D153" s="19"/>
      <c r="E153" s="21"/>
      <c r="F153" s="176"/>
      <c r="G153" s="165"/>
      <c r="H153" s="119"/>
      <c r="M153" s="176"/>
    </row>
    <row r="154" spans="2:13" ht="18.75" customHeight="1" x14ac:dyDescent="0.25">
      <c r="B154" s="618" t="s">
        <v>620</v>
      </c>
      <c r="C154" s="620" t="s">
        <v>621</v>
      </c>
      <c r="D154" s="618" t="s">
        <v>622</v>
      </c>
      <c r="E154" s="618" t="s">
        <v>2</v>
      </c>
      <c r="F154" s="615" t="s">
        <v>623</v>
      </c>
      <c r="G154" s="289" t="s">
        <v>624</v>
      </c>
      <c r="H154" s="256" t="s">
        <v>625</v>
      </c>
      <c r="M154" s="615" t="s">
        <v>623</v>
      </c>
    </row>
    <row r="155" spans="2:13" ht="18.75" customHeight="1" x14ac:dyDescent="0.25">
      <c r="B155" s="619"/>
      <c r="C155" s="621"/>
      <c r="D155" s="619"/>
      <c r="E155" s="619"/>
      <c r="F155" s="616"/>
      <c r="G155" s="289" t="s">
        <v>626</v>
      </c>
      <c r="H155" s="256" t="s">
        <v>626</v>
      </c>
      <c r="M155" s="616"/>
    </row>
    <row r="156" spans="2:13" ht="18.75" customHeight="1" x14ac:dyDescent="0.25">
      <c r="B156" s="221"/>
      <c r="C156" s="222"/>
      <c r="D156" s="221"/>
      <c r="E156" s="550"/>
      <c r="F156" s="555"/>
      <c r="G156" s="551"/>
      <c r="H156" s="220"/>
      <c r="M156" s="590"/>
    </row>
    <row r="157" spans="2:13" ht="18.75" customHeight="1" x14ac:dyDescent="0.25">
      <c r="B157" s="550" t="s">
        <v>627</v>
      </c>
      <c r="C157" s="223" t="s">
        <v>628</v>
      </c>
      <c r="D157" s="550"/>
      <c r="E157" s="224"/>
      <c r="F157" s="225"/>
      <c r="G157" s="290"/>
      <c r="H157" s="226"/>
      <c r="M157" s="225"/>
    </row>
    <row r="158" spans="2:13" ht="18.75" customHeight="1" x14ac:dyDescent="0.25">
      <c r="B158" s="550"/>
      <c r="C158" s="227" t="s">
        <v>629</v>
      </c>
      <c r="D158" s="550" t="s">
        <v>630</v>
      </c>
      <c r="E158" s="224" t="s">
        <v>631</v>
      </c>
      <c r="F158" s="228">
        <f t="shared" ref="F158:F161" si="9">$K$8*M158</f>
        <v>1</v>
      </c>
      <c r="G158" s="229">
        <f>G121</f>
        <v>95000</v>
      </c>
      <c r="H158" s="230">
        <f>+G158*F158</f>
        <v>95000</v>
      </c>
      <c r="M158" s="228">
        <v>1</v>
      </c>
    </row>
    <row r="159" spans="2:13" ht="18.75" customHeight="1" x14ac:dyDescent="0.25">
      <c r="B159" s="550"/>
      <c r="C159" s="227" t="s">
        <v>1508</v>
      </c>
      <c r="D159" s="550" t="s">
        <v>632</v>
      </c>
      <c r="E159" s="224" t="s">
        <v>631</v>
      </c>
      <c r="F159" s="228">
        <f t="shared" si="9"/>
        <v>1.5</v>
      </c>
      <c r="G159" s="229">
        <f>G122</f>
        <v>110000</v>
      </c>
      <c r="H159" s="230">
        <f>+G159*F159</f>
        <v>165000</v>
      </c>
      <c r="M159" s="228">
        <v>1.5</v>
      </c>
    </row>
    <row r="160" spans="2:13" ht="18.75" customHeight="1" x14ac:dyDescent="0.25">
      <c r="B160" s="550"/>
      <c r="C160" s="227" t="s">
        <v>633</v>
      </c>
      <c r="D160" s="550" t="s">
        <v>634</v>
      </c>
      <c r="E160" s="224" t="s">
        <v>631</v>
      </c>
      <c r="F160" s="228">
        <f t="shared" si="9"/>
        <v>0.15</v>
      </c>
      <c r="G160" s="229">
        <f>G124</f>
        <v>115000</v>
      </c>
      <c r="H160" s="230">
        <f>+G160*F160</f>
        <v>17250</v>
      </c>
      <c r="M160" s="228">
        <v>0.15</v>
      </c>
    </row>
    <row r="161" spans="2:13" ht="18.75" customHeight="1" x14ac:dyDescent="0.25">
      <c r="B161" s="550"/>
      <c r="C161" s="227" t="s">
        <v>600</v>
      </c>
      <c r="D161" s="550" t="s">
        <v>635</v>
      </c>
      <c r="E161" s="224" t="s">
        <v>631</v>
      </c>
      <c r="F161" s="228">
        <f t="shared" si="9"/>
        <v>0.05</v>
      </c>
      <c r="G161" s="229">
        <f>G125</f>
        <v>140000</v>
      </c>
      <c r="H161" s="230">
        <f>+G161*F161</f>
        <v>7000</v>
      </c>
      <c r="M161" s="228">
        <v>0.05</v>
      </c>
    </row>
    <row r="162" spans="2:13" ht="18.75" customHeight="1" x14ac:dyDescent="0.25">
      <c r="B162" s="550"/>
      <c r="C162" s="223"/>
      <c r="D162" s="550"/>
      <c r="E162" s="224"/>
      <c r="F162" s="237" t="s">
        <v>636</v>
      </c>
      <c r="G162" s="290"/>
      <c r="H162" s="231">
        <f>SUM(H158:H161)</f>
        <v>284250</v>
      </c>
      <c r="M162" s="237" t="s">
        <v>636</v>
      </c>
    </row>
    <row r="163" spans="2:13" ht="18.75" customHeight="1" x14ac:dyDescent="0.25">
      <c r="B163" s="550" t="s">
        <v>637</v>
      </c>
      <c r="C163" s="223" t="s">
        <v>638</v>
      </c>
      <c r="D163" s="550"/>
      <c r="E163" s="224"/>
      <c r="F163" s="225"/>
      <c r="G163" s="290"/>
      <c r="H163" s="226"/>
      <c r="M163" s="225"/>
    </row>
    <row r="164" spans="2:13" ht="18.75" customHeight="1" x14ac:dyDescent="0.25">
      <c r="B164" s="550"/>
      <c r="C164" s="232" t="s">
        <v>1444</v>
      </c>
      <c r="D164" s="550"/>
      <c r="E164" s="550" t="s">
        <v>612</v>
      </c>
      <c r="F164" s="233">
        <v>3</v>
      </c>
      <c r="G164" s="234">
        <f>G128</f>
        <v>34500</v>
      </c>
      <c r="H164" s="235">
        <f>+G164*F164</f>
        <v>103500</v>
      </c>
      <c r="M164" s="233">
        <v>3</v>
      </c>
    </row>
    <row r="165" spans="2:13" ht="18.75" customHeight="1" x14ac:dyDescent="0.25">
      <c r="B165" s="550"/>
      <c r="C165" s="223" t="s">
        <v>1236</v>
      </c>
      <c r="D165" s="550"/>
      <c r="E165" s="550" t="s">
        <v>52</v>
      </c>
      <c r="F165" s="233">
        <v>0.27600000000000002</v>
      </c>
      <c r="G165" s="234">
        <f>G129</f>
        <v>3900000</v>
      </c>
      <c r="H165" s="235">
        <f>+G165*F165</f>
        <v>1076400</v>
      </c>
      <c r="M165" s="233">
        <v>0.27600000000000002</v>
      </c>
    </row>
    <row r="166" spans="2:13" ht="18.75" customHeight="1" x14ac:dyDescent="0.25">
      <c r="B166" s="550"/>
      <c r="C166" s="223" t="s">
        <v>660</v>
      </c>
      <c r="D166" s="550"/>
      <c r="E166" s="550" t="s">
        <v>5</v>
      </c>
      <c r="F166" s="233">
        <v>0.7</v>
      </c>
      <c r="G166" s="234">
        <f>G130</f>
        <v>25000</v>
      </c>
      <c r="H166" s="235">
        <f>+G166*F166</f>
        <v>17500</v>
      </c>
      <c r="M166" s="233">
        <v>0.7</v>
      </c>
    </row>
    <row r="167" spans="2:13" ht="18.75" customHeight="1" x14ac:dyDescent="0.25">
      <c r="B167" s="550"/>
      <c r="C167" s="223" t="s">
        <v>653</v>
      </c>
      <c r="D167" s="550"/>
      <c r="E167" s="550" t="s">
        <v>28</v>
      </c>
      <c r="F167" s="233">
        <v>1.5</v>
      </c>
      <c r="G167" s="234">
        <f>G46</f>
        <v>55000</v>
      </c>
      <c r="H167" s="235">
        <f>+G167*F167</f>
        <v>82500</v>
      </c>
      <c r="M167" s="233">
        <v>1.5</v>
      </c>
    </row>
    <row r="168" spans="2:13" ht="18.75" customHeight="1" x14ac:dyDescent="0.25">
      <c r="B168" s="550"/>
      <c r="C168" s="223"/>
      <c r="D168" s="550"/>
      <c r="E168" s="224"/>
      <c r="F168" s="237" t="s">
        <v>643</v>
      </c>
      <c r="G168" s="290"/>
      <c r="H168" s="231">
        <f>SUM(H164:H167)</f>
        <v>1279900</v>
      </c>
      <c r="M168" s="237" t="s">
        <v>643</v>
      </c>
    </row>
    <row r="169" spans="2:13" ht="18.75" customHeight="1" x14ac:dyDescent="0.25">
      <c r="B169" s="550"/>
      <c r="C169" s="223"/>
      <c r="D169" s="550"/>
      <c r="E169" s="224"/>
      <c r="F169" s="225"/>
      <c r="G169" s="290"/>
      <c r="H169" s="226"/>
      <c r="M169" s="225"/>
    </row>
    <row r="170" spans="2:13" ht="18.75" customHeight="1" x14ac:dyDescent="0.25">
      <c r="B170" s="550" t="s">
        <v>644</v>
      </c>
      <c r="C170" s="223" t="s">
        <v>645</v>
      </c>
      <c r="D170" s="550"/>
      <c r="E170" s="224"/>
      <c r="F170" s="225"/>
      <c r="G170" s="290"/>
      <c r="H170" s="235"/>
      <c r="M170" s="225"/>
    </row>
    <row r="171" spans="2:13" ht="18.75" customHeight="1" x14ac:dyDescent="0.25">
      <c r="B171" s="236"/>
      <c r="C171" s="232"/>
      <c r="D171" s="550"/>
      <c r="E171" s="224"/>
      <c r="F171" s="237" t="s">
        <v>646</v>
      </c>
      <c r="G171" s="290"/>
      <c r="H171" s="230">
        <f>SUM(H170:H170)</f>
        <v>0</v>
      </c>
      <c r="M171" s="237" t="s">
        <v>646</v>
      </c>
    </row>
    <row r="172" spans="2:13" ht="18.75" customHeight="1" x14ac:dyDescent="0.25">
      <c r="B172" s="236"/>
      <c r="C172" s="232"/>
      <c r="D172" s="550"/>
      <c r="E172" s="224"/>
      <c r="F172" s="237"/>
      <c r="G172" s="290"/>
      <c r="H172" s="226"/>
      <c r="M172" s="237"/>
    </row>
    <row r="173" spans="2:13" ht="18.75" customHeight="1" x14ac:dyDescent="0.25">
      <c r="B173" s="248"/>
      <c r="C173" s="238"/>
      <c r="D173" s="239"/>
      <c r="E173" s="240"/>
      <c r="F173" s="241"/>
      <c r="G173" s="291"/>
      <c r="H173" s="251"/>
      <c r="M173" s="241"/>
    </row>
    <row r="174" spans="2:13" ht="18.75" customHeight="1" x14ac:dyDescent="0.25">
      <c r="B174" s="249" t="s">
        <v>647</v>
      </c>
      <c r="C174" s="104" t="s">
        <v>648</v>
      </c>
      <c r="D174" s="435"/>
      <c r="E174" s="92"/>
      <c r="F174" s="183"/>
      <c r="G174" s="167"/>
      <c r="H174" s="252">
        <f>+H171+H168+H162</f>
        <v>1564150</v>
      </c>
      <c r="M174" s="183"/>
    </row>
    <row r="175" spans="2:13" ht="18.75" customHeight="1" x14ac:dyDescent="0.25">
      <c r="B175" s="249" t="s">
        <v>649</v>
      </c>
      <c r="C175" s="242" t="s">
        <v>650</v>
      </c>
      <c r="D175" s="435"/>
      <c r="E175" s="92"/>
      <c r="F175" s="184" t="str">
        <f>$J$5</f>
        <v>8,0 % x D</v>
      </c>
      <c r="G175" s="167"/>
      <c r="H175" s="253">
        <f>+H174*$K$5</f>
        <v>125132</v>
      </c>
      <c r="M175" s="184" t="str">
        <f>$J$5</f>
        <v>8,0 % x D</v>
      </c>
    </row>
    <row r="176" spans="2:13" ht="18.75" customHeight="1" x14ac:dyDescent="0.25">
      <c r="B176" s="249" t="s">
        <v>651</v>
      </c>
      <c r="C176" s="111" t="s">
        <v>652</v>
      </c>
      <c r="D176" s="435"/>
      <c r="E176" s="91"/>
      <c r="F176" s="185"/>
      <c r="G176" s="168"/>
      <c r="H176" s="254">
        <f>ROUNDUP((H175+H174)/100,0)*100</f>
        <v>1689300</v>
      </c>
      <c r="M176" s="185"/>
    </row>
    <row r="177" spans="2:13" ht="18.75" customHeight="1" x14ac:dyDescent="0.25">
      <c r="B177" s="259"/>
      <c r="C177" s="261"/>
      <c r="D177" s="245"/>
      <c r="E177" s="246"/>
      <c r="F177" s="247"/>
      <c r="G177" s="298"/>
      <c r="H177" s="260"/>
      <c r="M177" s="247"/>
    </row>
    <row r="178" spans="2:13" ht="18.75" customHeight="1" x14ac:dyDescent="0.25">
      <c r="B178" s="22"/>
      <c r="C178" s="104"/>
      <c r="E178" s="21"/>
      <c r="F178" s="176"/>
      <c r="G178" s="165"/>
      <c r="H178" s="119"/>
      <c r="M178" s="176"/>
    </row>
    <row r="179" spans="2:13" ht="18.75" customHeight="1" x14ac:dyDescent="0.25">
      <c r="B179" s="19">
        <v>7</v>
      </c>
      <c r="C179" s="93" t="s">
        <v>668</v>
      </c>
      <c r="D179" s="19"/>
      <c r="E179" s="21"/>
      <c r="F179" s="176"/>
      <c r="G179" s="288"/>
      <c r="H179" s="119"/>
      <c r="M179" s="176"/>
    </row>
    <row r="180" spans="2:13" ht="18.75" customHeight="1" x14ac:dyDescent="0.25">
      <c r="B180" s="618" t="s">
        <v>620</v>
      </c>
      <c r="C180" s="620" t="s">
        <v>621</v>
      </c>
      <c r="D180" s="618" t="s">
        <v>622</v>
      </c>
      <c r="E180" s="618" t="s">
        <v>2</v>
      </c>
      <c r="F180" s="615" t="s">
        <v>623</v>
      </c>
      <c r="G180" s="289" t="s">
        <v>624</v>
      </c>
      <c r="H180" s="256" t="s">
        <v>625</v>
      </c>
      <c r="M180" s="615" t="s">
        <v>623</v>
      </c>
    </row>
    <row r="181" spans="2:13" ht="18.75" customHeight="1" x14ac:dyDescent="0.25">
      <c r="B181" s="619"/>
      <c r="C181" s="621"/>
      <c r="D181" s="619"/>
      <c r="E181" s="619"/>
      <c r="F181" s="616"/>
      <c r="G181" s="289" t="s">
        <v>626</v>
      </c>
      <c r="H181" s="256" t="s">
        <v>626</v>
      </c>
      <c r="M181" s="616"/>
    </row>
    <row r="182" spans="2:13" ht="18.75" customHeight="1" x14ac:dyDescent="0.25">
      <c r="B182" s="221"/>
      <c r="C182" s="222"/>
      <c r="D182" s="221"/>
      <c r="E182" s="550"/>
      <c r="F182" s="555"/>
      <c r="G182" s="551"/>
      <c r="H182" s="220"/>
      <c r="M182" s="590"/>
    </row>
    <row r="183" spans="2:13" ht="18.75" customHeight="1" x14ac:dyDescent="0.25">
      <c r="B183" s="550" t="s">
        <v>627</v>
      </c>
      <c r="C183" s="223" t="s">
        <v>628</v>
      </c>
      <c r="D183" s="550"/>
      <c r="E183" s="224"/>
      <c r="F183" s="225"/>
      <c r="G183" s="290"/>
      <c r="H183" s="226"/>
      <c r="M183" s="225"/>
    </row>
    <row r="184" spans="2:13" ht="18.75" customHeight="1" x14ac:dyDescent="0.25">
      <c r="B184" s="550"/>
      <c r="C184" s="227" t="s">
        <v>629</v>
      </c>
      <c r="D184" s="550" t="s">
        <v>630</v>
      </c>
      <c r="E184" s="224" t="s">
        <v>631</v>
      </c>
      <c r="F184" s="228">
        <f t="shared" ref="F184:F187" si="10">$K$8*M184</f>
        <v>1</v>
      </c>
      <c r="G184" s="229">
        <f>G158</f>
        <v>95000</v>
      </c>
      <c r="H184" s="230">
        <f>+G184*F184</f>
        <v>95000</v>
      </c>
      <c r="M184" s="228">
        <v>1</v>
      </c>
    </row>
    <row r="185" spans="2:13" ht="18.75" customHeight="1" x14ac:dyDescent="0.25">
      <c r="B185" s="550"/>
      <c r="C185" s="227" t="s">
        <v>1508</v>
      </c>
      <c r="D185" s="550" t="s">
        <v>632</v>
      </c>
      <c r="E185" s="224" t="s">
        <v>631</v>
      </c>
      <c r="F185" s="228">
        <f t="shared" si="10"/>
        <v>2</v>
      </c>
      <c r="G185" s="229">
        <f>G159</f>
        <v>110000</v>
      </c>
      <c r="H185" s="230">
        <f>+G185*F185</f>
        <v>220000</v>
      </c>
      <c r="M185" s="228">
        <v>2</v>
      </c>
    </row>
    <row r="186" spans="2:13" ht="18.75" customHeight="1" x14ac:dyDescent="0.25">
      <c r="B186" s="550"/>
      <c r="C186" s="227" t="s">
        <v>633</v>
      </c>
      <c r="D186" s="550" t="s">
        <v>634</v>
      </c>
      <c r="E186" s="224" t="s">
        <v>631</v>
      </c>
      <c r="F186" s="228">
        <f t="shared" si="10"/>
        <v>0.2</v>
      </c>
      <c r="G186" s="229">
        <f>G160</f>
        <v>115000</v>
      </c>
      <c r="H186" s="230">
        <f>+G186*F186</f>
        <v>23000</v>
      </c>
      <c r="M186" s="228">
        <v>0.2</v>
      </c>
    </row>
    <row r="187" spans="2:13" ht="18.75" customHeight="1" x14ac:dyDescent="0.25">
      <c r="B187" s="550"/>
      <c r="C187" s="227" t="s">
        <v>600</v>
      </c>
      <c r="D187" s="550" t="s">
        <v>635</v>
      </c>
      <c r="E187" s="224" t="s">
        <v>631</v>
      </c>
      <c r="F187" s="228">
        <f t="shared" si="10"/>
        <v>0.05</v>
      </c>
      <c r="G187" s="229">
        <f>G161</f>
        <v>140000</v>
      </c>
      <c r="H187" s="230">
        <f>+G187*F187</f>
        <v>7000</v>
      </c>
      <c r="M187" s="228">
        <v>0.05</v>
      </c>
    </row>
    <row r="188" spans="2:13" ht="18.75" customHeight="1" x14ac:dyDescent="0.25">
      <c r="B188" s="550"/>
      <c r="C188" s="223"/>
      <c r="D188" s="550"/>
      <c r="E188" s="224"/>
      <c r="F188" s="237" t="s">
        <v>636</v>
      </c>
      <c r="G188" s="290"/>
      <c r="H188" s="231">
        <f>SUM(H184:H187)</f>
        <v>345000</v>
      </c>
      <c r="M188" s="237" t="s">
        <v>636</v>
      </c>
    </row>
    <row r="189" spans="2:13" ht="18.75" customHeight="1" x14ac:dyDescent="0.25">
      <c r="B189" s="550"/>
      <c r="C189" s="223"/>
      <c r="D189" s="550"/>
      <c r="E189" s="224"/>
      <c r="F189" s="237"/>
      <c r="G189" s="290"/>
      <c r="H189" s="231"/>
      <c r="M189" s="237"/>
    </row>
    <row r="190" spans="2:13" ht="18.75" customHeight="1" x14ac:dyDescent="0.25">
      <c r="B190" s="550" t="s">
        <v>637</v>
      </c>
      <c r="C190" s="223" t="s">
        <v>638</v>
      </c>
      <c r="D190" s="550"/>
      <c r="E190" s="224"/>
      <c r="F190" s="225"/>
      <c r="G190" s="290"/>
      <c r="H190" s="226"/>
      <c r="M190" s="225"/>
    </row>
    <row r="191" spans="2:13" ht="18.75" customHeight="1" x14ac:dyDescent="0.25">
      <c r="B191" s="550"/>
      <c r="C191" s="232" t="s">
        <v>1444</v>
      </c>
      <c r="D191" s="550"/>
      <c r="E191" s="550" t="s">
        <v>612</v>
      </c>
      <c r="F191" s="233">
        <v>1.7</v>
      </c>
      <c r="G191" s="234">
        <f>+G128</f>
        <v>34500</v>
      </c>
      <c r="H191" s="235">
        <f t="shared" ref="H191:H198" si="11">+G191*F191</f>
        <v>58650</v>
      </c>
      <c r="M191" s="233">
        <v>1.7</v>
      </c>
    </row>
    <row r="192" spans="2:13" ht="18.75" customHeight="1" x14ac:dyDescent="0.25">
      <c r="B192" s="550"/>
      <c r="C192" s="223" t="s">
        <v>669</v>
      </c>
      <c r="D192" s="550"/>
      <c r="E192" s="550" t="s">
        <v>52</v>
      </c>
      <c r="F192" s="233">
        <v>0.21</v>
      </c>
      <c r="G192" s="234">
        <f>+G129</f>
        <v>3900000</v>
      </c>
      <c r="H192" s="235">
        <f t="shared" si="11"/>
        <v>819000</v>
      </c>
      <c r="M192" s="233">
        <v>0.21</v>
      </c>
    </row>
    <row r="193" spans="2:13" ht="18.75" customHeight="1" x14ac:dyDescent="0.25">
      <c r="B193" s="550"/>
      <c r="C193" s="223" t="s">
        <v>660</v>
      </c>
      <c r="D193" s="550"/>
      <c r="E193" s="550" t="s">
        <v>5</v>
      </c>
      <c r="F193" s="233">
        <v>0.3</v>
      </c>
      <c r="G193" s="234">
        <f>+G130</f>
        <v>25000</v>
      </c>
      <c r="H193" s="235">
        <f t="shared" si="11"/>
        <v>7500</v>
      </c>
      <c r="M193" s="233">
        <v>0.3</v>
      </c>
    </row>
    <row r="194" spans="2:13" ht="18.75" customHeight="1" x14ac:dyDescent="0.25">
      <c r="B194" s="550"/>
      <c r="C194" s="223" t="s">
        <v>708</v>
      </c>
      <c r="D194" s="550"/>
      <c r="E194" s="550" t="s">
        <v>5</v>
      </c>
      <c r="F194" s="233">
        <v>10.5</v>
      </c>
      <c r="G194" s="234">
        <f>+G132</f>
        <v>1700</v>
      </c>
      <c r="H194" s="235">
        <f t="shared" si="11"/>
        <v>17850</v>
      </c>
      <c r="M194" s="233">
        <v>10.5</v>
      </c>
    </row>
    <row r="195" spans="2:13" ht="18.75" customHeight="1" x14ac:dyDescent="0.25">
      <c r="B195" s="550"/>
      <c r="C195" s="223" t="s">
        <v>662</v>
      </c>
      <c r="D195" s="550"/>
      <c r="E195" s="550" t="s">
        <v>8</v>
      </c>
      <c r="F195" s="233">
        <v>0.03</v>
      </c>
      <c r="G195" s="234">
        <f>+G134</f>
        <v>230000</v>
      </c>
      <c r="H195" s="235">
        <f t="shared" si="11"/>
        <v>6900</v>
      </c>
      <c r="M195" s="233">
        <v>0.03</v>
      </c>
    </row>
    <row r="196" spans="2:13" ht="18.75" customHeight="1" x14ac:dyDescent="0.25">
      <c r="B196" s="550"/>
      <c r="C196" s="223" t="s">
        <v>639</v>
      </c>
      <c r="D196" s="550"/>
      <c r="E196" s="550" t="s">
        <v>8</v>
      </c>
      <c r="F196" s="233">
        <v>7.4999999999999997E-2</v>
      </c>
      <c r="G196" s="234">
        <f>+G135</f>
        <v>335000</v>
      </c>
      <c r="H196" s="235">
        <f t="shared" si="11"/>
        <v>25125</v>
      </c>
      <c r="M196" s="233">
        <v>7.4999999999999997E-2</v>
      </c>
    </row>
    <row r="197" spans="2:13" ht="18.75" customHeight="1" x14ac:dyDescent="0.25">
      <c r="B197" s="550"/>
      <c r="C197" s="223" t="s">
        <v>653</v>
      </c>
      <c r="D197" s="550"/>
      <c r="E197" s="550" t="s">
        <v>18</v>
      </c>
      <c r="F197" s="233">
        <v>1.5</v>
      </c>
      <c r="G197" s="234">
        <f>+G46</f>
        <v>55000</v>
      </c>
      <c r="H197" s="235">
        <f t="shared" si="11"/>
        <v>82500</v>
      </c>
      <c r="M197" s="233">
        <v>1.5</v>
      </c>
    </row>
    <row r="198" spans="2:13" ht="18.75" customHeight="1" x14ac:dyDescent="0.25">
      <c r="B198" s="550"/>
      <c r="C198" s="223" t="s">
        <v>664</v>
      </c>
      <c r="D198" s="550"/>
      <c r="E198" s="550" t="s">
        <v>18</v>
      </c>
      <c r="F198" s="233">
        <v>0.25</v>
      </c>
      <c r="G198" s="234">
        <f>G137</f>
        <v>85000</v>
      </c>
      <c r="H198" s="235">
        <f t="shared" si="11"/>
        <v>21250</v>
      </c>
      <c r="M198" s="233">
        <v>0.25</v>
      </c>
    </row>
    <row r="199" spans="2:13" ht="18.75" customHeight="1" x14ac:dyDescent="0.25">
      <c r="B199" s="550"/>
      <c r="C199" s="223"/>
      <c r="D199" s="550"/>
      <c r="E199" s="224"/>
      <c r="F199" s="237" t="s">
        <v>643</v>
      </c>
      <c r="G199" s="290"/>
      <c r="H199" s="231">
        <f>SUM(H191:H198)</f>
        <v>1038775</v>
      </c>
      <c r="M199" s="237" t="s">
        <v>643</v>
      </c>
    </row>
    <row r="200" spans="2:13" ht="18.75" customHeight="1" x14ac:dyDescent="0.25">
      <c r="B200" s="550"/>
      <c r="C200" s="223"/>
      <c r="D200" s="550"/>
      <c r="E200" s="224"/>
      <c r="F200" s="225"/>
      <c r="G200" s="290"/>
      <c r="H200" s="226"/>
      <c r="M200" s="225"/>
    </row>
    <row r="201" spans="2:13" ht="18.75" customHeight="1" x14ac:dyDescent="0.25">
      <c r="B201" s="550" t="s">
        <v>644</v>
      </c>
      <c r="C201" s="223" t="s">
        <v>645</v>
      </c>
      <c r="D201" s="550"/>
      <c r="E201" s="224"/>
      <c r="F201" s="225"/>
      <c r="G201" s="290"/>
      <c r="H201" s="235"/>
      <c r="M201" s="225"/>
    </row>
    <row r="202" spans="2:13" ht="18.75" customHeight="1" x14ac:dyDescent="0.25">
      <c r="B202" s="236"/>
      <c r="C202" s="232"/>
      <c r="D202" s="550"/>
      <c r="E202" s="224"/>
      <c r="F202" s="237" t="s">
        <v>646</v>
      </c>
      <c r="G202" s="290"/>
      <c r="H202" s="230">
        <f>SUM(H201:H201)</f>
        <v>0</v>
      </c>
      <c r="M202" s="237" t="s">
        <v>646</v>
      </c>
    </row>
    <row r="203" spans="2:13" ht="18.75" customHeight="1" x14ac:dyDescent="0.25">
      <c r="B203" s="236"/>
      <c r="C203" s="232"/>
      <c r="D203" s="550"/>
      <c r="E203" s="224"/>
      <c r="F203" s="237"/>
      <c r="G203" s="290"/>
      <c r="H203" s="226"/>
      <c r="M203" s="237"/>
    </row>
    <row r="204" spans="2:13" ht="18.75" customHeight="1" x14ac:dyDescent="0.25">
      <c r="B204" s="248"/>
      <c r="C204" s="238"/>
      <c r="D204" s="239"/>
      <c r="E204" s="266"/>
      <c r="F204" s="241"/>
      <c r="G204" s="303"/>
      <c r="H204" s="267"/>
      <c r="M204" s="241"/>
    </row>
    <row r="205" spans="2:13" ht="18.75" customHeight="1" x14ac:dyDescent="0.25">
      <c r="B205" s="249" t="s">
        <v>647</v>
      </c>
      <c r="C205" s="104" t="s">
        <v>648</v>
      </c>
      <c r="D205" s="435"/>
      <c r="E205" s="92"/>
      <c r="F205" s="183"/>
      <c r="G205" s="167"/>
      <c r="H205" s="252">
        <f>+H202+H199+H188</f>
        <v>1383775</v>
      </c>
      <c r="M205" s="183"/>
    </row>
    <row r="206" spans="2:13" ht="18.75" customHeight="1" x14ac:dyDescent="0.25">
      <c r="B206" s="249" t="s">
        <v>649</v>
      </c>
      <c r="C206" s="242" t="s">
        <v>650</v>
      </c>
      <c r="D206" s="435"/>
      <c r="E206" s="92"/>
      <c r="F206" s="184" t="str">
        <f>$J$5</f>
        <v>8,0 % x D</v>
      </c>
      <c r="G206" s="167"/>
      <c r="H206" s="253">
        <f>+H205*$K$5</f>
        <v>110702</v>
      </c>
      <c r="M206" s="184" t="str">
        <f>$J$5</f>
        <v>8,0 % x D</v>
      </c>
    </row>
    <row r="207" spans="2:13" ht="18.75" customHeight="1" x14ac:dyDescent="0.25">
      <c r="B207" s="249" t="s">
        <v>651</v>
      </c>
      <c r="C207" s="111" t="s">
        <v>652</v>
      </c>
      <c r="D207" s="435"/>
      <c r="E207" s="91"/>
      <c r="F207" s="185"/>
      <c r="G207" s="168"/>
      <c r="H207" s="254">
        <f>ROUNDUP((H206+H205)/100,0)*100</f>
        <v>1494500</v>
      </c>
      <c r="M207" s="185"/>
    </row>
    <row r="208" spans="2:13" ht="18.75" customHeight="1" x14ac:dyDescent="0.25">
      <c r="B208" s="259"/>
      <c r="C208" s="261"/>
      <c r="D208" s="245"/>
      <c r="E208" s="246"/>
      <c r="F208" s="247"/>
      <c r="G208" s="298"/>
      <c r="H208" s="260"/>
      <c r="M208" s="247"/>
    </row>
    <row r="209" spans="2:13" ht="18.75" customHeight="1" x14ac:dyDescent="0.25">
      <c r="B209" s="92"/>
      <c r="C209" s="104"/>
      <c r="D209" s="435"/>
      <c r="E209" s="91"/>
      <c r="F209" s="185"/>
      <c r="G209" s="168"/>
      <c r="H209" s="139"/>
      <c r="M209" s="185"/>
    </row>
    <row r="210" spans="2:13" ht="18.75" customHeight="1" x14ac:dyDescent="0.25">
      <c r="B210" s="19">
        <f>+B179+1</f>
        <v>8</v>
      </c>
      <c r="C210" s="93" t="s">
        <v>670</v>
      </c>
      <c r="D210" s="19"/>
      <c r="E210" s="21"/>
      <c r="F210" s="176"/>
      <c r="G210" s="165"/>
      <c r="H210" s="119"/>
      <c r="M210" s="176"/>
    </row>
    <row r="211" spans="2:13" ht="18.75" customHeight="1" x14ac:dyDescent="0.25">
      <c r="B211" s="618" t="s">
        <v>620</v>
      </c>
      <c r="C211" s="620" t="s">
        <v>621</v>
      </c>
      <c r="D211" s="618" t="s">
        <v>622</v>
      </c>
      <c r="E211" s="618" t="s">
        <v>2</v>
      </c>
      <c r="F211" s="615" t="s">
        <v>623</v>
      </c>
      <c r="G211" s="289" t="s">
        <v>624</v>
      </c>
      <c r="H211" s="256" t="s">
        <v>625</v>
      </c>
      <c r="M211" s="615" t="s">
        <v>623</v>
      </c>
    </row>
    <row r="212" spans="2:13" ht="18.75" customHeight="1" x14ac:dyDescent="0.25">
      <c r="B212" s="633"/>
      <c r="C212" s="634"/>
      <c r="D212" s="633"/>
      <c r="E212" s="633"/>
      <c r="F212" s="617"/>
      <c r="G212" s="300" t="s">
        <v>626</v>
      </c>
      <c r="H212" s="257" t="s">
        <v>626</v>
      </c>
      <c r="M212" s="617"/>
    </row>
    <row r="213" spans="2:13" ht="18.75" customHeight="1" x14ac:dyDescent="0.25">
      <c r="B213" s="221"/>
      <c r="C213" s="222"/>
      <c r="D213" s="221"/>
      <c r="E213" s="550"/>
      <c r="F213" s="555"/>
      <c r="G213" s="551"/>
      <c r="H213" s="220"/>
      <c r="M213" s="590"/>
    </row>
    <row r="214" spans="2:13" ht="18.75" customHeight="1" x14ac:dyDescent="0.25">
      <c r="B214" s="550" t="s">
        <v>627</v>
      </c>
      <c r="C214" s="223" t="s">
        <v>628</v>
      </c>
      <c r="D214" s="550"/>
      <c r="E214" s="224"/>
      <c r="F214" s="225"/>
      <c r="G214" s="290"/>
      <c r="H214" s="226"/>
      <c r="M214" s="225"/>
    </row>
    <row r="215" spans="2:13" ht="18.75" customHeight="1" x14ac:dyDescent="0.25">
      <c r="B215" s="550"/>
      <c r="C215" s="227" t="s">
        <v>629</v>
      </c>
      <c r="D215" s="550" t="s">
        <v>630</v>
      </c>
      <c r="E215" s="224" t="s">
        <v>631</v>
      </c>
      <c r="F215" s="228">
        <f t="shared" ref="F215:F218" si="12">$K$8*M215</f>
        <v>1</v>
      </c>
      <c r="G215" s="229">
        <f>G184</f>
        <v>95000</v>
      </c>
      <c r="H215" s="230">
        <f>+G215*F215</f>
        <v>95000</v>
      </c>
      <c r="M215" s="228">
        <v>1</v>
      </c>
    </row>
    <row r="216" spans="2:13" ht="18.75" customHeight="1" x14ac:dyDescent="0.25">
      <c r="B216" s="550"/>
      <c r="C216" s="227" t="s">
        <v>1508</v>
      </c>
      <c r="D216" s="550" t="s">
        <v>632</v>
      </c>
      <c r="E216" s="224" t="s">
        <v>631</v>
      </c>
      <c r="F216" s="228">
        <f t="shared" si="12"/>
        <v>2</v>
      </c>
      <c r="G216" s="229">
        <f>G185</f>
        <v>110000</v>
      </c>
      <c r="H216" s="230">
        <f>+G216*F216</f>
        <v>220000</v>
      </c>
      <c r="M216" s="228">
        <v>2</v>
      </c>
    </row>
    <row r="217" spans="2:13" ht="18.75" customHeight="1" x14ac:dyDescent="0.25">
      <c r="B217" s="550"/>
      <c r="C217" s="227" t="s">
        <v>633</v>
      </c>
      <c r="D217" s="550" t="s">
        <v>634</v>
      </c>
      <c r="E217" s="224" t="s">
        <v>631</v>
      </c>
      <c r="F217" s="228">
        <f t="shared" si="12"/>
        <v>0.2</v>
      </c>
      <c r="G217" s="229">
        <f>G186</f>
        <v>115000</v>
      </c>
      <c r="H217" s="230">
        <f>+G217*F217</f>
        <v>23000</v>
      </c>
      <c r="M217" s="228">
        <v>0.2</v>
      </c>
    </row>
    <row r="218" spans="2:13" ht="18.75" customHeight="1" x14ac:dyDescent="0.25">
      <c r="B218" s="550"/>
      <c r="C218" s="227" t="s">
        <v>600</v>
      </c>
      <c r="D218" s="550" t="s">
        <v>635</v>
      </c>
      <c r="E218" s="224" t="s">
        <v>631</v>
      </c>
      <c r="F218" s="228">
        <f t="shared" si="12"/>
        <v>0.05</v>
      </c>
      <c r="G218" s="229">
        <f>G187</f>
        <v>140000</v>
      </c>
      <c r="H218" s="230">
        <f>+G218*F218</f>
        <v>7000</v>
      </c>
      <c r="M218" s="228">
        <v>0.05</v>
      </c>
    </row>
    <row r="219" spans="2:13" ht="18.75" customHeight="1" x14ac:dyDescent="0.25">
      <c r="B219" s="550"/>
      <c r="C219" s="223"/>
      <c r="D219" s="550"/>
      <c r="E219" s="224"/>
      <c r="F219" s="237" t="s">
        <v>636</v>
      </c>
      <c r="G219" s="290"/>
      <c r="H219" s="231">
        <f>SUM(H215:H218)</f>
        <v>345000</v>
      </c>
      <c r="M219" s="237" t="s">
        <v>636</v>
      </c>
    </row>
    <row r="220" spans="2:13" ht="18.75" customHeight="1" x14ac:dyDescent="0.25">
      <c r="B220" s="550"/>
      <c r="C220" s="223"/>
      <c r="D220" s="550"/>
      <c r="E220" s="224"/>
      <c r="F220" s="237"/>
      <c r="G220" s="290"/>
      <c r="H220" s="231"/>
      <c r="M220" s="237"/>
    </row>
    <row r="221" spans="2:13" ht="18.75" customHeight="1" x14ac:dyDescent="0.25">
      <c r="B221" s="550" t="s">
        <v>637</v>
      </c>
      <c r="C221" s="223" t="s">
        <v>638</v>
      </c>
      <c r="D221" s="550"/>
      <c r="E221" s="224"/>
      <c r="F221" s="225"/>
      <c r="G221" s="290"/>
      <c r="H221" s="226"/>
      <c r="M221" s="225"/>
    </row>
    <row r="222" spans="2:13" ht="18.75" customHeight="1" x14ac:dyDescent="0.25">
      <c r="B222" s="550"/>
      <c r="C222" s="232" t="s">
        <v>1444</v>
      </c>
      <c r="D222" s="550"/>
      <c r="E222" s="550" t="s">
        <v>612</v>
      </c>
      <c r="F222" s="233">
        <v>1.7</v>
      </c>
      <c r="G222" s="234">
        <f t="shared" ref="G222:G228" si="13">G191</f>
        <v>34500</v>
      </c>
      <c r="H222" s="235">
        <f t="shared" ref="H222:H229" si="14">+G222*F222</f>
        <v>58650</v>
      </c>
      <c r="M222" s="233">
        <v>1.7</v>
      </c>
    </row>
    <row r="223" spans="2:13" ht="18.75" customHeight="1" x14ac:dyDescent="0.25">
      <c r="B223" s="550"/>
      <c r="C223" s="223" t="s">
        <v>669</v>
      </c>
      <c r="D223" s="550"/>
      <c r="E223" s="550" t="s">
        <v>52</v>
      </c>
      <c r="F223" s="233">
        <v>0.21</v>
      </c>
      <c r="G223" s="234">
        <f t="shared" si="13"/>
        <v>3900000</v>
      </c>
      <c r="H223" s="235">
        <f t="shared" si="14"/>
        <v>819000</v>
      </c>
      <c r="M223" s="233">
        <v>0.21</v>
      </c>
    </row>
    <row r="224" spans="2:13" ht="18.75" customHeight="1" x14ac:dyDescent="0.25">
      <c r="B224" s="550"/>
      <c r="C224" s="223" t="s">
        <v>660</v>
      </c>
      <c r="D224" s="550"/>
      <c r="E224" s="550" t="s">
        <v>5</v>
      </c>
      <c r="F224" s="233">
        <v>0.3</v>
      </c>
      <c r="G224" s="234">
        <f t="shared" si="13"/>
        <v>25000</v>
      </c>
      <c r="H224" s="235">
        <f t="shared" si="14"/>
        <v>7500</v>
      </c>
      <c r="M224" s="233">
        <v>0.3</v>
      </c>
    </row>
    <row r="225" spans="2:13" ht="18.75" customHeight="1" x14ac:dyDescent="0.25">
      <c r="B225" s="550"/>
      <c r="C225" s="223" t="s">
        <v>708</v>
      </c>
      <c r="D225" s="550"/>
      <c r="E225" s="550" t="s">
        <v>5</v>
      </c>
      <c r="F225" s="233">
        <v>10.5</v>
      </c>
      <c r="G225" s="234">
        <f t="shared" si="13"/>
        <v>1700</v>
      </c>
      <c r="H225" s="235">
        <f t="shared" si="14"/>
        <v>17850</v>
      </c>
      <c r="M225" s="233">
        <v>10.5</v>
      </c>
    </row>
    <row r="226" spans="2:13" ht="18.75" customHeight="1" x14ac:dyDescent="0.25">
      <c r="B226" s="550"/>
      <c r="C226" s="223" t="s">
        <v>662</v>
      </c>
      <c r="D226" s="550"/>
      <c r="E226" s="550" t="s">
        <v>8</v>
      </c>
      <c r="F226" s="233">
        <v>0.03</v>
      </c>
      <c r="G226" s="234">
        <f t="shared" si="13"/>
        <v>230000</v>
      </c>
      <c r="H226" s="235">
        <f t="shared" si="14"/>
        <v>6900</v>
      </c>
      <c r="M226" s="233">
        <v>0.03</v>
      </c>
    </row>
    <row r="227" spans="2:13" ht="18.75" customHeight="1" x14ac:dyDescent="0.25">
      <c r="B227" s="550"/>
      <c r="C227" s="223" t="s">
        <v>639</v>
      </c>
      <c r="D227" s="550"/>
      <c r="E227" s="550" t="s">
        <v>8</v>
      </c>
      <c r="F227" s="233">
        <v>7.4999999999999997E-2</v>
      </c>
      <c r="G227" s="234">
        <f t="shared" si="13"/>
        <v>335000</v>
      </c>
      <c r="H227" s="235">
        <f t="shared" si="14"/>
        <v>25125</v>
      </c>
      <c r="M227" s="233">
        <v>7.4999999999999997E-2</v>
      </c>
    </row>
    <row r="228" spans="2:13" ht="18.75" customHeight="1" x14ac:dyDescent="0.25">
      <c r="B228" s="550"/>
      <c r="C228" s="223" t="s">
        <v>653</v>
      </c>
      <c r="D228" s="550"/>
      <c r="E228" s="550" t="s">
        <v>18</v>
      </c>
      <c r="F228" s="233">
        <v>1.5</v>
      </c>
      <c r="G228" s="234">
        <f t="shared" si="13"/>
        <v>55000</v>
      </c>
      <c r="H228" s="235">
        <f t="shared" si="14"/>
        <v>82500</v>
      </c>
      <c r="M228" s="233">
        <v>1.5</v>
      </c>
    </row>
    <row r="229" spans="2:13" ht="18.75" customHeight="1" x14ac:dyDescent="0.25">
      <c r="B229" s="550"/>
      <c r="C229" s="223" t="s">
        <v>671</v>
      </c>
      <c r="D229" s="550"/>
      <c r="E229" s="550" t="s">
        <v>18</v>
      </c>
      <c r="F229" s="233">
        <v>0.25</v>
      </c>
      <c r="G229" s="234">
        <f>G141</f>
        <v>114000</v>
      </c>
      <c r="H229" s="235">
        <f t="shared" si="14"/>
        <v>28500</v>
      </c>
      <c r="M229" s="233">
        <v>0.25</v>
      </c>
    </row>
    <row r="230" spans="2:13" ht="18.75" customHeight="1" x14ac:dyDescent="0.25">
      <c r="B230" s="550"/>
      <c r="C230" s="223"/>
      <c r="D230" s="550"/>
      <c r="E230" s="224"/>
      <c r="F230" s="237" t="s">
        <v>643</v>
      </c>
      <c r="G230" s="290"/>
      <c r="H230" s="231">
        <f>SUM(H222:H229)</f>
        <v>1046025</v>
      </c>
      <c r="M230" s="237" t="s">
        <v>643</v>
      </c>
    </row>
    <row r="231" spans="2:13" ht="18.75" customHeight="1" x14ac:dyDescent="0.25">
      <c r="B231" s="550"/>
      <c r="C231" s="223"/>
      <c r="D231" s="550"/>
      <c r="E231" s="224"/>
      <c r="F231" s="225"/>
      <c r="G231" s="290"/>
      <c r="H231" s="226"/>
      <c r="M231" s="225"/>
    </row>
    <row r="232" spans="2:13" ht="18.75" customHeight="1" x14ac:dyDescent="0.25">
      <c r="B232" s="550" t="s">
        <v>644</v>
      </c>
      <c r="C232" s="223" t="s">
        <v>645</v>
      </c>
      <c r="D232" s="550"/>
      <c r="E232" s="224"/>
      <c r="F232" s="225"/>
      <c r="G232" s="290"/>
      <c r="H232" s="235"/>
      <c r="M232" s="225"/>
    </row>
    <row r="233" spans="2:13" ht="18.75" customHeight="1" x14ac:dyDescent="0.25">
      <c r="B233" s="236"/>
      <c r="C233" s="232"/>
      <c r="D233" s="550"/>
      <c r="E233" s="224"/>
      <c r="F233" s="237" t="s">
        <v>646</v>
      </c>
      <c r="G233" s="290"/>
      <c r="H233" s="230">
        <f>SUM(H232:H232)</f>
        <v>0</v>
      </c>
      <c r="M233" s="237" t="s">
        <v>646</v>
      </c>
    </row>
    <row r="234" spans="2:13" ht="18.75" customHeight="1" x14ac:dyDescent="0.25">
      <c r="B234" s="236"/>
      <c r="C234" s="232"/>
      <c r="D234" s="550"/>
      <c r="E234" s="224"/>
      <c r="F234" s="237"/>
      <c r="G234" s="290"/>
      <c r="H234" s="226"/>
      <c r="M234" s="237"/>
    </row>
    <row r="235" spans="2:13" ht="18.75" customHeight="1" x14ac:dyDescent="0.25">
      <c r="B235" s="248"/>
      <c r="C235" s="238"/>
      <c r="D235" s="239"/>
      <c r="E235" s="266"/>
      <c r="F235" s="241"/>
      <c r="G235" s="303"/>
      <c r="H235" s="267"/>
      <c r="M235" s="241"/>
    </row>
    <row r="236" spans="2:13" ht="18.75" customHeight="1" x14ac:dyDescent="0.25">
      <c r="B236" s="249" t="s">
        <v>647</v>
      </c>
      <c r="C236" s="104" t="s">
        <v>648</v>
      </c>
      <c r="D236" s="435"/>
      <c r="E236" s="92"/>
      <c r="F236" s="183"/>
      <c r="G236" s="167"/>
      <c r="H236" s="252">
        <f>+H233+H230+H219</f>
        <v>1391025</v>
      </c>
      <c r="M236" s="183"/>
    </row>
    <row r="237" spans="2:13" ht="18.75" customHeight="1" x14ac:dyDescent="0.25">
      <c r="B237" s="249" t="s">
        <v>649</v>
      </c>
      <c r="C237" s="242" t="s">
        <v>650</v>
      </c>
      <c r="D237" s="435"/>
      <c r="E237" s="92"/>
      <c r="F237" s="184" t="str">
        <f>$J$5</f>
        <v>8,0 % x D</v>
      </c>
      <c r="G237" s="167"/>
      <c r="H237" s="253">
        <f>+H236*$K$5</f>
        <v>111282</v>
      </c>
      <c r="M237" s="184" t="str">
        <f>$J$5</f>
        <v>8,0 % x D</v>
      </c>
    </row>
    <row r="238" spans="2:13" ht="18.75" customHeight="1" x14ac:dyDescent="0.25">
      <c r="B238" s="249" t="s">
        <v>651</v>
      </c>
      <c r="C238" s="111" t="s">
        <v>652</v>
      </c>
      <c r="D238" s="435"/>
      <c r="E238" s="91"/>
      <c r="F238" s="185"/>
      <c r="G238" s="168"/>
      <c r="H238" s="254">
        <f>ROUNDUP((H237+H236)/100,0)*100</f>
        <v>1502400</v>
      </c>
      <c r="M238" s="185"/>
    </row>
    <row r="239" spans="2:13" ht="18.75" customHeight="1" x14ac:dyDescent="0.25">
      <c r="B239" s="259"/>
      <c r="C239" s="261"/>
      <c r="D239" s="245"/>
      <c r="E239" s="246"/>
      <c r="F239" s="247"/>
      <c r="G239" s="298"/>
      <c r="H239" s="260"/>
      <c r="M239" s="247"/>
    </row>
    <row r="240" spans="2:13" ht="18.75" customHeight="1" x14ac:dyDescent="0.25">
      <c r="B240" s="22"/>
      <c r="C240" s="104"/>
      <c r="E240" s="21"/>
      <c r="F240" s="176"/>
      <c r="G240" s="165"/>
      <c r="H240" s="119"/>
      <c r="M240" s="176"/>
    </row>
    <row r="241" spans="2:13" ht="18.75" customHeight="1" x14ac:dyDescent="0.25">
      <c r="B241" s="19">
        <f>+B210+1</f>
        <v>9</v>
      </c>
      <c r="C241" s="93" t="s">
        <v>672</v>
      </c>
      <c r="D241" s="19"/>
      <c r="E241" s="21"/>
      <c r="F241" s="176"/>
      <c r="G241" s="165"/>
      <c r="H241" s="119"/>
      <c r="M241" s="176"/>
    </row>
    <row r="242" spans="2:13" ht="18.75" customHeight="1" x14ac:dyDescent="0.25">
      <c r="B242" s="618" t="s">
        <v>620</v>
      </c>
      <c r="C242" s="620" t="s">
        <v>621</v>
      </c>
      <c r="D242" s="618" t="s">
        <v>622</v>
      </c>
      <c r="E242" s="618" t="s">
        <v>2</v>
      </c>
      <c r="F242" s="615" t="s">
        <v>623</v>
      </c>
      <c r="G242" s="289" t="s">
        <v>624</v>
      </c>
      <c r="H242" s="256" t="s">
        <v>625</v>
      </c>
      <c r="M242" s="615" t="s">
        <v>623</v>
      </c>
    </row>
    <row r="243" spans="2:13" ht="18.75" customHeight="1" x14ac:dyDescent="0.25">
      <c r="B243" s="619"/>
      <c r="C243" s="621"/>
      <c r="D243" s="619"/>
      <c r="E243" s="619"/>
      <c r="F243" s="616"/>
      <c r="G243" s="289" t="s">
        <v>626</v>
      </c>
      <c r="H243" s="256" t="s">
        <v>626</v>
      </c>
      <c r="M243" s="616"/>
    </row>
    <row r="244" spans="2:13" ht="18.75" customHeight="1" x14ac:dyDescent="0.25">
      <c r="B244" s="221"/>
      <c r="C244" s="222"/>
      <c r="D244" s="221"/>
      <c r="E244" s="550"/>
      <c r="F244" s="555"/>
      <c r="G244" s="551"/>
      <c r="H244" s="220"/>
      <c r="M244" s="590"/>
    </row>
    <row r="245" spans="2:13" ht="18.75" customHeight="1" x14ac:dyDescent="0.25">
      <c r="B245" s="550" t="s">
        <v>627</v>
      </c>
      <c r="C245" s="223" t="s">
        <v>628</v>
      </c>
      <c r="D245" s="550"/>
      <c r="E245" s="224"/>
      <c r="F245" s="225"/>
      <c r="G245" s="290"/>
      <c r="H245" s="226"/>
      <c r="M245" s="225"/>
    </row>
    <row r="246" spans="2:13" ht="18.75" customHeight="1" x14ac:dyDescent="0.25">
      <c r="B246" s="550"/>
      <c r="C246" s="227" t="s">
        <v>629</v>
      </c>
      <c r="D246" s="550" t="s">
        <v>630</v>
      </c>
      <c r="E246" s="224" t="s">
        <v>631</v>
      </c>
      <c r="F246" s="228">
        <f t="shared" ref="F246:F247" si="15">$K$8*M246</f>
        <v>1</v>
      </c>
      <c r="G246" s="229">
        <f>G215</f>
        <v>95000</v>
      </c>
      <c r="H246" s="230">
        <f>+G246*F246</f>
        <v>95000</v>
      </c>
      <c r="M246" s="228">
        <v>1</v>
      </c>
    </row>
    <row r="247" spans="2:13" ht="18.75" customHeight="1" x14ac:dyDescent="0.25">
      <c r="B247" s="550"/>
      <c r="C247" s="227" t="s">
        <v>600</v>
      </c>
      <c r="D247" s="550" t="s">
        <v>635</v>
      </c>
      <c r="E247" s="224" t="s">
        <v>631</v>
      </c>
      <c r="F247" s="228">
        <f t="shared" si="15"/>
        <v>7.4999999999999997E-2</v>
      </c>
      <c r="G247" s="229">
        <f>G218</f>
        <v>140000</v>
      </c>
      <c r="H247" s="230">
        <f>+G247*F247</f>
        <v>10500</v>
      </c>
      <c r="M247" s="228">
        <v>7.4999999999999997E-2</v>
      </c>
    </row>
    <row r="248" spans="2:13" ht="18.75" customHeight="1" x14ac:dyDescent="0.25">
      <c r="B248" s="550"/>
      <c r="C248" s="223"/>
      <c r="D248" s="550"/>
      <c r="E248" s="224"/>
      <c r="F248" s="237" t="s">
        <v>636</v>
      </c>
      <c r="G248" s="290"/>
      <c r="H248" s="231">
        <f>SUM(H246:H247)</f>
        <v>105500</v>
      </c>
      <c r="M248" s="237" t="s">
        <v>636</v>
      </c>
    </row>
    <row r="249" spans="2:13" ht="18.75" customHeight="1" x14ac:dyDescent="0.25">
      <c r="B249" s="550"/>
      <c r="C249" s="223"/>
      <c r="D249" s="550"/>
      <c r="E249" s="224"/>
      <c r="F249" s="237"/>
      <c r="G249" s="290"/>
      <c r="H249" s="231"/>
      <c r="M249" s="237"/>
    </row>
    <row r="250" spans="2:13" ht="18.75" customHeight="1" x14ac:dyDescent="0.25">
      <c r="B250" s="550" t="s">
        <v>637</v>
      </c>
      <c r="C250" s="223" t="s">
        <v>638</v>
      </c>
      <c r="D250" s="550"/>
      <c r="E250" s="550"/>
      <c r="F250" s="233"/>
      <c r="G250" s="287"/>
      <c r="H250" s="235">
        <f>+G250*F250</f>
        <v>0</v>
      </c>
      <c r="M250" s="233"/>
    </row>
    <row r="251" spans="2:13" ht="18.75" customHeight="1" x14ac:dyDescent="0.25">
      <c r="B251" s="550"/>
      <c r="C251" s="223"/>
      <c r="D251" s="550"/>
      <c r="E251" s="224"/>
      <c r="F251" s="237" t="s">
        <v>643</v>
      </c>
      <c r="G251" s="290"/>
      <c r="H251" s="230">
        <f>SUM(H250:H250)</f>
        <v>0</v>
      </c>
      <c r="M251" s="237" t="s">
        <v>643</v>
      </c>
    </row>
    <row r="252" spans="2:13" ht="18.75" customHeight="1" x14ac:dyDescent="0.25">
      <c r="B252" s="550"/>
      <c r="C252" s="223"/>
      <c r="D252" s="550"/>
      <c r="E252" s="224"/>
      <c r="F252" s="225"/>
      <c r="G252" s="290"/>
      <c r="H252" s="226"/>
      <c r="M252" s="225"/>
    </row>
    <row r="253" spans="2:13" ht="18.75" customHeight="1" x14ac:dyDescent="0.25">
      <c r="B253" s="550" t="s">
        <v>644</v>
      </c>
      <c r="C253" s="223" t="s">
        <v>645</v>
      </c>
      <c r="D253" s="550"/>
      <c r="E253" s="224"/>
      <c r="F253" s="225"/>
      <c r="G253" s="290"/>
      <c r="H253" s="235"/>
      <c r="M253" s="225"/>
    </row>
    <row r="254" spans="2:13" ht="18.75" customHeight="1" x14ac:dyDescent="0.25">
      <c r="B254" s="236"/>
      <c r="C254" s="232"/>
      <c r="D254" s="550"/>
      <c r="E254" s="224"/>
      <c r="F254" s="237" t="s">
        <v>646</v>
      </c>
      <c r="G254" s="290"/>
      <c r="H254" s="230">
        <f>SUM(H253:H253)</f>
        <v>0</v>
      </c>
      <c r="M254" s="237" t="s">
        <v>646</v>
      </c>
    </row>
    <row r="255" spans="2:13" ht="18.75" customHeight="1" x14ac:dyDescent="0.25">
      <c r="B255" s="236"/>
      <c r="C255" s="232"/>
      <c r="D255" s="550"/>
      <c r="E255" s="224"/>
      <c r="F255" s="237"/>
      <c r="G255" s="290"/>
      <c r="H255" s="230"/>
      <c r="M255" s="237"/>
    </row>
    <row r="256" spans="2:13" ht="18.75" customHeight="1" x14ac:dyDescent="0.25">
      <c r="B256" s="236"/>
      <c r="C256" s="232"/>
      <c r="D256" s="550"/>
      <c r="E256" s="224"/>
      <c r="F256" s="237"/>
      <c r="G256" s="290"/>
      <c r="H256" s="226"/>
      <c r="M256" s="237"/>
    </row>
    <row r="257" spans="2:13" ht="18.75" customHeight="1" x14ac:dyDescent="0.25">
      <c r="B257" s="248"/>
      <c r="C257" s="238"/>
      <c r="D257" s="239"/>
      <c r="E257" s="266"/>
      <c r="F257" s="241"/>
      <c r="G257" s="303"/>
      <c r="H257" s="267"/>
      <c r="M257" s="241"/>
    </row>
    <row r="258" spans="2:13" ht="18.75" customHeight="1" x14ac:dyDescent="0.25">
      <c r="B258" s="249" t="s">
        <v>647</v>
      </c>
      <c r="C258" s="104" t="s">
        <v>648</v>
      </c>
      <c r="D258" s="435"/>
      <c r="E258" s="92"/>
      <c r="F258" s="183"/>
      <c r="G258" s="167"/>
      <c r="H258" s="252">
        <f>+H254+H251+H248</f>
        <v>105500</v>
      </c>
      <c r="M258" s="183"/>
    </row>
    <row r="259" spans="2:13" ht="18.75" customHeight="1" x14ac:dyDescent="0.25">
      <c r="B259" s="249" t="s">
        <v>649</v>
      </c>
      <c r="C259" s="242" t="s">
        <v>650</v>
      </c>
      <c r="D259" s="435"/>
      <c r="E259" s="92"/>
      <c r="F259" s="184" t="str">
        <f>$J$5</f>
        <v>8,0 % x D</v>
      </c>
      <c r="G259" s="167"/>
      <c r="H259" s="253">
        <f>+H258*$K$5</f>
        <v>8440</v>
      </c>
      <c r="M259" s="184" t="str">
        <f>$J$5</f>
        <v>8,0 % x D</v>
      </c>
    </row>
    <row r="260" spans="2:13" ht="18.75" customHeight="1" x14ac:dyDescent="0.25">
      <c r="B260" s="249" t="s">
        <v>651</v>
      </c>
      <c r="C260" s="111" t="s">
        <v>652</v>
      </c>
      <c r="D260" s="435"/>
      <c r="E260" s="91"/>
      <c r="F260" s="185"/>
      <c r="G260" s="168"/>
      <c r="H260" s="254">
        <f>+H259+H258</f>
        <v>113940</v>
      </c>
      <c r="M260" s="185"/>
    </row>
    <row r="261" spans="2:13" ht="18.75" customHeight="1" x14ac:dyDescent="0.25">
      <c r="B261" s="259"/>
      <c r="C261" s="261"/>
      <c r="D261" s="245"/>
      <c r="E261" s="246"/>
      <c r="F261" s="247"/>
      <c r="G261" s="298"/>
      <c r="H261" s="260"/>
      <c r="M261" s="247"/>
    </row>
    <row r="262" spans="2:13" ht="18.75" customHeight="1" x14ac:dyDescent="0.25">
      <c r="B262" s="92"/>
      <c r="C262" s="104"/>
      <c r="D262" s="435"/>
      <c r="E262" s="91"/>
      <c r="F262" s="185"/>
      <c r="G262" s="168"/>
      <c r="H262" s="139"/>
      <c r="M262" s="185"/>
    </row>
    <row r="263" spans="2:13" ht="18.75" customHeight="1" x14ac:dyDescent="0.25">
      <c r="B263" s="19">
        <v>10</v>
      </c>
      <c r="C263" s="93" t="s">
        <v>673</v>
      </c>
      <c r="D263" s="19"/>
      <c r="E263" s="21"/>
      <c r="F263" s="176"/>
      <c r="G263" s="165"/>
      <c r="H263" s="119"/>
      <c r="M263" s="176"/>
    </row>
    <row r="264" spans="2:13" ht="18.75" customHeight="1" x14ac:dyDescent="0.25">
      <c r="B264" s="618" t="s">
        <v>620</v>
      </c>
      <c r="C264" s="620" t="s">
        <v>621</v>
      </c>
      <c r="D264" s="618" t="s">
        <v>622</v>
      </c>
      <c r="E264" s="618" t="s">
        <v>2</v>
      </c>
      <c r="F264" s="615" t="s">
        <v>623</v>
      </c>
      <c r="G264" s="289" t="s">
        <v>624</v>
      </c>
      <c r="H264" s="256" t="s">
        <v>625</v>
      </c>
      <c r="M264" s="615" t="s">
        <v>623</v>
      </c>
    </row>
    <row r="265" spans="2:13" ht="18.75" customHeight="1" x14ac:dyDescent="0.25">
      <c r="B265" s="619"/>
      <c r="C265" s="621"/>
      <c r="D265" s="619"/>
      <c r="E265" s="619"/>
      <c r="F265" s="616"/>
      <c r="G265" s="289" t="s">
        <v>626</v>
      </c>
      <c r="H265" s="256" t="s">
        <v>626</v>
      </c>
      <c r="M265" s="616"/>
    </row>
    <row r="266" spans="2:13" ht="18.75" customHeight="1" x14ac:dyDescent="0.25">
      <c r="B266" s="221"/>
      <c r="C266" s="222"/>
      <c r="D266" s="221"/>
      <c r="E266" s="550"/>
      <c r="F266" s="555"/>
      <c r="G266" s="551"/>
      <c r="H266" s="220"/>
      <c r="M266" s="590"/>
    </row>
    <row r="267" spans="2:13" ht="18.75" customHeight="1" x14ac:dyDescent="0.25">
      <c r="B267" s="550" t="s">
        <v>627</v>
      </c>
      <c r="C267" s="223" t="s">
        <v>628</v>
      </c>
      <c r="D267" s="550"/>
      <c r="E267" s="224"/>
      <c r="F267" s="225"/>
      <c r="G267" s="290"/>
      <c r="H267" s="226"/>
      <c r="M267" s="225"/>
    </row>
    <row r="268" spans="2:13" ht="18.75" customHeight="1" x14ac:dyDescent="0.25">
      <c r="B268" s="550"/>
      <c r="C268" s="227" t="s">
        <v>629</v>
      </c>
      <c r="D268" s="550" t="s">
        <v>630</v>
      </c>
      <c r="E268" s="224" t="s">
        <v>631</v>
      </c>
      <c r="F268" s="228">
        <f t="shared" ref="F268:F271" si="16">$K$8*M268</f>
        <v>1</v>
      </c>
      <c r="G268" s="229">
        <f>G215</f>
        <v>95000</v>
      </c>
      <c r="H268" s="230">
        <f>+G268*F268</f>
        <v>95000</v>
      </c>
      <c r="M268" s="228">
        <v>1</v>
      </c>
    </row>
    <row r="269" spans="2:13" ht="18.75" customHeight="1" x14ac:dyDescent="0.25">
      <c r="B269" s="550"/>
      <c r="C269" s="227" t="s">
        <v>1508</v>
      </c>
      <c r="D269" s="550" t="s">
        <v>632</v>
      </c>
      <c r="E269" s="224" t="s">
        <v>631</v>
      </c>
      <c r="F269" s="228">
        <f t="shared" si="16"/>
        <v>2</v>
      </c>
      <c r="G269" s="229">
        <f>G216</f>
        <v>110000</v>
      </c>
      <c r="H269" s="230">
        <f>+G269*F269</f>
        <v>220000</v>
      </c>
      <c r="M269" s="228">
        <v>2</v>
      </c>
    </row>
    <row r="270" spans="2:13" ht="18.75" customHeight="1" x14ac:dyDescent="0.25">
      <c r="B270" s="550"/>
      <c r="C270" s="227" t="s">
        <v>633</v>
      </c>
      <c r="D270" s="550" t="s">
        <v>634</v>
      </c>
      <c r="E270" s="224" t="s">
        <v>631</v>
      </c>
      <c r="F270" s="228">
        <f t="shared" si="16"/>
        <v>0.2</v>
      </c>
      <c r="G270" s="229">
        <f>G217</f>
        <v>115000</v>
      </c>
      <c r="H270" s="230">
        <f>+G270*F270</f>
        <v>23000</v>
      </c>
      <c r="M270" s="228">
        <v>0.2</v>
      </c>
    </row>
    <row r="271" spans="2:13" ht="18.75" customHeight="1" x14ac:dyDescent="0.25">
      <c r="B271" s="550"/>
      <c r="C271" s="227" t="s">
        <v>600</v>
      </c>
      <c r="D271" s="550" t="s">
        <v>635</v>
      </c>
      <c r="E271" s="224" t="s">
        <v>631</v>
      </c>
      <c r="F271" s="228">
        <f t="shared" si="16"/>
        <v>0.05</v>
      </c>
      <c r="G271" s="229">
        <f>G218</f>
        <v>140000</v>
      </c>
      <c r="H271" s="230">
        <f>+G271*F271</f>
        <v>7000</v>
      </c>
      <c r="M271" s="228">
        <v>0.05</v>
      </c>
    </row>
    <row r="272" spans="2:13" ht="18.75" customHeight="1" x14ac:dyDescent="0.25">
      <c r="B272" s="550"/>
      <c r="C272" s="223"/>
      <c r="D272" s="550"/>
      <c r="E272" s="224"/>
      <c r="F272" s="237"/>
      <c r="G272" s="290"/>
      <c r="H272" s="231">
        <f>SUM(H268:H271)</f>
        <v>345000</v>
      </c>
      <c r="M272" s="237"/>
    </row>
    <row r="273" spans="2:13" ht="18.75" customHeight="1" x14ac:dyDescent="0.25">
      <c r="B273" s="550"/>
      <c r="C273" s="223"/>
      <c r="D273" s="550"/>
      <c r="E273" s="224"/>
      <c r="F273" s="237"/>
      <c r="G273" s="290"/>
      <c r="H273" s="231"/>
      <c r="M273" s="237"/>
    </row>
    <row r="274" spans="2:13" ht="18.75" customHeight="1" x14ac:dyDescent="0.25">
      <c r="B274" s="550" t="s">
        <v>637</v>
      </c>
      <c r="C274" s="223" t="s">
        <v>638</v>
      </c>
      <c r="D274" s="550"/>
      <c r="E274" s="224"/>
      <c r="F274" s="225"/>
      <c r="G274" s="290"/>
      <c r="H274" s="226"/>
      <c r="M274" s="225"/>
    </row>
    <row r="275" spans="2:13" ht="18.75" customHeight="1" x14ac:dyDescent="0.25">
      <c r="B275" s="550"/>
      <c r="C275" s="223" t="s">
        <v>1473</v>
      </c>
      <c r="D275" s="550"/>
      <c r="E275" s="550" t="s">
        <v>612</v>
      </c>
      <c r="F275" s="233">
        <v>1.25</v>
      </c>
      <c r="G275" s="234">
        <f>Bahan!D238</f>
        <v>20000</v>
      </c>
      <c r="H275" s="235">
        <f>+G275*F275</f>
        <v>25000</v>
      </c>
      <c r="M275" s="233">
        <v>1.25</v>
      </c>
    </row>
    <row r="276" spans="2:13" ht="18.75" customHeight="1" x14ac:dyDescent="0.25">
      <c r="B276" s="550"/>
      <c r="C276" s="223" t="s">
        <v>674</v>
      </c>
      <c r="D276" s="550"/>
      <c r="E276" s="550" t="s">
        <v>62</v>
      </c>
      <c r="F276" s="233">
        <v>0.186</v>
      </c>
      <c r="G276" s="234">
        <f>Bahan!D502</f>
        <v>50000</v>
      </c>
      <c r="H276" s="235">
        <f>+G276*F276</f>
        <v>9300</v>
      </c>
      <c r="M276" s="233">
        <v>0.186</v>
      </c>
    </row>
    <row r="277" spans="2:13" ht="18.75" customHeight="1" x14ac:dyDescent="0.25">
      <c r="B277" s="550"/>
      <c r="C277" s="223"/>
      <c r="D277" s="550"/>
      <c r="E277" s="224"/>
      <c r="F277" s="233" t="s">
        <v>643</v>
      </c>
      <c r="G277" s="290"/>
      <c r="H277" s="231">
        <f>SUM(H275:H276)</f>
        <v>34300</v>
      </c>
      <c r="M277" s="233" t="s">
        <v>643</v>
      </c>
    </row>
    <row r="278" spans="2:13" ht="18.75" customHeight="1" x14ac:dyDescent="0.25">
      <c r="B278" s="550"/>
      <c r="C278" s="223"/>
      <c r="D278" s="550"/>
      <c r="E278" s="224"/>
      <c r="F278" s="268"/>
      <c r="G278" s="290"/>
      <c r="H278" s="226"/>
      <c r="M278" s="268"/>
    </row>
    <row r="279" spans="2:13" ht="18.75" customHeight="1" x14ac:dyDescent="0.25">
      <c r="B279" s="550" t="s">
        <v>644</v>
      </c>
      <c r="C279" s="223" t="s">
        <v>645</v>
      </c>
      <c r="D279" s="550"/>
      <c r="E279" s="224"/>
      <c r="F279" s="268"/>
      <c r="G279" s="290"/>
      <c r="H279" s="235"/>
      <c r="M279" s="268"/>
    </row>
    <row r="280" spans="2:13" ht="18.75" customHeight="1" x14ac:dyDescent="0.25">
      <c r="B280" s="236"/>
      <c r="C280" s="232"/>
      <c r="D280" s="550"/>
      <c r="E280" s="224"/>
      <c r="F280" s="233" t="s">
        <v>646</v>
      </c>
      <c r="G280" s="290"/>
      <c r="H280" s="230">
        <f>SUM(H279:H279)</f>
        <v>0</v>
      </c>
      <c r="M280" s="233" t="s">
        <v>646</v>
      </c>
    </row>
    <row r="281" spans="2:13" ht="18.75" customHeight="1" x14ac:dyDescent="0.25">
      <c r="B281" s="248"/>
      <c r="C281" s="238"/>
      <c r="D281" s="239"/>
      <c r="E281" s="266"/>
      <c r="F281" s="241"/>
      <c r="G281" s="303"/>
      <c r="H281" s="267"/>
      <c r="M281" s="241"/>
    </row>
    <row r="282" spans="2:13" ht="18.75" customHeight="1" x14ac:dyDescent="0.25">
      <c r="B282" s="249" t="s">
        <v>647</v>
      </c>
      <c r="C282" s="104" t="s">
        <v>648</v>
      </c>
      <c r="D282" s="435"/>
      <c r="E282" s="92"/>
      <c r="F282" s="183"/>
      <c r="G282" s="167"/>
      <c r="H282" s="252">
        <f>+H280+H277+H272</f>
        <v>379300</v>
      </c>
      <c r="M282" s="183"/>
    </row>
    <row r="283" spans="2:13" ht="18.75" customHeight="1" x14ac:dyDescent="0.25">
      <c r="B283" s="249" t="s">
        <v>649</v>
      </c>
      <c r="C283" s="242" t="s">
        <v>650</v>
      </c>
      <c r="D283" s="435"/>
      <c r="E283" s="92"/>
      <c r="F283" s="184" t="str">
        <f>$J$5</f>
        <v>8,0 % x D</v>
      </c>
      <c r="G283" s="167"/>
      <c r="H283" s="253">
        <f>+H282*$K$5</f>
        <v>30344</v>
      </c>
      <c r="M283" s="184" t="str">
        <f>$J$5</f>
        <v>8,0 % x D</v>
      </c>
    </row>
    <row r="284" spans="2:13" ht="18.75" customHeight="1" x14ac:dyDescent="0.25">
      <c r="B284" s="249" t="s">
        <v>651</v>
      </c>
      <c r="C284" s="111" t="s">
        <v>652</v>
      </c>
      <c r="D284" s="435"/>
      <c r="E284" s="91"/>
      <c r="F284" s="185"/>
      <c r="G284" s="168"/>
      <c r="H284" s="254">
        <f>ROUNDUP((H283+H282)/100,0)*100</f>
        <v>409700</v>
      </c>
      <c r="M284" s="185"/>
    </row>
    <row r="285" spans="2:13" ht="18.75" customHeight="1" x14ac:dyDescent="0.25">
      <c r="B285" s="259"/>
      <c r="C285" s="261"/>
      <c r="D285" s="245"/>
      <c r="E285" s="246"/>
      <c r="F285" s="247"/>
      <c r="G285" s="298"/>
      <c r="H285" s="260"/>
      <c r="M285" s="247"/>
    </row>
    <row r="286" spans="2:13" ht="18.75" customHeight="1" x14ac:dyDescent="0.25">
      <c r="B286" s="22"/>
      <c r="C286" s="104"/>
      <c r="E286" s="21"/>
      <c r="F286" s="176"/>
      <c r="G286" s="165"/>
      <c r="H286" s="119"/>
      <c r="M286" s="176"/>
    </row>
    <row r="287" spans="2:13" ht="18.75" customHeight="1" x14ac:dyDescent="0.25">
      <c r="B287" s="19">
        <f>+B263+1</f>
        <v>11</v>
      </c>
      <c r="C287" s="93" t="s">
        <v>675</v>
      </c>
      <c r="D287" s="19"/>
      <c r="E287" s="21"/>
      <c r="F287" s="176"/>
      <c r="G287" s="165"/>
      <c r="H287" s="119"/>
      <c r="M287" s="176"/>
    </row>
    <row r="288" spans="2:13" ht="18.75" customHeight="1" x14ac:dyDescent="0.25">
      <c r="B288" s="618" t="s">
        <v>620</v>
      </c>
      <c r="C288" s="620" t="s">
        <v>621</v>
      </c>
      <c r="D288" s="618" t="s">
        <v>622</v>
      </c>
      <c r="E288" s="618" t="s">
        <v>2</v>
      </c>
      <c r="F288" s="615" t="s">
        <v>623</v>
      </c>
      <c r="G288" s="289" t="s">
        <v>624</v>
      </c>
      <c r="H288" s="256" t="s">
        <v>625</v>
      </c>
      <c r="M288" s="615" t="s">
        <v>623</v>
      </c>
    </row>
    <row r="289" spans="2:13" ht="18.75" customHeight="1" x14ac:dyDescent="0.25">
      <c r="B289" s="619"/>
      <c r="C289" s="621"/>
      <c r="D289" s="619"/>
      <c r="E289" s="619"/>
      <c r="F289" s="616"/>
      <c r="G289" s="289" t="s">
        <v>626</v>
      </c>
      <c r="H289" s="256" t="s">
        <v>626</v>
      </c>
      <c r="M289" s="616"/>
    </row>
    <row r="290" spans="2:13" ht="18.75" customHeight="1" x14ac:dyDescent="0.25">
      <c r="B290" s="221"/>
      <c r="C290" s="222"/>
      <c r="D290" s="221"/>
      <c r="E290" s="550"/>
      <c r="F290" s="555"/>
      <c r="G290" s="551"/>
      <c r="H290" s="220"/>
      <c r="M290" s="590"/>
    </row>
    <row r="291" spans="2:13" ht="18.75" customHeight="1" x14ac:dyDescent="0.25">
      <c r="B291" s="550" t="s">
        <v>627</v>
      </c>
      <c r="C291" s="223" t="s">
        <v>628</v>
      </c>
      <c r="D291" s="550"/>
      <c r="E291" s="224"/>
      <c r="F291" s="225"/>
      <c r="G291" s="290"/>
      <c r="H291" s="226"/>
      <c r="M291" s="225"/>
    </row>
    <row r="292" spans="2:13" ht="18.75" customHeight="1" x14ac:dyDescent="0.25">
      <c r="B292" s="550"/>
      <c r="C292" s="227" t="s">
        <v>1508</v>
      </c>
      <c r="D292" s="550" t="s">
        <v>632</v>
      </c>
      <c r="E292" s="224" t="s">
        <v>631</v>
      </c>
      <c r="F292" s="228">
        <f t="shared" ref="F292:F293" si="17">$K$8*M292</f>
        <v>0.3</v>
      </c>
      <c r="G292" s="229">
        <f>G269</f>
        <v>110000</v>
      </c>
      <c r="H292" s="230">
        <f>+G292*F292</f>
        <v>33000</v>
      </c>
      <c r="M292" s="228">
        <v>0.3</v>
      </c>
    </row>
    <row r="293" spans="2:13" ht="18.75" customHeight="1" x14ac:dyDescent="0.25">
      <c r="B293" s="550"/>
      <c r="C293" s="227" t="s">
        <v>633</v>
      </c>
      <c r="D293" s="550" t="s">
        <v>634</v>
      </c>
      <c r="E293" s="224" t="s">
        <v>631</v>
      </c>
      <c r="F293" s="228">
        <f t="shared" si="17"/>
        <v>0.03</v>
      </c>
      <c r="G293" s="229">
        <f>G270</f>
        <v>115000</v>
      </c>
      <c r="H293" s="230">
        <f>+G293*F293</f>
        <v>3450</v>
      </c>
      <c r="M293" s="228">
        <v>0.03</v>
      </c>
    </row>
    <row r="294" spans="2:13" ht="18.75" customHeight="1" x14ac:dyDescent="0.25">
      <c r="B294" s="550"/>
      <c r="C294" s="269"/>
      <c r="D294" s="270"/>
      <c r="E294" s="271"/>
      <c r="F294" s="233" t="s">
        <v>636</v>
      </c>
      <c r="G294" s="304"/>
      <c r="H294" s="231">
        <f>SUM(H292:H293)</f>
        <v>36450</v>
      </c>
      <c r="M294" s="233" t="s">
        <v>636</v>
      </c>
    </row>
    <row r="295" spans="2:13" ht="18.75" customHeight="1" x14ac:dyDescent="0.25">
      <c r="B295" s="550"/>
      <c r="C295" s="269"/>
      <c r="D295" s="270"/>
      <c r="E295" s="271"/>
      <c r="F295" s="233"/>
      <c r="G295" s="304"/>
      <c r="H295" s="231"/>
      <c r="M295" s="233"/>
    </row>
    <row r="296" spans="2:13" ht="18.75" customHeight="1" x14ac:dyDescent="0.25">
      <c r="B296" s="550" t="s">
        <v>637</v>
      </c>
      <c r="C296" s="223" t="s">
        <v>638</v>
      </c>
      <c r="D296" s="550"/>
      <c r="E296" s="224"/>
      <c r="F296" s="225"/>
      <c r="G296" s="290"/>
      <c r="H296" s="226"/>
      <c r="M296" s="225"/>
    </row>
    <row r="297" spans="2:13" ht="18.75" customHeight="1" x14ac:dyDescent="0.25">
      <c r="B297" s="550"/>
      <c r="C297" s="223" t="s">
        <v>676</v>
      </c>
      <c r="D297" s="550"/>
      <c r="E297" s="550" t="s">
        <v>52</v>
      </c>
      <c r="F297" s="233">
        <v>3.5999999999999997E-2</v>
      </c>
      <c r="G297" s="234">
        <f>Bahan!D256</f>
        <v>9850000</v>
      </c>
      <c r="H297" s="235">
        <f>+G297*F297</f>
        <v>354600</v>
      </c>
      <c r="J297" s="557" t="s">
        <v>231</v>
      </c>
      <c r="M297" s="233">
        <v>3.5999999999999997E-2</v>
      </c>
    </row>
    <row r="298" spans="2:13" ht="18.75" customHeight="1" x14ac:dyDescent="0.25">
      <c r="B298" s="550"/>
      <c r="C298" s="223" t="s">
        <v>1474</v>
      </c>
      <c r="D298" s="550"/>
      <c r="E298" s="550" t="s">
        <v>52</v>
      </c>
      <c r="F298" s="233">
        <v>3.5999999999999997E-2</v>
      </c>
      <c r="G298" s="234">
        <f>Bahan!D258</f>
        <v>4230000</v>
      </c>
      <c r="H298" s="235">
        <f>+G298*F298</f>
        <v>152280</v>
      </c>
      <c r="J298" s="557" t="s">
        <v>233</v>
      </c>
      <c r="M298" s="233">
        <v>3.5999999999999997E-2</v>
      </c>
    </row>
    <row r="299" spans="2:13" ht="18.75" customHeight="1" x14ac:dyDescent="0.25">
      <c r="B299" s="550"/>
      <c r="C299" s="223" t="s">
        <v>660</v>
      </c>
      <c r="D299" s="550"/>
      <c r="E299" s="550" t="s">
        <v>62</v>
      </c>
      <c r="F299" s="233">
        <v>0.08</v>
      </c>
      <c r="G299" s="234">
        <f>G224</f>
        <v>25000</v>
      </c>
      <c r="H299" s="235">
        <f>+G299*F299</f>
        <v>2000</v>
      </c>
      <c r="M299" s="233">
        <v>0.08</v>
      </c>
    </row>
    <row r="300" spans="2:13" ht="18.75" customHeight="1" x14ac:dyDescent="0.25">
      <c r="B300" s="550"/>
      <c r="C300" s="223"/>
      <c r="D300" s="550"/>
      <c r="E300" s="224"/>
      <c r="F300" s="233" t="s">
        <v>643</v>
      </c>
      <c r="G300" s="290"/>
      <c r="H300" s="231">
        <f>SUM(H297:H299)</f>
        <v>508880</v>
      </c>
      <c r="M300" s="233" t="s">
        <v>643</v>
      </c>
    </row>
    <row r="301" spans="2:13" ht="18.75" customHeight="1" x14ac:dyDescent="0.25">
      <c r="B301" s="550"/>
      <c r="C301" s="223"/>
      <c r="D301" s="550"/>
      <c r="E301" s="224"/>
      <c r="F301" s="233"/>
      <c r="G301" s="290"/>
      <c r="H301" s="231"/>
      <c r="M301" s="233"/>
    </row>
    <row r="302" spans="2:13" ht="18.75" customHeight="1" x14ac:dyDescent="0.25">
      <c r="B302" s="550" t="s">
        <v>644</v>
      </c>
      <c r="C302" s="223" t="s">
        <v>645</v>
      </c>
      <c r="D302" s="550"/>
      <c r="E302" s="224"/>
      <c r="F302" s="268"/>
      <c r="G302" s="290"/>
      <c r="H302" s="235"/>
      <c r="M302" s="268"/>
    </row>
    <row r="303" spans="2:13" ht="18.75" customHeight="1" x14ac:dyDescent="0.25">
      <c r="B303" s="236"/>
      <c r="C303" s="232"/>
      <c r="D303" s="550"/>
      <c r="E303" s="224"/>
      <c r="F303" s="233" t="s">
        <v>646</v>
      </c>
      <c r="G303" s="290"/>
      <c r="H303" s="230">
        <f>SUM(H302:H302)</f>
        <v>0</v>
      </c>
      <c r="M303" s="233" t="s">
        <v>646</v>
      </c>
    </row>
    <row r="304" spans="2:13" ht="18.75" customHeight="1" x14ac:dyDescent="0.25">
      <c r="B304" s="236"/>
      <c r="C304" s="232"/>
      <c r="D304" s="550"/>
      <c r="E304" s="224"/>
      <c r="F304" s="237"/>
      <c r="G304" s="290"/>
      <c r="H304" s="226"/>
      <c r="M304" s="237"/>
    </row>
    <row r="305" spans="2:13" ht="18.75" customHeight="1" x14ac:dyDescent="0.25">
      <c r="B305" s="248"/>
      <c r="C305" s="238"/>
      <c r="D305" s="239"/>
      <c r="E305" s="266"/>
      <c r="F305" s="241"/>
      <c r="G305" s="303"/>
      <c r="H305" s="267"/>
      <c r="M305" s="241"/>
    </row>
    <row r="306" spans="2:13" ht="18.75" customHeight="1" x14ac:dyDescent="0.25">
      <c r="B306" s="249" t="s">
        <v>647</v>
      </c>
      <c r="C306" s="104" t="s">
        <v>648</v>
      </c>
      <c r="D306" s="435"/>
      <c r="E306" s="92"/>
      <c r="F306" s="183"/>
      <c r="G306" s="167"/>
      <c r="H306" s="252">
        <f>+H303+H300+H294</f>
        <v>545330</v>
      </c>
      <c r="M306" s="183"/>
    </row>
    <row r="307" spans="2:13" ht="18.75" customHeight="1" x14ac:dyDescent="0.25">
      <c r="B307" s="249" t="s">
        <v>649</v>
      </c>
      <c r="C307" s="242" t="s">
        <v>650</v>
      </c>
      <c r="D307" s="435"/>
      <c r="E307" s="92"/>
      <c r="F307" s="184" t="str">
        <f>$J$5</f>
        <v>8,0 % x D</v>
      </c>
      <c r="G307" s="167"/>
      <c r="H307" s="253">
        <f>+H306*$K$5</f>
        <v>43626.400000000001</v>
      </c>
      <c r="M307" s="184" t="str">
        <f>$J$5</f>
        <v>8,0 % x D</v>
      </c>
    </row>
    <row r="308" spans="2:13" ht="18.75" customHeight="1" x14ac:dyDescent="0.25">
      <c r="B308" s="249" t="s">
        <v>651</v>
      </c>
      <c r="C308" s="111" t="s">
        <v>652</v>
      </c>
      <c r="D308" s="435"/>
      <c r="E308" s="91"/>
      <c r="F308" s="185"/>
      <c r="G308" s="168"/>
      <c r="H308" s="254">
        <f>ROUNDUP((H307+H306)/100,0)*100</f>
        <v>589000</v>
      </c>
      <c r="M308" s="185"/>
    </row>
    <row r="309" spans="2:13" ht="18.75" customHeight="1" x14ac:dyDescent="0.25">
      <c r="B309" s="259"/>
      <c r="C309" s="261"/>
      <c r="D309" s="245"/>
      <c r="E309" s="246"/>
      <c r="F309" s="247"/>
      <c r="G309" s="298"/>
      <c r="H309" s="260"/>
      <c r="M309" s="247"/>
    </row>
    <row r="310" spans="2:13" ht="18.75" customHeight="1" x14ac:dyDescent="0.25">
      <c r="B310" s="92"/>
      <c r="C310" s="104"/>
      <c r="D310" s="435"/>
      <c r="E310" s="91"/>
      <c r="F310" s="185"/>
      <c r="G310" s="168"/>
      <c r="H310" s="139"/>
      <c r="M310" s="185"/>
    </row>
    <row r="311" spans="2:13" ht="18.75" customHeight="1" x14ac:dyDescent="0.25">
      <c r="B311" s="19">
        <f>B287+1</f>
        <v>12</v>
      </c>
      <c r="C311" s="93" t="s">
        <v>677</v>
      </c>
      <c r="D311" s="19"/>
      <c r="E311" s="21"/>
      <c r="F311" s="176"/>
      <c r="G311" s="288"/>
      <c r="H311" s="119"/>
      <c r="M311" s="176"/>
    </row>
    <row r="312" spans="2:13" ht="18.75" customHeight="1" x14ac:dyDescent="0.25">
      <c r="B312" s="618" t="s">
        <v>620</v>
      </c>
      <c r="C312" s="620" t="s">
        <v>621</v>
      </c>
      <c r="D312" s="618" t="s">
        <v>622</v>
      </c>
      <c r="E312" s="618" t="s">
        <v>2</v>
      </c>
      <c r="F312" s="615" t="s">
        <v>623</v>
      </c>
      <c r="G312" s="289" t="s">
        <v>624</v>
      </c>
      <c r="H312" s="256" t="s">
        <v>625</v>
      </c>
      <c r="M312" s="615" t="s">
        <v>623</v>
      </c>
    </row>
    <row r="313" spans="2:13" ht="18.75" customHeight="1" x14ac:dyDescent="0.25">
      <c r="B313" s="619"/>
      <c r="C313" s="621"/>
      <c r="D313" s="619"/>
      <c r="E313" s="619"/>
      <c r="F313" s="616"/>
      <c r="G313" s="289" t="s">
        <v>626</v>
      </c>
      <c r="H313" s="256" t="s">
        <v>626</v>
      </c>
      <c r="M313" s="616"/>
    </row>
    <row r="314" spans="2:13" ht="18.75" customHeight="1" x14ac:dyDescent="0.25">
      <c r="B314" s="221"/>
      <c r="C314" s="222"/>
      <c r="D314" s="221"/>
      <c r="E314" s="550"/>
      <c r="F314" s="555"/>
      <c r="G314" s="551"/>
      <c r="H314" s="220"/>
      <c r="M314" s="590"/>
    </row>
    <row r="315" spans="2:13" ht="18.75" customHeight="1" x14ac:dyDescent="0.25">
      <c r="B315" s="550" t="s">
        <v>627</v>
      </c>
      <c r="C315" s="223" t="s">
        <v>628</v>
      </c>
      <c r="D315" s="550"/>
      <c r="E315" s="224"/>
      <c r="F315" s="225"/>
      <c r="G315" s="290"/>
      <c r="H315" s="226"/>
      <c r="M315" s="225"/>
    </row>
    <row r="316" spans="2:13" ht="18.75" customHeight="1" x14ac:dyDescent="0.25">
      <c r="B316" s="550"/>
      <c r="C316" s="227" t="s">
        <v>629</v>
      </c>
      <c r="D316" s="550" t="s">
        <v>630</v>
      </c>
      <c r="E316" s="224" t="s">
        <v>631</v>
      </c>
      <c r="F316" s="228">
        <f t="shared" ref="F316:F317" si="18">$K$8*M316</f>
        <v>1</v>
      </c>
      <c r="G316" s="229">
        <f>G268</f>
        <v>95000</v>
      </c>
      <c r="H316" s="230">
        <f>+G316*F316</f>
        <v>95000</v>
      </c>
      <c r="M316" s="228">
        <v>1</v>
      </c>
    </row>
    <row r="317" spans="2:13" ht="18.75" customHeight="1" x14ac:dyDescent="0.25">
      <c r="B317" s="550"/>
      <c r="C317" s="227" t="s">
        <v>600</v>
      </c>
      <c r="D317" s="550" t="s">
        <v>635</v>
      </c>
      <c r="E317" s="224" t="s">
        <v>631</v>
      </c>
      <c r="F317" s="228">
        <f t="shared" si="18"/>
        <v>0.05</v>
      </c>
      <c r="G317" s="229">
        <f>G271</f>
        <v>140000</v>
      </c>
      <c r="H317" s="230">
        <f>+G317*F317</f>
        <v>7000</v>
      </c>
      <c r="M317" s="228">
        <v>0.05</v>
      </c>
    </row>
    <row r="318" spans="2:13" ht="18.75" customHeight="1" x14ac:dyDescent="0.25">
      <c r="B318" s="550"/>
      <c r="C318" s="223"/>
      <c r="D318" s="550"/>
      <c r="E318" s="224"/>
      <c r="F318" s="233" t="s">
        <v>636</v>
      </c>
      <c r="G318" s="290"/>
      <c r="H318" s="231">
        <f>SUM(H316:H317)</f>
        <v>102000</v>
      </c>
      <c r="M318" s="233" t="s">
        <v>636</v>
      </c>
    </row>
    <row r="319" spans="2:13" ht="18.75" customHeight="1" x14ac:dyDescent="0.25">
      <c r="B319" s="550"/>
      <c r="C319" s="223"/>
      <c r="D319" s="550"/>
      <c r="E319" s="224"/>
      <c r="F319" s="233"/>
      <c r="G319" s="290"/>
      <c r="H319" s="231"/>
      <c r="M319" s="233"/>
    </row>
    <row r="320" spans="2:13" ht="18.75" customHeight="1" x14ac:dyDescent="0.25">
      <c r="B320" s="550" t="s">
        <v>637</v>
      </c>
      <c r="C320" s="223" t="s">
        <v>638</v>
      </c>
      <c r="D320" s="550"/>
      <c r="E320" s="224"/>
      <c r="F320" s="225"/>
      <c r="G320" s="290"/>
      <c r="H320" s="226"/>
      <c r="M320" s="225"/>
    </row>
    <row r="321" spans="2:13" ht="18.75" customHeight="1" x14ac:dyDescent="0.25">
      <c r="B321" s="550"/>
      <c r="C321" s="223" t="s">
        <v>678</v>
      </c>
      <c r="D321" s="550"/>
      <c r="E321" s="550" t="s">
        <v>52</v>
      </c>
      <c r="F321" s="233">
        <v>0.15</v>
      </c>
      <c r="G321" s="234">
        <f>Bahan!D71</f>
        <v>310000</v>
      </c>
      <c r="H321" s="235">
        <f>+G321*F321</f>
        <v>46500</v>
      </c>
      <c r="M321" s="233">
        <v>0.15</v>
      </c>
    </row>
    <row r="322" spans="2:13" ht="18.75" customHeight="1" x14ac:dyDescent="0.25">
      <c r="B322" s="550"/>
      <c r="C322" s="223" t="s">
        <v>679</v>
      </c>
      <c r="D322" s="550"/>
      <c r="E322" s="550" t="s">
        <v>52</v>
      </c>
      <c r="F322" s="233">
        <v>0.09</v>
      </c>
      <c r="G322" s="234">
        <f>Bahan!D65</f>
        <v>375000</v>
      </c>
      <c r="H322" s="235">
        <f>+G322*F322</f>
        <v>33750</v>
      </c>
      <c r="M322" s="233">
        <v>0.09</v>
      </c>
    </row>
    <row r="323" spans="2:13" ht="18.75" customHeight="1" x14ac:dyDescent="0.25">
      <c r="B323" s="550"/>
      <c r="C323" s="223" t="s">
        <v>661</v>
      </c>
      <c r="D323" s="550"/>
      <c r="E323" s="550" t="s">
        <v>52</v>
      </c>
      <c r="F323" s="233">
        <v>0.01</v>
      </c>
      <c r="G323" s="234">
        <f>G133</f>
        <v>230000</v>
      </c>
      <c r="H323" s="230">
        <f>+G323*F323</f>
        <v>2300</v>
      </c>
      <c r="M323" s="233">
        <v>0.01</v>
      </c>
    </row>
    <row r="324" spans="2:13" ht="18.75" customHeight="1" x14ac:dyDescent="0.25">
      <c r="B324" s="550"/>
      <c r="C324" s="223"/>
      <c r="D324" s="550"/>
      <c r="E324" s="224"/>
      <c r="F324" s="233" t="s">
        <v>643</v>
      </c>
      <c r="G324" s="290"/>
      <c r="H324" s="231">
        <f>SUM(H321:H323)</f>
        <v>82550</v>
      </c>
      <c r="M324" s="233" t="s">
        <v>643</v>
      </c>
    </row>
    <row r="325" spans="2:13" ht="18.75" customHeight="1" x14ac:dyDescent="0.25">
      <c r="B325" s="550"/>
      <c r="C325" s="223"/>
      <c r="D325" s="550"/>
      <c r="E325" s="224"/>
      <c r="F325" s="268"/>
      <c r="G325" s="290"/>
      <c r="H325" s="226"/>
      <c r="M325" s="268"/>
    </row>
    <row r="326" spans="2:13" ht="18.75" customHeight="1" x14ac:dyDescent="0.25">
      <c r="B326" s="550" t="s">
        <v>644</v>
      </c>
      <c r="C326" s="223" t="s">
        <v>645</v>
      </c>
      <c r="D326" s="550"/>
      <c r="E326" s="224"/>
      <c r="F326" s="268"/>
      <c r="G326" s="290"/>
      <c r="H326" s="235"/>
      <c r="M326" s="268"/>
    </row>
    <row r="327" spans="2:13" ht="18.75" customHeight="1" x14ac:dyDescent="0.25">
      <c r="B327" s="236"/>
      <c r="C327" s="232"/>
      <c r="D327" s="550"/>
      <c r="E327" s="224"/>
      <c r="F327" s="233" t="s">
        <v>646</v>
      </c>
      <c r="G327" s="290"/>
      <c r="H327" s="230">
        <f>SUM(H326:H326)</f>
        <v>0</v>
      </c>
      <c r="M327" s="233" t="s">
        <v>646</v>
      </c>
    </row>
    <row r="328" spans="2:13" ht="18.75" customHeight="1" x14ac:dyDescent="0.25">
      <c r="B328" s="236"/>
      <c r="C328" s="232"/>
      <c r="D328" s="550"/>
      <c r="E328" s="224"/>
      <c r="F328" s="237"/>
      <c r="G328" s="290"/>
      <c r="H328" s="226"/>
      <c r="M328" s="237"/>
    </row>
    <row r="329" spans="2:13" ht="18.75" customHeight="1" x14ac:dyDescent="0.25">
      <c r="B329" s="248"/>
      <c r="C329" s="238"/>
      <c r="D329" s="239"/>
      <c r="E329" s="240"/>
      <c r="F329" s="241"/>
      <c r="G329" s="291"/>
      <c r="H329" s="251"/>
      <c r="M329" s="241"/>
    </row>
    <row r="330" spans="2:13" ht="18.75" customHeight="1" x14ac:dyDescent="0.25">
      <c r="B330" s="249" t="s">
        <v>647</v>
      </c>
      <c r="C330" s="104" t="s">
        <v>648</v>
      </c>
      <c r="D330" s="435"/>
      <c r="E330" s="92"/>
      <c r="F330" s="183"/>
      <c r="G330" s="167"/>
      <c r="H330" s="252">
        <f>+H327+H324+H318</f>
        <v>184550</v>
      </c>
      <c r="M330" s="183"/>
    </row>
    <row r="331" spans="2:13" ht="18.75" customHeight="1" x14ac:dyDescent="0.25">
      <c r="B331" s="249" t="s">
        <v>649</v>
      </c>
      <c r="C331" s="242" t="s">
        <v>650</v>
      </c>
      <c r="D331" s="435"/>
      <c r="E331" s="92"/>
      <c r="F331" s="184" t="str">
        <f>$J$5</f>
        <v>8,0 % x D</v>
      </c>
      <c r="G331" s="167"/>
      <c r="H331" s="253">
        <f>+H330*$K$5</f>
        <v>14764</v>
      </c>
      <c r="M331" s="184" t="str">
        <f>$J$5</f>
        <v>8,0 % x D</v>
      </c>
    </row>
    <row r="332" spans="2:13" ht="18.75" customHeight="1" x14ac:dyDescent="0.25">
      <c r="B332" s="249" t="s">
        <v>651</v>
      </c>
      <c r="C332" s="111" t="s">
        <v>652</v>
      </c>
      <c r="D332" s="435"/>
      <c r="E332" s="91"/>
      <c r="F332" s="185"/>
      <c r="G332" s="168"/>
      <c r="H332" s="254">
        <f>ROUNDUP((H331+H330)/100,0)*100</f>
        <v>199400</v>
      </c>
      <c r="M332" s="185"/>
    </row>
    <row r="333" spans="2:13" ht="18.75" customHeight="1" x14ac:dyDescent="0.25">
      <c r="B333" s="259"/>
      <c r="C333" s="261"/>
      <c r="D333" s="245"/>
      <c r="E333" s="246"/>
      <c r="F333" s="247"/>
      <c r="G333" s="298"/>
      <c r="H333" s="260"/>
      <c r="M333" s="247"/>
    </row>
    <row r="334" spans="2:13" ht="18.75" customHeight="1" x14ac:dyDescent="0.25">
      <c r="B334" s="22"/>
      <c r="C334" s="104"/>
      <c r="E334" s="21"/>
      <c r="F334" s="176"/>
      <c r="G334" s="165"/>
      <c r="H334" s="119"/>
      <c r="M334" s="176"/>
    </row>
    <row r="335" spans="2:13" ht="18.75" customHeight="1" x14ac:dyDescent="0.25">
      <c r="B335" s="19">
        <f>B311+1</f>
        <v>13</v>
      </c>
      <c r="C335" s="93" t="s">
        <v>680</v>
      </c>
      <c r="D335" s="19"/>
      <c r="E335" s="21"/>
      <c r="F335" s="176"/>
      <c r="G335" s="165"/>
      <c r="H335" s="119"/>
      <c r="M335" s="176"/>
    </row>
    <row r="336" spans="2:13" ht="18.75" customHeight="1" x14ac:dyDescent="0.25">
      <c r="B336" s="618" t="s">
        <v>620</v>
      </c>
      <c r="C336" s="620" t="s">
        <v>621</v>
      </c>
      <c r="D336" s="618" t="s">
        <v>622</v>
      </c>
      <c r="E336" s="618" t="s">
        <v>2</v>
      </c>
      <c r="F336" s="615" t="s">
        <v>623</v>
      </c>
      <c r="G336" s="289" t="s">
        <v>624</v>
      </c>
      <c r="H336" s="256" t="s">
        <v>625</v>
      </c>
      <c r="M336" s="615" t="s">
        <v>623</v>
      </c>
    </row>
    <row r="337" spans="2:13" ht="18.75" customHeight="1" x14ac:dyDescent="0.25">
      <c r="B337" s="619"/>
      <c r="C337" s="621"/>
      <c r="D337" s="619"/>
      <c r="E337" s="619"/>
      <c r="F337" s="616"/>
      <c r="G337" s="289" t="s">
        <v>626</v>
      </c>
      <c r="H337" s="256" t="s">
        <v>626</v>
      </c>
      <c r="M337" s="616"/>
    </row>
    <row r="338" spans="2:13" ht="18.75" customHeight="1" x14ac:dyDescent="0.25">
      <c r="B338" s="272"/>
      <c r="C338" s="273"/>
      <c r="D338" s="272"/>
      <c r="E338" s="272"/>
      <c r="F338" s="274"/>
      <c r="G338" s="551"/>
      <c r="H338" s="220"/>
      <c r="M338" s="274"/>
    </row>
    <row r="339" spans="2:13" ht="18.75" customHeight="1" x14ac:dyDescent="0.25">
      <c r="B339" s="221"/>
      <c r="C339" s="222"/>
      <c r="D339" s="221"/>
      <c r="E339" s="550"/>
      <c r="F339" s="555"/>
      <c r="G339" s="551"/>
      <c r="H339" s="220"/>
      <c r="M339" s="590"/>
    </row>
    <row r="340" spans="2:13" ht="18.75" customHeight="1" x14ac:dyDescent="0.25">
      <c r="B340" s="550" t="s">
        <v>627</v>
      </c>
      <c r="C340" s="223" t="s">
        <v>628</v>
      </c>
      <c r="D340" s="550"/>
      <c r="E340" s="224"/>
      <c r="F340" s="225"/>
      <c r="G340" s="290"/>
      <c r="H340" s="226"/>
      <c r="M340" s="225"/>
    </row>
    <row r="341" spans="2:13" ht="18.75" customHeight="1" x14ac:dyDescent="0.25">
      <c r="B341" s="550"/>
      <c r="C341" s="227" t="s">
        <v>629</v>
      </c>
      <c r="D341" s="550" t="s">
        <v>630</v>
      </c>
      <c r="E341" s="224" t="s">
        <v>631</v>
      </c>
      <c r="F341" s="228">
        <f t="shared" ref="F341:F342" si="19">$K$8*M341</f>
        <v>13.334</v>
      </c>
      <c r="G341" s="275">
        <f>G316</f>
        <v>95000</v>
      </c>
      <c r="H341" s="230">
        <f>+G341*F341</f>
        <v>1266730</v>
      </c>
      <c r="M341" s="228">
        <v>13.334</v>
      </c>
    </row>
    <row r="342" spans="2:13" ht="18.75" customHeight="1" x14ac:dyDescent="0.25">
      <c r="B342" s="550"/>
      <c r="C342" s="227" t="s">
        <v>600</v>
      </c>
      <c r="D342" s="550" t="s">
        <v>635</v>
      </c>
      <c r="E342" s="224" t="s">
        <v>631</v>
      </c>
      <c r="F342" s="228">
        <f t="shared" si="19"/>
        <v>0.66600000000000004</v>
      </c>
      <c r="G342" s="275">
        <f>G317</f>
        <v>140000</v>
      </c>
      <c r="H342" s="230">
        <f>+G342*F342</f>
        <v>93240</v>
      </c>
      <c r="M342" s="228">
        <v>0.66600000000000004</v>
      </c>
    </row>
    <row r="343" spans="2:13" ht="18.75" customHeight="1" x14ac:dyDescent="0.25">
      <c r="B343" s="550"/>
      <c r="C343" s="223"/>
      <c r="D343" s="550"/>
      <c r="E343" s="224"/>
      <c r="F343" s="233" t="s">
        <v>636</v>
      </c>
      <c r="G343" s="290"/>
      <c r="H343" s="231">
        <f>SUM(H341:H342)</f>
        <v>1359970</v>
      </c>
      <c r="M343" s="233" t="s">
        <v>636</v>
      </c>
    </row>
    <row r="344" spans="2:13" ht="18.75" customHeight="1" x14ac:dyDescent="0.25">
      <c r="B344" s="550"/>
      <c r="C344" s="223"/>
      <c r="D344" s="550"/>
      <c r="E344" s="224"/>
      <c r="F344" s="233"/>
      <c r="G344" s="290"/>
      <c r="H344" s="231"/>
      <c r="M344" s="233"/>
    </row>
    <row r="345" spans="2:13" ht="18.75" customHeight="1" x14ac:dyDescent="0.25">
      <c r="B345" s="550" t="s">
        <v>637</v>
      </c>
      <c r="C345" s="223" t="s">
        <v>638</v>
      </c>
      <c r="D345" s="550"/>
      <c r="E345" s="224"/>
      <c r="F345" s="225"/>
      <c r="G345" s="290"/>
      <c r="H345" s="235" t="s">
        <v>789</v>
      </c>
      <c r="M345" s="225"/>
    </row>
    <row r="346" spans="2:13" ht="18.75" customHeight="1" x14ac:dyDescent="0.25">
      <c r="B346" s="550"/>
      <c r="C346" s="223"/>
      <c r="D346" s="550"/>
      <c r="E346" s="224"/>
      <c r="F346" s="237" t="s">
        <v>643</v>
      </c>
      <c r="G346" s="290"/>
      <c r="H346" s="230">
        <f>SUM(H345:H345)</f>
        <v>0</v>
      </c>
      <c r="M346" s="237" t="s">
        <v>643</v>
      </c>
    </row>
    <row r="347" spans="2:13" ht="18.75" customHeight="1" x14ac:dyDescent="0.25">
      <c r="B347" s="550"/>
      <c r="C347" s="223"/>
      <c r="D347" s="550"/>
      <c r="E347" s="224"/>
      <c r="F347" s="225"/>
      <c r="G347" s="290"/>
      <c r="H347" s="226"/>
      <c r="M347" s="225"/>
    </row>
    <row r="348" spans="2:13" ht="18.75" customHeight="1" x14ac:dyDescent="0.25">
      <c r="B348" s="550" t="s">
        <v>644</v>
      </c>
      <c r="C348" s="223" t="s">
        <v>645</v>
      </c>
      <c r="D348" s="550"/>
      <c r="E348" s="224"/>
      <c r="F348" s="225"/>
      <c r="G348" s="290"/>
      <c r="H348" s="235"/>
      <c r="M348" s="225"/>
    </row>
    <row r="349" spans="2:13" ht="18.75" customHeight="1" x14ac:dyDescent="0.25">
      <c r="B349" s="236"/>
      <c r="C349" s="232"/>
      <c r="D349" s="550"/>
      <c r="E349" s="224"/>
      <c r="F349" s="237" t="s">
        <v>646</v>
      </c>
      <c r="G349" s="290"/>
      <c r="H349" s="230">
        <f>SUM(H348:H348)</f>
        <v>0</v>
      </c>
      <c r="M349" s="237" t="s">
        <v>646</v>
      </c>
    </row>
    <row r="350" spans="2:13" ht="18.75" customHeight="1" x14ac:dyDescent="0.25">
      <c r="B350" s="236"/>
      <c r="C350" s="232"/>
      <c r="D350" s="550"/>
      <c r="E350" s="224"/>
      <c r="F350" s="237"/>
      <c r="G350" s="290"/>
      <c r="H350" s="226"/>
      <c r="M350" s="237"/>
    </row>
    <row r="351" spans="2:13" ht="18.75" customHeight="1" x14ac:dyDescent="0.25">
      <c r="B351" s="248"/>
      <c r="C351" s="238"/>
      <c r="D351" s="239"/>
      <c r="E351" s="266"/>
      <c r="F351" s="241"/>
      <c r="G351" s="303"/>
      <c r="H351" s="267"/>
      <c r="M351" s="241"/>
    </row>
    <row r="352" spans="2:13" ht="18.75" customHeight="1" x14ac:dyDescent="0.25">
      <c r="B352" s="249" t="s">
        <v>647</v>
      </c>
      <c r="C352" s="104" t="s">
        <v>648</v>
      </c>
      <c r="D352" s="435"/>
      <c r="E352" s="92"/>
      <c r="F352" s="183"/>
      <c r="G352" s="167"/>
      <c r="H352" s="252">
        <f>+H349+H346+H343</f>
        <v>1359970</v>
      </c>
      <c r="M352" s="183"/>
    </row>
    <row r="353" spans="2:13" ht="18.75" customHeight="1" x14ac:dyDescent="0.25">
      <c r="B353" s="249" t="s">
        <v>649</v>
      </c>
      <c r="C353" s="242" t="s">
        <v>650</v>
      </c>
      <c r="D353" s="435"/>
      <c r="E353" s="92"/>
      <c r="F353" s="184" t="str">
        <f>$J$5</f>
        <v>8,0 % x D</v>
      </c>
      <c r="G353" s="167"/>
      <c r="H353" s="253">
        <f>+H352*$K$5</f>
        <v>108797.6</v>
      </c>
      <c r="M353" s="184" t="str">
        <f>$J$5</f>
        <v>8,0 % x D</v>
      </c>
    </row>
    <row r="354" spans="2:13" ht="18.75" customHeight="1" x14ac:dyDescent="0.25">
      <c r="B354" s="249" t="s">
        <v>651</v>
      </c>
      <c r="C354" s="111" t="s">
        <v>652</v>
      </c>
      <c r="D354" s="435"/>
      <c r="E354" s="91"/>
      <c r="F354" s="185"/>
      <c r="G354" s="168"/>
      <c r="H354" s="254">
        <f>ROUNDUP((H353+H352)/100,0)*100</f>
        <v>1468800</v>
      </c>
      <c r="M354" s="185"/>
    </row>
    <row r="355" spans="2:13" ht="18.75" customHeight="1" x14ac:dyDescent="0.25">
      <c r="B355" s="259"/>
      <c r="C355" s="261"/>
      <c r="D355" s="245"/>
      <c r="E355" s="246"/>
      <c r="F355" s="247"/>
      <c r="G355" s="298"/>
      <c r="H355" s="260"/>
      <c r="M355" s="247"/>
    </row>
    <row r="356" spans="2:13" ht="18.75" customHeight="1" x14ac:dyDescent="0.25">
      <c r="B356" s="92"/>
      <c r="C356" s="104"/>
      <c r="D356" s="435"/>
      <c r="E356" s="91"/>
      <c r="F356" s="185"/>
      <c r="G356" s="168"/>
      <c r="H356" s="139"/>
      <c r="M356" s="185"/>
    </row>
    <row r="357" spans="2:13" ht="18.75" customHeight="1" x14ac:dyDescent="0.25">
      <c r="B357" s="19">
        <f>B335+1</f>
        <v>14</v>
      </c>
      <c r="C357" s="93" t="s">
        <v>681</v>
      </c>
      <c r="D357" s="19"/>
      <c r="E357" s="21"/>
      <c r="F357" s="176"/>
      <c r="G357" s="165"/>
      <c r="H357" s="119"/>
      <c r="M357" s="176"/>
    </row>
    <row r="358" spans="2:13" ht="18.75" customHeight="1" x14ac:dyDescent="0.25">
      <c r="B358" s="618" t="s">
        <v>620</v>
      </c>
      <c r="C358" s="620" t="s">
        <v>621</v>
      </c>
      <c r="D358" s="618" t="s">
        <v>622</v>
      </c>
      <c r="E358" s="618" t="s">
        <v>2</v>
      </c>
      <c r="F358" s="615" t="s">
        <v>623</v>
      </c>
      <c r="G358" s="289" t="s">
        <v>624</v>
      </c>
      <c r="H358" s="256" t="s">
        <v>625</v>
      </c>
      <c r="M358" s="615" t="s">
        <v>623</v>
      </c>
    </row>
    <row r="359" spans="2:13" ht="18.75" customHeight="1" x14ac:dyDescent="0.25">
      <c r="B359" s="619"/>
      <c r="C359" s="621"/>
      <c r="D359" s="619"/>
      <c r="E359" s="619"/>
      <c r="F359" s="616"/>
      <c r="G359" s="289" t="s">
        <v>626</v>
      </c>
      <c r="H359" s="256" t="s">
        <v>626</v>
      </c>
      <c r="M359" s="616"/>
    </row>
    <row r="360" spans="2:13" ht="18.75" customHeight="1" x14ac:dyDescent="0.25">
      <c r="B360" s="221"/>
      <c r="C360" s="222"/>
      <c r="D360" s="221"/>
      <c r="E360" s="550"/>
      <c r="F360" s="555"/>
      <c r="G360" s="551"/>
      <c r="H360" s="220"/>
      <c r="M360" s="590"/>
    </row>
    <row r="361" spans="2:13" ht="18.75" customHeight="1" x14ac:dyDescent="0.25">
      <c r="B361" s="550" t="s">
        <v>627</v>
      </c>
      <c r="C361" s="223" t="s">
        <v>628</v>
      </c>
      <c r="D361" s="550"/>
      <c r="E361" s="224"/>
      <c r="F361" s="225"/>
      <c r="G361" s="290"/>
      <c r="H361" s="226"/>
      <c r="M361" s="225"/>
    </row>
    <row r="362" spans="2:13" ht="18.75" customHeight="1" x14ac:dyDescent="0.25">
      <c r="B362" s="550"/>
      <c r="C362" s="227" t="s">
        <v>629</v>
      </c>
      <c r="D362" s="550" t="s">
        <v>630</v>
      </c>
      <c r="E362" s="224" t="s">
        <v>631</v>
      </c>
      <c r="F362" s="228">
        <f t="shared" ref="F362:F363" si="20">$K$8*M362</f>
        <v>6.6669999999999998</v>
      </c>
      <c r="G362" s="275">
        <f>G341</f>
        <v>95000</v>
      </c>
      <c r="H362" s="230">
        <f>+G362*F362</f>
        <v>633365</v>
      </c>
      <c r="M362" s="228">
        <v>6.6669999999999998</v>
      </c>
    </row>
    <row r="363" spans="2:13" ht="18.75" customHeight="1" x14ac:dyDescent="0.25">
      <c r="B363" s="550"/>
      <c r="C363" s="227" t="s">
        <v>600</v>
      </c>
      <c r="D363" s="550" t="s">
        <v>635</v>
      </c>
      <c r="E363" s="224" t="s">
        <v>631</v>
      </c>
      <c r="F363" s="228">
        <f t="shared" si="20"/>
        <v>0.33300000000000002</v>
      </c>
      <c r="G363" s="275">
        <f>G342</f>
        <v>140000</v>
      </c>
      <c r="H363" s="230">
        <f>+G363*F363</f>
        <v>46620</v>
      </c>
      <c r="M363" s="228">
        <v>0.33300000000000002</v>
      </c>
    </row>
    <row r="364" spans="2:13" ht="18.75" customHeight="1" x14ac:dyDescent="0.25">
      <c r="B364" s="550"/>
      <c r="C364" s="223"/>
      <c r="D364" s="550"/>
      <c r="E364" s="224"/>
      <c r="F364" s="233" t="s">
        <v>636</v>
      </c>
      <c r="G364" s="290"/>
      <c r="H364" s="231">
        <f>SUM(H362:H363)</f>
        <v>679985</v>
      </c>
      <c r="M364" s="233" t="s">
        <v>636</v>
      </c>
    </row>
    <row r="365" spans="2:13" ht="18.75" customHeight="1" x14ac:dyDescent="0.25">
      <c r="B365" s="550"/>
      <c r="C365" s="223"/>
      <c r="D365" s="550"/>
      <c r="E365" s="224"/>
      <c r="F365" s="233"/>
      <c r="G365" s="290"/>
      <c r="H365" s="231"/>
      <c r="M365" s="233"/>
    </row>
    <row r="366" spans="2:13" ht="18.75" customHeight="1" x14ac:dyDescent="0.25">
      <c r="B366" s="550" t="s">
        <v>637</v>
      </c>
      <c r="C366" s="223" t="s">
        <v>638</v>
      </c>
      <c r="D366" s="550"/>
      <c r="E366" s="224"/>
      <c r="F366" s="225"/>
      <c r="G366" s="290"/>
      <c r="H366" s="226"/>
      <c r="M366" s="225"/>
    </row>
    <row r="367" spans="2:13" ht="18.75" customHeight="1" x14ac:dyDescent="0.25">
      <c r="B367" s="550"/>
      <c r="C367" s="223"/>
      <c r="D367" s="550"/>
      <c r="E367" s="224"/>
      <c r="F367" s="237" t="s">
        <v>643</v>
      </c>
      <c r="G367" s="290"/>
      <c r="H367" s="230">
        <f>H366</f>
        <v>0</v>
      </c>
      <c r="M367" s="237" t="s">
        <v>643</v>
      </c>
    </row>
    <row r="368" spans="2:13" ht="18.75" customHeight="1" x14ac:dyDescent="0.25">
      <c r="B368" s="550"/>
      <c r="C368" s="223"/>
      <c r="D368" s="550"/>
      <c r="E368" s="224"/>
      <c r="F368" s="225"/>
      <c r="G368" s="290"/>
      <c r="H368" s="226"/>
      <c r="M368" s="225"/>
    </row>
    <row r="369" spans="2:13" ht="18.75" customHeight="1" x14ac:dyDescent="0.25">
      <c r="B369" s="550" t="s">
        <v>644</v>
      </c>
      <c r="C369" s="223" t="s">
        <v>645</v>
      </c>
      <c r="D369" s="550"/>
      <c r="E369" s="224"/>
      <c r="F369" s="225"/>
      <c r="G369" s="290"/>
      <c r="H369" s="235"/>
      <c r="M369" s="225"/>
    </row>
    <row r="370" spans="2:13" ht="18.75" customHeight="1" x14ac:dyDescent="0.25">
      <c r="B370" s="236"/>
      <c r="C370" s="232"/>
      <c r="D370" s="550"/>
      <c r="E370" s="224"/>
      <c r="F370" s="237" t="s">
        <v>646</v>
      </c>
      <c r="G370" s="290"/>
      <c r="H370" s="230">
        <f>SUM(H369:H369)</f>
        <v>0</v>
      </c>
      <c r="M370" s="237" t="s">
        <v>646</v>
      </c>
    </row>
    <row r="371" spans="2:13" ht="18.75" customHeight="1" x14ac:dyDescent="0.25">
      <c r="B371" s="236"/>
      <c r="C371" s="232"/>
      <c r="D371" s="550"/>
      <c r="E371" s="224"/>
      <c r="F371" s="237"/>
      <c r="G371" s="290"/>
      <c r="H371" s="226"/>
      <c r="M371" s="237"/>
    </row>
    <row r="372" spans="2:13" ht="18.75" customHeight="1" x14ac:dyDescent="0.25">
      <c r="B372" s="248"/>
      <c r="C372" s="238"/>
      <c r="D372" s="239"/>
      <c r="E372" s="266"/>
      <c r="F372" s="241"/>
      <c r="G372" s="303"/>
      <c r="H372" s="267"/>
      <c r="M372" s="241"/>
    </row>
    <row r="373" spans="2:13" ht="18.75" customHeight="1" x14ac:dyDescent="0.25">
      <c r="B373" s="249" t="s">
        <v>647</v>
      </c>
      <c r="C373" s="104" t="s">
        <v>648</v>
      </c>
      <c r="D373" s="435"/>
      <c r="E373" s="92"/>
      <c r="F373" s="183"/>
      <c r="G373" s="167"/>
      <c r="H373" s="252">
        <f>+H370+H367+H364</f>
        <v>679985</v>
      </c>
      <c r="M373" s="183"/>
    </row>
    <row r="374" spans="2:13" ht="18.75" customHeight="1" x14ac:dyDescent="0.25">
      <c r="B374" s="249" t="s">
        <v>649</v>
      </c>
      <c r="C374" s="242" t="s">
        <v>650</v>
      </c>
      <c r="D374" s="435"/>
      <c r="E374" s="92"/>
      <c r="F374" s="184" t="str">
        <f>$J$5</f>
        <v>8,0 % x D</v>
      </c>
      <c r="G374" s="167"/>
      <c r="H374" s="253">
        <f>+H373*$K$5</f>
        <v>54398.8</v>
      </c>
      <c r="M374" s="184" t="str">
        <f>$J$5</f>
        <v>8,0 % x D</v>
      </c>
    </row>
    <row r="375" spans="2:13" ht="18.75" customHeight="1" x14ac:dyDescent="0.25">
      <c r="B375" s="249" t="s">
        <v>651</v>
      </c>
      <c r="C375" s="111" t="s">
        <v>652</v>
      </c>
      <c r="D375" s="435"/>
      <c r="E375" s="91"/>
      <c r="F375" s="185"/>
      <c r="G375" s="168"/>
      <c r="H375" s="254">
        <f>ROUNDUP((H374+H373)/100,0)*100</f>
        <v>734400</v>
      </c>
      <c r="M375" s="185"/>
    </row>
    <row r="376" spans="2:13" ht="18.75" customHeight="1" x14ac:dyDescent="0.25">
      <c r="B376" s="259"/>
      <c r="C376" s="261"/>
      <c r="D376" s="245"/>
      <c r="E376" s="246"/>
      <c r="F376" s="247"/>
      <c r="G376" s="298"/>
      <c r="H376" s="260"/>
      <c r="M376" s="247"/>
    </row>
    <row r="377" spans="2:13" ht="18.75" customHeight="1" x14ac:dyDescent="0.25">
      <c r="B377" s="22"/>
      <c r="C377" s="104"/>
      <c r="E377" s="21"/>
      <c r="F377" s="176"/>
      <c r="G377" s="165"/>
      <c r="H377" s="119"/>
      <c r="M377" s="176"/>
    </row>
    <row r="378" spans="2:13" ht="18.75" customHeight="1" x14ac:dyDescent="0.25">
      <c r="B378" s="19">
        <f>B357+1</f>
        <v>15</v>
      </c>
      <c r="C378" s="93" t="s">
        <v>682</v>
      </c>
      <c r="D378" s="19"/>
      <c r="E378" s="21"/>
      <c r="F378" s="176"/>
      <c r="G378" s="165"/>
      <c r="H378" s="119"/>
      <c r="M378" s="176"/>
    </row>
    <row r="379" spans="2:13" ht="18.75" customHeight="1" x14ac:dyDescent="0.25">
      <c r="B379" s="618" t="s">
        <v>620</v>
      </c>
      <c r="C379" s="620" t="s">
        <v>621</v>
      </c>
      <c r="D379" s="618" t="s">
        <v>622</v>
      </c>
      <c r="E379" s="618" t="s">
        <v>2</v>
      </c>
      <c r="F379" s="615" t="s">
        <v>623</v>
      </c>
      <c r="G379" s="289" t="s">
        <v>624</v>
      </c>
      <c r="H379" s="256" t="s">
        <v>625</v>
      </c>
      <c r="M379" s="615" t="s">
        <v>623</v>
      </c>
    </row>
    <row r="380" spans="2:13" ht="18.75" customHeight="1" x14ac:dyDescent="0.25">
      <c r="B380" s="619"/>
      <c r="C380" s="621"/>
      <c r="D380" s="619"/>
      <c r="E380" s="619"/>
      <c r="F380" s="616"/>
      <c r="G380" s="289" t="s">
        <v>626</v>
      </c>
      <c r="H380" s="256" t="s">
        <v>626</v>
      </c>
      <c r="M380" s="616"/>
    </row>
    <row r="381" spans="2:13" ht="18.75" customHeight="1" x14ac:dyDescent="0.25">
      <c r="B381" s="221"/>
      <c r="C381" s="222"/>
      <c r="D381" s="221"/>
      <c r="E381" s="550"/>
      <c r="F381" s="555"/>
      <c r="G381" s="551"/>
      <c r="H381" s="220"/>
      <c r="M381" s="590"/>
    </row>
    <row r="382" spans="2:13" ht="18.75" customHeight="1" x14ac:dyDescent="0.25">
      <c r="B382" s="550" t="s">
        <v>627</v>
      </c>
      <c r="C382" s="223" t="s">
        <v>628</v>
      </c>
      <c r="D382" s="550"/>
      <c r="E382" s="224"/>
      <c r="F382" s="225"/>
      <c r="G382" s="290"/>
      <c r="H382" s="226"/>
      <c r="M382" s="225"/>
    </row>
    <row r="383" spans="2:13" ht="18.75" customHeight="1" x14ac:dyDescent="0.25">
      <c r="B383" s="550"/>
      <c r="C383" s="227" t="s">
        <v>629</v>
      </c>
      <c r="D383" s="550" t="s">
        <v>630</v>
      </c>
      <c r="E383" s="224" t="s">
        <v>631</v>
      </c>
      <c r="F383" s="228">
        <f t="shared" ref="F383:F386" si="21">$K$8*M383</f>
        <v>7.5200000000000003E-2</v>
      </c>
      <c r="G383" s="229">
        <f>G268</f>
        <v>95000</v>
      </c>
      <c r="H383" s="230">
        <f>+G383*F383</f>
        <v>7144</v>
      </c>
      <c r="M383" s="228">
        <v>7.5200000000000003E-2</v>
      </c>
    </row>
    <row r="384" spans="2:13" ht="18.75" customHeight="1" x14ac:dyDescent="0.25">
      <c r="B384" s="550"/>
      <c r="C384" s="227" t="s">
        <v>1502</v>
      </c>
      <c r="D384" s="550" t="s">
        <v>632</v>
      </c>
      <c r="E384" s="224" t="s">
        <v>631</v>
      </c>
      <c r="F384" s="228">
        <f t="shared" si="21"/>
        <v>4.0000000000000001E-3</v>
      </c>
      <c r="G384" s="229">
        <f t="shared" ref="G384:G386" si="22">G269</f>
        <v>110000</v>
      </c>
      <c r="H384" s="230">
        <f>+G384*F384</f>
        <v>440</v>
      </c>
      <c r="M384" s="228">
        <v>4.0000000000000001E-3</v>
      </c>
    </row>
    <row r="385" spans="2:13" ht="18.75" customHeight="1" x14ac:dyDescent="0.25">
      <c r="B385" s="550"/>
      <c r="C385" s="227" t="s">
        <v>633</v>
      </c>
      <c r="D385" s="550" t="s">
        <v>634</v>
      </c>
      <c r="E385" s="224" t="s">
        <v>631</v>
      </c>
      <c r="F385" s="228">
        <f t="shared" si="21"/>
        <v>2E-3</v>
      </c>
      <c r="G385" s="229">
        <f t="shared" si="22"/>
        <v>115000</v>
      </c>
      <c r="H385" s="230">
        <f>+G385*F385</f>
        <v>230</v>
      </c>
      <c r="M385" s="228">
        <v>2E-3</v>
      </c>
    </row>
    <row r="386" spans="2:13" ht="18.75" customHeight="1" x14ac:dyDescent="0.25">
      <c r="B386" s="550"/>
      <c r="C386" s="227" t="s">
        <v>600</v>
      </c>
      <c r="D386" s="550" t="s">
        <v>635</v>
      </c>
      <c r="E386" s="224" t="s">
        <v>631</v>
      </c>
      <c r="F386" s="228">
        <f t="shared" si="21"/>
        <v>7.5200000000000003E-2</v>
      </c>
      <c r="G386" s="229">
        <f t="shared" si="22"/>
        <v>140000</v>
      </c>
      <c r="H386" s="230">
        <f>+G386*F386</f>
        <v>10528</v>
      </c>
      <c r="M386" s="228">
        <v>7.5200000000000003E-2</v>
      </c>
    </row>
    <row r="387" spans="2:13" ht="18.75" customHeight="1" x14ac:dyDescent="0.25">
      <c r="B387" s="550"/>
      <c r="C387" s="223"/>
      <c r="D387" s="550"/>
      <c r="E387" s="224"/>
      <c r="F387" s="233" t="s">
        <v>636</v>
      </c>
      <c r="G387" s="290"/>
      <c r="H387" s="231">
        <f>SUM(H383:H386)</f>
        <v>18342</v>
      </c>
      <c r="M387" s="233" t="s">
        <v>636</v>
      </c>
    </row>
    <row r="388" spans="2:13" ht="18.75" customHeight="1" x14ac:dyDescent="0.25">
      <c r="B388" s="550"/>
      <c r="C388" s="223"/>
      <c r="D388" s="550"/>
      <c r="E388" s="224"/>
      <c r="F388" s="233"/>
      <c r="G388" s="290"/>
      <c r="H388" s="231"/>
      <c r="M388" s="233"/>
    </row>
    <row r="389" spans="2:13" ht="18.75" customHeight="1" x14ac:dyDescent="0.25">
      <c r="B389" s="550" t="s">
        <v>637</v>
      </c>
      <c r="C389" s="223" t="s">
        <v>638</v>
      </c>
      <c r="D389" s="550"/>
      <c r="E389" s="224"/>
      <c r="F389" s="225"/>
      <c r="G389" s="290"/>
      <c r="H389" s="226"/>
      <c r="M389" s="225"/>
    </row>
    <row r="390" spans="2:13" ht="18.75" customHeight="1" x14ac:dyDescent="0.25">
      <c r="B390" s="550"/>
      <c r="C390" s="223" t="s">
        <v>139</v>
      </c>
      <c r="D390" s="550"/>
      <c r="E390" s="550" t="s">
        <v>58</v>
      </c>
      <c r="F390" s="233">
        <v>0.1434</v>
      </c>
      <c r="G390" s="234">
        <f>Bahan!D151</f>
        <v>45000</v>
      </c>
      <c r="H390" s="230">
        <f>+G390*F390</f>
        <v>6453</v>
      </c>
      <c r="M390" s="233">
        <v>0.1434</v>
      </c>
    </row>
    <row r="391" spans="2:13" ht="18.75" customHeight="1" x14ac:dyDescent="0.25">
      <c r="B391" s="550"/>
      <c r="C391" s="223"/>
      <c r="D391" s="550"/>
      <c r="E391" s="224"/>
      <c r="F391" s="237" t="s">
        <v>643</v>
      </c>
      <c r="G391" s="290"/>
      <c r="H391" s="231">
        <f>SUM(H390:H390)</f>
        <v>6453</v>
      </c>
      <c r="M391" s="237" t="s">
        <v>643</v>
      </c>
    </row>
    <row r="392" spans="2:13" ht="18.75" customHeight="1" x14ac:dyDescent="0.25">
      <c r="B392" s="550"/>
      <c r="C392" s="223"/>
      <c r="D392" s="550"/>
      <c r="E392" s="224"/>
      <c r="F392" s="225"/>
      <c r="G392" s="290"/>
      <c r="H392" s="226"/>
      <c r="M392" s="225"/>
    </row>
    <row r="393" spans="2:13" ht="18.75" customHeight="1" x14ac:dyDescent="0.25">
      <c r="B393" s="550" t="s">
        <v>644</v>
      </c>
      <c r="C393" s="223" t="s">
        <v>645</v>
      </c>
      <c r="D393" s="550"/>
      <c r="E393" s="224"/>
      <c r="F393" s="225"/>
      <c r="G393" s="290"/>
      <c r="H393" s="235"/>
      <c r="M393" s="225"/>
    </row>
    <row r="394" spans="2:13" ht="18.75" customHeight="1" x14ac:dyDescent="0.25">
      <c r="B394" s="236"/>
      <c r="C394" s="232"/>
      <c r="D394" s="550"/>
      <c r="E394" s="224"/>
      <c r="F394" s="237" t="s">
        <v>646</v>
      </c>
      <c r="G394" s="290"/>
      <c r="H394" s="230">
        <f>SUM(H393:H393)</f>
        <v>0</v>
      </c>
      <c r="M394" s="237" t="s">
        <v>646</v>
      </c>
    </row>
    <row r="395" spans="2:13" ht="18.75" customHeight="1" x14ac:dyDescent="0.25">
      <c r="B395" s="236"/>
      <c r="C395" s="232"/>
      <c r="D395" s="550"/>
      <c r="E395" s="224"/>
      <c r="F395" s="237"/>
      <c r="G395" s="290"/>
      <c r="H395" s="226"/>
      <c r="M395" s="237"/>
    </row>
    <row r="396" spans="2:13" ht="18.75" customHeight="1" x14ac:dyDescent="0.25">
      <c r="B396" s="248"/>
      <c r="C396" s="238"/>
      <c r="D396" s="239"/>
      <c r="E396" s="240"/>
      <c r="F396" s="241"/>
      <c r="G396" s="291"/>
      <c r="H396" s="251"/>
      <c r="M396" s="241"/>
    </row>
    <row r="397" spans="2:13" ht="18.75" customHeight="1" x14ac:dyDescent="0.25">
      <c r="B397" s="249" t="s">
        <v>647</v>
      </c>
      <c r="C397" s="104" t="s">
        <v>648</v>
      </c>
      <c r="D397" s="435"/>
      <c r="E397" s="92"/>
      <c r="F397" s="183"/>
      <c r="G397" s="167"/>
      <c r="H397" s="252">
        <f>+H394+H391+H387</f>
        <v>24795</v>
      </c>
      <c r="M397" s="183"/>
    </row>
    <row r="398" spans="2:13" ht="18.75" customHeight="1" x14ac:dyDescent="0.25">
      <c r="B398" s="249" t="s">
        <v>649</v>
      </c>
      <c r="C398" s="242" t="s">
        <v>650</v>
      </c>
      <c r="D398" s="435"/>
      <c r="E398" s="92"/>
      <c r="F398" s="184" t="str">
        <f>$J$5</f>
        <v>8,0 % x D</v>
      </c>
      <c r="G398" s="167"/>
      <c r="H398" s="253">
        <f>+H397*$K$5</f>
        <v>1983.6000000000001</v>
      </c>
      <c r="M398" s="184" t="str">
        <f>$J$5</f>
        <v>8,0 % x D</v>
      </c>
    </row>
    <row r="399" spans="2:13" ht="18.75" customHeight="1" x14ac:dyDescent="0.25">
      <c r="B399" s="249" t="s">
        <v>651</v>
      </c>
      <c r="C399" s="111" t="s">
        <v>652</v>
      </c>
      <c r="D399" s="435"/>
      <c r="E399" s="91"/>
      <c r="F399" s="185"/>
      <c r="G399" s="168"/>
      <c r="H399" s="254">
        <f>ROUNDUP((H398+H397)/100,0)*100</f>
        <v>26800</v>
      </c>
      <c r="M399" s="185"/>
    </row>
    <row r="400" spans="2:13" ht="18.75" customHeight="1" x14ac:dyDescent="0.25">
      <c r="B400" s="259"/>
      <c r="C400" s="261"/>
      <c r="D400" s="245"/>
      <c r="E400" s="246"/>
      <c r="F400" s="247"/>
      <c r="G400" s="298"/>
      <c r="H400" s="260"/>
      <c r="M400" s="247"/>
    </row>
    <row r="401" spans="1:13" ht="18.75" customHeight="1" x14ac:dyDescent="0.25">
      <c r="B401" s="92"/>
      <c r="C401" s="104"/>
      <c r="D401" s="435"/>
      <c r="E401" s="91"/>
      <c r="F401" s="185"/>
      <c r="G401" s="168"/>
      <c r="H401" s="139"/>
      <c r="M401" s="185"/>
    </row>
    <row r="402" spans="1:13" ht="18.75" customHeight="1" x14ac:dyDescent="0.25">
      <c r="B402" s="22"/>
      <c r="C402" s="104"/>
      <c r="E402" s="21"/>
      <c r="F402" s="176"/>
      <c r="G402" s="165"/>
      <c r="H402" s="119"/>
      <c r="M402" s="176"/>
    </row>
    <row r="403" spans="1:13" ht="18.75" customHeight="1" x14ac:dyDescent="0.25">
      <c r="A403" s="388" t="s">
        <v>684</v>
      </c>
      <c r="B403" s="389" t="s">
        <v>685</v>
      </c>
      <c r="C403" s="390"/>
      <c r="D403" s="391"/>
      <c r="E403" s="392"/>
      <c r="F403" s="393"/>
      <c r="G403" s="394"/>
      <c r="H403" s="394"/>
      <c r="M403" s="393"/>
    </row>
    <row r="404" spans="1:13" s="217" customFormat="1" ht="18.75" customHeight="1" x14ac:dyDescent="0.25">
      <c r="A404" s="214"/>
      <c r="B404" s="215"/>
      <c r="C404" s="216"/>
      <c r="E404" s="218"/>
      <c r="F404" s="307"/>
      <c r="G404" s="162"/>
      <c r="H404" s="162"/>
      <c r="J404" s="219"/>
      <c r="M404" s="307"/>
    </row>
    <row r="405" spans="1:13" ht="18.75" customHeight="1" x14ac:dyDescent="0.25">
      <c r="B405" s="19">
        <v>1</v>
      </c>
      <c r="C405" s="93" t="s">
        <v>686</v>
      </c>
      <c r="D405" s="19"/>
      <c r="E405" s="21"/>
      <c r="F405" s="176"/>
      <c r="G405" s="165"/>
      <c r="H405" s="119"/>
      <c r="M405" s="176"/>
    </row>
    <row r="406" spans="1:13" ht="18.75" customHeight="1" x14ac:dyDescent="0.25">
      <c r="B406" s="618" t="s">
        <v>620</v>
      </c>
      <c r="C406" s="620" t="s">
        <v>621</v>
      </c>
      <c r="D406" s="618" t="s">
        <v>622</v>
      </c>
      <c r="E406" s="618" t="s">
        <v>2</v>
      </c>
      <c r="F406" s="615" t="s">
        <v>623</v>
      </c>
      <c r="G406" s="289" t="s">
        <v>624</v>
      </c>
      <c r="H406" s="256" t="s">
        <v>625</v>
      </c>
      <c r="M406" s="615" t="s">
        <v>623</v>
      </c>
    </row>
    <row r="407" spans="1:13" ht="18.75" customHeight="1" x14ac:dyDescent="0.25">
      <c r="B407" s="619"/>
      <c r="C407" s="621"/>
      <c r="D407" s="619"/>
      <c r="E407" s="619"/>
      <c r="F407" s="616"/>
      <c r="G407" s="289" t="s">
        <v>626</v>
      </c>
      <c r="H407" s="256" t="s">
        <v>626</v>
      </c>
      <c r="M407" s="616"/>
    </row>
    <row r="408" spans="1:13" ht="18.75" customHeight="1" x14ac:dyDescent="0.25">
      <c r="B408" s="221"/>
      <c r="C408" s="222"/>
      <c r="D408" s="221"/>
      <c r="E408" s="550"/>
      <c r="F408" s="555"/>
      <c r="G408" s="551"/>
      <c r="H408" s="220"/>
      <c r="M408" s="590"/>
    </row>
    <row r="409" spans="1:13" ht="18.75" customHeight="1" x14ac:dyDescent="0.25">
      <c r="B409" s="550" t="s">
        <v>627</v>
      </c>
      <c r="C409" s="223" t="s">
        <v>628</v>
      </c>
      <c r="D409" s="550"/>
      <c r="E409" s="224"/>
      <c r="F409" s="225"/>
      <c r="G409" s="290"/>
      <c r="H409" s="226"/>
      <c r="M409" s="225"/>
    </row>
    <row r="410" spans="1:13" ht="18.75" customHeight="1" x14ac:dyDescent="0.25">
      <c r="B410" s="550"/>
      <c r="C410" s="227" t="s">
        <v>629</v>
      </c>
      <c r="D410" s="550" t="s">
        <v>630</v>
      </c>
      <c r="E410" s="224" t="s">
        <v>631</v>
      </c>
      <c r="F410" s="228">
        <f t="shared" ref="F410:F411" si="23">$K$8*M410</f>
        <v>0.75</v>
      </c>
      <c r="G410" s="229">
        <f>G383</f>
        <v>95000</v>
      </c>
      <c r="H410" s="230">
        <f>+G410*F410</f>
        <v>71250</v>
      </c>
      <c r="M410" s="228">
        <v>0.75</v>
      </c>
    </row>
    <row r="411" spans="1:13" ht="18.75" customHeight="1" x14ac:dyDescent="0.25">
      <c r="B411" s="550"/>
      <c r="C411" s="227" t="s">
        <v>600</v>
      </c>
      <c r="D411" s="550" t="s">
        <v>635</v>
      </c>
      <c r="E411" s="224" t="s">
        <v>631</v>
      </c>
      <c r="F411" s="228">
        <f t="shared" si="23"/>
        <v>2.5000000000000001E-2</v>
      </c>
      <c r="G411" s="229">
        <f>G386</f>
        <v>140000</v>
      </c>
      <c r="H411" s="230">
        <f>+G411*F411</f>
        <v>3500</v>
      </c>
      <c r="M411" s="228">
        <v>2.5000000000000001E-2</v>
      </c>
    </row>
    <row r="412" spans="1:13" ht="18.75" customHeight="1" x14ac:dyDescent="0.25">
      <c r="B412" s="550"/>
      <c r="C412" s="223"/>
      <c r="D412" s="550"/>
      <c r="E412" s="224"/>
      <c r="F412" s="233" t="s">
        <v>636</v>
      </c>
      <c r="G412" s="290"/>
      <c r="H412" s="231">
        <f>SUM(H410:H411)</f>
        <v>74750</v>
      </c>
      <c r="M412" s="233" t="s">
        <v>636</v>
      </c>
    </row>
    <row r="413" spans="1:13" ht="18.75" customHeight="1" x14ac:dyDescent="0.25">
      <c r="B413" s="550"/>
      <c r="C413" s="223"/>
      <c r="D413" s="550"/>
      <c r="E413" s="224"/>
      <c r="F413" s="233"/>
      <c r="G413" s="290"/>
      <c r="H413" s="231"/>
      <c r="M413" s="233"/>
    </row>
    <row r="414" spans="1:13" ht="18.75" customHeight="1" x14ac:dyDescent="0.25">
      <c r="B414" s="550" t="s">
        <v>637</v>
      </c>
      <c r="C414" s="223" t="s">
        <v>638</v>
      </c>
      <c r="D414" s="550"/>
      <c r="E414" s="224"/>
      <c r="F414" s="225"/>
      <c r="G414" s="290"/>
      <c r="H414" s="226">
        <f>G414</f>
        <v>0</v>
      </c>
      <c r="M414" s="225"/>
    </row>
    <row r="415" spans="1:13" ht="18.75" customHeight="1" x14ac:dyDescent="0.25">
      <c r="B415" s="550"/>
      <c r="C415" s="223"/>
      <c r="D415" s="550"/>
      <c r="E415" s="224"/>
      <c r="F415" s="237" t="s">
        <v>643</v>
      </c>
      <c r="G415" s="290"/>
      <c r="H415" s="230">
        <f>H414</f>
        <v>0</v>
      </c>
      <c r="M415" s="237" t="s">
        <v>643</v>
      </c>
    </row>
    <row r="416" spans="1:13" ht="18.75" customHeight="1" x14ac:dyDescent="0.25">
      <c r="B416" s="550"/>
      <c r="C416" s="223"/>
      <c r="D416" s="550"/>
      <c r="E416" s="224"/>
      <c r="F416" s="225"/>
      <c r="G416" s="290"/>
      <c r="H416" s="226"/>
      <c r="M416" s="225"/>
    </row>
    <row r="417" spans="2:13" ht="18.75" customHeight="1" x14ac:dyDescent="0.25">
      <c r="B417" s="550" t="s">
        <v>644</v>
      </c>
      <c r="C417" s="223" t="s">
        <v>645</v>
      </c>
      <c r="D417" s="550"/>
      <c r="E417" s="224"/>
      <c r="F417" s="225"/>
      <c r="G417" s="290"/>
      <c r="H417" s="235"/>
      <c r="M417" s="225"/>
    </row>
    <row r="418" spans="2:13" ht="18.75" customHeight="1" x14ac:dyDescent="0.25">
      <c r="B418" s="236"/>
      <c r="C418" s="232"/>
      <c r="D418" s="550"/>
      <c r="E418" s="224"/>
      <c r="F418" s="237" t="s">
        <v>646</v>
      </c>
      <c r="G418" s="290"/>
      <c r="H418" s="230">
        <f>SUM(H417:H417)</f>
        <v>0</v>
      </c>
      <c r="M418" s="237" t="s">
        <v>646</v>
      </c>
    </row>
    <row r="419" spans="2:13" ht="18.75" customHeight="1" x14ac:dyDescent="0.25">
      <c r="B419" s="236"/>
      <c r="C419" s="232"/>
      <c r="D419" s="550"/>
      <c r="E419" s="224"/>
      <c r="F419" s="237"/>
      <c r="G419" s="290"/>
      <c r="H419" s="226"/>
      <c r="M419" s="237"/>
    </row>
    <row r="420" spans="2:13" ht="18.75" customHeight="1" x14ac:dyDescent="0.25">
      <c r="B420" s="248"/>
      <c r="C420" s="238"/>
      <c r="D420" s="239"/>
      <c r="E420" s="266"/>
      <c r="F420" s="241"/>
      <c r="G420" s="303"/>
      <c r="H420" s="267"/>
      <c r="M420" s="241"/>
    </row>
    <row r="421" spans="2:13" ht="18.75" customHeight="1" x14ac:dyDescent="0.25">
      <c r="B421" s="249" t="s">
        <v>647</v>
      </c>
      <c r="C421" s="104" t="s">
        <v>648</v>
      </c>
      <c r="D421" s="435"/>
      <c r="E421" s="92"/>
      <c r="F421" s="183"/>
      <c r="G421" s="167"/>
      <c r="H421" s="252">
        <f>+H418+H415+H412</f>
        <v>74750</v>
      </c>
      <c r="M421" s="183"/>
    </row>
    <row r="422" spans="2:13" ht="18.75" customHeight="1" x14ac:dyDescent="0.25">
      <c r="B422" s="249" t="s">
        <v>649</v>
      </c>
      <c r="C422" s="242" t="s">
        <v>650</v>
      </c>
      <c r="D422" s="435"/>
      <c r="E422" s="92"/>
      <c r="F422" s="184" t="str">
        <f>$J$5</f>
        <v>8,0 % x D</v>
      </c>
      <c r="G422" s="167"/>
      <c r="H422" s="253">
        <f>+H421*$K$5</f>
        <v>5980</v>
      </c>
      <c r="M422" s="184" t="str">
        <f>$J$5</f>
        <v>8,0 % x D</v>
      </c>
    </row>
    <row r="423" spans="2:13" ht="18.75" customHeight="1" x14ac:dyDescent="0.25">
      <c r="B423" s="249" t="s">
        <v>651</v>
      </c>
      <c r="C423" s="111" t="s">
        <v>652</v>
      </c>
      <c r="D423" s="435"/>
      <c r="E423" s="91"/>
      <c r="F423" s="185"/>
      <c r="G423" s="168"/>
      <c r="H423" s="254">
        <f>ROUNDUP((H422+H421)/100,0)*100</f>
        <v>80800</v>
      </c>
      <c r="M423" s="185"/>
    </row>
    <row r="424" spans="2:13" ht="18.75" customHeight="1" x14ac:dyDescent="0.25">
      <c r="B424" s="259"/>
      <c r="C424" s="261"/>
      <c r="D424" s="245"/>
      <c r="E424" s="246"/>
      <c r="F424" s="247"/>
      <c r="G424" s="298"/>
      <c r="H424" s="260"/>
      <c r="M424" s="247"/>
    </row>
    <row r="425" spans="2:13" ht="18.75" customHeight="1" x14ac:dyDescent="0.25">
      <c r="B425" s="92"/>
      <c r="C425" s="104"/>
      <c r="D425" s="435"/>
      <c r="E425" s="91"/>
      <c r="F425" s="185"/>
      <c r="G425" s="168"/>
      <c r="H425" s="139"/>
      <c r="M425" s="185"/>
    </row>
    <row r="426" spans="2:13" ht="18.75" customHeight="1" x14ac:dyDescent="0.25">
      <c r="B426" s="19">
        <f>B405+1</f>
        <v>2</v>
      </c>
      <c r="C426" s="93" t="s">
        <v>687</v>
      </c>
      <c r="D426" s="19"/>
      <c r="E426" s="21"/>
      <c r="F426" s="176"/>
      <c r="G426" s="165"/>
      <c r="H426" s="119"/>
      <c r="M426" s="176"/>
    </row>
    <row r="427" spans="2:13" ht="18.75" customHeight="1" x14ac:dyDescent="0.25">
      <c r="B427" s="618" t="s">
        <v>620</v>
      </c>
      <c r="C427" s="620" t="s">
        <v>621</v>
      </c>
      <c r="D427" s="618" t="s">
        <v>622</v>
      </c>
      <c r="E427" s="618" t="s">
        <v>2</v>
      </c>
      <c r="F427" s="615" t="s">
        <v>623</v>
      </c>
      <c r="G427" s="289" t="s">
        <v>624</v>
      </c>
      <c r="H427" s="256" t="s">
        <v>625</v>
      </c>
      <c r="M427" s="615" t="s">
        <v>623</v>
      </c>
    </row>
    <row r="428" spans="2:13" ht="18.75" customHeight="1" x14ac:dyDescent="0.25">
      <c r="B428" s="619"/>
      <c r="C428" s="621"/>
      <c r="D428" s="619"/>
      <c r="E428" s="619"/>
      <c r="F428" s="616"/>
      <c r="G428" s="289" t="s">
        <v>626</v>
      </c>
      <c r="H428" s="256" t="s">
        <v>626</v>
      </c>
      <c r="M428" s="616"/>
    </row>
    <row r="429" spans="2:13" ht="18.75" customHeight="1" x14ac:dyDescent="0.25">
      <c r="B429" s="221"/>
      <c r="C429" s="222"/>
      <c r="D429" s="221"/>
      <c r="E429" s="550"/>
      <c r="F429" s="555"/>
      <c r="G429" s="551"/>
      <c r="H429" s="220"/>
      <c r="M429" s="590"/>
    </row>
    <row r="430" spans="2:13" ht="18.75" customHeight="1" x14ac:dyDescent="0.25">
      <c r="B430" s="550" t="s">
        <v>627</v>
      </c>
      <c r="C430" s="223" t="s">
        <v>628</v>
      </c>
      <c r="D430" s="550"/>
      <c r="E430" s="224"/>
      <c r="F430" s="225"/>
      <c r="G430" s="290"/>
      <c r="H430" s="226"/>
      <c r="M430" s="225"/>
    </row>
    <row r="431" spans="2:13" ht="18.75" customHeight="1" x14ac:dyDescent="0.25">
      <c r="B431" s="550"/>
      <c r="C431" s="227" t="s">
        <v>629</v>
      </c>
      <c r="D431" s="550" t="s">
        <v>630</v>
      </c>
      <c r="E431" s="224" t="s">
        <v>631</v>
      </c>
      <c r="F431" s="228">
        <f t="shared" ref="F431:F432" si="24">$K$8*M431</f>
        <v>0.9</v>
      </c>
      <c r="G431" s="229">
        <f>G410</f>
        <v>95000</v>
      </c>
      <c r="H431" s="230">
        <f>+G431*F431</f>
        <v>85500</v>
      </c>
      <c r="M431" s="228">
        <v>0.9</v>
      </c>
    </row>
    <row r="432" spans="2:13" ht="18.75" customHeight="1" x14ac:dyDescent="0.25">
      <c r="B432" s="550"/>
      <c r="C432" s="227" t="s">
        <v>600</v>
      </c>
      <c r="D432" s="550" t="s">
        <v>635</v>
      </c>
      <c r="E432" s="224" t="s">
        <v>631</v>
      </c>
      <c r="F432" s="228">
        <f t="shared" si="24"/>
        <v>4.4999999999999998E-2</v>
      </c>
      <c r="G432" s="229">
        <f>G411</f>
        <v>140000</v>
      </c>
      <c r="H432" s="230">
        <f>+G432*F432</f>
        <v>6300</v>
      </c>
      <c r="M432" s="228">
        <v>4.4999999999999998E-2</v>
      </c>
    </row>
    <row r="433" spans="2:13" ht="18.75" customHeight="1" x14ac:dyDescent="0.25">
      <c r="B433" s="550"/>
      <c r="C433" s="223"/>
      <c r="D433" s="550"/>
      <c r="E433" s="224"/>
      <c r="F433" s="233" t="s">
        <v>636</v>
      </c>
      <c r="G433" s="290"/>
      <c r="H433" s="231">
        <f>SUM(H431:H432)</f>
        <v>91800</v>
      </c>
      <c r="M433" s="233" t="s">
        <v>636</v>
      </c>
    </row>
    <row r="434" spans="2:13" ht="18.75" customHeight="1" x14ac:dyDescent="0.25">
      <c r="B434" s="550"/>
      <c r="C434" s="223"/>
      <c r="D434" s="550"/>
      <c r="E434" s="224"/>
      <c r="F434" s="233"/>
      <c r="G434" s="290"/>
      <c r="H434" s="231"/>
      <c r="M434" s="233"/>
    </row>
    <row r="435" spans="2:13" ht="18.75" customHeight="1" x14ac:dyDescent="0.25">
      <c r="B435" s="550" t="s">
        <v>637</v>
      </c>
      <c r="C435" s="223" t="s">
        <v>638</v>
      </c>
      <c r="D435" s="550"/>
      <c r="E435" s="224"/>
      <c r="F435" s="225"/>
      <c r="G435" s="290"/>
      <c r="H435" s="226"/>
      <c r="M435" s="225"/>
    </row>
    <row r="436" spans="2:13" ht="18.75" customHeight="1" x14ac:dyDescent="0.25">
      <c r="B436" s="550"/>
      <c r="C436" s="223"/>
      <c r="D436" s="550"/>
      <c r="E436" s="224"/>
      <c r="F436" s="237" t="s">
        <v>643</v>
      </c>
      <c r="G436" s="290"/>
      <c r="H436" s="230">
        <f>H435</f>
        <v>0</v>
      </c>
      <c r="M436" s="237" t="s">
        <v>643</v>
      </c>
    </row>
    <row r="437" spans="2:13" ht="18.75" customHeight="1" x14ac:dyDescent="0.25">
      <c r="B437" s="550"/>
      <c r="C437" s="223"/>
      <c r="D437" s="550"/>
      <c r="E437" s="224"/>
      <c r="F437" s="225"/>
      <c r="G437" s="290"/>
      <c r="H437" s="226"/>
      <c r="M437" s="225"/>
    </row>
    <row r="438" spans="2:13" ht="18.75" customHeight="1" x14ac:dyDescent="0.25">
      <c r="B438" s="550"/>
      <c r="C438" s="223"/>
      <c r="D438" s="550"/>
      <c r="E438" s="224"/>
      <c r="F438" s="225"/>
      <c r="G438" s="290"/>
      <c r="H438" s="226"/>
      <c r="M438" s="225"/>
    </row>
    <row r="439" spans="2:13" ht="18.75" customHeight="1" x14ac:dyDescent="0.25">
      <c r="B439" s="550" t="s">
        <v>644</v>
      </c>
      <c r="C439" s="223" t="s">
        <v>645</v>
      </c>
      <c r="D439" s="550"/>
      <c r="E439" s="224"/>
      <c r="F439" s="225"/>
      <c r="G439" s="290"/>
      <c r="H439" s="235"/>
      <c r="M439" s="225"/>
    </row>
    <row r="440" spans="2:13" ht="18.75" customHeight="1" x14ac:dyDescent="0.25">
      <c r="B440" s="236"/>
      <c r="C440" s="232"/>
      <c r="D440" s="550"/>
      <c r="E440" s="224"/>
      <c r="F440" s="237" t="s">
        <v>646</v>
      </c>
      <c r="G440" s="290"/>
      <c r="H440" s="230">
        <f>SUM(H439:H439)</f>
        <v>0</v>
      </c>
      <c r="M440" s="237" t="s">
        <v>646</v>
      </c>
    </row>
    <row r="441" spans="2:13" ht="18.75" customHeight="1" x14ac:dyDescent="0.25">
      <c r="B441" s="236"/>
      <c r="C441" s="232"/>
      <c r="D441" s="550"/>
      <c r="E441" s="224"/>
      <c r="F441" s="237"/>
      <c r="G441" s="290"/>
      <c r="H441" s="226"/>
      <c r="M441" s="237"/>
    </row>
    <row r="442" spans="2:13" ht="18.75" customHeight="1" x14ac:dyDescent="0.25">
      <c r="B442" s="248"/>
      <c r="C442" s="238"/>
      <c r="D442" s="239"/>
      <c r="E442" s="240"/>
      <c r="F442" s="241"/>
      <c r="G442" s="291"/>
      <c r="H442" s="251"/>
      <c r="M442" s="241"/>
    </row>
    <row r="443" spans="2:13" ht="18.75" customHeight="1" x14ac:dyDescent="0.25">
      <c r="B443" s="249" t="s">
        <v>647</v>
      </c>
      <c r="C443" s="104" t="s">
        <v>648</v>
      </c>
      <c r="D443" s="435"/>
      <c r="E443" s="92"/>
      <c r="F443" s="183"/>
      <c r="G443" s="167"/>
      <c r="H443" s="252">
        <f>+H440+H436+H433</f>
        <v>91800</v>
      </c>
      <c r="M443" s="183"/>
    </row>
    <row r="444" spans="2:13" ht="18.75" customHeight="1" x14ac:dyDescent="0.25">
      <c r="B444" s="249" t="s">
        <v>649</v>
      </c>
      <c r="C444" s="242" t="s">
        <v>650</v>
      </c>
      <c r="D444" s="435"/>
      <c r="E444" s="92"/>
      <c r="F444" s="184" t="str">
        <f>$J$5</f>
        <v>8,0 % x D</v>
      </c>
      <c r="G444" s="167"/>
      <c r="H444" s="253">
        <f>+H443*$K$5</f>
        <v>7344</v>
      </c>
      <c r="M444" s="184" t="str">
        <f>$J$5</f>
        <v>8,0 % x D</v>
      </c>
    </row>
    <row r="445" spans="2:13" ht="18.75" customHeight="1" x14ac:dyDescent="0.25">
      <c r="B445" s="249" t="s">
        <v>651</v>
      </c>
      <c r="C445" s="111" t="s">
        <v>652</v>
      </c>
      <c r="D445" s="435"/>
      <c r="E445" s="91"/>
      <c r="F445" s="185"/>
      <c r="G445" s="168"/>
      <c r="H445" s="254">
        <f>ROUNDUP((H444+H443)/100,0)*100</f>
        <v>99200</v>
      </c>
      <c r="M445" s="185"/>
    </row>
    <row r="446" spans="2:13" ht="18.75" customHeight="1" x14ac:dyDescent="0.25">
      <c r="B446" s="259"/>
      <c r="C446" s="261"/>
      <c r="D446" s="245"/>
      <c r="E446" s="246"/>
      <c r="F446" s="247"/>
      <c r="G446" s="298"/>
      <c r="H446" s="260"/>
      <c r="M446" s="247"/>
    </row>
    <row r="447" spans="2:13" ht="18.75" customHeight="1" x14ac:dyDescent="0.25">
      <c r="B447" s="22"/>
      <c r="C447" s="104"/>
      <c r="E447" s="21"/>
      <c r="F447" s="176"/>
      <c r="G447" s="165"/>
      <c r="H447" s="119"/>
      <c r="M447" s="176"/>
    </row>
    <row r="448" spans="2:13" ht="18.75" customHeight="1" x14ac:dyDescent="0.25">
      <c r="B448" s="19">
        <f>B426+1</f>
        <v>3</v>
      </c>
      <c r="C448" s="93" t="s">
        <v>688</v>
      </c>
      <c r="D448" s="19"/>
      <c r="E448" s="21"/>
      <c r="F448" s="176"/>
      <c r="G448" s="165"/>
      <c r="H448" s="119"/>
      <c r="M448" s="176"/>
    </row>
    <row r="449" spans="2:13" ht="18.75" customHeight="1" x14ac:dyDescent="0.25">
      <c r="B449" s="618" t="s">
        <v>620</v>
      </c>
      <c r="C449" s="620" t="s">
        <v>621</v>
      </c>
      <c r="D449" s="618" t="s">
        <v>622</v>
      </c>
      <c r="E449" s="618" t="s">
        <v>2</v>
      </c>
      <c r="F449" s="615" t="s">
        <v>623</v>
      </c>
      <c r="G449" s="289" t="s">
        <v>624</v>
      </c>
      <c r="H449" s="256" t="s">
        <v>625</v>
      </c>
      <c r="M449" s="615" t="s">
        <v>623</v>
      </c>
    </row>
    <row r="450" spans="2:13" ht="18.75" customHeight="1" x14ac:dyDescent="0.25">
      <c r="B450" s="619"/>
      <c r="C450" s="621"/>
      <c r="D450" s="619"/>
      <c r="E450" s="619"/>
      <c r="F450" s="616"/>
      <c r="G450" s="289" t="s">
        <v>626</v>
      </c>
      <c r="H450" s="256" t="s">
        <v>626</v>
      </c>
      <c r="M450" s="616"/>
    </row>
    <row r="451" spans="2:13" ht="18.75" customHeight="1" x14ac:dyDescent="0.25">
      <c r="B451" s="221"/>
      <c r="C451" s="222"/>
      <c r="D451" s="221"/>
      <c r="E451" s="550"/>
      <c r="F451" s="555"/>
      <c r="G451" s="551"/>
      <c r="H451" s="220"/>
      <c r="M451" s="590"/>
    </row>
    <row r="452" spans="2:13" ht="18.75" customHeight="1" x14ac:dyDescent="0.25">
      <c r="B452" s="550" t="s">
        <v>627</v>
      </c>
      <c r="C452" s="223" t="s">
        <v>628</v>
      </c>
      <c r="D452" s="550"/>
      <c r="E452" s="224"/>
      <c r="F452" s="225"/>
      <c r="G452" s="290"/>
      <c r="H452" s="226"/>
      <c r="M452" s="225"/>
    </row>
    <row r="453" spans="2:13" ht="18.75" customHeight="1" x14ac:dyDescent="0.25">
      <c r="B453" s="550"/>
      <c r="C453" s="227" t="s">
        <v>629</v>
      </c>
      <c r="D453" s="550" t="s">
        <v>630</v>
      </c>
      <c r="E453" s="224" t="s">
        <v>631</v>
      </c>
      <c r="F453" s="228">
        <f t="shared" ref="F453:F454" si="25">$K$8*M453</f>
        <v>1.05</v>
      </c>
      <c r="G453" s="229">
        <f>G431</f>
        <v>95000</v>
      </c>
      <c r="H453" s="230">
        <f>+G453*F453</f>
        <v>99750</v>
      </c>
      <c r="M453" s="228">
        <v>1.05</v>
      </c>
    </row>
    <row r="454" spans="2:13" ht="18.75" customHeight="1" x14ac:dyDescent="0.25">
      <c r="B454" s="550"/>
      <c r="C454" s="227" t="s">
        <v>600</v>
      </c>
      <c r="D454" s="550" t="s">
        <v>635</v>
      </c>
      <c r="E454" s="224" t="s">
        <v>631</v>
      </c>
      <c r="F454" s="228">
        <f t="shared" si="25"/>
        <v>6.7000000000000004E-2</v>
      </c>
      <c r="G454" s="229">
        <f>G432</f>
        <v>140000</v>
      </c>
      <c r="H454" s="230">
        <f>+G454*F454</f>
        <v>9380</v>
      </c>
      <c r="M454" s="228">
        <v>6.7000000000000004E-2</v>
      </c>
    </row>
    <row r="455" spans="2:13" ht="18.75" customHeight="1" x14ac:dyDescent="0.25">
      <c r="B455" s="550"/>
      <c r="C455" s="223"/>
      <c r="D455" s="550"/>
      <c r="E455" s="224"/>
      <c r="F455" s="233" t="s">
        <v>636</v>
      </c>
      <c r="G455" s="290"/>
      <c r="H455" s="231">
        <f>SUM(H453:H454)</f>
        <v>109130</v>
      </c>
      <c r="M455" s="233" t="s">
        <v>636</v>
      </c>
    </row>
    <row r="456" spans="2:13" ht="18.75" customHeight="1" x14ac:dyDescent="0.25">
      <c r="B456" s="550"/>
      <c r="C456" s="223"/>
      <c r="D456" s="550"/>
      <c r="E456" s="224"/>
      <c r="F456" s="233"/>
      <c r="G456" s="290"/>
      <c r="H456" s="231"/>
      <c r="M456" s="233"/>
    </row>
    <row r="457" spans="2:13" ht="18.75" customHeight="1" x14ac:dyDescent="0.25">
      <c r="B457" s="550" t="s">
        <v>637</v>
      </c>
      <c r="C457" s="223" t="s">
        <v>638</v>
      </c>
      <c r="D457" s="550"/>
      <c r="E457" s="224"/>
      <c r="F457" s="225"/>
      <c r="G457" s="290"/>
      <c r="H457" s="226"/>
      <c r="M457" s="225"/>
    </row>
    <row r="458" spans="2:13" ht="18.75" customHeight="1" x14ac:dyDescent="0.25">
      <c r="B458" s="550"/>
      <c r="C458" s="223"/>
      <c r="D458" s="550"/>
      <c r="E458" s="224"/>
      <c r="F458" s="237" t="s">
        <v>643</v>
      </c>
      <c r="G458" s="290"/>
      <c r="H458" s="230">
        <f>H457</f>
        <v>0</v>
      </c>
      <c r="M458" s="237" t="s">
        <v>643</v>
      </c>
    </row>
    <row r="459" spans="2:13" ht="18.75" customHeight="1" x14ac:dyDescent="0.25">
      <c r="B459" s="550"/>
      <c r="C459" s="223"/>
      <c r="D459" s="550"/>
      <c r="E459" s="224"/>
      <c r="F459" s="225"/>
      <c r="G459" s="290"/>
      <c r="H459" s="226"/>
      <c r="M459" s="225"/>
    </row>
    <row r="460" spans="2:13" ht="18.75" customHeight="1" x14ac:dyDescent="0.25">
      <c r="B460" s="550" t="s">
        <v>644</v>
      </c>
      <c r="C460" s="223" t="s">
        <v>645</v>
      </c>
      <c r="D460" s="550"/>
      <c r="E460" s="224"/>
      <c r="F460" s="225"/>
      <c r="G460" s="290"/>
      <c r="H460" s="235"/>
      <c r="M460" s="225"/>
    </row>
    <row r="461" spans="2:13" ht="18.75" customHeight="1" x14ac:dyDescent="0.25">
      <c r="B461" s="236"/>
      <c r="C461" s="232"/>
      <c r="D461" s="550"/>
      <c r="E461" s="224"/>
      <c r="F461" s="237" t="s">
        <v>646</v>
      </c>
      <c r="G461" s="290"/>
      <c r="H461" s="230">
        <f>SUM(H460:H460)</f>
        <v>0</v>
      </c>
      <c r="M461" s="237" t="s">
        <v>646</v>
      </c>
    </row>
    <row r="462" spans="2:13" ht="18.75" customHeight="1" x14ac:dyDescent="0.25">
      <c r="B462" s="236"/>
      <c r="C462" s="232"/>
      <c r="D462" s="550"/>
      <c r="E462" s="224"/>
      <c r="F462" s="237"/>
      <c r="G462" s="290"/>
      <c r="H462" s="230"/>
      <c r="M462" s="237"/>
    </row>
    <row r="463" spans="2:13" ht="18.75" customHeight="1" x14ac:dyDescent="0.25">
      <c r="B463" s="236"/>
      <c r="C463" s="232"/>
      <c r="D463" s="550"/>
      <c r="E463" s="224"/>
      <c r="F463" s="237"/>
      <c r="G463" s="290"/>
      <c r="H463" s="226"/>
      <c r="M463" s="237"/>
    </row>
    <row r="464" spans="2:13" ht="18.75" customHeight="1" x14ac:dyDescent="0.25">
      <c r="B464" s="248"/>
      <c r="C464" s="238"/>
      <c r="D464" s="239"/>
      <c r="E464" s="266"/>
      <c r="F464" s="241"/>
      <c r="G464" s="303"/>
      <c r="H464" s="267"/>
      <c r="M464" s="241"/>
    </row>
    <row r="465" spans="2:13" ht="18.75" customHeight="1" x14ac:dyDescent="0.25">
      <c r="B465" s="249" t="s">
        <v>647</v>
      </c>
      <c r="C465" s="104" t="s">
        <v>648</v>
      </c>
      <c r="D465" s="435"/>
      <c r="E465" s="92"/>
      <c r="F465" s="183"/>
      <c r="G465" s="167"/>
      <c r="H465" s="252">
        <f>+H461+H458+H455</f>
        <v>109130</v>
      </c>
      <c r="M465" s="183"/>
    </row>
    <row r="466" spans="2:13" ht="18.75" customHeight="1" x14ac:dyDescent="0.25">
      <c r="B466" s="249" t="s">
        <v>649</v>
      </c>
      <c r="C466" s="242" t="s">
        <v>650</v>
      </c>
      <c r="D466" s="435"/>
      <c r="E466" s="92"/>
      <c r="F466" s="184" t="str">
        <f>$J$5</f>
        <v>8,0 % x D</v>
      </c>
      <c r="G466" s="167"/>
      <c r="H466" s="253">
        <f>+H465*$K$5</f>
        <v>8730.4</v>
      </c>
      <c r="M466" s="184" t="str">
        <f>$J$5</f>
        <v>8,0 % x D</v>
      </c>
    </row>
    <row r="467" spans="2:13" ht="18.75" customHeight="1" x14ac:dyDescent="0.25">
      <c r="B467" s="249" t="s">
        <v>651</v>
      </c>
      <c r="C467" s="111" t="s">
        <v>652</v>
      </c>
      <c r="D467" s="435"/>
      <c r="E467" s="91"/>
      <c r="F467" s="185"/>
      <c r="G467" s="168"/>
      <c r="H467" s="254">
        <f>ROUNDUP((H466+H465)/100,0)*100</f>
        <v>117900</v>
      </c>
      <c r="M467" s="185"/>
    </row>
    <row r="468" spans="2:13" ht="18.75" customHeight="1" x14ac:dyDescent="0.25">
      <c r="B468" s="259"/>
      <c r="C468" s="261"/>
      <c r="D468" s="245"/>
      <c r="E468" s="246"/>
      <c r="F468" s="247"/>
      <c r="G468" s="298"/>
      <c r="H468" s="260"/>
      <c r="M468" s="247"/>
    </row>
    <row r="469" spans="2:13" ht="18.75" customHeight="1" x14ac:dyDescent="0.25">
      <c r="B469" s="22"/>
      <c r="C469" s="104"/>
      <c r="E469" s="21"/>
      <c r="F469" s="176"/>
      <c r="G469" s="165"/>
      <c r="H469" s="119"/>
      <c r="M469" s="176"/>
    </row>
    <row r="470" spans="2:13" ht="18.75" customHeight="1" x14ac:dyDescent="0.25">
      <c r="B470" s="19">
        <f>B448+1</f>
        <v>4</v>
      </c>
      <c r="C470" s="93" t="s">
        <v>689</v>
      </c>
      <c r="D470" s="19"/>
      <c r="E470" s="21"/>
      <c r="F470" s="176"/>
      <c r="G470" s="165"/>
      <c r="H470" s="119"/>
      <c r="M470" s="176"/>
    </row>
    <row r="471" spans="2:13" ht="18.75" customHeight="1" x14ac:dyDescent="0.25">
      <c r="B471" s="618" t="s">
        <v>620</v>
      </c>
      <c r="C471" s="620" t="s">
        <v>621</v>
      </c>
      <c r="D471" s="618" t="s">
        <v>622</v>
      </c>
      <c r="E471" s="618" t="s">
        <v>2</v>
      </c>
      <c r="F471" s="615" t="s">
        <v>623</v>
      </c>
      <c r="G471" s="289" t="s">
        <v>624</v>
      </c>
      <c r="H471" s="256" t="s">
        <v>625</v>
      </c>
      <c r="M471" s="615" t="s">
        <v>623</v>
      </c>
    </row>
    <row r="472" spans="2:13" ht="18.75" customHeight="1" x14ac:dyDescent="0.25">
      <c r="B472" s="619"/>
      <c r="C472" s="621"/>
      <c r="D472" s="619"/>
      <c r="E472" s="619"/>
      <c r="F472" s="616"/>
      <c r="G472" s="289" t="s">
        <v>626</v>
      </c>
      <c r="H472" s="256" t="s">
        <v>626</v>
      </c>
      <c r="M472" s="616"/>
    </row>
    <row r="473" spans="2:13" ht="18.75" customHeight="1" x14ac:dyDescent="0.25">
      <c r="B473" s="221"/>
      <c r="C473" s="222"/>
      <c r="D473" s="221"/>
      <c r="E473" s="550"/>
      <c r="F473" s="555"/>
      <c r="G473" s="551"/>
      <c r="H473" s="220"/>
      <c r="M473" s="590"/>
    </row>
    <row r="474" spans="2:13" ht="18.75" customHeight="1" x14ac:dyDescent="0.25">
      <c r="B474" s="550" t="s">
        <v>627</v>
      </c>
      <c r="C474" s="223" t="s">
        <v>628</v>
      </c>
      <c r="D474" s="550"/>
      <c r="E474" s="224"/>
      <c r="F474" s="225"/>
      <c r="G474" s="290"/>
      <c r="H474" s="226"/>
      <c r="M474" s="225"/>
    </row>
    <row r="475" spans="2:13" ht="18.75" customHeight="1" x14ac:dyDescent="0.25">
      <c r="B475" s="550"/>
      <c r="C475" s="227" t="s">
        <v>629</v>
      </c>
      <c r="D475" s="550" t="s">
        <v>630</v>
      </c>
      <c r="E475" s="224" t="s">
        <v>631</v>
      </c>
      <c r="F475" s="228">
        <f t="shared" ref="F475:F476" si="26">$K$8*M475</f>
        <v>1</v>
      </c>
      <c r="G475" s="229">
        <f>G453</f>
        <v>95000</v>
      </c>
      <c r="H475" s="230">
        <f>+G475*F475</f>
        <v>95000</v>
      </c>
      <c r="M475" s="228">
        <v>1</v>
      </c>
    </row>
    <row r="476" spans="2:13" ht="18.75" customHeight="1" x14ac:dyDescent="0.25">
      <c r="B476" s="550"/>
      <c r="C476" s="227" t="s">
        <v>600</v>
      </c>
      <c r="D476" s="550" t="s">
        <v>635</v>
      </c>
      <c r="E476" s="224" t="s">
        <v>631</v>
      </c>
      <c r="F476" s="228">
        <f t="shared" si="26"/>
        <v>3.2000000000000001E-2</v>
      </c>
      <c r="G476" s="229">
        <f>G454</f>
        <v>140000</v>
      </c>
      <c r="H476" s="230">
        <f>+G476*F476</f>
        <v>4480</v>
      </c>
      <c r="M476" s="228">
        <v>3.2000000000000001E-2</v>
      </c>
    </row>
    <row r="477" spans="2:13" ht="18.75" customHeight="1" x14ac:dyDescent="0.25">
      <c r="B477" s="550"/>
      <c r="C477" s="223"/>
      <c r="D477" s="550"/>
      <c r="E477" s="224"/>
      <c r="F477" s="233" t="s">
        <v>636</v>
      </c>
      <c r="G477" s="290"/>
      <c r="H477" s="231">
        <f>SUM(H475:H476)</f>
        <v>99480</v>
      </c>
      <c r="M477" s="233" t="s">
        <v>636</v>
      </c>
    </row>
    <row r="478" spans="2:13" ht="18.75" customHeight="1" x14ac:dyDescent="0.25">
      <c r="B478" s="550"/>
      <c r="C478" s="223"/>
      <c r="D478" s="550"/>
      <c r="E478" s="224"/>
      <c r="F478" s="233"/>
      <c r="G478" s="290"/>
      <c r="H478" s="231"/>
      <c r="M478" s="233"/>
    </row>
    <row r="479" spans="2:13" ht="18.75" customHeight="1" x14ac:dyDescent="0.25">
      <c r="B479" s="550" t="s">
        <v>637</v>
      </c>
      <c r="C479" s="223" t="s">
        <v>638</v>
      </c>
      <c r="D479" s="550"/>
      <c r="E479" s="224"/>
      <c r="F479" s="225"/>
      <c r="G479" s="290"/>
      <c r="H479" s="226"/>
      <c r="M479" s="225"/>
    </row>
    <row r="480" spans="2:13" ht="18.75" customHeight="1" x14ac:dyDescent="0.25">
      <c r="B480" s="550"/>
      <c r="C480" s="223"/>
      <c r="D480" s="550"/>
      <c r="E480" s="224"/>
      <c r="F480" s="237" t="s">
        <v>643</v>
      </c>
      <c r="G480" s="290"/>
      <c r="H480" s="230">
        <f>H479</f>
        <v>0</v>
      </c>
      <c r="M480" s="237" t="s">
        <v>643</v>
      </c>
    </row>
    <row r="481" spans="2:13" ht="18.75" customHeight="1" x14ac:dyDescent="0.25">
      <c r="B481" s="550"/>
      <c r="C481" s="223"/>
      <c r="D481" s="550"/>
      <c r="E481" s="224"/>
      <c r="F481" s="225"/>
      <c r="G481" s="290"/>
      <c r="H481" s="226"/>
      <c r="M481" s="225"/>
    </row>
    <row r="482" spans="2:13" ht="18.75" customHeight="1" x14ac:dyDescent="0.25">
      <c r="B482" s="550" t="s">
        <v>644</v>
      </c>
      <c r="C482" s="223" t="s">
        <v>645</v>
      </c>
      <c r="D482" s="550"/>
      <c r="E482" s="224"/>
      <c r="F482" s="225"/>
      <c r="G482" s="290"/>
      <c r="H482" s="235"/>
      <c r="M482" s="225"/>
    </row>
    <row r="483" spans="2:13" ht="18.75" customHeight="1" x14ac:dyDescent="0.25">
      <c r="B483" s="236"/>
      <c r="C483" s="232"/>
      <c r="D483" s="550"/>
      <c r="E483" s="224"/>
      <c r="F483" s="237" t="s">
        <v>646</v>
      </c>
      <c r="G483" s="290"/>
      <c r="H483" s="230">
        <f>SUM(H482:H482)</f>
        <v>0</v>
      </c>
      <c r="M483" s="237" t="s">
        <v>646</v>
      </c>
    </row>
    <row r="484" spans="2:13" ht="18.75" customHeight="1" x14ac:dyDescent="0.25">
      <c r="B484" s="236"/>
      <c r="C484" s="232"/>
      <c r="D484" s="550"/>
      <c r="E484" s="224"/>
      <c r="F484" s="237"/>
      <c r="G484" s="290"/>
      <c r="H484" s="226"/>
      <c r="M484" s="237"/>
    </row>
    <row r="485" spans="2:13" ht="18.75" customHeight="1" x14ac:dyDescent="0.25">
      <c r="B485" s="248"/>
      <c r="C485" s="238"/>
      <c r="D485" s="239"/>
      <c r="E485" s="266"/>
      <c r="F485" s="241"/>
      <c r="G485" s="303"/>
      <c r="H485" s="267"/>
      <c r="M485" s="241"/>
    </row>
    <row r="486" spans="2:13" ht="18.75" customHeight="1" x14ac:dyDescent="0.25">
      <c r="B486" s="249" t="s">
        <v>647</v>
      </c>
      <c r="C486" s="104" t="s">
        <v>648</v>
      </c>
      <c r="D486" s="435"/>
      <c r="E486" s="92"/>
      <c r="F486" s="183"/>
      <c r="G486" s="167"/>
      <c r="H486" s="252">
        <f>+H483+H480+H477</f>
        <v>99480</v>
      </c>
      <c r="M486" s="183"/>
    </row>
    <row r="487" spans="2:13" ht="18.75" customHeight="1" x14ac:dyDescent="0.25">
      <c r="B487" s="249" t="s">
        <v>649</v>
      </c>
      <c r="C487" s="242" t="s">
        <v>650</v>
      </c>
      <c r="D487" s="435"/>
      <c r="E487" s="92"/>
      <c r="F487" s="184" t="str">
        <f>$J$5</f>
        <v>8,0 % x D</v>
      </c>
      <c r="G487" s="167"/>
      <c r="H487" s="253">
        <f>+H486*$K$5</f>
        <v>7958.4000000000005</v>
      </c>
      <c r="M487" s="184" t="str">
        <f>$J$5</f>
        <v>8,0 % x D</v>
      </c>
    </row>
    <row r="488" spans="2:13" ht="18.75" customHeight="1" x14ac:dyDescent="0.25">
      <c r="B488" s="249" t="s">
        <v>651</v>
      </c>
      <c r="C488" s="111" t="s">
        <v>652</v>
      </c>
      <c r="D488" s="435"/>
      <c r="E488" s="91"/>
      <c r="F488" s="185"/>
      <c r="G488" s="168"/>
      <c r="H488" s="254">
        <f>ROUNDUP((H487+H486)/100,0)*100</f>
        <v>107500</v>
      </c>
      <c r="M488" s="185"/>
    </row>
    <row r="489" spans="2:13" ht="18.75" customHeight="1" x14ac:dyDescent="0.25">
      <c r="B489" s="259"/>
      <c r="C489" s="261"/>
      <c r="D489" s="245"/>
      <c r="E489" s="246"/>
      <c r="F489" s="247"/>
      <c r="G489" s="298"/>
      <c r="H489" s="260"/>
      <c r="M489" s="247"/>
    </row>
    <row r="490" spans="2:13" ht="18.75" customHeight="1" x14ac:dyDescent="0.25">
      <c r="B490" s="22"/>
      <c r="C490" s="104"/>
      <c r="E490" s="21"/>
      <c r="F490" s="176"/>
      <c r="G490" s="165"/>
      <c r="H490" s="119"/>
      <c r="M490" s="176"/>
    </row>
    <row r="491" spans="2:13" ht="18.75" customHeight="1" x14ac:dyDescent="0.25">
      <c r="B491" s="19">
        <f>B470+1</f>
        <v>5</v>
      </c>
      <c r="C491" s="93" t="s">
        <v>690</v>
      </c>
      <c r="D491" s="19"/>
      <c r="E491" s="21"/>
      <c r="F491" s="176"/>
      <c r="G491" s="165"/>
      <c r="H491" s="119"/>
      <c r="M491" s="176"/>
    </row>
    <row r="492" spans="2:13" ht="18.75" customHeight="1" x14ac:dyDescent="0.25">
      <c r="B492" s="618" t="s">
        <v>620</v>
      </c>
      <c r="C492" s="620" t="s">
        <v>621</v>
      </c>
      <c r="D492" s="618" t="s">
        <v>622</v>
      </c>
      <c r="E492" s="618" t="s">
        <v>2</v>
      </c>
      <c r="F492" s="615" t="s">
        <v>623</v>
      </c>
      <c r="G492" s="289" t="s">
        <v>624</v>
      </c>
      <c r="H492" s="256" t="s">
        <v>625</v>
      </c>
      <c r="M492" s="615" t="s">
        <v>623</v>
      </c>
    </row>
    <row r="493" spans="2:13" ht="18.75" customHeight="1" x14ac:dyDescent="0.25">
      <c r="B493" s="619"/>
      <c r="C493" s="621"/>
      <c r="D493" s="619"/>
      <c r="E493" s="619"/>
      <c r="F493" s="616"/>
      <c r="G493" s="289" t="s">
        <v>626</v>
      </c>
      <c r="H493" s="256" t="s">
        <v>626</v>
      </c>
      <c r="M493" s="616"/>
    </row>
    <row r="494" spans="2:13" ht="18.75" customHeight="1" x14ac:dyDescent="0.25">
      <c r="B494" s="221"/>
      <c r="C494" s="222"/>
      <c r="D494" s="221"/>
      <c r="E494" s="550"/>
      <c r="F494" s="555"/>
      <c r="G494" s="551"/>
      <c r="H494" s="220"/>
      <c r="M494" s="590"/>
    </row>
    <row r="495" spans="2:13" ht="18.75" customHeight="1" x14ac:dyDescent="0.25">
      <c r="B495" s="550" t="s">
        <v>627</v>
      </c>
      <c r="C495" s="223" t="s">
        <v>628</v>
      </c>
      <c r="D495" s="550"/>
      <c r="E495" s="224"/>
      <c r="F495" s="225"/>
      <c r="G495" s="290"/>
      <c r="H495" s="226"/>
      <c r="M495" s="225"/>
    </row>
    <row r="496" spans="2:13" ht="18.75" customHeight="1" x14ac:dyDescent="0.25">
      <c r="B496" s="550"/>
      <c r="C496" s="227" t="s">
        <v>629</v>
      </c>
      <c r="D496" s="550" t="s">
        <v>630</v>
      </c>
      <c r="E496" s="224" t="s">
        <v>631</v>
      </c>
      <c r="F496" s="228">
        <f t="shared" ref="F496:F497" si="27">$K$8*M496</f>
        <v>1</v>
      </c>
      <c r="G496" s="229">
        <f>G475</f>
        <v>95000</v>
      </c>
      <c r="H496" s="230">
        <f>+G496*F496</f>
        <v>95000</v>
      </c>
      <c r="M496" s="228">
        <v>1</v>
      </c>
    </row>
    <row r="497" spans="2:13" ht="18.75" customHeight="1" x14ac:dyDescent="0.25">
      <c r="B497" s="550"/>
      <c r="C497" s="227" t="s">
        <v>600</v>
      </c>
      <c r="D497" s="550" t="s">
        <v>635</v>
      </c>
      <c r="E497" s="224" t="s">
        <v>631</v>
      </c>
      <c r="F497" s="228">
        <f t="shared" si="27"/>
        <v>3.2000000000000001E-2</v>
      </c>
      <c r="G497" s="229">
        <f>G476</f>
        <v>140000</v>
      </c>
      <c r="H497" s="230">
        <f>+G497*F497</f>
        <v>4480</v>
      </c>
      <c r="M497" s="228">
        <v>3.2000000000000001E-2</v>
      </c>
    </row>
    <row r="498" spans="2:13" ht="18.75" customHeight="1" x14ac:dyDescent="0.25">
      <c r="B498" s="550"/>
      <c r="C498" s="223"/>
      <c r="D498" s="550"/>
      <c r="E498" s="224"/>
      <c r="F498" s="233" t="s">
        <v>636</v>
      </c>
      <c r="G498" s="290"/>
      <c r="H498" s="231">
        <f>SUM(H496:H497)</f>
        <v>99480</v>
      </c>
      <c r="M498" s="233" t="s">
        <v>636</v>
      </c>
    </row>
    <row r="499" spans="2:13" ht="18.75" customHeight="1" x14ac:dyDescent="0.25">
      <c r="B499" s="550"/>
      <c r="C499" s="223"/>
      <c r="D499" s="550"/>
      <c r="E499" s="224"/>
      <c r="F499" s="233"/>
      <c r="G499" s="290"/>
      <c r="H499" s="231"/>
      <c r="M499" s="233"/>
    </row>
    <row r="500" spans="2:13" ht="18.75" customHeight="1" x14ac:dyDescent="0.25">
      <c r="B500" s="550" t="s">
        <v>637</v>
      </c>
      <c r="C500" s="223" t="s">
        <v>638</v>
      </c>
      <c r="D500" s="550"/>
      <c r="E500" s="224"/>
      <c r="F500" s="225"/>
      <c r="G500" s="290"/>
      <c r="H500" s="226"/>
      <c r="M500" s="225"/>
    </row>
    <row r="501" spans="2:13" ht="18.75" customHeight="1" x14ac:dyDescent="0.25">
      <c r="B501" s="550"/>
      <c r="C501" s="223"/>
      <c r="D501" s="550"/>
      <c r="E501" s="224"/>
      <c r="F501" s="237" t="s">
        <v>643</v>
      </c>
      <c r="G501" s="290"/>
      <c r="H501" s="230">
        <f>H500</f>
        <v>0</v>
      </c>
      <c r="M501" s="237" t="s">
        <v>643</v>
      </c>
    </row>
    <row r="502" spans="2:13" ht="18.75" customHeight="1" x14ac:dyDescent="0.25">
      <c r="B502" s="550"/>
      <c r="C502" s="223"/>
      <c r="D502" s="550"/>
      <c r="E502" s="224"/>
      <c r="F502" s="225"/>
      <c r="G502" s="290"/>
      <c r="H502" s="226"/>
      <c r="M502" s="225"/>
    </row>
    <row r="503" spans="2:13" ht="18.75" customHeight="1" x14ac:dyDescent="0.25">
      <c r="B503" s="550" t="s">
        <v>644</v>
      </c>
      <c r="C503" s="223" t="s">
        <v>645</v>
      </c>
      <c r="D503" s="550"/>
      <c r="E503" s="224"/>
      <c r="F503" s="225"/>
      <c r="G503" s="290"/>
      <c r="H503" s="235"/>
      <c r="M503" s="225"/>
    </row>
    <row r="504" spans="2:13" ht="18.75" customHeight="1" x14ac:dyDescent="0.25">
      <c r="B504" s="236"/>
      <c r="C504" s="232"/>
      <c r="D504" s="550"/>
      <c r="E504" s="224"/>
      <c r="F504" s="237" t="s">
        <v>646</v>
      </c>
      <c r="G504" s="290"/>
      <c r="H504" s="230">
        <f>SUM(H503:H503)</f>
        <v>0</v>
      </c>
      <c r="M504" s="237" t="s">
        <v>646</v>
      </c>
    </row>
    <row r="505" spans="2:13" ht="18.75" customHeight="1" x14ac:dyDescent="0.25">
      <c r="B505" s="236"/>
      <c r="C505" s="232"/>
      <c r="D505" s="550"/>
      <c r="E505" s="224"/>
      <c r="F505" s="237"/>
      <c r="G505" s="290"/>
      <c r="H505" s="226"/>
      <c r="M505" s="237"/>
    </row>
    <row r="506" spans="2:13" ht="18.75" customHeight="1" x14ac:dyDescent="0.25">
      <c r="B506" s="248"/>
      <c r="C506" s="238"/>
      <c r="D506" s="239"/>
      <c r="E506" s="240"/>
      <c r="F506" s="241"/>
      <c r="G506" s="291"/>
      <c r="H506" s="251"/>
      <c r="M506" s="241"/>
    </row>
    <row r="507" spans="2:13" ht="18.75" customHeight="1" x14ac:dyDescent="0.25">
      <c r="B507" s="249" t="s">
        <v>647</v>
      </c>
      <c r="C507" s="104" t="s">
        <v>648</v>
      </c>
      <c r="D507" s="435"/>
      <c r="E507" s="92"/>
      <c r="F507" s="183"/>
      <c r="G507" s="167"/>
      <c r="H507" s="252">
        <f>+H504+H501+H498</f>
        <v>99480</v>
      </c>
      <c r="M507" s="183"/>
    </row>
    <row r="508" spans="2:13" ht="18.75" customHeight="1" x14ac:dyDescent="0.25">
      <c r="B508" s="249" t="s">
        <v>649</v>
      </c>
      <c r="C508" s="242" t="s">
        <v>650</v>
      </c>
      <c r="D508" s="435"/>
      <c r="E508" s="92"/>
      <c r="F508" s="184" t="str">
        <f>$J$5</f>
        <v>8,0 % x D</v>
      </c>
      <c r="G508" s="167"/>
      <c r="H508" s="253">
        <f>+H507*$K$5</f>
        <v>7958.4000000000005</v>
      </c>
      <c r="M508" s="184" t="str">
        <f>$J$5</f>
        <v>8,0 % x D</v>
      </c>
    </row>
    <row r="509" spans="2:13" ht="18.75" customHeight="1" x14ac:dyDescent="0.25">
      <c r="B509" s="249" t="s">
        <v>651</v>
      </c>
      <c r="C509" s="111" t="s">
        <v>652</v>
      </c>
      <c r="D509" s="435"/>
      <c r="E509" s="91"/>
      <c r="F509" s="185"/>
      <c r="G509" s="168"/>
      <c r="H509" s="254">
        <f>ROUNDUP((H508+H507)/100,0)*100</f>
        <v>107500</v>
      </c>
      <c r="M509" s="185"/>
    </row>
    <row r="510" spans="2:13" ht="18.75" customHeight="1" x14ac:dyDescent="0.25">
      <c r="B510" s="259"/>
      <c r="C510" s="261"/>
      <c r="D510" s="245"/>
      <c r="E510" s="246"/>
      <c r="F510" s="247"/>
      <c r="G510" s="298"/>
      <c r="H510" s="260"/>
      <c r="M510" s="247"/>
    </row>
    <row r="511" spans="2:13" ht="18.75" customHeight="1" x14ac:dyDescent="0.25">
      <c r="B511" s="92"/>
      <c r="C511" s="104"/>
      <c r="D511" s="435"/>
      <c r="E511" s="91"/>
      <c r="F511" s="185"/>
      <c r="G511" s="168"/>
      <c r="H511" s="139"/>
      <c r="M511" s="185"/>
    </row>
    <row r="512" spans="2:13" ht="18.75" customHeight="1" x14ac:dyDescent="0.25">
      <c r="B512" s="19">
        <f>B491+1</f>
        <v>6</v>
      </c>
      <c r="C512" s="93" t="s">
        <v>691</v>
      </c>
      <c r="D512" s="19"/>
      <c r="E512" s="21"/>
      <c r="F512" s="176"/>
      <c r="G512" s="165"/>
      <c r="H512" s="119"/>
      <c r="M512" s="176"/>
    </row>
    <row r="513" spans="2:13" ht="18.75" customHeight="1" x14ac:dyDescent="0.25">
      <c r="B513" s="618" t="s">
        <v>620</v>
      </c>
      <c r="C513" s="620" t="s">
        <v>621</v>
      </c>
      <c r="D513" s="618" t="s">
        <v>622</v>
      </c>
      <c r="E513" s="618" t="s">
        <v>2</v>
      </c>
      <c r="F513" s="615" t="s">
        <v>623</v>
      </c>
      <c r="G513" s="289" t="s">
        <v>624</v>
      </c>
      <c r="H513" s="256" t="s">
        <v>625</v>
      </c>
      <c r="M513" s="615" t="s">
        <v>623</v>
      </c>
    </row>
    <row r="514" spans="2:13" ht="18.75" customHeight="1" x14ac:dyDescent="0.25">
      <c r="B514" s="619"/>
      <c r="C514" s="621"/>
      <c r="D514" s="619"/>
      <c r="E514" s="619"/>
      <c r="F514" s="616"/>
      <c r="G514" s="289" t="s">
        <v>626</v>
      </c>
      <c r="H514" s="256" t="s">
        <v>626</v>
      </c>
      <c r="M514" s="616"/>
    </row>
    <row r="515" spans="2:13" ht="18.75" customHeight="1" x14ac:dyDescent="0.25">
      <c r="B515" s="221"/>
      <c r="C515" s="222"/>
      <c r="D515" s="221"/>
      <c r="E515" s="550"/>
      <c r="F515" s="555"/>
      <c r="G515" s="551"/>
      <c r="H515" s="220"/>
      <c r="M515" s="590"/>
    </row>
    <row r="516" spans="2:13" ht="18.75" customHeight="1" x14ac:dyDescent="0.25">
      <c r="B516" s="550" t="s">
        <v>627</v>
      </c>
      <c r="C516" s="223" t="s">
        <v>628</v>
      </c>
      <c r="D516" s="550"/>
      <c r="E516" s="224"/>
      <c r="F516" s="225"/>
      <c r="G516" s="290"/>
      <c r="H516" s="226"/>
      <c r="M516" s="225"/>
    </row>
    <row r="517" spans="2:13" ht="18.75" customHeight="1" x14ac:dyDescent="0.25">
      <c r="B517" s="550"/>
      <c r="C517" s="227" t="s">
        <v>629</v>
      </c>
      <c r="D517" s="550" t="s">
        <v>630</v>
      </c>
      <c r="E517" s="224" t="s">
        <v>631</v>
      </c>
      <c r="F517" s="228">
        <f t="shared" ref="F517:F518" si="28">$K$8*M517</f>
        <v>1.2</v>
      </c>
      <c r="G517" s="229">
        <f>G496</f>
        <v>95000</v>
      </c>
      <c r="H517" s="230">
        <f>+G517*F517</f>
        <v>114000</v>
      </c>
      <c r="M517" s="228">
        <v>1.2</v>
      </c>
    </row>
    <row r="518" spans="2:13" ht="18.75" customHeight="1" x14ac:dyDescent="0.25">
      <c r="B518" s="550"/>
      <c r="C518" s="227" t="s">
        <v>600</v>
      </c>
      <c r="D518" s="550" t="s">
        <v>635</v>
      </c>
      <c r="E518" s="224" t="s">
        <v>631</v>
      </c>
      <c r="F518" s="228">
        <f t="shared" si="28"/>
        <v>4.4999999999999998E-2</v>
      </c>
      <c r="G518" s="229">
        <f>G497</f>
        <v>140000</v>
      </c>
      <c r="H518" s="230">
        <f>+G518*F518</f>
        <v>6300</v>
      </c>
      <c r="M518" s="228">
        <v>4.4999999999999998E-2</v>
      </c>
    </row>
    <row r="519" spans="2:13" ht="18.75" customHeight="1" x14ac:dyDescent="0.25">
      <c r="B519" s="550"/>
      <c r="C519" s="223"/>
      <c r="D519" s="550"/>
      <c r="E519" s="224"/>
      <c r="F519" s="233" t="s">
        <v>636</v>
      </c>
      <c r="G519" s="290"/>
      <c r="H519" s="231">
        <f>SUM(H517:H518)</f>
        <v>120300</v>
      </c>
      <c r="M519" s="233" t="s">
        <v>636</v>
      </c>
    </row>
    <row r="520" spans="2:13" ht="18.75" customHeight="1" x14ac:dyDescent="0.25">
      <c r="B520" s="550"/>
      <c r="C520" s="223"/>
      <c r="D520" s="550"/>
      <c r="E520" s="224"/>
      <c r="F520" s="233"/>
      <c r="G520" s="290"/>
      <c r="H520" s="231"/>
      <c r="M520" s="233"/>
    </row>
    <row r="521" spans="2:13" ht="18.75" customHeight="1" x14ac:dyDescent="0.25">
      <c r="B521" s="550" t="s">
        <v>637</v>
      </c>
      <c r="C521" s="223" t="s">
        <v>638</v>
      </c>
      <c r="D521" s="550"/>
      <c r="E521" s="224"/>
      <c r="F521" s="225"/>
      <c r="G521" s="290"/>
      <c r="H521" s="226"/>
      <c r="M521" s="225"/>
    </row>
    <row r="522" spans="2:13" ht="18.75" customHeight="1" x14ac:dyDescent="0.25">
      <c r="B522" s="550"/>
      <c r="C522" s="223"/>
      <c r="D522" s="550"/>
      <c r="E522" s="224"/>
      <c r="F522" s="237" t="s">
        <v>643</v>
      </c>
      <c r="G522" s="290"/>
      <c r="H522" s="230">
        <f>H521</f>
        <v>0</v>
      </c>
      <c r="M522" s="237" t="s">
        <v>643</v>
      </c>
    </row>
    <row r="523" spans="2:13" ht="18.75" customHeight="1" x14ac:dyDescent="0.25">
      <c r="B523" s="550"/>
      <c r="C523" s="223"/>
      <c r="D523" s="550"/>
      <c r="E523" s="224"/>
      <c r="F523" s="225"/>
      <c r="G523" s="290"/>
      <c r="H523" s="226"/>
      <c r="M523" s="225"/>
    </row>
    <row r="524" spans="2:13" ht="18.75" customHeight="1" x14ac:dyDescent="0.25">
      <c r="B524" s="550" t="s">
        <v>644</v>
      </c>
      <c r="C524" s="223" t="s">
        <v>645</v>
      </c>
      <c r="D524" s="550"/>
      <c r="E524" s="224"/>
      <c r="F524" s="225"/>
      <c r="G524" s="290"/>
      <c r="H524" s="235"/>
      <c r="M524" s="225"/>
    </row>
    <row r="525" spans="2:13" ht="18.75" customHeight="1" x14ac:dyDescent="0.25">
      <c r="B525" s="236"/>
      <c r="C525" s="232"/>
      <c r="D525" s="550"/>
      <c r="E525" s="224"/>
      <c r="F525" s="237" t="s">
        <v>646</v>
      </c>
      <c r="G525" s="290"/>
      <c r="H525" s="230">
        <f>SUM(H524:H524)</f>
        <v>0</v>
      </c>
      <c r="M525" s="237" t="s">
        <v>646</v>
      </c>
    </row>
    <row r="526" spans="2:13" ht="18.75" customHeight="1" x14ac:dyDescent="0.25">
      <c r="B526" s="236"/>
      <c r="C526" s="232"/>
      <c r="D526" s="550"/>
      <c r="E526" s="224"/>
      <c r="F526" s="237"/>
      <c r="G526" s="290"/>
      <c r="H526" s="230"/>
      <c r="M526" s="237"/>
    </row>
    <row r="527" spans="2:13" ht="18.75" customHeight="1" x14ac:dyDescent="0.25">
      <c r="B527" s="248"/>
      <c r="C527" s="238"/>
      <c r="D527" s="239"/>
      <c r="E527" s="266"/>
      <c r="F527" s="241"/>
      <c r="G527" s="303"/>
      <c r="H527" s="276"/>
      <c r="M527" s="241"/>
    </row>
    <row r="528" spans="2:13" ht="18.75" customHeight="1" x14ac:dyDescent="0.25">
      <c r="B528" s="249" t="s">
        <v>647</v>
      </c>
      <c r="C528" s="104" t="s">
        <v>648</v>
      </c>
      <c r="D528" s="435"/>
      <c r="E528" s="92"/>
      <c r="F528" s="183"/>
      <c r="G528" s="167"/>
      <c r="H528" s="252">
        <f>+H525+H522+H519</f>
        <v>120300</v>
      </c>
      <c r="M528" s="183"/>
    </row>
    <row r="529" spans="2:13" ht="18.75" customHeight="1" x14ac:dyDescent="0.25">
      <c r="B529" s="249" t="s">
        <v>649</v>
      </c>
      <c r="C529" s="242" t="s">
        <v>650</v>
      </c>
      <c r="D529" s="435"/>
      <c r="E529" s="92"/>
      <c r="F529" s="184" t="str">
        <f>$J$5</f>
        <v>8,0 % x D</v>
      </c>
      <c r="G529" s="167"/>
      <c r="H529" s="253">
        <f>+H528*$K$5</f>
        <v>9624</v>
      </c>
      <c r="M529" s="184" t="str">
        <f>$J$5</f>
        <v>8,0 % x D</v>
      </c>
    </row>
    <row r="530" spans="2:13" ht="18.75" customHeight="1" x14ac:dyDescent="0.25">
      <c r="B530" s="249" t="s">
        <v>651</v>
      </c>
      <c r="C530" s="111" t="s">
        <v>652</v>
      </c>
      <c r="D530" s="435"/>
      <c r="E530" s="91"/>
      <c r="F530" s="185"/>
      <c r="G530" s="168"/>
      <c r="H530" s="254">
        <f>ROUNDUP((H529+H528)/100,0)*100</f>
        <v>130000</v>
      </c>
      <c r="M530" s="185"/>
    </row>
    <row r="531" spans="2:13" ht="18.75" customHeight="1" x14ac:dyDescent="0.25">
      <c r="B531" s="259"/>
      <c r="C531" s="261"/>
      <c r="D531" s="245"/>
      <c r="E531" s="246"/>
      <c r="F531" s="247"/>
      <c r="G531" s="298"/>
      <c r="H531" s="260"/>
      <c r="M531" s="247"/>
    </row>
    <row r="532" spans="2:13" ht="18.75" customHeight="1" x14ac:dyDescent="0.25">
      <c r="B532" s="22"/>
      <c r="C532" s="104"/>
      <c r="E532" s="21"/>
      <c r="F532" s="176"/>
      <c r="G532" s="165"/>
      <c r="H532" s="119"/>
      <c r="M532" s="176"/>
    </row>
    <row r="533" spans="2:13" ht="18.75" customHeight="1" x14ac:dyDescent="0.25">
      <c r="B533" s="19">
        <f>B512+1</f>
        <v>7</v>
      </c>
      <c r="C533" s="93" t="s">
        <v>692</v>
      </c>
      <c r="D533" s="19"/>
      <c r="E533" s="21"/>
      <c r="F533" s="176"/>
      <c r="G533" s="165"/>
      <c r="H533" s="119"/>
      <c r="M533" s="176"/>
    </row>
    <row r="534" spans="2:13" ht="18.75" customHeight="1" x14ac:dyDescent="0.25">
      <c r="B534" s="618" t="s">
        <v>620</v>
      </c>
      <c r="C534" s="620" t="s">
        <v>621</v>
      </c>
      <c r="D534" s="618" t="s">
        <v>622</v>
      </c>
      <c r="E534" s="618" t="s">
        <v>2</v>
      </c>
      <c r="F534" s="615" t="s">
        <v>623</v>
      </c>
      <c r="G534" s="289" t="s">
        <v>624</v>
      </c>
      <c r="H534" s="256" t="s">
        <v>625</v>
      </c>
      <c r="M534" s="615" t="s">
        <v>623</v>
      </c>
    </row>
    <row r="535" spans="2:13" ht="18.75" customHeight="1" x14ac:dyDescent="0.25">
      <c r="B535" s="619"/>
      <c r="C535" s="621"/>
      <c r="D535" s="619"/>
      <c r="E535" s="619"/>
      <c r="F535" s="616"/>
      <c r="G535" s="289" t="s">
        <v>626</v>
      </c>
      <c r="H535" s="256" t="s">
        <v>626</v>
      </c>
      <c r="M535" s="616"/>
    </row>
    <row r="536" spans="2:13" ht="18.75" customHeight="1" x14ac:dyDescent="0.25">
      <c r="B536" s="221"/>
      <c r="C536" s="222"/>
      <c r="D536" s="221"/>
      <c r="E536" s="550"/>
      <c r="F536" s="555"/>
      <c r="G536" s="551"/>
      <c r="H536" s="220"/>
      <c r="M536" s="590"/>
    </row>
    <row r="537" spans="2:13" ht="18.75" customHeight="1" x14ac:dyDescent="0.25">
      <c r="B537" s="550" t="s">
        <v>627</v>
      </c>
      <c r="C537" s="223" t="s">
        <v>628</v>
      </c>
      <c r="D537" s="550"/>
      <c r="E537" s="224"/>
      <c r="F537" s="225"/>
      <c r="G537" s="290"/>
      <c r="H537" s="226"/>
      <c r="M537" s="225"/>
    </row>
    <row r="538" spans="2:13" ht="18.75" customHeight="1" x14ac:dyDescent="0.25">
      <c r="B538" s="550"/>
      <c r="C538" s="227" t="s">
        <v>629</v>
      </c>
      <c r="D538" s="550" t="s">
        <v>630</v>
      </c>
      <c r="E538" s="224" t="s">
        <v>631</v>
      </c>
      <c r="F538" s="228">
        <f t="shared" ref="F538:F539" si="29">$K$8*M538</f>
        <v>0.05</v>
      </c>
      <c r="G538" s="229">
        <f>G517</f>
        <v>95000</v>
      </c>
      <c r="H538" s="230">
        <f>+G538*F538</f>
        <v>4750</v>
      </c>
      <c r="M538" s="228">
        <v>0.05</v>
      </c>
    </row>
    <row r="539" spans="2:13" ht="18.75" customHeight="1" x14ac:dyDescent="0.25">
      <c r="B539" s="550"/>
      <c r="C539" s="227" t="s">
        <v>600</v>
      </c>
      <c r="D539" s="550" t="s">
        <v>635</v>
      </c>
      <c r="E539" s="224" t="s">
        <v>631</v>
      </c>
      <c r="F539" s="228">
        <f t="shared" si="29"/>
        <v>5.0000000000000001E-3</v>
      </c>
      <c r="G539" s="229">
        <f>G518</f>
        <v>140000</v>
      </c>
      <c r="H539" s="230">
        <f>+G539*F539</f>
        <v>700</v>
      </c>
      <c r="M539" s="228">
        <v>5.0000000000000001E-3</v>
      </c>
    </row>
    <row r="540" spans="2:13" ht="18.75" customHeight="1" x14ac:dyDescent="0.25">
      <c r="B540" s="550"/>
      <c r="C540" s="223"/>
      <c r="D540" s="550"/>
      <c r="E540" s="224"/>
      <c r="F540" s="233" t="s">
        <v>636</v>
      </c>
      <c r="G540" s="290"/>
      <c r="H540" s="231">
        <f>SUM(H538:H539)</f>
        <v>5450</v>
      </c>
      <c r="M540" s="233" t="s">
        <v>636</v>
      </c>
    </row>
    <row r="541" spans="2:13" ht="18.75" customHeight="1" x14ac:dyDescent="0.25">
      <c r="B541" s="550"/>
      <c r="C541" s="223"/>
      <c r="D541" s="550"/>
      <c r="E541" s="224"/>
      <c r="F541" s="233"/>
      <c r="G541" s="290"/>
      <c r="H541" s="230"/>
      <c r="M541" s="233"/>
    </row>
    <row r="542" spans="2:13" ht="18.75" customHeight="1" x14ac:dyDescent="0.25">
      <c r="B542" s="550"/>
      <c r="C542" s="223"/>
      <c r="D542" s="550"/>
      <c r="E542" s="224"/>
      <c r="F542" s="233"/>
      <c r="G542" s="290"/>
      <c r="H542" s="230"/>
      <c r="M542" s="233"/>
    </row>
    <row r="543" spans="2:13" ht="18.75" customHeight="1" x14ac:dyDescent="0.25">
      <c r="B543" s="550" t="s">
        <v>637</v>
      </c>
      <c r="C543" s="223" t="s">
        <v>638</v>
      </c>
      <c r="D543" s="550"/>
      <c r="E543" s="224"/>
      <c r="F543" s="225"/>
      <c r="G543" s="290"/>
      <c r="H543" s="226"/>
      <c r="M543" s="225"/>
    </row>
    <row r="544" spans="2:13" ht="18.75" customHeight="1" x14ac:dyDescent="0.25">
      <c r="B544" s="550"/>
      <c r="C544" s="223"/>
      <c r="D544" s="550"/>
      <c r="E544" s="224"/>
      <c r="F544" s="237" t="s">
        <v>643</v>
      </c>
      <c r="G544" s="290"/>
      <c r="H544" s="230">
        <f>H543</f>
        <v>0</v>
      </c>
      <c r="M544" s="237" t="s">
        <v>643</v>
      </c>
    </row>
    <row r="545" spans="2:13" ht="18.75" customHeight="1" x14ac:dyDescent="0.25">
      <c r="B545" s="550"/>
      <c r="C545" s="223"/>
      <c r="D545" s="550"/>
      <c r="E545" s="224"/>
      <c r="F545" s="237"/>
      <c r="G545" s="290"/>
      <c r="H545" s="230"/>
      <c r="M545" s="237"/>
    </row>
    <row r="546" spans="2:13" ht="18.75" customHeight="1" x14ac:dyDescent="0.25">
      <c r="B546" s="550" t="s">
        <v>644</v>
      </c>
      <c r="C546" s="223" t="s">
        <v>645</v>
      </c>
      <c r="D546" s="550"/>
      <c r="E546" s="224"/>
      <c r="F546" s="225"/>
      <c r="G546" s="290"/>
      <c r="H546" s="235"/>
      <c r="M546" s="225"/>
    </row>
    <row r="547" spans="2:13" ht="18.75" customHeight="1" x14ac:dyDescent="0.25">
      <c r="B547" s="236"/>
      <c r="C547" s="232"/>
      <c r="D547" s="550"/>
      <c r="E547" s="224"/>
      <c r="F547" s="237" t="s">
        <v>646</v>
      </c>
      <c r="G547" s="290"/>
      <c r="H547" s="230">
        <f>SUM(H546:H546)</f>
        <v>0</v>
      </c>
      <c r="M547" s="237" t="s">
        <v>646</v>
      </c>
    </row>
    <row r="548" spans="2:13" ht="18.75" customHeight="1" x14ac:dyDescent="0.25">
      <c r="B548" s="236"/>
      <c r="C548" s="232"/>
      <c r="D548" s="550"/>
      <c r="E548" s="224"/>
      <c r="F548" s="237"/>
      <c r="G548" s="290"/>
      <c r="H548" s="226"/>
      <c r="M548" s="237"/>
    </row>
    <row r="549" spans="2:13" ht="18.75" customHeight="1" x14ac:dyDescent="0.25">
      <c r="B549" s="248"/>
      <c r="C549" s="238"/>
      <c r="D549" s="239"/>
      <c r="E549" s="266"/>
      <c r="F549" s="241"/>
      <c r="G549" s="303"/>
      <c r="H549" s="267"/>
      <c r="M549" s="241"/>
    </row>
    <row r="550" spans="2:13" ht="18.75" customHeight="1" x14ac:dyDescent="0.25">
      <c r="B550" s="249" t="s">
        <v>647</v>
      </c>
      <c r="C550" s="104" t="s">
        <v>648</v>
      </c>
      <c r="D550" s="435"/>
      <c r="E550" s="92"/>
      <c r="F550" s="183"/>
      <c r="G550" s="167"/>
      <c r="H550" s="252">
        <f>+H547+H544+H540</f>
        <v>5450</v>
      </c>
      <c r="M550" s="183"/>
    </row>
    <row r="551" spans="2:13" ht="18.75" customHeight="1" x14ac:dyDescent="0.25">
      <c r="B551" s="249" t="s">
        <v>649</v>
      </c>
      <c r="C551" s="242" t="s">
        <v>650</v>
      </c>
      <c r="D551" s="435"/>
      <c r="E551" s="92"/>
      <c r="F551" s="184" t="str">
        <f>$J$5</f>
        <v>8,0 % x D</v>
      </c>
      <c r="G551" s="167"/>
      <c r="H551" s="253">
        <f>+H550*$K$5</f>
        <v>436</v>
      </c>
      <c r="M551" s="184" t="str">
        <f>$J$5</f>
        <v>8,0 % x D</v>
      </c>
    </row>
    <row r="552" spans="2:13" ht="18.75" customHeight="1" x14ac:dyDescent="0.25">
      <c r="B552" s="249" t="s">
        <v>651</v>
      </c>
      <c r="C552" s="111" t="s">
        <v>652</v>
      </c>
      <c r="D552" s="435"/>
      <c r="E552" s="91"/>
      <c r="F552" s="185"/>
      <c r="G552" s="168"/>
      <c r="H552" s="254">
        <f>ROUNDUP((H551+H550)/100,0)*100</f>
        <v>5900</v>
      </c>
      <c r="M552" s="185"/>
    </row>
    <row r="553" spans="2:13" ht="18.75" customHeight="1" x14ac:dyDescent="0.25">
      <c r="B553" s="259"/>
      <c r="C553" s="261"/>
      <c r="D553" s="245"/>
      <c r="E553" s="246"/>
      <c r="F553" s="247"/>
      <c r="G553" s="298"/>
      <c r="H553" s="260"/>
      <c r="M553" s="247"/>
    </row>
    <row r="554" spans="2:13" ht="18.75" customHeight="1" x14ac:dyDescent="0.25">
      <c r="B554" s="92"/>
      <c r="C554" s="104"/>
      <c r="D554" s="435"/>
      <c r="E554" s="91"/>
      <c r="F554" s="185"/>
      <c r="G554" s="168"/>
      <c r="H554" s="139"/>
      <c r="M554" s="185"/>
    </row>
    <row r="555" spans="2:13" ht="18.75" customHeight="1" x14ac:dyDescent="0.25">
      <c r="B555" s="19">
        <f>B533+1</f>
        <v>8</v>
      </c>
      <c r="C555" s="93" t="s">
        <v>693</v>
      </c>
      <c r="D555" s="19"/>
      <c r="E555" s="21"/>
      <c r="F555" s="176"/>
      <c r="G555" s="165"/>
      <c r="H555" s="119"/>
      <c r="M555" s="176"/>
    </row>
    <row r="556" spans="2:13" ht="18.75" customHeight="1" x14ac:dyDescent="0.25">
      <c r="B556" s="618" t="s">
        <v>620</v>
      </c>
      <c r="C556" s="620" t="s">
        <v>621</v>
      </c>
      <c r="D556" s="618" t="s">
        <v>622</v>
      </c>
      <c r="E556" s="618" t="s">
        <v>2</v>
      </c>
      <c r="F556" s="615" t="s">
        <v>623</v>
      </c>
      <c r="G556" s="289" t="s">
        <v>624</v>
      </c>
      <c r="H556" s="256" t="s">
        <v>625</v>
      </c>
      <c r="M556" s="615" t="s">
        <v>623</v>
      </c>
    </row>
    <row r="557" spans="2:13" ht="18.75" customHeight="1" x14ac:dyDescent="0.25">
      <c r="B557" s="619"/>
      <c r="C557" s="621"/>
      <c r="D557" s="619"/>
      <c r="E557" s="619"/>
      <c r="F557" s="616"/>
      <c r="G557" s="289" t="s">
        <v>626</v>
      </c>
      <c r="H557" s="256" t="s">
        <v>626</v>
      </c>
      <c r="M557" s="616"/>
    </row>
    <row r="558" spans="2:13" ht="18.75" customHeight="1" x14ac:dyDescent="0.25">
      <c r="B558" s="221"/>
      <c r="C558" s="222"/>
      <c r="D558" s="221"/>
      <c r="E558" s="550"/>
      <c r="F558" s="555"/>
      <c r="G558" s="551"/>
      <c r="H558" s="220"/>
      <c r="M558" s="590"/>
    </row>
    <row r="559" spans="2:13" ht="18.75" customHeight="1" x14ac:dyDescent="0.25">
      <c r="B559" s="550" t="s">
        <v>627</v>
      </c>
      <c r="C559" s="223" t="s">
        <v>628</v>
      </c>
      <c r="D559" s="550"/>
      <c r="E559" s="224"/>
      <c r="F559" s="225"/>
      <c r="G559" s="290"/>
      <c r="H559" s="226"/>
      <c r="M559" s="225"/>
    </row>
    <row r="560" spans="2:13" ht="18.75" customHeight="1" x14ac:dyDescent="0.25">
      <c r="B560" s="550"/>
      <c r="C560" s="227" t="s">
        <v>629</v>
      </c>
      <c r="D560" s="550" t="s">
        <v>630</v>
      </c>
      <c r="E560" s="224" t="s">
        <v>631</v>
      </c>
      <c r="F560" s="228">
        <f t="shared" ref="F560:F561" si="30">$K$8*M560</f>
        <v>0.33</v>
      </c>
      <c r="G560" s="229">
        <f>G538</f>
        <v>95000</v>
      </c>
      <c r="H560" s="230">
        <f>+G560*F560</f>
        <v>31350</v>
      </c>
      <c r="M560" s="228">
        <v>0.33</v>
      </c>
    </row>
    <row r="561" spans="2:13" ht="18.75" customHeight="1" x14ac:dyDescent="0.25">
      <c r="B561" s="550"/>
      <c r="C561" s="227" t="s">
        <v>600</v>
      </c>
      <c r="D561" s="550" t="s">
        <v>635</v>
      </c>
      <c r="E561" s="224" t="s">
        <v>631</v>
      </c>
      <c r="F561" s="228">
        <f t="shared" si="30"/>
        <v>0.01</v>
      </c>
      <c r="G561" s="229">
        <f>G539</f>
        <v>140000</v>
      </c>
      <c r="H561" s="230">
        <f>+G561*F561</f>
        <v>1400</v>
      </c>
      <c r="M561" s="228">
        <v>0.01</v>
      </c>
    </row>
    <row r="562" spans="2:13" ht="18.75" customHeight="1" x14ac:dyDescent="0.25">
      <c r="B562" s="550"/>
      <c r="C562" s="223"/>
      <c r="D562" s="550"/>
      <c r="E562" s="224"/>
      <c r="F562" s="233" t="s">
        <v>636</v>
      </c>
      <c r="G562" s="290"/>
      <c r="H562" s="231">
        <f>SUM(H560:H561)</f>
        <v>32750</v>
      </c>
      <c r="M562" s="233" t="s">
        <v>636</v>
      </c>
    </row>
    <row r="563" spans="2:13" ht="18.75" customHeight="1" x14ac:dyDescent="0.25">
      <c r="B563" s="550"/>
      <c r="C563" s="223"/>
      <c r="D563" s="550"/>
      <c r="E563" s="224"/>
      <c r="F563" s="233"/>
      <c r="G563" s="290"/>
      <c r="H563" s="230"/>
      <c r="M563" s="233"/>
    </row>
    <row r="564" spans="2:13" ht="18.75" customHeight="1" x14ac:dyDescent="0.25">
      <c r="B564" s="550" t="s">
        <v>637</v>
      </c>
      <c r="C564" s="223" t="s">
        <v>638</v>
      </c>
      <c r="D564" s="550"/>
      <c r="E564" s="224"/>
      <c r="F564" s="225"/>
      <c r="G564" s="290"/>
      <c r="H564" s="226"/>
      <c r="M564" s="225"/>
    </row>
    <row r="565" spans="2:13" ht="18.75" customHeight="1" x14ac:dyDescent="0.25">
      <c r="B565" s="550"/>
      <c r="C565" s="223"/>
      <c r="D565" s="550"/>
      <c r="E565" s="224"/>
      <c r="F565" s="237" t="s">
        <v>643</v>
      </c>
      <c r="G565" s="290"/>
      <c r="H565" s="230">
        <f>H564</f>
        <v>0</v>
      </c>
      <c r="M565" s="237" t="s">
        <v>643</v>
      </c>
    </row>
    <row r="566" spans="2:13" ht="18.75" customHeight="1" x14ac:dyDescent="0.25">
      <c r="B566" s="550"/>
      <c r="C566" s="223"/>
      <c r="D566" s="550"/>
      <c r="E566" s="224"/>
      <c r="F566" s="225"/>
      <c r="G566" s="290"/>
      <c r="H566" s="226"/>
      <c r="M566" s="225"/>
    </row>
    <row r="567" spans="2:13" ht="18.75" customHeight="1" x14ac:dyDescent="0.25">
      <c r="B567" s="550" t="s">
        <v>644</v>
      </c>
      <c r="C567" s="223" t="s">
        <v>645</v>
      </c>
      <c r="D567" s="550"/>
      <c r="E567" s="224"/>
      <c r="F567" s="225"/>
      <c r="G567" s="290"/>
      <c r="H567" s="235"/>
      <c r="M567" s="225"/>
    </row>
    <row r="568" spans="2:13" ht="18.75" customHeight="1" x14ac:dyDescent="0.25">
      <c r="B568" s="236"/>
      <c r="C568" s="232"/>
      <c r="D568" s="550"/>
      <c r="E568" s="224"/>
      <c r="F568" s="237" t="s">
        <v>646</v>
      </c>
      <c r="G568" s="290"/>
      <c r="H568" s="230">
        <f>SUM(H567:H567)</f>
        <v>0</v>
      </c>
      <c r="M568" s="237" t="s">
        <v>646</v>
      </c>
    </row>
    <row r="569" spans="2:13" ht="18.75" customHeight="1" x14ac:dyDescent="0.25">
      <c r="B569" s="236"/>
      <c r="C569" s="232"/>
      <c r="D569" s="550"/>
      <c r="E569" s="224"/>
      <c r="F569" s="237"/>
      <c r="G569" s="290"/>
      <c r="H569" s="230"/>
      <c r="M569" s="237"/>
    </row>
    <row r="570" spans="2:13" ht="18.75" customHeight="1" x14ac:dyDescent="0.25">
      <c r="B570" s="236"/>
      <c r="C570" s="232"/>
      <c r="D570" s="550"/>
      <c r="E570" s="224"/>
      <c r="F570" s="237"/>
      <c r="G570" s="290"/>
      <c r="H570" s="226"/>
      <c r="M570" s="237"/>
    </row>
    <row r="571" spans="2:13" ht="18.75" customHeight="1" x14ac:dyDescent="0.25">
      <c r="B571" s="248"/>
      <c r="C571" s="238"/>
      <c r="D571" s="239"/>
      <c r="E571" s="266"/>
      <c r="F571" s="241"/>
      <c r="G571" s="303"/>
      <c r="H571" s="267"/>
      <c r="M571" s="241"/>
    </row>
    <row r="572" spans="2:13" ht="18.75" customHeight="1" x14ac:dyDescent="0.25">
      <c r="B572" s="249" t="s">
        <v>647</v>
      </c>
      <c r="C572" s="104" t="s">
        <v>648</v>
      </c>
      <c r="D572" s="435"/>
      <c r="E572" s="92"/>
      <c r="F572" s="183"/>
      <c r="G572" s="167"/>
      <c r="H572" s="254">
        <f>+H568+H565+H562</f>
        <v>32750</v>
      </c>
      <c r="M572" s="183"/>
    </row>
    <row r="573" spans="2:13" ht="18.75" customHeight="1" x14ac:dyDescent="0.25">
      <c r="B573" s="249" t="s">
        <v>649</v>
      </c>
      <c r="C573" s="242" t="s">
        <v>650</v>
      </c>
      <c r="D573" s="435"/>
      <c r="E573" s="92"/>
      <c r="F573" s="184" t="str">
        <f>$J$5</f>
        <v>8,0 % x D</v>
      </c>
      <c r="G573" s="167"/>
      <c r="H573" s="253">
        <f>+H572*$K$5</f>
        <v>2620</v>
      </c>
      <c r="M573" s="184" t="str">
        <f>$J$5</f>
        <v>8,0 % x D</v>
      </c>
    </row>
    <row r="574" spans="2:13" ht="18.75" customHeight="1" x14ac:dyDescent="0.25">
      <c r="B574" s="249" t="s">
        <v>651</v>
      </c>
      <c r="C574" s="111" t="s">
        <v>652</v>
      </c>
      <c r="D574" s="435"/>
      <c r="E574" s="91"/>
      <c r="F574" s="185"/>
      <c r="G574" s="168"/>
      <c r="H574" s="254">
        <f>ROUNDUP((H573+H572)/100,0)*100</f>
        <v>35400</v>
      </c>
      <c r="M574" s="185"/>
    </row>
    <row r="575" spans="2:13" ht="18.75" customHeight="1" x14ac:dyDescent="0.25">
      <c r="B575" s="278"/>
      <c r="C575" s="277"/>
      <c r="D575" s="277"/>
      <c r="E575" s="277"/>
      <c r="F575" s="277"/>
      <c r="G575" s="305"/>
      <c r="H575" s="324"/>
      <c r="M575" s="277"/>
    </row>
    <row r="576" spans="2:13" ht="18.75" customHeight="1" x14ac:dyDescent="0.25">
      <c r="G576" s="66"/>
      <c r="H576" s="138"/>
    </row>
    <row r="577" spans="2:13" ht="18.75" customHeight="1" x14ac:dyDescent="0.25">
      <c r="B577" s="19">
        <f>B555+1</f>
        <v>9</v>
      </c>
      <c r="C577" s="93" t="s">
        <v>694</v>
      </c>
      <c r="D577" s="19"/>
      <c r="E577" s="21"/>
      <c r="F577" s="176"/>
      <c r="G577" s="165"/>
      <c r="H577" s="119"/>
      <c r="M577" s="176"/>
    </row>
    <row r="578" spans="2:13" ht="18.75" customHeight="1" x14ac:dyDescent="0.25">
      <c r="B578" s="618" t="s">
        <v>620</v>
      </c>
      <c r="C578" s="620" t="s">
        <v>621</v>
      </c>
      <c r="D578" s="618" t="s">
        <v>622</v>
      </c>
      <c r="E578" s="618" t="s">
        <v>2</v>
      </c>
      <c r="F578" s="615" t="s">
        <v>623</v>
      </c>
      <c r="G578" s="289" t="s">
        <v>624</v>
      </c>
      <c r="H578" s="256" t="s">
        <v>625</v>
      </c>
      <c r="M578" s="615" t="s">
        <v>623</v>
      </c>
    </row>
    <row r="579" spans="2:13" ht="18.75" customHeight="1" x14ac:dyDescent="0.25">
      <c r="B579" s="619"/>
      <c r="C579" s="621"/>
      <c r="D579" s="619"/>
      <c r="E579" s="619"/>
      <c r="F579" s="616"/>
      <c r="G579" s="289" t="s">
        <v>626</v>
      </c>
      <c r="H579" s="256" t="s">
        <v>626</v>
      </c>
      <c r="M579" s="616"/>
    </row>
    <row r="580" spans="2:13" ht="18.75" customHeight="1" x14ac:dyDescent="0.25">
      <c r="B580" s="221"/>
      <c r="C580" s="222"/>
      <c r="D580" s="221"/>
      <c r="E580" s="550"/>
      <c r="F580" s="555"/>
      <c r="G580" s="551"/>
      <c r="H580" s="220"/>
      <c r="M580" s="590"/>
    </row>
    <row r="581" spans="2:13" ht="18.75" customHeight="1" x14ac:dyDescent="0.25">
      <c r="B581" s="550" t="s">
        <v>627</v>
      </c>
      <c r="C581" s="223" t="s">
        <v>628</v>
      </c>
      <c r="D581" s="550"/>
      <c r="E581" s="224"/>
      <c r="F581" s="225"/>
      <c r="G581" s="290"/>
      <c r="H581" s="226"/>
      <c r="M581" s="225"/>
    </row>
    <row r="582" spans="2:13" ht="18.75" customHeight="1" x14ac:dyDescent="0.25">
      <c r="B582" s="550"/>
      <c r="C582" s="227" t="s">
        <v>629</v>
      </c>
      <c r="D582" s="550" t="s">
        <v>630</v>
      </c>
      <c r="E582" s="224" t="s">
        <v>631</v>
      </c>
      <c r="F582" s="228">
        <f t="shared" ref="F582:F583" si="31">$K$8*M582</f>
        <v>0.52</v>
      </c>
      <c r="G582" s="229">
        <f>G560</f>
        <v>95000</v>
      </c>
      <c r="H582" s="230">
        <f>+G582*F582</f>
        <v>49400</v>
      </c>
      <c r="M582" s="228">
        <v>0.52</v>
      </c>
    </row>
    <row r="583" spans="2:13" ht="18.75" customHeight="1" x14ac:dyDescent="0.25">
      <c r="B583" s="550"/>
      <c r="C583" s="227" t="s">
        <v>600</v>
      </c>
      <c r="D583" s="550" t="s">
        <v>635</v>
      </c>
      <c r="E583" s="224" t="s">
        <v>631</v>
      </c>
      <c r="F583" s="228">
        <f t="shared" si="31"/>
        <v>4.9200000000000001E-2</v>
      </c>
      <c r="G583" s="229">
        <f>G561</f>
        <v>140000</v>
      </c>
      <c r="H583" s="230">
        <f>+G583*F583</f>
        <v>6888</v>
      </c>
      <c r="M583" s="228">
        <v>4.9200000000000001E-2</v>
      </c>
    </row>
    <row r="584" spans="2:13" ht="18.75" customHeight="1" x14ac:dyDescent="0.25">
      <c r="B584" s="550"/>
      <c r="C584" s="223"/>
      <c r="D584" s="550"/>
      <c r="E584" s="224"/>
      <c r="F584" s="233" t="s">
        <v>636</v>
      </c>
      <c r="G584" s="290"/>
      <c r="H584" s="231">
        <f>SUM(H582:H583)</f>
        <v>56288</v>
      </c>
      <c r="M584" s="233" t="s">
        <v>636</v>
      </c>
    </row>
    <row r="585" spans="2:13" ht="18.75" customHeight="1" x14ac:dyDescent="0.25">
      <c r="B585" s="550"/>
      <c r="C585" s="223"/>
      <c r="D585" s="550"/>
      <c r="E585" s="224"/>
      <c r="F585" s="233"/>
      <c r="G585" s="290"/>
      <c r="H585" s="230"/>
      <c r="M585" s="233"/>
    </row>
    <row r="586" spans="2:13" ht="18.75" customHeight="1" x14ac:dyDescent="0.25">
      <c r="B586" s="550" t="s">
        <v>637</v>
      </c>
      <c r="C586" s="223" t="s">
        <v>638</v>
      </c>
      <c r="D586" s="550"/>
      <c r="E586" s="224"/>
      <c r="F586" s="225"/>
      <c r="G586" s="290"/>
      <c r="H586" s="226"/>
      <c r="M586" s="225"/>
    </row>
    <row r="587" spans="2:13" ht="18.75" customHeight="1" x14ac:dyDescent="0.25">
      <c r="B587" s="550"/>
      <c r="C587" s="223"/>
      <c r="D587" s="550"/>
      <c r="E587" s="224"/>
      <c r="F587" s="237" t="s">
        <v>643</v>
      </c>
      <c r="G587" s="290"/>
      <c r="H587" s="230">
        <f>H586</f>
        <v>0</v>
      </c>
      <c r="M587" s="237" t="s">
        <v>643</v>
      </c>
    </row>
    <row r="588" spans="2:13" ht="18.75" customHeight="1" x14ac:dyDescent="0.25">
      <c r="B588" s="550"/>
      <c r="C588" s="223"/>
      <c r="D588" s="550"/>
      <c r="E588" s="224"/>
      <c r="F588" s="225"/>
      <c r="G588" s="290"/>
      <c r="H588" s="226"/>
      <c r="M588" s="225"/>
    </row>
    <row r="589" spans="2:13" ht="18.75" customHeight="1" x14ac:dyDescent="0.25">
      <c r="B589" s="550" t="s">
        <v>644</v>
      </c>
      <c r="C589" s="223" t="s">
        <v>645</v>
      </c>
      <c r="D589" s="550"/>
      <c r="E589" s="224"/>
      <c r="F589" s="225"/>
      <c r="G589" s="290"/>
      <c r="H589" s="235"/>
      <c r="M589" s="225"/>
    </row>
    <row r="590" spans="2:13" ht="18.75" customHeight="1" x14ac:dyDescent="0.25">
      <c r="B590" s="236"/>
      <c r="C590" s="232"/>
      <c r="D590" s="550"/>
      <c r="E590" s="224"/>
      <c r="F590" s="237" t="s">
        <v>646</v>
      </c>
      <c r="G590" s="290"/>
      <c r="H590" s="230">
        <f>SUM(H589:H589)</f>
        <v>0</v>
      </c>
      <c r="M590" s="237" t="s">
        <v>646</v>
      </c>
    </row>
    <row r="591" spans="2:13" ht="18.75" customHeight="1" x14ac:dyDescent="0.25">
      <c r="B591" s="236"/>
      <c r="C591" s="232"/>
      <c r="D591" s="550"/>
      <c r="E591" s="224"/>
      <c r="F591" s="237"/>
      <c r="G591" s="290"/>
      <c r="H591" s="226"/>
      <c r="M591" s="237"/>
    </row>
    <row r="592" spans="2:13" ht="18.75" customHeight="1" x14ac:dyDescent="0.25">
      <c r="B592" s="248"/>
      <c r="C592" s="238"/>
      <c r="D592" s="239"/>
      <c r="E592" s="266"/>
      <c r="F592" s="241"/>
      <c r="G592" s="303"/>
      <c r="H592" s="267"/>
      <c r="M592" s="241"/>
    </row>
    <row r="593" spans="2:13" ht="18.75" customHeight="1" x14ac:dyDescent="0.25">
      <c r="B593" s="249" t="s">
        <v>647</v>
      </c>
      <c r="C593" s="104" t="s">
        <v>648</v>
      </c>
      <c r="D593" s="435"/>
      <c r="E593" s="92"/>
      <c r="F593" s="183"/>
      <c r="G593" s="167"/>
      <c r="H593" s="252">
        <f>+H590+H587+H584</f>
        <v>56288</v>
      </c>
      <c r="M593" s="183"/>
    </row>
    <row r="594" spans="2:13" ht="18.75" customHeight="1" x14ac:dyDescent="0.25">
      <c r="B594" s="249" t="s">
        <v>649</v>
      </c>
      <c r="C594" s="242" t="s">
        <v>650</v>
      </c>
      <c r="D594" s="435"/>
      <c r="E594" s="92"/>
      <c r="F594" s="184" t="str">
        <f>$J$5</f>
        <v>8,0 % x D</v>
      </c>
      <c r="G594" s="167"/>
      <c r="H594" s="253">
        <f>+H593*$K$5</f>
        <v>4503.04</v>
      </c>
      <c r="M594" s="184" t="str">
        <f>$J$5</f>
        <v>8,0 % x D</v>
      </c>
    </row>
    <row r="595" spans="2:13" ht="18.75" customHeight="1" x14ac:dyDescent="0.25">
      <c r="B595" s="249" t="s">
        <v>651</v>
      </c>
      <c r="C595" s="111" t="s">
        <v>652</v>
      </c>
      <c r="D595" s="435"/>
      <c r="E595" s="91"/>
      <c r="F595" s="185"/>
      <c r="G595" s="168"/>
      <c r="H595" s="254">
        <f>ROUNDUP((H594+H593)/100,0)*100</f>
        <v>60800</v>
      </c>
      <c r="M595" s="185"/>
    </row>
    <row r="596" spans="2:13" ht="18.75" customHeight="1" x14ac:dyDescent="0.25">
      <c r="B596" s="259"/>
      <c r="C596" s="261"/>
      <c r="D596" s="245"/>
      <c r="E596" s="246"/>
      <c r="F596" s="247"/>
      <c r="G596" s="298"/>
      <c r="H596" s="260"/>
      <c r="M596" s="247"/>
    </row>
    <row r="597" spans="2:13" ht="18.75" customHeight="1" x14ac:dyDescent="0.25">
      <c r="B597" s="92"/>
      <c r="C597" s="104"/>
      <c r="D597" s="435"/>
      <c r="E597" s="91"/>
      <c r="F597" s="185"/>
      <c r="G597" s="168"/>
      <c r="H597" s="139"/>
      <c r="M597" s="185"/>
    </row>
    <row r="598" spans="2:13" ht="18.75" customHeight="1" x14ac:dyDescent="0.25">
      <c r="B598" s="19">
        <v>10</v>
      </c>
      <c r="C598" s="93" t="s">
        <v>695</v>
      </c>
      <c r="D598" s="19"/>
      <c r="E598" s="21"/>
      <c r="F598" s="176"/>
      <c r="G598" s="165"/>
      <c r="H598" s="119"/>
      <c r="M598" s="176"/>
    </row>
    <row r="599" spans="2:13" ht="18.75" customHeight="1" x14ac:dyDescent="0.25">
      <c r="B599" s="20"/>
      <c r="C599" s="93" t="s">
        <v>696</v>
      </c>
      <c r="D599" s="19"/>
      <c r="E599" s="21"/>
      <c r="F599" s="176"/>
      <c r="G599" s="165"/>
      <c r="H599" s="119"/>
      <c r="M599" s="176"/>
    </row>
    <row r="600" spans="2:13" ht="18.75" customHeight="1" x14ac:dyDescent="0.25">
      <c r="B600" s="618" t="s">
        <v>620</v>
      </c>
      <c r="C600" s="620" t="s">
        <v>621</v>
      </c>
      <c r="D600" s="618" t="s">
        <v>622</v>
      </c>
      <c r="E600" s="618" t="s">
        <v>2</v>
      </c>
      <c r="F600" s="615" t="s">
        <v>623</v>
      </c>
      <c r="G600" s="289" t="s">
        <v>624</v>
      </c>
      <c r="H600" s="256" t="s">
        <v>625</v>
      </c>
      <c r="M600" s="615" t="s">
        <v>623</v>
      </c>
    </row>
    <row r="601" spans="2:13" ht="18.75" customHeight="1" x14ac:dyDescent="0.25">
      <c r="B601" s="619"/>
      <c r="C601" s="621"/>
      <c r="D601" s="619"/>
      <c r="E601" s="619"/>
      <c r="F601" s="616"/>
      <c r="G601" s="289" t="s">
        <v>626</v>
      </c>
      <c r="H601" s="256" t="s">
        <v>626</v>
      </c>
      <c r="M601" s="616"/>
    </row>
    <row r="602" spans="2:13" ht="18.75" customHeight="1" x14ac:dyDescent="0.25">
      <c r="B602" s="221"/>
      <c r="C602" s="222"/>
      <c r="D602" s="221"/>
      <c r="E602" s="550"/>
      <c r="F602" s="555"/>
      <c r="G602" s="551"/>
      <c r="H602" s="220"/>
      <c r="M602" s="590"/>
    </row>
    <row r="603" spans="2:13" ht="18.75" customHeight="1" x14ac:dyDescent="0.25">
      <c r="B603" s="550" t="s">
        <v>627</v>
      </c>
      <c r="C603" s="223" t="s">
        <v>628</v>
      </c>
      <c r="D603" s="550"/>
      <c r="E603" s="224"/>
      <c r="F603" s="225"/>
      <c r="G603" s="290"/>
      <c r="H603" s="226"/>
      <c r="M603" s="225"/>
    </row>
    <row r="604" spans="2:13" ht="18.75" customHeight="1" x14ac:dyDescent="0.25">
      <c r="B604" s="550"/>
      <c r="C604" s="227" t="s">
        <v>629</v>
      </c>
      <c r="D604" s="550" t="s">
        <v>630</v>
      </c>
      <c r="E604" s="224" t="s">
        <v>631</v>
      </c>
      <c r="F604" s="228">
        <f t="shared" ref="F604:F605" si="32">$K$8*M604</f>
        <v>0.5</v>
      </c>
      <c r="G604" s="229">
        <f>G582</f>
        <v>95000</v>
      </c>
      <c r="H604" s="230">
        <f>+G604*F604</f>
        <v>47500</v>
      </c>
      <c r="M604" s="228">
        <v>0.5</v>
      </c>
    </row>
    <row r="605" spans="2:13" ht="18.75" customHeight="1" x14ac:dyDescent="0.25">
      <c r="B605" s="550"/>
      <c r="C605" s="227" t="s">
        <v>600</v>
      </c>
      <c r="D605" s="550" t="s">
        <v>635</v>
      </c>
      <c r="E605" s="224" t="s">
        <v>631</v>
      </c>
      <c r="F605" s="228">
        <f t="shared" si="32"/>
        <v>0.05</v>
      </c>
      <c r="G605" s="229">
        <f>G583</f>
        <v>140000</v>
      </c>
      <c r="H605" s="230">
        <f>+G605*F605</f>
        <v>7000</v>
      </c>
      <c r="M605" s="228">
        <v>0.05</v>
      </c>
    </row>
    <row r="606" spans="2:13" ht="18.75" customHeight="1" x14ac:dyDescent="0.25">
      <c r="B606" s="550"/>
      <c r="C606" s="223"/>
      <c r="D606" s="550"/>
      <c r="E606" s="224"/>
      <c r="F606" s="233" t="s">
        <v>636</v>
      </c>
      <c r="G606" s="290"/>
      <c r="H606" s="231">
        <f>SUM(H604:H605)</f>
        <v>54500</v>
      </c>
      <c r="M606" s="233" t="s">
        <v>636</v>
      </c>
    </row>
    <row r="607" spans="2:13" ht="18.75" customHeight="1" x14ac:dyDescent="0.25">
      <c r="B607" s="550"/>
      <c r="C607" s="223"/>
      <c r="D607" s="550"/>
      <c r="E607" s="224"/>
      <c r="F607" s="233"/>
      <c r="G607" s="290"/>
      <c r="H607" s="231"/>
      <c r="M607" s="233"/>
    </row>
    <row r="608" spans="2:13" ht="18.75" customHeight="1" x14ac:dyDescent="0.25">
      <c r="B608" s="550" t="s">
        <v>637</v>
      </c>
      <c r="C608" s="223" t="s">
        <v>638</v>
      </c>
      <c r="D608" s="550"/>
      <c r="E608" s="224"/>
      <c r="F608" s="225"/>
      <c r="G608" s="290"/>
      <c r="H608" s="226"/>
      <c r="M608" s="225"/>
    </row>
    <row r="609" spans="2:13" ht="18.75" customHeight="1" x14ac:dyDescent="0.25">
      <c r="B609" s="550"/>
      <c r="C609" s="223"/>
      <c r="D609" s="550"/>
      <c r="E609" s="224"/>
      <c r="F609" s="237" t="s">
        <v>643</v>
      </c>
      <c r="G609" s="290"/>
      <c r="H609" s="230">
        <f>H608</f>
        <v>0</v>
      </c>
      <c r="M609" s="237" t="s">
        <v>643</v>
      </c>
    </row>
    <row r="610" spans="2:13" ht="18.75" customHeight="1" x14ac:dyDescent="0.25">
      <c r="B610" s="550"/>
      <c r="C610" s="223"/>
      <c r="D610" s="550"/>
      <c r="E610" s="224"/>
      <c r="F610" s="225"/>
      <c r="G610" s="290"/>
      <c r="H610" s="226"/>
      <c r="M610" s="225"/>
    </row>
    <row r="611" spans="2:13" ht="18.75" customHeight="1" x14ac:dyDescent="0.25">
      <c r="B611" s="550" t="s">
        <v>644</v>
      </c>
      <c r="C611" s="223" t="s">
        <v>645</v>
      </c>
      <c r="D611" s="550"/>
      <c r="E611" s="224"/>
      <c r="F611" s="225"/>
      <c r="G611" s="290"/>
      <c r="H611" s="235"/>
      <c r="M611" s="225"/>
    </row>
    <row r="612" spans="2:13" ht="18.75" customHeight="1" x14ac:dyDescent="0.25">
      <c r="B612" s="236"/>
      <c r="C612" s="232"/>
      <c r="D612" s="550"/>
      <c r="E612" s="224"/>
      <c r="F612" s="237" t="s">
        <v>646</v>
      </c>
      <c r="G612" s="290"/>
      <c r="H612" s="230">
        <f>SUM(H611:H611)</f>
        <v>0</v>
      </c>
      <c r="M612" s="237" t="s">
        <v>646</v>
      </c>
    </row>
    <row r="613" spans="2:13" ht="18.75" customHeight="1" x14ac:dyDescent="0.25">
      <c r="B613" s="236"/>
      <c r="C613" s="232"/>
      <c r="D613" s="550"/>
      <c r="E613" s="224"/>
      <c r="F613" s="237"/>
      <c r="G613" s="290"/>
      <c r="H613" s="226"/>
      <c r="M613" s="237"/>
    </row>
    <row r="614" spans="2:13" ht="18.75" customHeight="1" x14ac:dyDescent="0.25">
      <c r="B614" s="248"/>
      <c r="C614" s="238"/>
      <c r="D614" s="239"/>
      <c r="E614" s="266"/>
      <c r="F614" s="241"/>
      <c r="G614" s="303"/>
      <c r="H614" s="267"/>
      <c r="M614" s="241"/>
    </row>
    <row r="615" spans="2:13" ht="18.75" customHeight="1" x14ac:dyDescent="0.25">
      <c r="B615" s="249" t="s">
        <v>647</v>
      </c>
      <c r="C615" s="104" t="s">
        <v>648</v>
      </c>
      <c r="D615" s="435"/>
      <c r="E615" s="92"/>
      <c r="F615" s="183"/>
      <c r="G615" s="167"/>
      <c r="H615" s="252">
        <f>+H612+H609+H606</f>
        <v>54500</v>
      </c>
      <c r="M615" s="183"/>
    </row>
    <row r="616" spans="2:13" ht="18.75" customHeight="1" x14ac:dyDescent="0.25">
      <c r="B616" s="249" t="s">
        <v>649</v>
      </c>
      <c r="C616" s="242" t="s">
        <v>650</v>
      </c>
      <c r="D616" s="435"/>
      <c r="E616" s="92"/>
      <c r="F616" s="184" t="str">
        <f>$J$5</f>
        <v>8,0 % x D</v>
      </c>
      <c r="G616" s="167"/>
      <c r="H616" s="253">
        <f>+H615*$K$5</f>
        <v>4360</v>
      </c>
      <c r="M616" s="184" t="str">
        <f>$J$5</f>
        <v>8,0 % x D</v>
      </c>
    </row>
    <row r="617" spans="2:13" ht="18.75" customHeight="1" x14ac:dyDescent="0.25">
      <c r="B617" s="249" t="s">
        <v>651</v>
      </c>
      <c r="C617" s="111" t="s">
        <v>652</v>
      </c>
      <c r="D617" s="435"/>
      <c r="E617" s="91"/>
      <c r="F617" s="185"/>
      <c r="G617" s="168"/>
      <c r="H617" s="254">
        <f>ROUNDUP((H616+H615)/100,0)*100</f>
        <v>58900</v>
      </c>
      <c r="M617" s="185"/>
    </row>
    <row r="618" spans="2:13" ht="18.75" customHeight="1" x14ac:dyDescent="0.25">
      <c r="B618" s="259"/>
      <c r="C618" s="261"/>
      <c r="D618" s="245"/>
      <c r="E618" s="246"/>
      <c r="F618" s="247"/>
      <c r="G618" s="298"/>
      <c r="H618" s="260"/>
      <c r="M618" s="247"/>
    </row>
    <row r="619" spans="2:13" ht="18.75" customHeight="1" x14ac:dyDescent="0.25">
      <c r="B619" s="22"/>
      <c r="C619" s="104"/>
      <c r="E619" s="21"/>
      <c r="F619" s="176"/>
      <c r="G619" s="165"/>
      <c r="H619" s="119"/>
      <c r="M619" s="176"/>
    </row>
    <row r="620" spans="2:13" ht="18.75" customHeight="1" x14ac:dyDescent="0.25">
      <c r="B620" s="19">
        <f>B598+1</f>
        <v>11</v>
      </c>
      <c r="C620" s="93" t="s">
        <v>697</v>
      </c>
      <c r="D620" s="19"/>
      <c r="E620" s="552"/>
      <c r="F620" s="196"/>
      <c r="G620" s="171"/>
      <c r="H620" s="142"/>
      <c r="M620" s="196"/>
    </row>
    <row r="621" spans="2:13" ht="18.75" customHeight="1" x14ac:dyDescent="0.25">
      <c r="B621" s="618" t="s">
        <v>620</v>
      </c>
      <c r="C621" s="620" t="s">
        <v>621</v>
      </c>
      <c r="D621" s="618" t="s">
        <v>622</v>
      </c>
      <c r="E621" s="618" t="s">
        <v>2</v>
      </c>
      <c r="F621" s="615" t="s">
        <v>623</v>
      </c>
      <c r="G621" s="289" t="s">
        <v>624</v>
      </c>
      <c r="H621" s="256" t="s">
        <v>625</v>
      </c>
      <c r="M621" s="615" t="s">
        <v>623</v>
      </c>
    </row>
    <row r="622" spans="2:13" ht="18.75" customHeight="1" x14ac:dyDescent="0.25">
      <c r="B622" s="619"/>
      <c r="C622" s="621"/>
      <c r="D622" s="619"/>
      <c r="E622" s="619"/>
      <c r="F622" s="616"/>
      <c r="G622" s="289" t="s">
        <v>626</v>
      </c>
      <c r="H622" s="256" t="s">
        <v>626</v>
      </c>
      <c r="M622" s="616"/>
    </row>
    <row r="623" spans="2:13" ht="18.75" customHeight="1" x14ac:dyDescent="0.25">
      <c r="B623" s="221"/>
      <c r="C623" s="222"/>
      <c r="D623" s="221"/>
      <c r="E623" s="550"/>
      <c r="F623" s="555"/>
      <c r="G623" s="551"/>
      <c r="H623" s="220"/>
      <c r="M623" s="590"/>
    </row>
    <row r="624" spans="2:13" ht="18.75" customHeight="1" x14ac:dyDescent="0.25">
      <c r="B624" s="550" t="s">
        <v>627</v>
      </c>
      <c r="C624" s="223" t="s">
        <v>628</v>
      </c>
      <c r="D624" s="550"/>
      <c r="E624" s="224"/>
      <c r="F624" s="225"/>
      <c r="G624" s="290"/>
      <c r="H624" s="226"/>
      <c r="M624" s="225"/>
    </row>
    <row r="625" spans="2:13" ht="18.75" customHeight="1" x14ac:dyDescent="0.25">
      <c r="B625" s="550"/>
      <c r="C625" s="227" t="s">
        <v>629</v>
      </c>
      <c r="D625" s="550" t="s">
        <v>630</v>
      </c>
      <c r="E625" s="224" t="s">
        <v>631</v>
      </c>
      <c r="F625" s="228">
        <f t="shared" ref="F625:F626" si="33">$K$8*M625</f>
        <v>0.5</v>
      </c>
      <c r="G625" s="229">
        <f>G604</f>
        <v>95000</v>
      </c>
      <c r="H625" s="230">
        <f>+G625*F625</f>
        <v>47500</v>
      </c>
      <c r="M625" s="228">
        <v>0.5</v>
      </c>
    </row>
    <row r="626" spans="2:13" ht="18.75" customHeight="1" x14ac:dyDescent="0.25">
      <c r="B626" s="550"/>
      <c r="C626" s="227" t="s">
        <v>600</v>
      </c>
      <c r="D626" s="550" t="s">
        <v>635</v>
      </c>
      <c r="E626" s="224" t="s">
        <v>631</v>
      </c>
      <c r="F626" s="228">
        <f t="shared" si="33"/>
        <v>7.4999999999999997E-2</v>
      </c>
      <c r="G626" s="229">
        <f>G605</f>
        <v>140000</v>
      </c>
      <c r="H626" s="230">
        <f>+G626*F626</f>
        <v>10500</v>
      </c>
      <c r="M626" s="228">
        <v>7.4999999999999997E-2</v>
      </c>
    </row>
    <row r="627" spans="2:13" ht="18.75" customHeight="1" x14ac:dyDescent="0.25">
      <c r="B627" s="550"/>
      <c r="C627" s="223"/>
      <c r="D627" s="550"/>
      <c r="E627" s="224"/>
      <c r="F627" s="233" t="s">
        <v>636</v>
      </c>
      <c r="G627" s="290"/>
      <c r="H627" s="231">
        <f>SUM(H625:H626)</f>
        <v>58000</v>
      </c>
      <c r="M627" s="233" t="s">
        <v>636</v>
      </c>
    </row>
    <row r="628" spans="2:13" ht="18.75" customHeight="1" x14ac:dyDescent="0.25">
      <c r="B628" s="550"/>
      <c r="C628" s="223"/>
      <c r="D628" s="550"/>
      <c r="E628" s="224"/>
      <c r="F628" s="233"/>
      <c r="G628" s="290"/>
      <c r="H628" s="231"/>
      <c r="M628" s="233"/>
    </row>
    <row r="629" spans="2:13" ht="18.75" customHeight="1" x14ac:dyDescent="0.25">
      <c r="B629" s="550" t="s">
        <v>637</v>
      </c>
      <c r="C629" s="223" t="s">
        <v>638</v>
      </c>
      <c r="D629" s="550"/>
      <c r="E629" s="224"/>
      <c r="F629" s="225"/>
      <c r="G629" s="290"/>
      <c r="H629" s="226"/>
      <c r="M629" s="225"/>
    </row>
    <row r="630" spans="2:13" ht="18.75" customHeight="1" x14ac:dyDescent="0.25">
      <c r="B630" s="550"/>
      <c r="C630" s="223"/>
      <c r="D630" s="550"/>
      <c r="E630" s="224"/>
      <c r="F630" s="237" t="s">
        <v>643</v>
      </c>
      <c r="G630" s="290"/>
      <c r="H630" s="230"/>
      <c r="M630" s="237" t="s">
        <v>643</v>
      </c>
    </row>
    <row r="631" spans="2:13" ht="18.75" customHeight="1" x14ac:dyDescent="0.25">
      <c r="B631" s="550"/>
      <c r="C631" s="223"/>
      <c r="D631" s="550"/>
      <c r="E631" s="224"/>
      <c r="F631" s="225"/>
      <c r="G631" s="290"/>
      <c r="H631" s="226"/>
      <c r="M631" s="225"/>
    </row>
    <row r="632" spans="2:13" ht="18.75" customHeight="1" x14ac:dyDescent="0.25">
      <c r="B632" s="550" t="s">
        <v>644</v>
      </c>
      <c r="C632" s="223" t="s">
        <v>645</v>
      </c>
      <c r="D632" s="550"/>
      <c r="E632" s="224"/>
      <c r="F632" s="225"/>
      <c r="G632" s="290"/>
      <c r="H632" s="235"/>
      <c r="M632" s="225"/>
    </row>
    <row r="633" spans="2:13" ht="18.75" customHeight="1" x14ac:dyDescent="0.25">
      <c r="B633" s="236"/>
      <c r="C633" s="232"/>
      <c r="D633" s="550"/>
      <c r="E633" s="224"/>
      <c r="F633" s="237" t="s">
        <v>646</v>
      </c>
      <c r="G633" s="290"/>
      <c r="H633" s="230"/>
      <c r="M633" s="237" t="s">
        <v>646</v>
      </c>
    </row>
    <row r="634" spans="2:13" ht="18.75" customHeight="1" x14ac:dyDescent="0.25">
      <c r="B634" s="236"/>
      <c r="C634" s="232"/>
      <c r="D634" s="550"/>
      <c r="E634" s="224"/>
      <c r="F634" s="237"/>
      <c r="G634" s="290"/>
      <c r="H634" s="226"/>
      <c r="M634" s="237"/>
    </row>
    <row r="635" spans="2:13" ht="18.75" customHeight="1" x14ac:dyDescent="0.25">
      <c r="B635" s="248"/>
      <c r="C635" s="238"/>
      <c r="D635" s="239"/>
      <c r="E635" s="266"/>
      <c r="F635" s="241"/>
      <c r="G635" s="303"/>
      <c r="H635" s="267"/>
      <c r="M635" s="241"/>
    </row>
    <row r="636" spans="2:13" ht="18.75" customHeight="1" x14ac:dyDescent="0.25">
      <c r="B636" s="249" t="s">
        <v>647</v>
      </c>
      <c r="C636" s="104" t="s">
        <v>648</v>
      </c>
      <c r="D636" s="435"/>
      <c r="E636" s="92"/>
      <c r="F636" s="183"/>
      <c r="G636" s="167"/>
      <c r="H636" s="252">
        <f>+H633+H630+H627</f>
        <v>58000</v>
      </c>
      <c r="M636" s="183"/>
    </row>
    <row r="637" spans="2:13" ht="18.75" customHeight="1" x14ac:dyDescent="0.25">
      <c r="B637" s="249" t="s">
        <v>649</v>
      </c>
      <c r="C637" s="242" t="s">
        <v>650</v>
      </c>
      <c r="D637" s="435"/>
      <c r="E637" s="92"/>
      <c r="F637" s="184" t="str">
        <f>$J$5</f>
        <v>8,0 % x D</v>
      </c>
      <c r="G637" s="167"/>
      <c r="H637" s="253">
        <f>+H636*$K$5</f>
        <v>4640</v>
      </c>
      <c r="M637" s="184" t="str">
        <f>$J$5</f>
        <v>8,0 % x D</v>
      </c>
    </row>
    <row r="638" spans="2:13" ht="18.75" customHeight="1" x14ac:dyDescent="0.25">
      <c r="B638" s="249" t="s">
        <v>651</v>
      </c>
      <c r="C638" s="111" t="s">
        <v>652</v>
      </c>
      <c r="D638" s="435"/>
      <c r="E638" s="91"/>
      <c r="F638" s="185"/>
      <c r="G638" s="168"/>
      <c r="H638" s="254">
        <f>ROUNDUP((H637+H636)/100,0)*100</f>
        <v>62700</v>
      </c>
      <c r="M638" s="185"/>
    </row>
    <row r="639" spans="2:13" ht="18.75" customHeight="1" x14ac:dyDescent="0.25">
      <c r="B639" s="250"/>
      <c r="C639" s="279"/>
      <c r="D639" s="245"/>
      <c r="E639" s="246"/>
      <c r="F639" s="247"/>
      <c r="G639" s="298"/>
      <c r="H639" s="255"/>
      <c r="M639" s="247"/>
    </row>
    <row r="640" spans="2:13" ht="18.75" customHeight="1" x14ac:dyDescent="0.25">
      <c r="B640" s="435"/>
      <c r="C640" s="111"/>
      <c r="D640" s="435"/>
      <c r="E640" s="91"/>
      <c r="F640" s="185"/>
      <c r="G640" s="168"/>
      <c r="H640" s="211"/>
      <c r="M640" s="185"/>
    </row>
    <row r="641" spans="2:13" ht="18.75" customHeight="1" x14ac:dyDescent="0.25">
      <c r="B641" s="19">
        <f>B620+1</f>
        <v>12</v>
      </c>
      <c r="C641" s="93" t="s">
        <v>698</v>
      </c>
      <c r="D641" s="19"/>
      <c r="E641" s="21"/>
      <c r="F641" s="176"/>
      <c r="G641" s="165"/>
      <c r="H641" s="119"/>
      <c r="M641" s="176"/>
    </row>
    <row r="642" spans="2:13" ht="18.75" customHeight="1" x14ac:dyDescent="0.25">
      <c r="B642" s="618" t="s">
        <v>620</v>
      </c>
      <c r="C642" s="620" t="s">
        <v>621</v>
      </c>
      <c r="D642" s="618" t="s">
        <v>622</v>
      </c>
      <c r="E642" s="618" t="s">
        <v>2</v>
      </c>
      <c r="F642" s="615" t="s">
        <v>623</v>
      </c>
      <c r="G642" s="289" t="s">
        <v>624</v>
      </c>
      <c r="H642" s="256" t="s">
        <v>625</v>
      </c>
      <c r="M642" s="615" t="s">
        <v>623</v>
      </c>
    </row>
    <row r="643" spans="2:13" ht="18.75" customHeight="1" x14ac:dyDescent="0.25">
      <c r="B643" s="619"/>
      <c r="C643" s="621"/>
      <c r="D643" s="619"/>
      <c r="E643" s="619"/>
      <c r="F643" s="616"/>
      <c r="G643" s="289" t="s">
        <v>626</v>
      </c>
      <c r="H643" s="256" t="s">
        <v>626</v>
      </c>
      <c r="M643" s="616"/>
    </row>
    <row r="644" spans="2:13" ht="18.75" customHeight="1" x14ac:dyDescent="0.25">
      <c r="B644" s="221"/>
      <c r="C644" s="222"/>
      <c r="D644" s="221"/>
      <c r="E644" s="550"/>
      <c r="F644" s="555"/>
      <c r="G644" s="551"/>
      <c r="H644" s="220"/>
      <c r="M644" s="590"/>
    </row>
    <row r="645" spans="2:13" ht="18.75" customHeight="1" x14ac:dyDescent="0.25">
      <c r="B645" s="550" t="s">
        <v>627</v>
      </c>
      <c r="C645" s="223" t="s">
        <v>628</v>
      </c>
      <c r="D645" s="550"/>
      <c r="E645" s="224"/>
      <c r="F645" s="225"/>
      <c r="G645" s="290"/>
      <c r="H645" s="226"/>
      <c r="M645" s="225"/>
    </row>
    <row r="646" spans="2:13" ht="18.75" customHeight="1" x14ac:dyDescent="0.25">
      <c r="B646" s="550"/>
      <c r="C646" s="227" t="s">
        <v>629</v>
      </c>
      <c r="D646" s="550" t="s">
        <v>630</v>
      </c>
      <c r="E646" s="224" t="s">
        <v>631</v>
      </c>
      <c r="F646" s="228">
        <f t="shared" ref="F646:F647" si="34">$K$8*M646</f>
        <v>0.3</v>
      </c>
      <c r="G646" s="229">
        <f>G625</f>
        <v>95000</v>
      </c>
      <c r="H646" s="230">
        <f>+G646*F646</f>
        <v>28500</v>
      </c>
      <c r="M646" s="228">
        <v>0.3</v>
      </c>
    </row>
    <row r="647" spans="2:13" ht="18.75" customHeight="1" x14ac:dyDescent="0.25">
      <c r="B647" s="550"/>
      <c r="C647" s="227" t="s">
        <v>600</v>
      </c>
      <c r="D647" s="550" t="s">
        <v>635</v>
      </c>
      <c r="E647" s="224" t="s">
        <v>631</v>
      </c>
      <c r="F647" s="228">
        <f t="shared" si="34"/>
        <v>0.01</v>
      </c>
      <c r="G647" s="229">
        <f>G626</f>
        <v>140000</v>
      </c>
      <c r="H647" s="230">
        <f>+G647*F647</f>
        <v>1400</v>
      </c>
      <c r="M647" s="228">
        <v>0.01</v>
      </c>
    </row>
    <row r="648" spans="2:13" ht="18.75" customHeight="1" x14ac:dyDescent="0.25">
      <c r="B648" s="550"/>
      <c r="C648" s="223"/>
      <c r="D648" s="550"/>
      <c r="E648" s="224"/>
      <c r="F648" s="233" t="s">
        <v>636</v>
      </c>
      <c r="G648" s="290"/>
      <c r="H648" s="231">
        <f>SUM(H646:H647)</f>
        <v>29900</v>
      </c>
      <c r="M648" s="233" t="s">
        <v>636</v>
      </c>
    </row>
    <row r="649" spans="2:13" ht="18.75" customHeight="1" x14ac:dyDescent="0.25">
      <c r="B649" s="550"/>
      <c r="C649" s="223"/>
      <c r="D649" s="550"/>
      <c r="E649" s="224"/>
      <c r="F649" s="233"/>
      <c r="G649" s="290"/>
      <c r="H649" s="231"/>
      <c r="M649" s="233"/>
    </row>
    <row r="650" spans="2:13" ht="18.75" customHeight="1" x14ac:dyDescent="0.25">
      <c r="B650" s="550" t="s">
        <v>637</v>
      </c>
      <c r="C650" s="223" t="s">
        <v>638</v>
      </c>
      <c r="D650" s="550"/>
      <c r="E650" s="224"/>
      <c r="F650" s="225"/>
      <c r="G650" s="290"/>
      <c r="H650" s="226"/>
      <c r="M650" s="225"/>
    </row>
    <row r="651" spans="2:13" ht="18.75" customHeight="1" x14ac:dyDescent="0.25">
      <c r="B651" s="550"/>
      <c r="C651" s="223" t="s">
        <v>699</v>
      </c>
      <c r="D651" s="550"/>
      <c r="E651" s="550" t="s">
        <v>52</v>
      </c>
      <c r="F651" s="233">
        <v>1.2</v>
      </c>
      <c r="G651" s="234">
        <f>Bahan!D91</f>
        <v>182000</v>
      </c>
      <c r="H651" s="230">
        <f>+G651*F651</f>
        <v>218400</v>
      </c>
      <c r="M651" s="233">
        <v>1.2</v>
      </c>
    </row>
    <row r="652" spans="2:13" ht="18.75" customHeight="1" x14ac:dyDescent="0.25">
      <c r="B652" s="550"/>
      <c r="C652" s="223"/>
      <c r="D652" s="550"/>
      <c r="E652" s="224"/>
      <c r="F652" s="237" t="s">
        <v>643</v>
      </c>
      <c r="G652" s="290"/>
      <c r="H652" s="231">
        <f>SUM(H651:H651)</f>
        <v>218400</v>
      </c>
      <c r="M652" s="237" t="s">
        <v>643</v>
      </c>
    </row>
    <row r="653" spans="2:13" ht="18.75" customHeight="1" x14ac:dyDescent="0.25">
      <c r="B653" s="550"/>
      <c r="C653" s="223"/>
      <c r="D653" s="550"/>
      <c r="E653" s="224"/>
      <c r="F653" s="225"/>
      <c r="G653" s="290"/>
      <c r="H653" s="226"/>
      <c r="M653" s="225"/>
    </row>
    <row r="654" spans="2:13" ht="18.75" customHeight="1" x14ac:dyDescent="0.25">
      <c r="B654" s="550" t="s">
        <v>644</v>
      </c>
      <c r="C654" s="223" t="s">
        <v>645</v>
      </c>
      <c r="D654" s="550"/>
      <c r="E654" s="224"/>
      <c r="F654" s="225"/>
      <c r="G654" s="290"/>
      <c r="H654" s="235"/>
      <c r="M654" s="225"/>
    </row>
    <row r="655" spans="2:13" ht="18.75" customHeight="1" x14ac:dyDescent="0.25">
      <c r="B655" s="236"/>
      <c r="C655" s="232"/>
      <c r="D655" s="550"/>
      <c r="E655" s="224"/>
      <c r="F655" s="237" t="s">
        <v>646</v>
      </c>
      <c r="G655" s="290"/>
      <c r="H655" s="230">
        <f>SUM(H654:H654)</f>
        <v>0</v>
      </c>
      <c r="M655" s="237" t="s">
        <v>646</v>
      </c>
    </row>
    <row r="656" spans="2:13" ht="18.75" customHeight="1" x14ac:dyDescent="0.25">
      <c r="B656" s="236"/>
      <c r="C656" s="232"/>
      <c r="D656" s="550"/>
      <c r="E656" s="224"/>
      <c r="F656" s="237"/>
      <c r="G656" s="290"/>
      <c r="H656" s="226"/>
      <c r="M656" s="237"/>
    </row>
    <row r="657" spans="2:13" ht="18.75" customHeight="1" x14ac:dyDescent="0.25">
      <c r="B657" s="248"/>
      <c r="C657" s="238"/>
      <c r="D657" s="239"/>
      <c r="E657" s="266"/>
      <c r="F657" s="241"/>
      <c r="G657" s="303"/>
      <c r="H657" s="267"/>
      <c r="M657" s="241"/>
    </row>
    <row r="658" spans="2:13" ht="18.75" customHeight="1" x14ac:dyDescent="0.25">
      <c r="B658" s="249" t="s">
        <v>647</v>
      </c>
      <c r="C658" s="104" t="s">
        <v>648</v>
      </c>
      <c r="D658" s="435"/>
      <c r="E658" s="92"/>
      <c r="F658" s="183"/>
      <c r="G658" s="167"/>
      <c r="H658" s="252">
        <f>+H655+H652+H648</f>
        <v>248300</v>
      </c>
      <c r="M658" s="183"/>
    </row>
    <row r="659" spans="2:13" ht="18.75" customHeight="1" x14ac:dyDescent="0.25">
      <c r="B659" s="249" t="s">
        <v>649</v>
      </c>
      <c r="C659" s="242" t="s">
        <v>650</v>
      </c>
      <c r="D659" s="435"/>
      <c r="E659" s="92"/>
      <c r="F659" s="184" t="str">
        <f>$J$5</f>
        <v>8,0 % x D</v>
      </c>
      <c r="G659" s="167"/>
      <c r="H659" s="253">
        <f>+H658*$K$5</f>
        <v>19864</v>
      </c>
      <c r="M659" s="184" t="str">
        <f>$J$5</f>
        <v>8,0 % x D</v>
      </c>
    </row>
    <row r="660" spans="2:13" ht="18.75" customHeight="1" x14ac:dyDescent="0.25">
      <c r="B660" s="249" t="s">
        <v>651</v>
      </c>
      <c r="C660" s="111" t="s">
        <v>652</v>
      </c>
      <c r="D660" s="435"/>
      <c r="E660" s="91"/>
      <c r="F660" s="185"/>
      <c r="G660" s="168"/>
      <c r="H660" s="254">
        <f>ROUNDUP((H659+H658)/100,0)*100</f>
        <v>268200</v>
      </c>
      <c r="M660" s="185"/>
    </row>
    <row r="661" spans="2:13" ht="18.75" customHeight="1" x14ac:dyDescent="0.25">
      <c r="B661" s="259"/>
      <c r="C661" s="261"/>
      <c r="D661" s="245"/>
      <c r="E661" s="246"/>
      <c r="F661" s="247"/>
      <c r="G661" s="298"/>
      <c r="H661" s="260"/>
      <c r="M661" s="247"/>
    </row>
    <row r="662" spans="2:13" ht="18.75" customHeight="1" x14ac:dyDescent="0.25">
      <c r="G662" s="66"/>
      <c r="H662" s="138"/>
    </row>
    <row r="663" spans="2:13" ht="18.75" customHeight="1" x14ac:dyDescent="0.25">
      <c r="B663" s="19">
        <f>B641+1</f>
        <v>13</v>
      </c>
      <c r="C663" s="93" t="s">
        <v>700</v>
      </c>
      <c r="D663" s="19"/>
      <c r="E663" s="21"/>
      <c r="F663" s="176"/>
      <c r="G663" s="165"/>
      <c r="H663" s="119"/>
      <c r="M663" s="176"/>
    </row>
    <row r="664" spans="2:13" ht="18.75" customHeight="1" x14ac:dyDescent="0.25">
      <c r="B664" s="618" t="s">
        <v>620</v>
      </c>
      <c r="C664" s="620" t="s">
        <v>621</v>
      </c>
      <c r="D664" s="618" t="s">
        <v>622</v>
      </c>
      <c r="E664" s="618" t="s">
        <v>2</v>
      </c>
      <c r="F664" s="615" t="s">
        <v>623</v>
      </c>
      <c r="G664" s="289" t="s">
        <v>624</v>
      </c>
      <c r="H664" s="256" t="s">
        <v>625</v>
      </c>
      <c r="M664" s="615" t="s">
        <v>623</v>
      </c>
    </row>
    <row r="665" spans="2:13" ht="18.75" customHeight="1" x14ac:dyDescent="0.25">
      <c r="B665" s="619"/>
      <c r="C665" s="621"/>
      <c r="D665" s="619"/>
      <c r="E665" s="619"/>
      <c r="F665" s="616"/>
      <c r="G665" s="289" t="s">
        <v>626</v>
      </c>
      <c r="H665" s="256" t="s">
        <v>626</v>
      </c>
      <c r="M665" s="616"/>
    </row>
    <row r="666" spans="2:13" ht="18.75" customHeight="1" x14ac:dyDescent="0.25">
      <c r="B666" s="221"/>
      <c r="C666" s="222"/>
      <c r="D666" s="221"/>
      <c r="E666" s="550"/>
      <c r="F666" s="555"/>
      <c r="G666" s="551"/>
      <c r="H666" s="220"/>
      <c r="M666" s="590"/>
    </row>
    <row r="667" spans="2:13" ht="18.75" customHeight="1" x14ac:dyDescent="0.25">
      <c r="B667" s="550" t="s">
        <v>627</v>
      </c>
      <c r="C667" s="223" t="s">
        <v>628</v>
      </c>
      <c r="D667" s="550"/>
      <c r="E667" s="224"/>
      <c r="F667" s="225"/>
      <c r="G667" s="290"/>
      <c r="H667" s="226"/>
      <c r="M667" s="225"/>
    </row>
    <row r="668" spans="2:13" ht="18.75" customHeight="1" x14ac:dyDescent="0.25">
      <c r="B668" s="550"/>
      <c r="C668" s="227" t="s">
        <v>629</v>
      </c>
      <c r="D668" s="550" t="s">
        <v>630</v>
      </c>
      <c r="E668" s="224" t="s">
        <v>631</v>
      </c>
      <c r="F668" s="228">
        <f t="shared" ref="F668:F669" si="35">$K$8*M668</f>
        <v>0.5</v>
      </c>
      <c r="G668" s="229">
        <f>G646</f>
        <v>95000</v>
      </c>
      <c r="H668" s="230">
        <f>+G668*F668</f>
        <v>47500</v>
      </c>
      <c r="M668" s="228">
        <v>0.5</v>
      </c>
    </row>
    <row r="669" spans="2:13" ht="18.75" customHeight="1" x14ac:dyDescent="0.25">
      <c r="B669" s="550"/>
      <c r="C669" s="227" t="s">
        <v>600</v>
      </c>
      <c r="D669" s="550" t="s">
        <v>635</v>
      </c>
      <c r="E669" s="224" t="s">
        <v>631</v>
      </c>
      <c r="F669" s="228">
        <f t="shared" si="35"/>
        <v>7.4999999999999997E-2</v>
      </c>
      <c r="G669" s="229">
        <f>G647</f>
        <v>140000</v>
      </c>
      <c r="H669" s="230">
        <f>+G669*F669</f>
        <v>10500</v>
      </c>
      <c r="M669" s="228">
        <v>7.4999999999999997E-2</v>
      </c>
    </row>
    <row r="670" spans="2:13" ht="18.75" customHeight="1" x14ac:dyDescent="0.25">
      <c r="B670" s="550"/>
      <c r="C670" s="223"/>
      <c r="D670" s="550"/>
      <c r="E670" s="224"/>
      <c r="F670" s="233" t="s">
        <v>636</v>
      </c>
      <c r="G670" s="290"/>
      <c r="H670" s="231">
        <f>SUM(H668:H669)</f>
        <v>58000</v>
      </c>
      <c r="M670" s="233" t="s">
        <v>636</v>
      </c>
    </row>
    <row r="671" spans="2:13" ht="18.75" customHeight="1" x14ac:dyDescent="0.25">
      <c r="B671" s="550"/>
      <c r="C671" s="223"/>
      <c r="D671" s="550"/>
      <c r="E671" s="224"/>
      <c r="F671" s="233"/>
      <c r="G671" s="290"/>
      <c r="H671" s="231"/>
      <c r="M671" s="233"/>
    </row>
    <row r="672" spans="2:13" ht="18.75" customHeight="1" x14ac:dyDescent="0.25">
      <c r="B672" s="550" t="s">
        <v>637</v>
      </c>
      <c r="C672" s="223" t="s">
        <v>638</v>
      </c>
      <c r="D672" s="550"/>
      <c r="E672" s="224"/>
      <c r="F672" s="225"/>
      <c r="G672" s="290"/>
      <c r="H672" s="226"/>
      <c r="M672" s="225"/>
    </row>
    <row r="673" spans="2:13" ht="18.75" customHeight="1" x14ac:dyDescent="0.25">
      <c r="B673" s="550"/>
      <c r="C673" s="223" t="s">
        <v>80</v>
      </c>
      <c r="D673" s="550"/>
      <c r="E673" s="550" t="s">
        <v>52</v>
      </c>
      <c r="F673" s="233">
        <v>1.2</v>
      </c>
      <c r="G673" s="234">
        <f>Bahan!D92</f>
        <v>125000</v>
      </c>
      <c r="H673" s="230">
        <f>+G673*F673</f>
        <v>150000</v>
      </c>
      <c r="M673" s="233">
        <v>1.2</v>
      </c>
    </row>
    <row r="674" spans="2:13" ht="18.75" customHeight="1" x14ac:dyDescent="0.25">
      <c r="B674" s="550"/>
      <c r="C674" s="223"/>
      <c r="D674" s="550"/>
      <c r="E674" s="224"/>
      <c r="F674" s="237" t="s">
        <v>643</v>
      </c>
      <c r="G674" s="290"/>
      <c r="H674" s="231">
        <f>SUM(H673:H673)</f>
        <v>150000</v>
      </c>
      <c r="M674" s="237" t="s">
        <v>643</v>
      </c>
    </row>
    <row r="675" spans="2:13" ht="18.75" customHeight="1" x14ac:dyDescent="0.25">
      <c r="B675" s="550"/>
      <c r="C675" s="223"/>
      <c r="D675" s="550"/>
      <c r="E675" s="224"/>
      <c r="F675" s="225"/>
      <c r="G675" s="290"/>
      <c r="H675" s="226"/>
      <c r="M675" s="225"/>
    </row>
    <row r="676" spans="2:13" ht="18.75" customHeight="1" x14ac:dyDescent="0.25">
      <c r="B676" s="550" t="s">
        <v>644</v>
      </c>
      <c r="C676" s="223" t="s">
        <v>645</v>
      </c>
      <c r="D676" s="550"/>
      <c r="E676" s="224"/>
      <c r="F676" s="225"/>
      <c r="G676" s="290"/>
      <c r="H676" s="235"/>
      <c r="M676" s="225"/>
    </row>
    <row r="677" spans="2:13" ht="18.75" customHeight="1" x14ac:dyDescent="0.25">
      <c r="B677" s="236"/>
      <c r="C677" s="232"/>
      <c r="D677" s="550"/>
      <c r="E677" s="224"/>
      <c r="F677" s="237" t="s">
        <v>646</v>
      </c>
      <c r="G677" s="290"/>
      <c r="H677" s="230">
        <f>SUM(H676:H676)</f>
        <v>0</v>
      </c>
      <c r="M677" s="237" t="s">
        <v>646</v>
      </c>
    </row>
    <row r="678" spans="2:13" ht="18.75" customHeight="1" x14ac:dyDescent="0.25">
      <c r="B678" s="236"/>
      <c r="C678" s="232"/>
      <c r="D678" s="550"/>
      <c r="E678" s="224"/>
      <c r="F678" s="237"/>
      <c r="G678" s="290"/>
      <c r="H678" s="226"/>
      <c r="M678" s="237"/>
    </row>
    <row r="679" spans="2:13" ht="18.75" customHeight="1" x14ac:dyDescent="0.25">
      <c r="B679" s="248"/>
      <c r="C679" s="238"/>
      <c r="D679" s="239"/>
      <c r="E679" s="266"/>
      <c r="F679" s="241"/>
      <c r="G679" s="303"/>
      <c r="H679" s="267"/>
      <c r="M679" s="241"/>
    </row>
    <row r="680" spans="2:13" ht="18.75" customHeight="1" x14ac:dyDescent="0.25">
      <c r="B680" s="249" t="s">
        <v>647</v>
      </c>
      <c r="C680" s="104" t="s">
        <v>648</v>
      </c>
      <c r="D680" s="435"/>
      <c r="E680" s="92"/>
      <c r="F680" s="183"/>
      <c r="G680" s="167"/>
      <c r="H680" s="254">
        <f>+H677+H674+H670</f>
        <v>208000</v>
      </c>
      <c r="M680" s="183"/>
    </row>
    <row r="681" spans="2:13" ht="18.75" customHeight="1" x14ac:dyDescent="0.25">
      <c r="B681" s="249" t="s">
        <v>649</v>
      </c>
      <c r="C681" s="242" t="s">
        <v>650</v>
      </c>
      <c r="D681" s="435"/>
      <c r="E681" s="92"/>
      <c r="F681" s="184" t="str">
        <f>$J$5</f>
        <v>8,0 % x D</v>
      </c>
      <c r="G681" s="167"/>
      <c r="H681" s="253">
        <f>+H680*$K$5</f>
        <v>16640</v>
      </c>
      <c r="M681" s="184" t="str">
        <f>$J$5</f>
        <v>8,0 % x D</v>
      </c>
    </row>
    <row r="682" spans="2:13" ht="18.75" customHeight="1" x14ac:dyDescent="0.25">
      <c r="B682" s="249" t="s">
        <v>651</v>
      </c>
      <c r="C682" s="111" t="s">
        <v>652</v>
      </c>
      <c r="D682" s="435"/>
      <c r="E682" s="91"/>
      <c r="F682" s="185"/>
      <c r="G682" s="168"/>
      <c r="H682" s="254">
        <f>ROUNDUP((H681+H680)/100,0)*100</f>
        <v>224700</v>
      </c>
      <c r="M682" s="185"/>
    </row>
    <row r="683" spans="2:13" ht="18.75" customHeight="1" x14ac:dyDescent="0.25">
      <c r="B683" s="250"/>
      <c r="C683" s="261"/>
      <c r="D683" s="245"/>
      <c r="E683" s="263"/>
      <c r="F683" s="264"/>
      <c r="G683" s="302"/>
      <c r="H683" s="265"/>
      <c r="M683" s="264"/>
    </row>
    <row r="684" spans="2:13" ht="18.75" customHeight="1" x14ac:dyDescent="0.25">
      <c r="B684" s="435"/>
      <c r="C684" s="104"/>
      <c r="E684" s="22"/>
      <c r="F684" s="190"/>
      <c r="G684" s="87"/>
      <c r="H684" s="280"/>
      <c r="M684" s="190"/>
    </row>
    <row r="685" spans="2:13" ht="18.75" customHeight="1" x14ac:dyDescent="0.25">
      <c r="B685" s="19">
        <f>B663+1</f>
        <v>14</v>
      </c>
      <c r="C685" s="93" t="s">
        <v>701</v>
      </c>
      <c r="D685" s="19"/>
      <c r="E685" s="21"/>
      <c r="F685" s="176"/>
      <c r="G685" s="165"/>
      <c r="H685" s="119"/>
      <c r="M685" s="176"/>
    </row>
    <row r="686" spans="2:13" ht="18.75" customHeight="1" x14ac:dyDescent="0.25">
      <c r="B686" s="618" t="s">
        <v>620</v>
      </c>
      <c r="C686" s="620" t="s">
        <v>621</v>
      </c>
      <c r="D686" s="618" t="s">
        <v>622</v>
      </c>
      <c r="E686" s="618" t="s">
        <v>2</v>
      </c>
      <c r="F686" s="615" t="s">
        <v>623</v>
      </c>
      <c r="G686" s="289" t="s">
        <v>624</v>
      </c>
      <c r="H686" s="256" t="s">
        <v>625</v>
      </c>
      <c r="M686" s="615" t="s">
        <v>623</v>
      </c>
    </row>
    <row r="687" spans="2:13" ht="18.75" customHeight="1" x14ac:dyDescent="0.25">
      <c r="B687" s="619"/>
      <c r="C687" s="621"/>
      <c r="D687" s="619"/>
      <c r="E687" s="619"/>
      <c r="F687" s="616"/>
      <c r="G687" s="289" t="s">
        <v>626</v>
      </c>
      <c r="H687" s="256" t="s">
        <v>626</v>
      </c>
      <c r="M687" s="616"/>
    </row>
    <row r="688" spans="2:13" ht="18.75" customHeight="1" x14ac:dyDescent="0.25">
      <c r="B688" s="221"/>
      <c r="C688" s="222"/>
      <c r="D688" s="221"/>
      <c r="E688" s="550"/>
      <c r="F688" s="555"/>
      <c r="G688" s="551"/>
      <c r="H688" s="220"/>
      <c r="M688" s="590"/>
    </row>
    <row r="689" spans="2:13" ht="18.75" customHeight="1" x14ac:dyDescent="0.25">
      <c r="B689" s="550" t="s">
        <v>627</v>
      </c>
      <c r="C689" s="223" t="s">
        <v>628</v>
      </c>
      <c r="D689" s="550"/>
      <c r="E689" s="224"/>
      <c r="F689" s="225"/>
      <c r="G689" s="290"/>
      <c r="H689" s="226"/>
      <c r="M689" s="225"/>
    </row>
    <row r="690" spans="2:13" ht="18.75" customHeight="1" x14ac:dyDescent="0.25">
      <c r="B690" s="550"/>
      <c r="C690" s="227" t="s">
        <v>629</v>
      </c>
      <c r="D690" s="550" t="s">
        <v>630</v>
      </c>
      <c r="E690" s="224" t="s">
        <v>631</v>
      </c>
      <c r="F690" s="228">
        <f t="shared" ref="F690:F691" si="36">$K$8*M690</f>
        <v>0.15</v>
      </c>
      <c r="G690" s="229">
        <f>G668</f>
        <v>95000</v>
      </c>
      <c r="H690" s="230">
        <f>+G690*F690</f>
        <v>14250</v>
      </c>
      <c r="M690" s="228">
        <v>0.15</v>
      </c>
    </row>
    <row r="691" spans="2:13" ht="18.75" customHeight="1" x14ac:dyDescent="0.25">
      <c r="B691" s="550"/>
      <c r="C691" s="227" t="s">
        <v>600</v>
      </c>
      <c r="D691" s="550" t="s">
        <v>635</v>
      </c>
      <c r="E691" s="224" t="s">
        <v>631</v>
      </c>
      <c r="F691" s="228">
        <f t="shared" si="36"/>
        <v>1.4999999999999999E-2</v>
      </c>
      <c r="G691" s="229">
        <f>G669</f>
        <v>140000</v>
      </c>
      <c r="H691" s="230">
        <f>+G691*F691</f>
        <v>2100</v>
      </c>
      <c r="M691" s="228">
        <v>1.4999999999999999E-2</v>
      </c>
    </row>
    <row r="692" spans="2:13" ht="18.75" customHeight="1" x14ac:dyDescent="0.25">
      <c r="B692" s="550"/>
      <c r="C692" s="223"/>
      <c r="D692" s="550"/>
      <c r="E692" s="224"/>
      <c r="F692" s="233" t="s">
        <v>636</v>
      </c>
      <c r="G692" s="290"/>
      <c r="H692" s="231">
        <f>SUM(H690:H691)</f>
        <v>16350</v>
      </c>
      <c r="M692" s="233" t="s">
        <v>636</v>
      </c>
    </row>
    <row r="693" spans="2:13" ht="18.75" customHeight="1" x14ac:dyDescent="0.25">
      <c r="B693" s="550"/>
      <c r="C693" s="223"/>
      <c r="D693" s="550"/>
      <c r="E693" s="224"/>
      <c r="F693" s="233"/>
      <c r="G693" s="290"/>
      <c r="H693" s="231"/>
      <c r="M693" s="233"/>
    </row>
    <row r="694" spans="2:13" ht="18.75" customHeight="1" x14ac:dyDescent="0.25">
      <c r="B694" s="550" t="s">
        <v>637</v>
      </c>
      <c r="C694" s="223" t="s">
        <v>638</v>
      </c>
      <c r="D694" s="550"/>
      <c r="E694" s="224"/>
      <c r="F694" s="225"/>
      <c r="G694" s="290"/>
      <c r="H694" s="226"/>
      <c r="M694" s="225"/>
    </row>
    <row r="695" spans="2:13" ht="18.75" customHeight="1" x14ac:dyDescent="0.25">
      <c r="B695" s="550"/>
      <c r="C695" s="223" t="s">
        <v>425</v>
      </c>
      <c r="D695" s="550"/>
      <c r="E695" s="550" t="s">
        <v>62</v>
      </c>
      <c r="F695" s="233">
        <v>6</v>
      </c>
      <c r="G695" s="234">
        <f>Bahan!D473</f>
        <v>60000</v>
      </c>
      <c r="H695" s="230">
        <f>+G695*F695</f>
        <v>360000</v>
      </c>
      <c r="M695" s="233">
        <v>6</v>
      </c>
    </row>
    <row r="696" spans="2:13" ht="18.75" customHeight="1" x14ac:dyDescent="0.25">
      <c r="B696" s="550"/>
      <c r="C696" s="223"/>
      <c r="D696" s="550"/>
      <c r="E696" s="224"/>
      <c r="F696" s="237" t="s">
        <v>643</v>
      </c>
      <c r="G696" s="290"/>
      <c r="H696" s="231">
        <f>SUM(H695:H695)</f>
        <v>360000</v>
      </c>
      <c r="M696" s="237" t="s">
        <v>643</v>
      </c>
    </row>
    <row r="697" spans="2:13" ht="18.75" customHeight="1" x14ac:dyDescent="0.25">
      <c r="B697" s="550"/>
      <c r="C697" s="223"/>
      <c r="D697" s="550"/>
      <c r="E697" s="224"/>
      <c r="F697" s="225"/>
      <c r="G697" s="290"/>
      <c r="H697" s="226"/>
      <c r="M697" s="225"/>
    </row>
    <row r="698" spans="2:13" ht="18.75" customHeight="1" x14ac:dyDescent="0.25">
      <c r="B698" s="550" t="s">
        <v>644</v>
      </c>
      <c r="C698" s="223" t="s">
        <v>645</v>
      </c>
      <c r="D698" s="550"/>
      <c r="E698" s="224"/>
      <c r="F698" s="225"/>
      <c r="G698" s="290"/>
      <c r="H698" s="235"/>
      <c r="M698" s="225"/>
    </row>
    <row r="699" spans="2:13" ht="18.75" customHeight="1" x14ac:dyDescent="0.25">
      <c r="B699" s="236"/>
      <c r="C699" s="232"/>
      <c r="D699" s="550"/>
      <c r="E699" s="224"/>
      <c r="F699" s="237" t="s">
        <v>646</v>
      </c>
      <c r="G699" s="290"/>
      <c r="H699" s="230">
        <f>SUM(H698:H698)</f>
        <v>0</v>
      </c>
      <c r="M699" s="237" t="s">
        <v>646</v>
      </c>
    </row>
    <row r="700" spans="2:13" ht="18.75" customHeight="1" x14ac:dyDescent="0.25">
      <c r="B700" s="236"/>
      <c r="C700" s="232"/>
      <c r="D700" s="550"/>
      <c r="E700" s="224"/>
      <c r="F700" s="237"/>
      <c r="G700" s="290"/>
      <c r="H700" s="226"/>
      <c r="M700" s="237"/>
    </row>
    <row r="701" spans="2:13" ht="18.75" customHeight="1" x14ac:dyDescent="0.25">
      <c r="B701" s="248"/>
      <c r="C701" s="238"/>
      <c r="D701" s="239"/>
      <c r="E701" s="266"/>
      <c r="F701" s="241"/>
      <c r="G701" s="303"/>
      <c r="H701" s="267"/>
      <c r="M701" s="241"/>
    </row>
    <row r="702" spans="2:13" ht="18.75" customHeight="1" x14ac:dyDescent="0.25">
      <c r="B702" s="249" t="s">
        <v>647</v>
      </c>
      <c r="C702" s="104" t="s">
        <v>648</v>
      </c>
      <c r="D702" s="435"/>
      <c r="E702" s="92"/>
      <c r="F702" s="183"/>
      <c r="G702" s="167"/>
      <c r="H702" s="252">
        <f>+H699+H696+H692</f>
        <v>376350</v>
      </c>
      <c r="M702" s="183"/>
    </row>
    <row r="703" spans="2:13" ht="18.75" customHeight="1" x14ac:dyDescent="0.25">
      <c r="B703" s="249" t="s">
        <v>649</v>
      </c>
      <c r="C703" s="242" t="s">
        <v>650</v>
      </c>
      <c r="D703" s="435"/>
      <c r="E703" s="92"/>
      <c r="F703" s="184" t="str">
        <f>$J$5</f>
        <v>8,0 % x D</v>
      </c>
      <c r="G703" s="167"/>
      <c r="H703" s="253">
        <f>+H702*$K$5</f>
        <v>30108</v>
      </c>
      <c r="M703" s="184" t="str">
        <f>$J$5</f>
        <v>8,0 % x D</v>
      </c>
    </row>
    <row r="704" spans="2:13" ht="18.75" customHeight="1" x14ac:dyDescent="0.25">
      <c r="B704" s="249" t="s">
        <v>651</v>
      </c>
      <c r="C704" s="111" t="s">
        <v>652</v>
      </c>
      <c r="D704" s="435"/>
      <c r="E704" s="91"/>
      <c r="F704" s="185"/>
      <c r="G704" s="168"/>
      <c r="H704" s="254">
        <f>ROUNDUP((H703+H702)/100,0)*100</f>
        <v>406500</v>
      </c>
      <c r="M704" s="185"/>
    </row>
    <row r="705" spans="2:13" ht="18.75" customHeight="1" x14ac:dyDescent="0.25">
      <c r="B705" s="259"/>
      <c r="C705" s="261"/>
      <c r="D705" s="245"/>
      <c r="E705" s="246"/>
      <c r="F705" s="247"/>
      <c r="G705" s="298"/>
      <c r="H705" s="260"/>
      <c r="M705" s="247"/>
    </row>
    <row r="706" spans="2:13" ht="18.75" customHeight="1" x14ac:dyDescent="0.25">
      <c r="B706" s="22"/>
      <c r="C706" s="104"/>
      <c r="E706" s="21"/>
      <c r="F706" s="176"/>
      <c r="G706" s="165"/>
      <c r="H706" s="119"/>
      <c r="M706" s="176"/>
    </row>
    <row r="707" spans="2:13" ht="18.75" customHeight="1" x14ac:dyDescent="0.25">
      <c r="B707" s="19">
        <f>B685+1</f>
        <v>15</v>
      </c>
      <c r="C707" s="93" t="s">
        <v>702</v>
      </c>
      <c r="D707" s="19"/>
      <c r="E707" s="552"/>
      <c r="F707" s="196"/>
      <c r="G707" s="171"/>
      <c r="H707" s="142"/>
      <c r="M707" s="196"/>
    </row>
    <row r="708" spans="2:13" ht="18.75" customHeight="1" x14ac:dyDescent="0.25">
      <c r="B708" s="618" t="s">
        <v>620</v>
      </c>
      <c r="C708" s="620" t="s">
        <v>621</v>
      </c>
      <c r="D708" s="618" t="s">
        <v>622</v>
      </c>
      <c r="E708" s="618" t="s">
        <v>2</v>
      </c>
      <c r="F708" s="615" t="s">
        <v>623</v>
      </c>
      <c r="G708" s="289" t="s">
        <v>624</v>
      </c>
      <c r="H708" s="256" t="s">
        <v>625</v>
      </c>
      <c r="M708" s="615" t="s">
        <v>623</v>
      </c>
    </row>
    <row r="709" spans="2:13" ht="18.75" customHeight="1" x14ac:dyDescent="0.25">
      <c r="B709" s="619"/>
      <c r="C709" s="621"/>
      <c r="D709" s="619"/>
      <c r="E709" s="619"/>
      <c r="F709" s="616"/>
      <c r="G709" s="289" t="s">
        <v>626</v>
      </c>
      <c r="H709" s="256" t="s">
        <v>626</v>
      </c>
      <c r="M709" s="616"/>
    </row>
    <row r="710" spans="2:13" ht="18.75" customHeight="1" x14ac:dyDescent="0.25">
      <c r="B710" s="221"/>
      <c r="C710" s="222"/>
      <c r="D710" s="221"/>
      <c r="E710" s="550"/>
      <c r="F710" s="555"/>
      <c r="G710" s="551"/>
      <c r="H710" s="220"/>
      <c r="M710" s="590"/>
    </row>
    <row r="711" spans="2:13" ht="18.75" customHeight="1" x14ac:dyDescent="0.25">
      <c r="B711" s="550" t="s">
        <v>627</v>
      </c>
      <c r="C711" s="223" t="s">
        <v>628</v>
      </c>
      <c r="D711" s="550"/>
      <c r="E711" s="550"/>
      <c r="F711" s="555"/>
      <c r="G711" s="551"/>
      <c r="H711" s="220"/>
      <c r="M711" s="590"/>
    </row>
    <row r="712" spans="2:13" ht="18.75" customHeight="1" x14ac:dyDescent="0.25">
      <c r="B712" s="550"/>
      <c r="C712" s="227" t="s">
        <v>629</v>
      </c>
      <c r="D712" s="550" t="s">
        <v>630</v>
      </c>
      <c r="E712" s="550" t="s">
        <v>631</v>
      </c>
      <c r="F712" s="228">
        <f t="shared" ref="F712:F713" si="37">$K$8*M712</f>
        <v>0.25</v>
      </c>
      <c r="G712" s="229">
        <f>G690</f>
        <v>95000</v>
      </c>
      <c r="H712" s="230">
        <f>+G712*F712</f>
        <v>23750</v>
      </c>
      <c r="M712" s="228">
        <v>0.25</v>
      </c>
    </row>
    <row r="713" spans="2:13" ht="18.75" customHeight="1" x14ac:dyDescent="0.25">
      <c r="B713" s="550"/>
      <c r="C713" s="227" t="s">
        <v>600</v>
      </c>
      <c r="D713" s="550" t="s">
        <v>635</v>
      </c>
      <c r="E713" s="550" t="s">
        <v>631</v>
      </c>
      <c r="F713" s="228">
        <f t="shared" si="37"/>
        <v>2.5000000000000001E-2</v>
      </c>
      <c r="G713" s="229">
        <f>G691</f>
        <v>140000</v>
      </c>
      <c r="H713" s="230">
        <f>+G713*F713</f>
        <v>3500</v>
      </c>
      <c r="M713" s="228">
        <v>2.5000000000000001E-2</v>
      </c>
    </row>
    <row r="714" spans="2:13" ht="18.75" customHeight="1" x14ac:dyDescent="0.25">
      <c r="B714" s="550"/>
      <c r="C714" s="223"/>
      <c r="D714" s="550"/>
      <c r="E714" s="550"/>
      <c r="F714" s="281" t="s">
        <v>636</v>
      </c>
      <c r="G714" s="301"/>
      <c r="H714" s="231">
        <f>SUM(H712:H713)</f>
        <v>27250</v>
      </c>
      <c r="M714" s="281" t="s">
        <v>636</v>
      </c>
    </row>
    <row r="715" spans="2:13" ht="18.75" customHeight="1" x14ac:dyDescent="0.25">
      <c r="B715" s="550"/>
      <c r="C715" s="223"/>
      <c r="D715" s="550"/>
      <c r="E715" s="550"/>
      <c r="F715" s="281"/>
      <c r="G715" s="301"/>
      <c r="H715" s="231"/>
      <c r="M715" s="281"/>
    </row>
    <row r="716" spans="2:13" ht="18.75" customHeight="1" x14ac:dyDescent="0.25">
      <c r="B716" s="550" t="s">
        <v>637</v>
      </c>
      <c r="C716" s="223" t="s">
        <v>638</v>
      </c>
      <c r="D716" s="550"/>
      <c r="E716" s="550"/>
      <c r="F716" s="555"/>
      <c r="G716" s="551"/>
      <c r="H716" s="220"/>
      <c r="M716" s="590"/>
    </row>
    <row r="717" spans="2:13" ht="18.75" customHeight="1" x14ac:dyDescent="0.25">
      <c r="B717" s="550"/>
      <c r="C717" s="223" t="s">
        <v>81</v>
      </c>
      <c r="D717" s="550"/>
      <c r="E717" s="550" t="s">
        <v>52</v>
      </c>
      <c r="F717" s="233">
        <v>1.2</v>
      </c>
      <c r="G717" s="234">
        <f>Bahan!D93</f>
        <v>207000</v>
      </c>
      <c r="H717" s="230">
        <f>+G717*F717</f>
        <v>248400</v>
      </c>
      <c r="M717" s="233">
        <v>1.2</v>
      </c>
    </row>
    <row r="718" spans="2:13" ht="18.75" customHeight="1" x14ac:dyDescent="0.25">
      <c r="B718" s="550"/>
      <c r="C718" s="223"/>
      <c r="D718" s="550"/>
      <c r="E718" s="550"/>
      <c r="F718" s="237" t="s">
        <v>643</v>
      </c>
      <c r="G718" s="551"/>
      <c r="H718" s="231">
        <f>SUM(H717:H717)</f>
        <v>248400</v>
      </c>
      <c r="M718" s="237" t="s">
        <v>643</v>
      </c>
    </row>
    <row r="719" spans="2:13" ht="18.75" customHeight="1" x14ac:dyDescent="0.25">
      <c r="B719" s="550"/>
      <c r="C719" s="223"/>
      <c r="D719" s="550"/>
      <c r="E719" s="550"/>
      <c r="F719" s="555"/>
      <c r="G719" s="551"/>
      <c r="H719" s="220"/>
      <c r="M719" s="590"/>
    </row>
    <row r="720" spans="2:13" ht="18.75" customHeight="1" x14ac:dyDescent="0.25">
      <c r="B720" s="550" t="s">
        <v>644</v>
      </c>
      <c r="C720" s="223" t="s">
        <v>645</v>
      </c>
      <c r="D720" s="550"/>
      <c r="E720" s="550"/>
      <c r="F720" s="555"/>
      <c r="G720" s="551"/>
      <c r="H720" s="235"/>
      <c r="M720" s="590"/>
    </row>
    <row r="721" spans="2:13" ht="18.75" customHeight="1" x14ac:dyDescent="0.25">
      <c r="B721" s="236"/>
      <c r="C721" s="232"/>
      <c r="D721" s="550"/>
      <c r="E721" s="550"/>
      <c r="F721" s="237" t="s">
        <v>646</v>
      </c>
      <c r="G721" s="551"/>
      <c r="H721" s="230">
        <f>SUM(H720:H720)</f>
        <v>0</v>
      </c>
      <c r="M721" s="237" t="s">
        <v>646</v>
      </c>
    </row>
    <row r="722" spans="2:13" ht="18.75" customHeight="1" x14ac:dyDescent="0.25">
      <c r="B722" s="236"/>
      <c r="C722" s="232"/>
      <c r="D722" s="550"/>
      <c r="E722" s="550"/>
      <c r="F722" s="237"/>
      <c r="G722" s="551"/>
      <c r="H722" s="220"/>
      <c r="M722" s="237"/>
    </row>
    <row r="723" spans="2:13" ht="18.75" customHeight="1" x14ac:dyDescent="0.25">
      <c r="B723" s="248"/>
      <c r="C723" s="238"/>
      <c r="D723" s="239"/>
      <c r="E723" s="239"/>
      <c r="F723" s="241"/>
      <c r="G723" s="292"/>
      <c r="H723" s="283"/>
      <c r="M723" s="241"/>
    </row>
    <row r="724" spans="2:13" ht="18.75" customHeight="1" x14ac:dyDescent="0.25">
      <c r="B724" s="249" t="s">
        <v>647</v>
      </c>
      <c r="C724" s="104" t="s">
        <v>648</v>
      </c>
      <c r="D724" s="435"/>
      <c r="E724" s="92"/>
      <c r="F724" s="183"/>
      <c r="G724" s="167"/>
      <c r="H724" s="252">
        <f>+H721+H718+H714</f>
        <v>275650</v>
      </c>
      <c r="M724" s="183"/>
    </row>
    <row r="725" spans="2:13" ht="18.75" customHeight="1" x14ac:dyDescent="0.25">
      <c r="B725" s="249" t="s">
        <v>649</v>
      </c>
      <c r="C725" s="242" t="s">
        <v>650</v>
      </c>
      <c r="D725" s="435"/>
      <c r="E725" s="92"/>
      <c r="F725" s="184" t="str">
        <f>$J$5</f>
        <v>8,0 % x D</v>
      </c>
      <c r="G725" s="167"/>
      <c r="H725" s="253">
        <f>+H724*$K$5</f>
        <v>22052</v>
      </c>
      <c r="M725" s="184" t="str">
        <f>$J$5</f>
        <v>8,0 % x D</v>
      </c>
    </row>
    <row r="726" spans="2:13" ht="18.75" customHeight="1" x14ac:dyDescent="0.25">
      <c r="B726" s="249" t="s">
        <v>651</v>
      </c>
      <c r="C726" s="111" t="s">
        <v>652</v>
      </c>
      <c r="D726" s="435"/>
      <c r="E726" s="91"/>
      <c r="F726" s="185"/>
      <c r="G726" s="168"/>
      <c r="H726" s="254">
        <f>ROUNDUP((H725+H724)/100,0)*100</f>
        <v>297800</v>
      </c>
      <c r="M726" s="185"/>
    </row>
    <row r="727" spans="2:13" ht="18.75" customHeight="1" x14ac:dyDescent="0.25">
      <c r="B727" s="259"/>
      <c r="C727" s="261"/>
      <c r="D727" s="245"/>
      <c r="E727" s="245"/>
      <c r="F727" s="282"/>
      <c r="G727" s="297"/>
      <c r="H727" s="284"/>
      <c r="M727" s="282"/>
    </row>
    <row r="728" spans="2:13" ht="18.75" customHeight="1" x14ac:dyDescent="0.25">
      <c r="B728" s="92"/>
      <c r="C728" s="104"/>
      <c r="D728" s="435"/>
      <c r="E728" s="435"/>
      <c r="F728" s="212"/>
      <c r="G728" s="294"/>
      <c r="H728" s="213"/>
      <c r="M728" s="212"/>
    </row>
    <row r="729" spans="2:13" ht="18.75" customHeight="1" x14ac:dyDescent="0.25">
      <c r="B729" s="19">
        <f>B707+1</f>
        <v>16</v>
      </c>
      <c r="C729" s="93" t="s">
        <v>703</v>
      </c>
      <c r="D729" s="19"/>
      <c r="E729" s="552"/>
      <c r="F729" s="196"/>
      <c r="G729" s="171"/>
      <c r="H729" s="142"/>
      <c r="M729" s="196"/>
    </row>
    <row r="730" spans="2:13" ht="18.75" customHeight="1" x14ac:dyDescent="0.25">
      <c r="B730" s="618" t="s">
        <v>620</v>
      </c>
      <c r="C730" s="620" t="s">
        <v>621</v>
      </c>
      <c r="D730" s="618" t="s">
        <v>622</v>
      </c>
      <c r="E730" s="618" t="s">
        <v>2</v>
      </c>
      <c r="F730" s="615" t="s">
        <v>623</v>
      </c>
      <c r="G730" s="289" t="s">
        <v>624</v>
      </c>
      <c r="H730" s="256" t="s">
        <v>625</v>
      </c>
      <c r="M730" s="615" t="s">
        <v>623</v>
      </c>
    </row>
    <row r="731" spans="2:13" ht="18.75" customHeight="1" x14ac:dyDescent="0.25">
      <c r="B731" s="619"/>
      <c r="C731" s="621"/>
      <c r="D731" s="619"/>
      <c r="E731" s="619"/>
      <c r="F731" s="616"/>
      <c r="G731" s="289" t="s">
        <v>626</v>
      </c>
      <c r="H731" s="256" t="s">
        <v>626</v>
      </c>
      <c r="M731" s="616"/>
    </row>
    <row r="732" spans="2:13" ht="18.75" customHeight="1" x14ac:dyDescent="0.25">
      <c r="B732" s="221"/>
      <c r="C732" s="222"/>
      <c r="D732" s="221"/>
      <c r="E732" s="550"/>
      <c r="F732" s="555"/>
      <c r="G732" s="551"/>
      <c r="H732" s="220"/>
      <c r="M732" s="590"/>
    </row>
    <row r="733" spans="2:13" ht="18.75" customHeight="1" x14ac:dyDescent="0.25">
      <c r="B733" s="550" t="s">
        <v>627</v>
      </c>
      <c r="C733" s="223" t="s">
        <v>628</v>
      </c>
      <c r="D733" s="550"/>
      <c r="E733" s="550"/>
      <c r="F733" s="555"/>
      <c r="G733" s="551"/>
      <c r="H733" s="220"/>
      <c r="M733" s="590"/>
    </row>
    <row r="734" spans="2:13" ht="18.75" customHeight="1" x14ac:dyDescent="0.25">
      <c r="B734" s="550"/>
      <c r="C734" s="227" t="s">
        <v>629</v>
      </c>
      <c r="D734" s="550" t="s">
        <v>630</v>
      </c>
      <c r="E734" s="550" t="s">
        <v>631</v>
      </c>
      <c r="F734" s="228">
        <f t="shared" ref="F734:F735" si="38">$K$8*M734</f>
        <v>0.25</v>
      </c>
      <c r="G734" s="229">
        <f>G712</f>
        <v>95000</v>
      </c>
      <c r="H734" s="230">
        <f>+G734*F734</f>
        <v>23750</v>
      </c>
      <c r="M734" s="228">
        <v>0.25</v>
      </c>
    </row>
    <row r="735" spans="2:13" ht="18.75" customHeight="1" x14ac:dyDescent="0.25">
      <c r="B735" s="550"/>
      <c r="C735" s="227" t="s">
        <v>600</v>
      </c>
      <c r="D735" s="550" t="s">
        <v>635</v>
      </c>
      <c r="E735" s="550" t="s">
        <v>631</v>
      </c>
      <c r="F735" s="228">
        <f t="shared" si="38"/>
        <v>2.5000000000000001E-2</v>
      </c>
      <c r="G735" s="229">
        <f>G713</f>
        <v>140000</v>
      </c>
      <c r="H735" s="230">
        <f>+G735*F735</f>
        <v>3500</v>
      </c>
      <c r="M735" s="228">
        <v>2.5000000000000001E-2</v>
      </c>
    </row>
    <row r="736" spans="2:13" ht="18.75" customHeight="1" x14ac:dyDescent="0.25">
      <c r="B736" s="550"/>
      <c r="C736" s="223"/>
      <c r="D736" s="550"/>
      <c r="E736" s="550"/>
      <c r="F736" s="233" t="s">
        <v>636</v>
      </c>
      <c r="G736" s="551"/>
      <c r="H736" s="231">
        <f>SUM(H734:H735)</f>
        <v>27250</v>
      </c>
      <c r="M736" s="233" t="s">
        <v>636</v>
      </c>
    </row>
    <row r="737" spans="1:13" ht="18.75" customHeight="1" x14ac:dyDescent="0.25">
      <c r="B737" s="550"/>
      <c r="C737" s="223"/>
      <c r="D737" s="550"/>
      <c r="E737" s="550"/>
      <c r="F737" s="233"/>
      <c r="G737" s="551"/>
      <c r="H737" s="231"/>
      <c r="M737" s="233"/>
    </row>
    <row r="738" spans="1:13" ht="18.75" customHeight="1" x14ac:dyDescent="0.25">
      <c r="B738" s="550" t="s">
        <v>637</v>
      </c>
      <c r="C738" s="223" t="s">
        <v>638</v>
      </c>
      <c r="D738" s="550"/>
      <c r="E738" s="550"/>
      <c r="F738" s="555"/>
      <c r="G738" s="551"/>
      <c r="H738" s="220"/>
      <c r="M738" s="590"/>
    </row>
    <row r="739" spans="1:13" ht="18.75" customHeight="1" x14ac:dyDescent="0.25">
      <c r="B739" s="550"/>
      <c r="C739" s="223" t="s">
        <v>704</v>
      </c>
      <c r="D739" s="550"/>
      <c r="E739" s="550" t="s">
        <v>52</v>
      </c>
      <c r="F739" s="233">
        <v>1.2</v>
      </c>
      <c r="G739" s="234">
        <f>Bahan!D75</f>
        <v>265000</v>
      </c>
      <c r="H739" s="230">
        <f>+G739*F739</f>
        <v>318000</v>
      </c>
      <c r="M739" s="233">
        <v>1.2</v>
      </c>
    </row>
    <row r="740" spans="1:13" ht="18.75" customHeight="1" x14ac:dyDescent="0.25">
      <c r="B740" s="550"/>
      <c r="C740" s="223"/>
      <c r="D740" s="550"/>
      <c r="E740" s="550"/>
      <c r="F740" s="237" t="s">
        <v>643</v>
      </c>
      <c r="G740" s="551"/>
      <c r="H740" s="231">
        <f>SUM(H739:H739)</f>
        <v>318000</v>
      </c>
      <c r="M740" s="237" t="s">
        <v>643</v>
      </c>
    </row>
    <row r="741" spans="1:13" ht="18.75" customHeight="1" x14ac:dyDescent="0.25">
      <c r="B741" s="550"/>
      <c r="C741" s="223"/>
      <c r="D741" s="550"/>
      <c r="E741" s="550"/>
      <c r="F741" s="555"/>
      <c r="G741" s="551"/>
      <c r="H741" s="220"/>
      <c r="M741" s="590"/>
    </row>
    <row r="742" spans="1:13" ht="18.75" customHeight="1" x14ac:dyDescent="0.25">
      <c r="B742" s="550" t="s">
        <v>644</v>
      </c>
      <c r="C742" s="223" t="s">
        <v>645</v>
      </c>
      <c r="D742" s="550"/>
      <c r="E742" s="550"/>
      <c r="F742" s="555"/>
      <c r="G742" s="551"/>
      <c r="H742" s="235"/>
      <c r="M742" s="590"/>
    </row>
    <row r="743" spans="1:13" ht="18.75" customHeight="1" x14ac:dyDescent="0.25">
      <c r="B743" s="236"/>
      <c r="C743" s="232"/>
      <c r="D743" s="550"/>
      <c r="E743" s="550"/>
      <c r="F743" s="237" t="s">
        <v>646</v>
      </c>
      <c r="G743" s="551"/>
      <c r="H743" s="230">
        <f>SUM(H742:H742)</f>
        <v>0</v>
      </c>
      <c r="M743" s="237" t="s">
        <v>646</v>
      </c>
    </row>
    <row r="744" spans="1:13" ht="18.75" customHeight="1" x14ac:dyDescent="0.25">
      <c r="B744" s="236"/>
      <c r="C744" s="232"/>
      <c r="D744" s="550"/>
      <c r="E744" s="550"/>
      <c r="F744" s="237"/>
      <c r="G744" s="551"/>
      <c r="H744" s="220"/>
      <c r="M744" s="237"/>
    </row>
    <row r="745" spans="1:13" ht="18.75" customHeight="1" x14ac:dyDescent="0.25">
      <c r="B745" s="248"/>
      <c r="C745" s="238"/>
      <c r="D745" s="239"/>
      <c r="E745" s="240"/>
      <c r="F745" s="241"/>
      <c r="G745" s="291"/>
      <c r="H745" s="251"/>
      <c r="M745" s="241"/>
    </row>
    <row r="746" spans="1:13" ht="18.75" customHeight="1" x14ac:dyDescent="0.25">
      <c r="B746" s="249" t="s">
        <v>647</v>
      </c>
      <c r="C746" s="104" t="s">
        <v>648</v>
      </c>
      <c r="D746" s="435"/>
      <c r="E746" s="92"/>
      <c r="F746" s="183"/>
      <c r="G746" s="167"/>
      <c r="H746" s="254">
        <f>+H743+H740+H736</f>
        <v>345250</v>
      </c>
      <c r="M746" s="183"/>
    </row>
    <row r="747" spans="1:13" ht="18.75" customHeight="1" x14ac:dyDescent="0.25">
      <c r="B747" s="249" t="s">
        <v>649</v>
      </c>
      <c r="C747" s="242" t="s">
        <v>650</v>
      </c>
      <c r="D747" s="435"/>
      <c r="E747" s="92"/>
      <c r="F747" s="184" t="str">
        <f>$J$5</f>
        <v>8,0 % x D</v>
      </c>
      <c r="G747" s="167"/>
      <c r="H747" s="253">
        <f>+H746*$K$5</f>
        <v>27620</v>
      </c>
      <c r="M747" s="184" t="str">
        <f>$J$5</f>
        <v>8,0 % x D</v>
      </c>
    </row>
    <row r="748" spans="1:13" ht="18.75" customHeight="1" x14ac:dyDescent="0.25">
      <c r="B748" s="249" t="s">
        <v>651</v>
      </c>
      <c r="C748" s="111" t="s">
        <v>652</v>
      </c>
      <c r="D748" s="435"/>
      <c r="E748" s="91"/>
      <c r="F748" s="185"/>
      <c r="G748" s="168"/>
      <c r="H748" s="254">
        <f>ROUNDUP((H747+H746)/100,0)*100</f>
        <v>372900</v>
      </c>
      <c r="M748" s="185"/>
    </row>
    <row r="749" spans="1:13" ht="18.75" customHeight="1" x14ac:dyDescent="0.25">
      <c r="B749" s="286"/>
      <c r="C749" s="285"/>
      <c r="D749" s="285"/>
      <c r="E749" s="285"/>
      <c r="F749" s="285"/>
      <c r="G749" s="306"/>
      <c r="H749" s="325"/>
      <c r="M749" s="285"/>
    </row>
    <row r="750" spans="1:13" ht="18.75" customHeight="1" x14ac:dyDescent="0.25">
      <c r="B750" s="22"/>
      <c r="C750" s="109"/>
      <c r="D750" s="322"/>
      <c r="E750" s="322"/>
      <c r="F750" s="197"/>
      <c r="G750" s="323"/>
      <c r="H750" s="142"/>
      <c r="M750" s="197"/>
    </row>
    <row r="751" spans="1:13" ht="18.75" customHeight="1" x14ac:dyDescent="0.25">
      <c r="B751" s="22"/>
      <c r="C751" s="109"/>
      <c r="D751" s="322"/>
      <c r="E751" s="322"/>
      <c r="F751" s="197"/>
      <c r="G751" s="323"/>
      <c r="H751" s="142"/>
      <c r="M751" s="197"/>
    </row>
    <row r="752" spans="1:13" ht="18.75" customHeight="1" x14ac:dyDescent="0.25">
      <c r="A752" s="388" t="s">
        <v>705</v>
      </c>
      <c r="B752" s="389" t="s">
        <v>706</v>
      </c>
      <c r="C752" s="390"/>
      <c r="D752" s="391"/>
      <c r="E752" s="392"/>
      <c r="F752" s="393"/>
      <c r="G752" s="394"/>
      <c r="H752" s="391"/>
      <c r="M752" s="393"/>
    </row>
    <row r="753" spans="2:13" s="217" customFormat="1" ht="18.75" customHeight="1" x14ac:dyDescent="0.25">
      <c r="B753" s="214"/>
      <c r="C753" s="215"/>
      <c r="D753" s="216"/>
      <c r="F753" s="218"/>
      <c r="G753" s="307"/>
      <c r="H753" s="162"/>
      <c r="J753" s="219"/>
      <c r="M753" s="218"/>
    </row>
    <row r="754" spans="2:13" ht="18.75" customHeight="1" x14ac:dyDescent="0.25">
      <c r="B754" s="552">
        <v>1</v>
      </c>
      <c r="C754" s="93" t="s">
        <v>707</v>
      </c>
      <c r="D754" s="19"/>
      <c r="E754" s="19"/>
      <c r="F754" s="198"/>
      <c r="G754" s="171"/>
      <c r="H754" s="142"/>
      <c r="M754" s="198"/>
    </row>
    <row r="755" spans="2:13" ht="18.75" customHeight="1" x14ac:dyDescent="0.25">
      <c r="B755" s="618" t="s">
        <v>620</v>
      </c>
      <c r="C755" s="620" t="s">
        <v>621</v>
      </c>
      <c r="D755" s="618" t="s">
        <v>622</v>
      </c>
      <c r="E755" s="618" t="s">
        <v>2</v>
      </c>
      <c r="F755" s="615" t="s">
        <v>623</v>
      </c>
      <c r="G755" s="289" t="s">
        <v>624</v>
      </c>
      <c r="H755" s="256" t="s">
        <v>625</v>
      </c>
      <c r="M755" s="615" t="s">
        <v>623</v>
      </c>
    </row>
    <row r="756" spans="2:13" ht="18.75" customHeight="1" x14ac:dyDescent="0.25">
      <c r="B756" s="619"/>
      <c r="C756" s="621"/>
      <c r="D756" s="619"/>
      <c r="E756" s="619"/>
      <c r="F756" s="616"/>
      <c r="G756" s="289" t="s">
        <v>626</v>
      </c>
      <c r="H756" s="256" t="s">
        <v>626</v>
      </c>
      <c r="M756" s="616"/>
    </row>
    <row r="757" spans="2:13" ht="18.75" customHeight="1" x14ac:dyDescent="0.25">
      <c r="B757" s="221"/>
      <c r="C757" s="222"/>
      <c r="D757" s="221"/>
      <c r="E757" s="550"/>
      <c r="F757" s="555"/>
      <c r="G757" s="551"/>
      <c r="H757" s="220"/>
      <c r="M757" s="590"/>
    </row>
    <row r="758" spans="2:13" ht="18.75" customHeight="1" x14ac:dyDescent="0.25">
      <c r="B758" s="550" t="s">
        <v>627</v>
      </c>
      <c r="C758" s="223" t="s">
        <v>628</v>
      </c>
      <c r="D758" s="550"/>
      <c r="E758" s="550"/>
      <c r="F758" s="555"/>
      <c r="G758" s="551"/>
      <c r="H758" s="220"/>
      <c r="M758" s="590"/>
    </row>
    <row r="759" spans="2:13" ht="18.75" customHeight="1" x14ac:dyDescent="0.25">
      <c r="B759" s="550"/>
      <c r="C759" s="227" t="s">
        <v>629</v>
      </c>
      <c r="D759" s="550" t="s">
        <v>630</v>
      </c>
      <c r="E759" s="550" t="s">
        <v>631</v>
      </c>
      <c r="F759" s="228">
        <f t="shared" ref="F759:F762" si="39">$K$8*M759</f>
        <v>1.5</v>
      </c>
      <c r="G759" s="229">
        <f>G734</f>
        <v>95000</v>
      </c>
      <c r="H759" s="230">
        <f>+G759*F759</f>
        <v>142500</v>
      </c>
      <c r="M759" s="228">
        <v>1.5</v>
      </c>
    </row>
    <row r="760" spans="2:13" ht="18.75" customHeight="1" x14ac:dyDescent="0.25">
      <c r="B760" s="550"/>
      <c r="C760" s="227" t="s">
        <v>1508</v>
      </c>
      <c r="D760" s="550" t="s">
        <v>632</v>
      </c>
      <c r="E760" s="550" t="s">
        <v>631</v>
      </c>
      <c r="F760" s="228">
        <f t="shared" si="39"/>
        <v>0.75</v>
      </c>
      <c r="G760" s="229">
        <f>Upah!E13</f>
        <v>110000</v>
      </c>
      <c r="H760" s="230">
        <f>+G760*F760</f>
        <v>82500</v>
      </c>
      <c r="M760" s="228">
        <v>0.75</v>
      </c>
    </row>
    <row r="761" spans="2:13" ht="18.75" customHeight="1" x14ac:dyDescent="0.25">
      <c r="B761" s="550"/>
      <c r="C761" s="227" t="s">
        <v>633</v>
      </c>
      <c r="D761" s="550" t="s">
        <v>634</v>
      </c>
      <c r="E761" s="550" t="s">
        <v>631</v>
      </c>
      <c r="F761" s="228">
        <f t="shared" si="39"/>
        <v>7.4999999999999997E-2</v>
      </c>
      <c r="G761" s="229">
        <f>G385</f>
        <v>115000</v>
      </c>
      <c r="H761" s="230">
        <f>+G761*F761</f>
        <v>8625</v>
      </c>
      <c r="M761" s="228">
        <v>7.4999999999999997E-2</v>
      </c>
    </row>
    <row r="762" spans="2:13" ht="18.75" customHeight="1" x14ac:dyDescent="0.25">
      <c r="B762" s="550"/>
      <c r="C762" s="227" t="s">
        <v>600</v>
      </c>
      <c r="D762" s="550" t="s">
        <v>635</v>
      </c>
      <c r="E762" s="550" t="s">
        <v>631</v>
      </c>
      <c r="F762" s="228">
        <f t="shared" si="39"/>
        <v>7.4999999999999997E-2</v>
      </c>
      <c r="G762" s="229">
        <f>G735</f>
        <v>140000</v>
      </c>
      <c r="H762" s="230">
        <f>+G762*F762</f>
        <v>10500</v>
      </c>
      <c r="M762" s="228">
        <v>7.4999999999999997E-2</v>
      </c>
    </row>
    <row r="763" spans="2:13" ht="18.75" customHeight="1" x14ac:dyDescent="0.25">
      <c r="B763" s="550"/>
      <c r="C763" s="223"/>
      <c r="D763" s="550"/>
      <c r="E763" s="550"/>
      <c r="F763" s="233" t="s">
        <v>636</v>
      </c>
      <c r="G763" s="551"/>
      <c r="H763" s="231">
        <f>SUM(H759:H762)</f>
        <v>244125</v>
      </c>
      <c r="M763" s="233" t="s">
        <v>636</v>
      </c>
    </row>
    <row r="764" spans="2:13" ht="18.75" customHeight="1" x14ac:dyDescent="0.25">
      <c r="B764" s="550"/>
      <c r="C764" s="223"/>
      <c r="D764" s="550"/>
      <c r="E764" s="550"/>
      <c r="F764" s="233"/>
      <c r="G764" s="551"/>
      <c r="H764" s="231"/>
      <c r="M764" s="233"/>
    </row>
    <row r="765" spans="2:13" ht="18.75" customHeight="1" x14ac:dyDescent="0.25">
      <c r="B765" s="550" t="s">
        <v>637</v>
      </c>
      <c r="C765" s="223" t="s">
        <v>638</v>
      </c>
      <c r="D765" s="550"/>
      <c r="E765" s="550"/>
      <c r="F765" s="555"/>
      <c r="G765" s="551"/>
      <c r="H765" s="220"/>
      <c r="M765" s="590"/>
    </row>
    <row r="766" spans="2:13" ht="18.75" customHeight="1" x14ac:dyDescent="0.25">
      <c r="B766" s="550"/>
      <c r="C766" s="223" t="s">
        <v>678</v>
      </c>
      <c r="D766" s="550"/>
      <c r="E766" s="550" t="s">
        <v>52</v>
      </c>
      <c r="F766" s="233">
        <v>1.2</v>
      </c>
      <c r="G766" s="234">
        <f>G321</f>
        <v>310000</v>
      </c>
      <c r="H766" s="230">
        <f>+G766*F766</f>
        <v>372000</v>
      </c>
      <c r="M766" s="233">
        <v>1.2</v>
      </c>
    </row>
    <row r="767" spans="2:13" ht="18.75" customHeight="1" x14ac:dyDescent="0.25">
      <c r="B767" s="550"/>
      <c r="C767" s="223" t="s">
        <v>708</v>
      </c>
      <c r="D767" s="550"/>
      <c r="E767" s="550" t="s">
        <v>5</v>
      </c>
      <c r="F767" s="233">
        <v>202</v>
      </c>
      <c r="G767" s="234">
        <f>G225</f>
        <v>1700</v>
      </c>
      <c r="H767" s="230">
        <f>+G767*F767</f>
        <v>343400</v>
      </c>
      <c r="M767" s="233">
        <v>202</v>
      </c>
    </row>
    <row r="768" spans="2:13" ht="18.75" customHeight="1" x14ac:dyDescent="0.25">
      <c r="B768" s="550"/>
      <c r="C768" s="223" t="s">
        <v>709</v>
      </c>
      <c r="D768" s="550"/>
      <c r="E768" s="550" t="s">
        <v>52</v>
      </c>
      <c r="F768" s="233">
        <v>0.48499999999999999</v>
      </c>
      <c r="G768" s="234">
        <f>G323</f>
        <v>230000</v>
      </c>
      <c r="H768" s="230">
        <f>+G768*F768</f>
        <v>111550</v>
      </c>
      <c r="M768" s="233">
        <v>0.48499999999999999</v>
      </c>
    </row>
    <row r="769" spans="2:13" ht="18.75" customHeight="1" x14ac:dyDescent="0.25">
      <c r="B769" s="550"/>
      <c r="C769" s="223"/>
      <c r="D769" s="550"/>
      <c r="E769" s="550"/>
      <c r="F769" s="237" t="s">
        <v>643</v>
      </c>
      <c r="G769" s="551"/>
      <c r="H769" s="231">
        <f>SUM(H766:H768)</f>
        <v>826950</v>
      </c>
      <c r="M769" s="237" t="s">
        <v>643</v>
      </c>
    </row>
    <row r="770" spans="2:13" ht="18.75" customHeight="1" x14ac:dyDescent="0.25">
      <c r="B770" s="550"/>
      <c r="C770" s="223"/>
      <c r="D770" s="550"/>
      <c r="E770" s="550"/>
      <c r="F770" s="555"/>
      <c r="G770" s="551"/>
      <c r="H770" s="220"/>
      <c r="M770" s="590"/>
    </row>
    <row r="771" spans="2:13" ht="18.75" customHeight="1" x14ac:dyDescent="0.25">
      <c r="B771" s="550" t="s">
        <v>644</v>
      </c>
      <c r="C771" s="223" t="s">
        <v>645</v>
      </c>
      <c r="D771" s="550"/>
      <c r="E771" s="550"/>
      <c r="F771" s="555"/>
      <c r="G771" s="551"/>
      <c r="H771" s="235"/>
      <c r="M771" s="590"/>
    </row>
    <row r="772" spans="2:13" ht="18.75" customHeight="1" x14ac:dyDescent="0.25">
      <c r="B772" s="236"/>
      <c r="C772" s="232"/>
      <c r="D772" s="550"/>
      <c r="E772" s="550"/>
      <c r="F772" s="237" t="s">
        <v>646</v>
      </c>
      <c r="G772" s="551"/>
      <c r="H772" s="230">
        <f>SUM(H771:H771)</f>
        <v>0</v>
      </c>
      <c r="M772" s="237" t="s">
        <v>646</v>
      </c>
    </row>
    <row r="773" spans="2:13" ht="18.75" customHeight="1" x14ac:dyDescent="0.25">
      <c r="B773" s="236"/>
      <c r="C773" s="232"/>
      <c r="D773" s="550"/>
      <c r="E773" s="224"/>
      <c r="F773" s="237"/>
      <c r="G773" s="290"/>
      <c r="H773" s="226"/>
      <c r="M773" s="237"/>
    </row>
    <row r="774" spans="2:13" ht="18.75" customHeight="1" x14ac:dyDescent="0.25">
      <c r="B774" s="248"/>
      <c r="C774" s="238"/>
      <c r="D774" s="239"/>
      <c r="E774" s="266"/>
      <c r="F774" s="241"/>
      <c r="G774" s="303"/>
      <c r="H774" s="267"/>
      <c r="M774" s="241"/>
    </row>
    <row r="775" spans="2:13" ht="18.75" customHeight="1" x14ac:dyDescent="0.25">
      <c r="B775" s="249" t="s">
        <v>647</v>
      </c>
      <c r="C775" s="104" t="s">
        <v>648</v>
      </c>
      <c r="D775" s="435"/>
      <c r="E775" s="92"/>
      <c r="F775" s="183"/>
      <c r="G775" s="167"/>
      <c r="H775" s="252">
        <f>+H772+H769+H763</f>
        <v>1071075</v>
      </c>
      <c r="M775" s="183"/>
    </row>
    <row r="776" spans="2:13" ht="18.75" customHeight="1" x14ac:dyDescent="0.25">
      <c r="B776" s="249" t="s">
        <v>649</v>
      </c>
      <c r="C776" s="242" t="s">
        <v>650</v>
      </c>
      <c r="D776" s="435"/>
      <c r="E776" s="92"/>
      <c r="F776" s="184" t="str">
        <f>$J$5</f>
        <v>8,0 % x D</v>
      </c>
      <c r="G776" s="167"/>
      <c r="H776" s="253">
        <f>+H775*$K$5</f>
        <v>85686</v>
      </c>
      <c r="M776" s="184" t="str">
        <f>$J$5</f>
        <v>8,0 % x D</v>
      </c>
    </row>
    <row r="777" spans="2:13" ht="18.75" customHeight="1" x14ac:dyDescent="0.25">
      <c r="B777" s="249" t="s">
        <v>651</v>
      </c>
      <c r="C777" s="111" t="s">
        <v>652</v>
      </c>
      <c r="D777" s="435"/>
      <c r="E777" s="91"/>
      <c r="F777" s="185"/>
      <c r="G777" s="168"/>
      <c r="H777" s="254">
        <f>ROUNDUP((H776+H775)/100,0)*100</f>
        <v>1156800</v>
      </c>
      <c r="M777" s="185"/>
    </row>
    <row r="778" spans="2:13" ht="18.75" customHeight="1" x14ac:dyDescent="0.25">
      <c r="B778" s="259"/>
      <c r="C778" s="261"/>
      <c r="D778" s="245"/>
      <c r="E778" s="246"/>
      <c r="F778" s="247"/>
      <c r="G778" s="298"/>
      <c r="H778" s="260"/>
      <c r="M778" s="247"/>
    </row>
    <row r="779" spans="2:13" ht="18.75" customHeight="1" x14ac:dyDescent="0.25">
      <c r="B779" s="22"/>
      <c r="C779" s="104"/>
      <c r="E779" s="21"/>
      <c r="F779" s="176"/>
      <c r="G779" s="165"/>
      <c r="H779" s="119"/>
      <c r="M779" s="176"/>
    </row>
    <row r="780" spans="2:13" ht="18.75" customHeight="1" x14ac:dyDescent="0.25">
      <c r="B780" s="19">
        <f>B754+1</f>
        <v>2</v>
      </c>
      <c r="C780" s="93" t="s">
        <v>710</v>
      </c>
      <c r="D780" s="19"/>
      <c r="E780" s="65"/>
      <c r="F780" s="199"/>
      <c r="G780" s="165"/>
      <c r="H780" s="119"/>
      <c r="M780" s="199"/>
    </row>
    <row r="781" spans="2:13" ht="18.75" customHeight="1" x14ac:dyDescent="0.25">
      <c r="B781" s="618" t="s">
        <v>620</v>
      </c>
      <c r="C781" s="620" t="s">
        <v>621</v>
      </c>
      <c r="D781" s="618" t="s">
        <v>622</v>
      </c>
      <c r="E781" s="618" t="s">
        <v>2</v>
      </c>
      <c r="F781" s="615" t="s">
        <v>623</v>
      </c>
      <c r="G781" s="289" t="s">
        <v>624</v>
      </c>
      <c r="H781" s="256" t="s">
        <v>625</v>
      </c>
      <c r="M781" s="615" t="s">
        <v>623</v>
      </c>
    </row>
    <row r="782" spans="2:13" ht="18.75" customHeight="1" x14ac:dyDescent="0.25">
      <c r="B782" s="619"/>
      <c r="C782" s="621"/>
      <c r="D782" s="619"/>
      <c r="E782" s="619"/>
      <c r="F782" s="616"/>
      <c r="G782" s="289" t="s">
        <v>626</v>
      </c>
      <c r="H782" s="256" t="s">
        <v>626</v>
      </c>
      <c r="M782" s="616"/>
    </row>
    <row r="783" spans="2:13" ht="18.75" customHeight="1" x14ac:dyDescent="0.25">
      <c r="B783" s="221"/>
      <c r="C783" s="222"/>
      <c r="D783" s="221"/>
      <c r="E783" s="550"/>
      <c r="F783" s="555"/>
      <c r="G783" s="551"/>
      <c r="H783" s="220"/>
      <c r="M783" s="590"/>
    </row>
    <row r="784" spans="2:13" ht="18.75" customHeight="1" x14ac:dyDescent="0.25">
      <c r="B784" s="550" t="s">
        <v>627</v>
      </c>
      <c r="C784" s="223" t="s">
        <v>628</v>
      </c>
      <c r="D784" s="550"/>
      <c r="E784" s="224"/>
      <c r="F784" s="225"/>
      <c r="G784" s="290"/>
      <c r="H784" s="226"/>
      <c r="M784" s="225"/>
    </row>
    <row r="785" spans="2:13" ht="18.75" customHeight="1" x14ac:dyDescent="0.25">
      <c r="B785" s="550"/>
      <c r="C785" s="227" t="s">
        <v>629</v>
      </c>
      <c r="D785" s="550" t="s">
        <v>630</v>
      </c>
      <c r="E785" s="224" t="s">
        <v>631</v>
      </c>
      <c r="F785" s="228">
        <f t="shared" ref="F785:F788" si="40">$K$8*M785</f>
        <v>1.5</v>
      </c>
      <c r="G785" s="229">
        <f>G759</f>
        <v>95000</v>
      </c>
      <c r="H785" s="230">
        <f>+G785*F785</f>
        <v>142500</v>
      </c>
      <c r="M785" s="228">
        <v>1.5</v>
      </c>
    </row>
    <row r="786" spans="2:13" ht="18.75" customHeight="1" x14ac:dyDescent="0.25">
      <c r="B786" s="550"/>
      <c r="C786" s="227" t="s">
        <v>1508</v>
      </c>
      <c r="D786" s="550" t="s">
        <v>632</v>
      </c>
      <c r="E786" s="224" t="s">
        <v>631</v>
      </c>
      <c r="F786" s="228">
        <f t="shared" si="40"/>
        <v>0.75</v>
      </c>
      <c r="G786" s="229">
        <f>G760</f>
        <v>110000</v>
      </c>
      <c r="H786" s="230">
        <f>+G786*F786</f>
        <v>82500</v>
      </c>
      <c r="M786" s="228">
        <v>0.75</v>
      </c>
    </row>
    <row r="787" spans="2:13" ht="18.75" customHeight="1" x14ac:dyDescent="0.25">
      <c r="B787" s="550"/>
      <c r="C787" s="227" t="s">
        <v>633</v>
      </c>
      <c r="D787" s="550" t="s">
        <v>634</v>
      </c>
      <c r="E787" s="224" t="s">
        <v>631</v>
      </c>
      <c r="F787" s="228">
        <f t="shared" si="40"/>
        <v>7.4999999999999997E-2</v>
      </c>
      <c r="G787" s="229">
        <f>G761</f>
        <v>115000</v>
      </c>
      <c r="H787" s="230">
        <f>+G787*F787</f>
        <v>8625</v>
      </c>
      <c r="M787" s="228">
        <v>7.4999999999999997E-2</v>
      </c>
    </row>
    <row r="788" spans="2:13" ht="18.75" customHeight="1" x14ac:dyDescent="0.25">
      <c r="B788" s="550"/>
      <c r="C788" s="227" t="s">
        <v>600</v>
      </c>
      <c r="D788" s="550" t="s">
        <v>635</v>
      </c>
      <c r="E788" s="224" t="s">
        <v>631</v>
      </c>
      <c r="F788" s="228">
        <f t="shared" si="40"/>
        <v>7.4999999999999997E-2</v>
      </c>
      <c r="G788" s="229">
        <f>G762</f>
        <v>140000</v>
      </c>
      <c r="H788" s="230">
        <f>+G788*F788</f>
        <v>10500</v>
      </c>
      <c r="M788" s="228">
        <v>7.4999999999999997E-2</v>
      </c>
    </row>
    <row r="789" spans="2:13" ht="18.75" customHeight="1" x14ac:dyDescent="0.25">
      <c r="B789" s="550"/>
      <c r="C789" s="223"/>
      <c r="D789" s="550"/>
      <c r="E789" s="224"/>
      <c r="F789" s="233" t="s">
        <v>636</v>
      </c>
      <c r="G789" s="290"/>
      <c r="H789" s="231">
        <f>SUM(H785:H788)</f>
        <v>244125</v>
      </c>
      <c r="M789" s="233" t="s">
        <v>636</v>
      </c>
    </row>
    <row r="790" spans="2:13" ht="18.75" customHeight="1" x14ac:dyDescent="0.25">
      <c r="B790" s="550" t="s">
        <v>637</v>
      </c>
      <c r="C790" s="223" t="s">
        <v>638</v>
      </c>
      <c r="D790" s="550"/>
      <c r="E790" s="224"/>
      <c r="F790" s="225"/>
      <c r="G790" s="290"/>
      <c r="H790" s="226"/>
      <c r="M790" s="225"/>
    </row>
    <row r="791" spans="2:13" ht="18.75" customHeight="1" x14ac:dyDescent="0.25">
      <c r="B791" s="550"/>
      <c r="C791" s="223" t="s">
        <v>678</v>
      </c>
      <c r="D791" s="550"/>
      <c r="E791" s="550" t="s">
        <v>52</v>
      </c>
      <c r="F791" s="233">
        <v>1.2</v>
      </c>
      <c r="G791" s="234">
        <f>G766</f>
        <v>310000</v>
      </c>
      <c r="H791" s="230">
        <f>+G791*F791</f>
        <v>372000</v>
      </c>
      <c r="M791" s="233">
        <v>1.2</v>
      </c>
    </row>
    <row r="792" spans="2:13" ht="18.75" customHeight="1" x14ac:dyDescent="0.25">
      <c r="B792" s="550"/>
      <c r="C792" s="223" t="s">
        <v>708</v>
      </c>
      <c r="D792" s="550"/>
      <c r="E792" s="550" t="s">
        <v>5</v>
      </c>
      <c r="F792" s="233">
        <v>163</v>
      </c>
      <c r="G792" s="234">
        <f>G767</f>
        <v>1700</v>
      </c>
      <c r="H792" s="230">
        <f>+G792*F792</f>
        <v>277100</v>
      </c>
      <c r="M792" s="233">
        <v>163</v>
      </c>
    </row>
    <row r="793" spans="2:13" ht="18.75" customHeight="1" x14ac:dyDescent="0.25">
      <c r="B793" s="550"/>
      <c r="C793" s="223" t="s">
        <v>709</v>
      </c>
      <c r="D793" s="550"/>
      <c r="E793" s="550" t="s">
        <v>52</v>
      </c>
      <c r="F793" s="233">
        <v>0.52</v>
      </c>
      <c r="G793" s="234">
        <f>G768</f>
        <v>230000</v>
      </c>
      <c r="H793" s="230">
        <f>+G793*F793</f>
        <v>119600</v>
      </c>
      <c r="M793" s="233">
        <v>0.52</v>
      </c>
    </row>
    <row r="794" spans="2:13" ht="18.75" customHeight="1" x14ac:dyDescent="0.25">
      <c r="B794" s="550"/>
      <c r="C794" s="223"/>
      <c r="D794" s="550"/>
      <c r="E794" s="224"/>
      <c r="F794" s="237" t="s">
        <v>643</v>
      </c>
      <c r="G794" s="290"/>
      <c r="H794" s="231">
        <f>SUM(H791:H793)</f>
        <v>768700</v>
      </c>
      <c r="M794" s="237" t="s">
        <v>643</v>
      </c>
    </row>
    <row r="795" spans="2:13" ht="18.75" customHeight="1" x14ac:dyDescent="0.25">
      <c r="B795" s="550"/>
      <c r="C795" s="223"/>
      <c r="D795" s="550"/>
      <c r="E795" s="224"/>
      <c r="F795" s="225"/>
      <c r="G795" s="290"/>
      <c r="H795" s="226"/>
      <c r="M795" s="225"/>
    </row>
    <row r="796" spans="2:13" ht="18.75" customHeight="1" x14ac:dyDescent="0.25">
      <c r="B796" s="550" t="s">
        <v>644</v>
      </c>
      <c r="C796" s="223" t="s">
        <v>645</v>
      </c>
      <c r="D796" s="550"/>
      <c r="E796" s="224"/>
      <c r="F796" s="225"/>
      <c r="G796" s="290"/>
      <c r="H796" s="235"/>
      <c r="M796" s="225"/>
    </row>
    <row r="797" spans="2:13" ht="18.75" customHeight="1" x14ac:dyDescent="0.25">
      <c r="B797" s="236"/>
      <c r="C797" s="232"/>
      <c r="D797" s="550"/>
      <c r="E797" s="224"/>
      <c r="F797" s="237" t="s">
        <v>646</v>
      </c>
      <c r="G797" s="290"/>
      <c r="H797" s="230">
        <f>SUM(H796:H796)</f>
        <v>0</v>
      </c>
      <c r="M797" s="237" t="s">
        <v>646</v>
      </c>
    </row>
    <row r="798" spans="2:13" ht="18.75" customHeight="1" x14ac:dyDescent="0.25">
      <c r="B798" s="236"/>
      <c r="C798" s="232"/>
      <c r="D798" s="550"/>
      <c r="E798" s="224"/>
      <c r="F798" s="237"/>
      <c r="G798" s="290"/>
      <c r="H798" s="226"/>
      <c r="M798" s="237"/>
    </row>
    <row r="799" spans="2:13" ht="18.75" customHeight="1" x14ac:dyDescent="0.25">
      <c r="B799" s="248"/>
      <c r="C799" s="238"/>
      <c r="D799" s="239"/>
      <c r="E799" s="266"/>
      <c r="F799" s="241"/>
      <c r="G799" s="303"/>
      <c r="H799" s="267"/>
      <c r="M799" s="241"/>
    </row>
    <row r="800" spans="2:13" ht="18.75" customHeight="1" x14ac:dyDescent="0.25">
      <c r="B800" s="249" t="s">
        <v>647</v>
      </c>
      <c r="C800" s="104" t="s">
        <v>648</v>
      </c>
      <c r="D800" s="435"/>
      <c r="E800" s="92"/>
      <c r="F800" s="183"/>
      <c r="G800" s="167"/>
      <c r="H800" s="252">
        <f>+H797+H794+H789</f>
        <v>1012825</v>
      </c>
      <c r="M800" s="183"/>
    </row>
    <row r="801" spans="2:13" ht="18.75" customHeight="1" x14ac:dyDescent="0.25">
      <c r="B801" s="249" t="s">
        <v>649</v>
      </c>
      <c r="C801" s="242" t="s">
        <v>650</v>
      </c>
      <c r="D801" s="435"/>
      <c r="E801" s="92"/>
      <c r="F801" s="184" t="str">
        <f>$J$5</f>
        <v>8,0 % x D</v>
      </c>
      <c r="G801" s="167"/>
      <c r="H801" s="253">
        <f>+H800*$K$5</f>
        <v>81026</v>
      </c>
      <c r="M801" s="184" t="str">
        <f>$J$5</f>
        <v>8,0 % x D</v>
      </c>
    </row>
    <row r="802" spans="2:13" ht="18.75" customHeight="1" x14ac:dyDescent="0.25">
      <c r="B802" s="249" t="s">
        <v>651</v>
      </c>
      <c r="C802" s="111" t="s">
        <v>652</v>
      </c>
      <c r="D802" s="435"/>
      <c r="E802" s="91"/>
      <c r="F802" s="185"/>
      <c r="G802" s="168"/>
      <c r="H802" s="254">
        <f>ROUNDUP((H801+H800)/100,0)*100</f>
        <v>1093900</v>
      </c>
      <c r="M802" s="185"/>
    </row>
    <row r="803" spans="2:13" ht="18.75" customHeight="1" x14ac:dyDescent="0.25">
      <c r="B803" s="259"/>
      <c r="C803" s="261"/>
      <c r="D803" s="245"/>
      <c r="E803" s="246"/>
      <c r="F803" s="247"/>
      <c r="G803" s="298"/>
      <c r="H803" s="260"/>
      <c r="M803" s="247"/>
    </row>
    <row r="804" spans="2:13" ht="18.75" customHeight="1" x14ac:dyDescent="0.25">
      <c r="B804" s="22"/>
      <c r="C804" s="104"/>
      <c r="E804" s="21"/>
      <c r="F804" s="176"/>
      <c r="G804" s="165"/>
      <c r="H804" s="119"/>
      <c r="M804" s="176"/>
    </row>
    <row r="805" spans="2:13" ht="18.75" customHeight="1" x14ac:dyDescent="0.25">
      <c r="B805" s="19">
        <v>3</v>
      </c>
      <c r="C805" s="93" t="s">
        <v>711</v>
      </c>
      <c r="D805" s="19"/>
      <c r="E805" s="21"/>
      <c r="F805" s="176"/>
      <c r="G805" s="165"/>
      <c r="H805" s="119"/>
      <c r="M805" s="176"/>
    </row>
    <row r="806" spans="2:13" ht="18.75" customHeight="1" x14ac:dyDescent="0.25">
      <c r="B806" s="618" t="s">
        <v>620</v>
      </c>
      <c r="C806" s="620" t="s">
        <v>621</v>
      </c>
      <c r="D806" s="618" t="s">
        <v>622</v>
      </c>
      <c r="E806" s="618" t="s">
        <v>2</v>
      </c>
      <c r="F806" s="615" t="s">
        <v>623</v>
      </c>
      <c r="G806" s="289" t="s">
        <v>624</v>
      </c>
      <c r="H806" s="256" t="s">
        <v>625</v>
      </c>
      <c r="M806" s="615" t="s">
        <v>623</v>
      </c>
    </row>
    <row r="807" spans="2:13" ht="18.75" customHeight="1" x14ac:dyDescent="0.25">
      <c r="B807" s="619"/>
      <c r="C807" s="621"/>
      <c r="D807" s="619"/>
      <c r="E807" s="619"/>
      <c r="F807" s="616"/>
      <c r="G807" s="289" t="s">
        <v>626</v>
      </c>
      <c r="H807" s="256" t="s">
        <v>626</v>
      </c>
      <c r="M807" s="616"/>
    </row>
    <row r="808" spans="2:13" ht="18.75" customHeight="1" x14ac:dyDescent="0.25">
      <c r="B808" s="221"/>
      <c r="C808" s="222"/>
      <c r="D808" s="221"/>
      <c r="E808" s="550"/>
      <c r="F808" s="555"/>
      <c r="G808" s="551"/>
      <c r="H808" s="220"/>
      <c r="M808" s="590"/>
    </row>
    <row r="809" spans="2:13" ht="18.75" customHeight="1" x14ac:dyDescent="0.25">
      <c r="B809" s="550" t="s">
        <v>627</v>
      </c>
      <c r="C809" s="223" t="s">
        <v>628</v>
      </c>
      <c r="D809" s="550"/>
      <c r="E809" s="224"/>
      <c r="F809" s="225"/>
      <c r="G809" s="290"/>
      <c r="H809" s="226"/>
      <c r="M809" s="225"/>
    </row>
    <row r="810" spans="2:13" ht="18.75" customHeight="1" x14ac:dyDescent="0.25">
      <c r="B810" s="550"/>
      <c r="C810" s="227" t="s">
        <v>629</v>
      </c>
      <c r="D810" s="550" t="s">
        <v>630</v>
      </c>
      <c r="E810" s="224" t="s">
        <v>631</v>
      </c>
      <c r="F810" s="228">
        <f t="shared" ref="F810:F813" si="41">$K$8*M810</f>
        <v>1.5</v>
      </c>
      <c r="G810" s="229">
        <f>G785</f>
        <v>95000</v>
      </c>
      <c r="H810" s="230">
        <f>+G810*F810</f>
        <v>142500</v>
      </c>
      <c r="M810" s="228">
        <v>1.5</v>
      </c>
    </row>
    <row r="811" spans="2:13" ht="18.75" customHeight="1" x14ac:dyDescent="0.25">
      <c r="B811" s="550"/>
      <c r="C811" s="227" t="s">
        <v>1508</v>
      </c>
      <c r="D811" s="550" t="s">
        <v>632</v>
      </c>
      <c r="E811" s="224" t="s">
        <v>631</v>
      </c>
      <c r="F811" s="228">
        <f t="shared" si="41"/>
        <v>0.75</v>
      </c>
      <c r="G811" s="229">
        <f>G786</f>
        <v>110000</v>
      </c>
      <c r="H811" s="230">
        <f>+G811*F811</f>
        <v>82500</v>
      </c>
      <c r="M811" s="228">
        <v>0.75</v>
      </c>
    </row>
    <row r="812" spans="2:13" ht="18.75" customHeight="1" x14ac:dyDescent="0.25">
      <c r="B812" s="550"/>
      <c r="C812" s="227" t="s">
        <v>633</v>
      </c>
      <c r="D812" s="550" t="s">
        <v>634</v>
      </c>
      <c r="E812" s="224" t="s">
        <v>631</v>
      </c>
      <c r="F812" s="228">
        <f t="shared" si="41"/>
        <v>7.4999999999999997E-2</v>
      </c>
      <c r="G812" s="229">
        <f>G787</f>
        <v>115000</v>
      </c>
      <c r="H812" s="230">
        <f>+G812*F812</f>
        <v>8625</v>
      </c>
      <c r="M812" s="228">
        <v>7.4999999999999997E-2</v>
      </c>
    </row>
    <row r="813" spans="2:13" ht="18.75" customHeight="1" x14ac:dyDescent="0.25">
      <c r="B813" s="550"/>
      <c r="C813" s="227" t="s">
        <v>600</v>
      </c>
      <c r="D813" s="550" t="s">
        <v>635</v>
      </c>
      <c r="E813" s="224" t="s">
        <v>631</v>
      </c>
      <c r="F813" s="228">
        <f t="shared" si="41"/>
        <v>7.4999999999999997E-2</v>
      </c>
      <c r="G813" s="229">
        <f>G788</f>
        <v>140000</v>
      </c>
      <c r="H813" s="230">
        <f>+G813*F813</f>
        <v>10500</v>
      </c>
      <c r="M813" s="228">
        <v>7.4999999999999997E-2</v>
      </c>
    </row>
    <row r="814" spans="2:13" ht="18.75" customHeight="1" x14ac:dyDescent="0.25">
      <c r="B814" s="550"/>
      <c r="C814" s="223"/>
      <c r="D814" s="550"/>
      <c r="E814" s="224"/>
      <c r="F814" s="233" t="s">
        <v>636</v>
      </c>
      <c r="G814" s="290"/>
      <c r="H814" s="231">
        <f>SUM(H810:H813)</f>
        <v>244125</v>
      </c>
      <c r="M814" s="233" t="s">
        <v>636</v>
      </c>
    </row>
    <row r="815" spans="2:13" ht="18.75" customHeight="1" x14ac:dyDescent="0.25">
      <c r="B815" s="550"/>
      <c r="C815" s="223"/>
      <c r="D815" s="550"/>
      <c r="E815" s="224"/>
      <c r="F815" s="233"/>
      <c r="G815" s="290"/>
      <c r="H815" s="231"/>
      <c r="M815" s="233"/>
    </row>
    <row r="816" spans="2:13" ht="18.75" customHeight="1" x14ac:dyDescent="0.25">
      <c r="B816" s="550" t="s">
        <v>637</v>
      </c>
      <c r="C816" s="223" t="s">
        <v>638</v>
      </c>
      <c r="D816" s="550"/>
      <c r="E816" s="224"/>
      <c r="F816" s="225"/>
      <c r="G816" s="290"/>
      <c r="H816" s="226"/>
      <c r="M816" s="225"/>
    </row>
    <row r="817" spans="2:13" ht="18.75" customHeight="1" x14ac:dyDescent="0.25">
      <c r="B817" s="550"/>
      <c r="C817" s="223" t="s">
        <v>678</v>
      </c>
      <c r="D817" s="550"/>
      <c r="E817" s="550" t="s">
        <v>52</v>
      </c>
      <c r="F817" s="233">
        <v>1.2</v>
      </c>
      <c r="G817" s="234">
        <f>G791</f>
        <v>310000</v>
      </c>
      <c r="H817" s="230">
        <f>+G817*F817</f>
        <v>372000</v>
      </c>
      <c r="M817" s="233">
        <v>1.2</v>
      </c>
    </row>
    <row r="818" spans="2:13" ht="18.75" customHeight="1" x14ac:dyDescent="0.25">
      <c r="B818" s="550"/>
      <c r="C818" s="223" t="s">
        <v>708</v>
      </c>
      <c r="D818" s="550"/>
      <c r="E818" s="550" t="s">
        <v>5</v>
      </c>
      <c r="F818" s="233">
        <v>136</v>
      </c>
      <c r="G818" s="234">
        <f>G792</f>
        <v>1700</v>
      </c>
      <c r="H818" s="230">
        <f>+G818*F818</f>
        <v>231200</v>
      </c>
      <c r="M818" s="233">
        <v>136</v>
      </c>
    </row>
    <row r="819" spans="2:13" ht="18.75" customHeight="1" x14ac:dyDescent="0.25">
      <c r="B819" s="550"/>
      <c r="C819" s="223" t="s">
        <v>709</v>
      </c>
      <c r="D819" s="550"/>
      <c r="E819" s="550" t="s">
        <v>52</v>
      </c>
      <c r="F819" s="233">
        <v>0.54400000000000004</v>
      </c>
      <c r="G819" s="234">
        <f>G793</f>
        <v>230000</v>
      </c>
      <c r="H819" s="230">
        <f>+G819*F819</f>
        <v>125120.00000000001</v>
      </c>
      <c r="M819" s="233">
        <v>0.54400000000000004</v>
      </c>
    </row>
    <row r="820" spans="2:13" ht="18.75" customHeight="1" x14ac:dyDescent="0.25">
      <c r="B820" s="550"/>
      <c r="C820" s="223"/>
      <c r="D820" s="550"/>
      <c r="E820" s="224"/>
      <c r="F820" s="237" t="s">
        <v>643</v>
      </c>
      <c r="G820" s="290"/>
      <c r="H820" s="231">
        <f>SUM(H817:H819)</f>
        <v>728320</v>
      </c>
      <c r="M820" s="237" t="s">
        <v>643</v>
      </c>
    </row>
    <row r="821" spans="2:13" ht="18.75" customHeight="1" x14ac:dyDescent="0.25">
      <c r="B821" s="550"/>
      <c r="C821" s="223"/>
      <c r="D821" s="550"/>
      <c r="E821" s="224"/>
      <c r="F821" s="225"/>
      <c r="G821" s="290"/>
      <c r="H821" s="226"/>
      <c r="M821" s="225"/>
    </row>
    <row r="822" spans="2:13" ht="18.75" customHeight="1" x14ac:dyDescent="0.25">
      <c r="B822" s="550" t="s">
        <v>644</v>
      </c>
      <c r="C822" s="223" t="s">
        <v>645</v>
      </c>
      <c r="D822" s="550"/>
      <c r="E822" s="224"/>
      <c r="F822" s="225"/>
      <c r="G822" s="290"/>
      <c r="H822" s="235"/>
      <c r="M822" s="225"/>
    </row>
    <row r="823" spans="2:13" ht="18.75" customHeight="1" x14ac:dyDescent="0.25">
      <c r="B823" s="236"/>
      <c r="C823" s="232"/>
      <c r="D823" s="550"/>
      <c r="E823" s="224"/>
      <c r="F823" s="237" t="s">
        <v>646</v>
      </c>
      <c r="G823" s="290"/>
      <c r="H823" s="230">
        <f>SUM(H822:H822)</f>
        <v>0</v>
      </c>
      <c r="M823" s="237" t="s">
        <v>646</v>
      </c>
    </row>
    <row r="824" spans="2:13" ht="18.75" customHeight="1" x14ac:dyDescent="0.25">
      <c r="B824" s="236"/>
      <c r="C824" s="232"/>
      <c r="D824" s="550"/>
      <c r="E824" s="224"/>
      <c r="F824" s="237"/>
      <c r="G824" s="290"/>
      <c r="H824" s="226"/>
      <c r="M824" s="237"/>
    </row>
    <row r="825" spans="2:13" ht="18.75" customHeight="1" x14ac:dyDescent="0.25">
      <c r="B825" s="248"/>
      <c r="C825" s="238"/>
      <c r="D825" s="239"/>
      <c r="E825" s="266"/>
      <c r="F825" s="241"/>
      <c r="G825" s="303"/>
      <c r="H825" s="267"/>
      <c r="M825" s="241"/>
    </row>
    <row r="826" spans="2:13" ht="18.75" customHeight="1" x14ac:dyDescent="0.25">
      <c r="B826" s="249" t="s">
        <v>647</v>
      </c>
      <c r="C826" s="104" t="s">
        <v>648</v>
      </c>
      <c r="D826" s="435"/>
      <c r="E826" s="92"/>
      <c r="F826" s="183"/>
      <c r="G826" s="167"/>
      <c r="H826" s="252">
        <f>+H823+H820+H814</f>
        <v>972445</v>
      </c>
      <c r="M826" s="183"/>
    </row>
    <row r="827" spans="2:13" ht="18.75" customHeight="1" x14ac:dyDescent="0.25">
      <c r="B827" s="249" t="s">
        <v>649</v>
      </c>
      <c r="C827" s="242" t="s">
        <v>650</v>
      </c>
      <c r="D827" s="435"/>
      <c r="E827" s="92"/>
      <c r="F827" s="184" t="str">
        <f>$J$5</f>
        <v>8,0 % x D</v>
      </c>
      <c r="G827" s="167"/>
      <c r="H827" s="253">
        <f>+H826*$K$5</f>
        <v>77795.600000000006</v>
      </c>
      <c r="M827" s="184" t="str">
        <f>$J$5</f>
        <v>8,0 % x D</v>
      </c>
    </row>
    <row r="828" spans="2:13" ht="18.75" customHeight="1" x14ac:dyDescent="0.25">
      <c r="B828" s="249" t="s">
        <v>651</v>
      </c>
      <c r="C828" s="111" t="s">
        <v>652</v>
      </c>
      <c r="D828" s="435"/>
      <c r="E828" s="91"/>
      <c r="F828" s="185"/>
      <c r="G828" s="168"/>
      <c r="H828" s="254">
        <f>ROUNDUP((H827+H826)/100,0)*100</f>
        <v>1050300</v>
      </c>
      <c r="M828" s="185"/>
    </row>
    <row r="829" spans="2:13" ht="18.75" customHeight="1" x14ac:dyDescent="0.25">
      <c r="B829" s="259"/>
      <c r="C829" s="261"/>
      <c r="D829" s="245"/>
      <c r="E829" s="246"/>
      <c r="F829" s="247"/>
      <c r="G829" s="298"/>
      <c r="H829" s="260"/>
      <c r="M829" s="247"/>
    </row>
    <row r="830" spans="2:13" ht="18.75" customHeight="1" x14ac:dyDescent="0.25">
      <c r="G830" s="66"/>
      <c r="H830" s="138"/>
    </row>
    <row r="831" spans="2:13" ht="18.75" customHeight="1" x14ac:dyDescent="0.25">
      <c r="B831" s="19">
        <v>4</v>
      </c>
      <c r="C831" s="93" t="s">
        <v>712</v>
      </c>
      <c r="D831" s="19"/>
      <c r="E831" s="21"/>
      <c r="F831" s="176"/>
      <c r="G831" s="165"/>
      <c r="H831" s="119"/>
      <c r="M831" s="176"/>
    </row>
    <row r="832" spans="2:13" ht="18.75" customHeight="1" x14ac:dyDescent="0.25">
      <c r="B832" s="618" t="s">
        <v>620</v>
      </c>
      <c r="C832" s="620" t="s">
        <v>621</v>
      </c>
      <c r="D832" s="618" t="s">
        <v>622</v>
      </c>
      <c r="E832" s="618" t="s">
        <v>2</v>
      </c>
      <c r="F832" s="615" t="s">
        <v>623</v>
      </c>
      <c r="G832" s="289" t="s">
        <v>624</v>
      </c>
      <c r="H832" s="256" t="s">
        <v>625</v>
      </c>
      <c r="M832" s="615" t="s">
        <v>623</v>
      </c>
    </row>
    <row r="833" spans="2:13" ht="18.75" customHeight="1" x14ac:dyDescent="0.25">
      <c r="B833" s="619"/>
      <c r="C833" s="621"/>
      <c r="D833" s="619"/>
      <c r="E833" s="619"/>
      <c r="F833" s="616"/>
      <c r="G833" s="289" t="s">
        <v>626</v>
      </c>
      <c r="H833" s="256" t="s">
        <v>626</v>
      </c>
      <c r="M833" s="616"/>
    </row>
    <row r="834" spans="2:13" ht="18.75" customHeight="1" x14ac:dyDescent="0.25">
      <c r="B834" s="221"/>
      <c r="C834" s="222"/>
      <c r="D834" s="221"/>
      <c r="E834" s="550"/>
      <c r="F834" s="555"/>
      <c r="G834" s="551"/>
      <c r="H834" s="220"/>
      <c r="M834" s="590"/>
    </row>
    <row r="835" spans="2:13" ht="18.75" customHeight="1" x14ac:dyDescent="0.25">
      <c r="B835" s="550" t="s">
        <v>627</v>
      </c>
      <c r="C835" s="223" t="s">
        <v>628</v>
      </c>
      <c r="D835" s="550"/>
      <c r="E835" s="224"/>
      <c r="F835" s="225"/>
      <c r="G835" s="290"/>
      <c r="H835" s="226"/>
      <c r="M835" s="225"/>
    </row>
    <row r="836" spans="2:13" ht="18.75" customHeight="1" x14ac:dyDescent="0.25">
      <c r="B836" s="550"/>
      <c r="C836" s="227" t="s">
        <v>629</v>
      </c>
      <c r="D836" s="550" t="s">
        <v>630</v>
      </c>
      <c r="E836" s="224" t="s">
        <v>631</v>
      </c>
      <c r="F836" s="228">
        <f t="shared" ref="F836:F839" si="42">$K$8*M836</f>
        <v>1.5</v>
      </c>
      <c r="G836" s="229">
        <f>G810</f>
        <v>95000</v>
      </c>
      <c r="H836" s="230">
        <f>+G836*F836</f>
        <v>142500</v>
      </c>
      <c r="M836" s="228">
        <v>1.5</v>
      </c>
    </row>
    <row r="837" spans="2:13" ht="18.75" customHeight="1" x14ac:dyDescent="0.25">
      <c r="B837" s="550"/>
      <c r="C837" s="227" t="s">
        <v>1508</v>
      </c>
      <c r="D837" s="550" t="s">
        <v>632</v>
      </c>
      <c r="E837" s="224" t="s">
        <v>631</v>
      </c>
      <c r="F837" s="228">
        <f t="shared" si="42"/>
        <v>0.75</v>
      </c>
      <c r="G837" s="229">
        <f>G811</f>
        <v>110000</v>
      </c>
      <c r="H837" s="230">
        <f>+G837*F837</f>
        <v>82500</v>
      </c>
      <c r="M837" s="228">
        <v>0.75</v>
      </c>
    </row>
    <row r="838" spans="2:13" ht="18.75" customHeight="1" x14ac:dyDescent="0.25">
      <c r="B838" s="550"/>
      <c r="C838" s="227" t="s">
        <v>633</v>
      </c>
      <c r="D838" s="550" t="s">
        <v>634</v>
      </c>
      <c r="E838" s="224" t="s">
        <v>631</v>
      </c>
      <c r="F838" s="228">
        <f t="shared" si="42"/>
        <v>7.4999999999999997E-2</v>
      </c>
      <c r="G838" s="229">
        <f>G812</f>
        <v>115000</v>
      </c>
      <c r="H838" s="230">
        <f>+G838*F838</f>
        <v>8625</v>
      </c>
      <c r="M838" s="228">
        <v>7.4999999999999997E-2</v>
      </c>
    </row>
    <row r="839" spans="2:13" ht="18.75" customHeight="1" x14ac:dyDescent="0.25">
      <c r="B839" s="550"/>
      <c r="C839" s="227" t="s">
        <v>600</v>
      </c>
      <c r="D839" s="550" t="s">
        <v>635</v>
      </c>
      <c r="E839" s="224" t="s">
        <v>631</v>
      </c>
      <c r="F839" s="228">
        <f t="shared" si="42"/>
        <v>7.4999999999999997E-2</v>
      </c>
      <c r="G839" s="229">
        <f>G813</f>
        <v>140000</v>
      </c>
      <c r="H839" s="230">
        <f>+G839*F839</f>
        <v>10500</v>
      </c>
      <c r="M839" s="228">
        <v>7.4999999999999997E-2</v>
      </c>
    </row>
    <row r="840" spans="2:13" ht="18.75" customHeight="1" x14ac:dyDescent="0.25">
      <c r="B840" s="550"/>
      <c r="C840" s="223"/>
      <c r="D840" s="550"/>
      <c r="E840" s="224"/>
      <c r="F840" s="233" t="s">
        <v>636</v>
      </c>
      <c r="G840" s="290"/>
      <c r="H840" s="231">
        <f>SUM(H836:H839)</f>
        <v>244125</v>
      </c>
      <c r="M840" s="233" t="s">
        <v>636</v>
      </c>
    </row>
    <row r="841" spans="2:13" ht="18.75" customHeight="1" x14ac:dyDescent="0.25">
      <c r="B841" s="550"/>
      <c r="C841" s="223"/>
      <c r="D841" s="550"/>
      <c r="E841" s="224"/>
      <c r="F841" s="233"/>
      <c r="G841" s="290"/>
      <c r="H841" s="231"/>
      <c r="M841" s="233"/>
    </row>
    <row r="842" spans="2:13" ht="18.75" customHeight="1" x14ac:dyDescent="0.25">
      <c r="B842" s="550" t="s">
        <v>637</v>
      </c>
      <c r="C842" s="223" t="s">
        <v>638</v>
      </c>
      <c r="D842" s="550"/>
      <c r="E842" s="224"/>
      <c r="F842" s="225"/>
      <c r="G842" s="290"/>
      <c r="H842" s="226"/>
      <c r="M842" s="225"/>
    </row>
    <row r="843" spans="2:13" ht="18.75" customHeight="1" x14ac:dyDescent="0.25">
      <c r="B843" s="550"/>
      <c r="C843" s="223" t="s">
        <v>678</v>
      </c>
      <c r="D843" s="550"/>
      <c r="E843" s="550" t="s">
        <v>52</v>
      </c>
      <c r="F843" s="233">
        <v>1.2</v>
      </c>
      <c r="G843" s="234">
        <f>+G817</f>
        <v>310000</v>
      </c>
      <c r="H843" s="230">
        <f>+G843*F843</f>
        <v>372000</v>
      </c>
      <c r="M843" s="233">
        <v>1.2</v>
      </c>
    </row>
    <row r="844" spans="2:13" ht="18.75" customHeight="1" x14ac:dyDescent="0.25">
      <c r="B844" s="550"/>
      <c r="C844" s="223" t="s">
        <v>708</v>
      </c>
      <c r="D844" s="550"/>
      <c r="E844" s="550" t="s">
        <v>5</v>
      </c>
      <c r="F844" s="233">
        <v>117</v>
      </c>
      <c r="G844" s="234">
        <f>+G818</f>
        <v>1700</v>
      </c>
      <c r="H844" s="230">
        <f>+G844*F844</f>
        <v>198900</v>
      </c>
      <c r="M844" s="233">
        <v>117</v>
      </c>
    </row>
    <row r="845" spans="2:13" ht="18.75" customHeight="1" x14ac:dyDescent="0.25">
      <c r="B845" s="550"/>
      <c r="C845" s="223" t="s">
        <v>709</v>
      </c>
      <c r="D845" s="550"/>
      <c r="E845" s="550" t="s">
        <v>52</v>
      </c>
      <c r="F845" s="233">
        <v>0.56100000000000005</v>
      </c>
      <c r="G845" s="234">
        <f>+G819</f>
        <v>230000</v>
      </c>
      <c r="H845" s="230">
        <f>+G845*F845</f>
        <v>129030.00000000001</v>
      </c>
      <c r="M845" s="233">
        <v>0.56100000000000005</v>
      </c>
    </row>
    <row r="846" spans="2:13" ht="18.75" customHeight="1" x14ac:dyDescent="0.25">
      <c r="B846" s="550"/>
      <c r="C846" s="223"/>
      <c r="D846" s="550"/>
      <c r="E846" s="224"/>
      <c r="F846" s="237" t="s">
        <v>643</v>
      </c>
      <c r="G846" s="290"/>
      <c r="H846" s="231">
        <f>SUM(H843:H845)</f>
        <v>699930</v>
      </c>
      <c r="M846" s="237" t="s">
        <v>643</v>
      </c>
    </row>
    <row r="847" spans="2:13" ht="18.75" customHeight="1" x14ac:dyDescent="0.25">
      <c r="B847" s="550"/>
      <c r="C847" s="223"/>
      <c r="D847" s="550"/>
      <c r="E847" s="224"/>
      <c r="F847" s="225"/>
      <c r="G847" s="290"/>
      <c r="H847" s="226"/>
      <c r="M847" s="225"/>
    </row>
    <row r="848" spans="2:13" ht="18.75" customHeight="1" x14ac:dyDescent="0.25">
      <c r="B848" s="550" t="s">
        <v>644</v>
      </c>
      <c r="C848" s="223" t="s">
        <v>645</v>
      </c>
      <c r="D848" s="550"/>
      <c r="E848" s="224"/>
      <c r="F848" s="225"/>
      <c r="G848" s="290"/>
      <c r="H848" s="235"/>
      <c r="M848" s="225"/>
    </row>
    <row r="849" spans="2:13" ht="18.75" customHeight="1" x14ac:dyDescent="0.25">
      <c r="B849" s="236"/>
      <c r="C849" s="232"/>
      <c r="D849" s="550"/>
      <c r="E849" s="224"/>
      <c r="F849" s="237" t="s">
        <v>646</v>
      </c>
      <c r="G849" s="290"/>
      <c r="H849" s="230">
        <f>SUM(H848:H848)</f>
        <v>0</v>
      </c>
      <c r="M849" s="237" t="s">
        <v>646</v>
      </c>
    </row>
    <row r="850" spans="2:13" ht="18.75" customHeight="1" x14ac:dyDescent="0.25">
      <c r="B850" s="236"/>
      <c r="C850" s="232"/>
      <c r="D850" s="550"/>
      <c r="E850" s="224"/>
      <c r="F850" s="237"/>
      <c r="G850" s="290"/>
      <c r="H850" s="226"/>
      <c r="M850" s="237"/>
    </row>
    <row r="851" spans="2:13" ht="18.75" customHeight="1" x14ac:dyDescent="0.25">
      <c r="B851" s="248"/>
      <c r="C851" s="238"/>
      <c r="D851" s="239"/>
      <c r="E851" s="266"/>
      <c r="F851" s="241"/>
      <c r="G851" s="303"/>
      <c r="H851" s="267"/>
      <c r="M851" s="241"/>
    </row>
    <row r="852" spans="2:13" ht="18.75" customHeight="1" x14ac:dyDescent="0.25">
      <c r="B852" s="249" t="s">
        <v>647</v>
      </c>
      <c r="C852" s="104" t="s">
        <v>648</v>
      </c>
      <c r="D852" s="435"/>
      <c r="E852" s="92"/>
      <c r="F852" s="183"/>
      <c r="G852" s="167"/>
      <c r="H852" s="252">
        <f>+H849+H846+H840</f>
        <v>944055</v>
      </c>
      <c r="M852" s="183"/>
    </row>
    <row r="853" spans="2:13" ht="18.75" customHeight="1" x14ac:dyDescent="0.25">
      <c r="B853" s="249" t="s">
        <v>649</v>
      </c>
      <c r="C853" s="242" t="s">
        <v>650</v>
      </c>
      <c r="D853" s="435"/>
      <c r="E853" s="92"/>
      <c r="F853" s="184" t="str">
        <f>$J$5</f>
        <v>8,0 % x D</v>
      </c>
      <c r="G853" s="167"/>
      <c r="H853" s="253">
        <f>+H852*$K$5</f>
        <v>75524.400000000009</v>
      </c>
      <c r="M853" s="184" t="str">
        <f>$J$5</f>
        <v>8,0 % x D</v>
      </c>
    </row>
    <row r="854" spans="2:13" ht="18.75" customHeight="1" x14ac:dyDescent="0.25">
      <c r="B854" s="249" t="s">
        <v>651</v>
      </c>
      <c r="C854" s="111" t="s">
        <v>652</v>
      </c>
      <c r="D854" s="435"/>
      <c r="E854" s="91"/>
      <c r="F854" s="185"/>
      <c r="G854" s="168"/>
      <c r="H854" s="254">
        <f>ROUNDUP((H853+H852)/100,0)*100</f>
        <v>1019600</v>
      </c>
      <c r="M854" s="185"/>
    </row>
    <row r="855" spans="2:13" ht="18.75" customHeight="1" x14ac:dyDescent="0.25">
      <c r="B855" s="259"/>
      <c r="C855" s="261"/>
      <c r="D855" s="245"/>
      <c r="E855" s="246"/>
      <c r="F855" s="247"/>
      <c r="G855" s="298"/>
      <c r="H855" s="260"/>
      <c r="M855" s="247"/>
    </row>
    <row r="856" spans="2:13" ht="18.75" customHeight="1" x14ac:dyDescent="0.25">
      <c r="G856" s="66"/>
      <c r="H856" s="138"/>
    </row>
    <row r="857" spans="2:13" ht="18.75" customHeight="1" x14ac:dyDescent="0.25">
      <c r="B857" s="22"/>
      <c r="C857" s="104"/>
      <c r="E857" s="21"/>
      <c r="F857" s="176"/>
      <c r="G857" s="165"/>
      <c r="H857" s="119"/>
      <c r="M857" s="176"/>
    </row>
    <row r="858" spans="2:13" ht="18.75" customHeight="1" x14ac:dyDescent="0.25">
      <c r="B858" s="19">
        <f>B831+1</f>
        <v>5</v>
      </c>
      <c r="C858" s="93" t="s">
        <v>1445</v>
      </c>
      <c r="D858" s="19"/>
      <c r="E858" s="21"/>
      <c r="F858" s="176"/>
      <c r="G858" s="165"/>
      <c r="H858" s="119"/>
      <c r="M858" s="176"/>
    </row>
    <row r="859" spans="2:13" ht="18.75" customHeight="1" x14ac:dyDescent="0.25">
      <c r="B859" s="618" t="s">
        <v>620</v>
      </c>
      <c r="C859" s="620" t="s">
        <v>621</v>
      </c>
      <c r="D859" s="618" t="s">
        <v>622</v>
      </c>
      <c r="E859" s="618" t="s">
        <v>2</v>
      </c>
      <c r="F859" s="615" t="s">
        <v>623</v>
      </c>
      <c r="G859" s="289" t="s">
        <v>624</v>
      </c>
      <c r="H859" s="256" t="s">
        <v>625</v>
      </c>
      <c r="M859" s="615" t="s">
        <v>623</v>
      </c>
    </row>
    <row r="860" spans="2:13" ht="18.75" customHeight="1" x14ac:dyDescent="0.25">
      <c r="B860" s="619"/>
      <c r="C860" s="621"/>
      <c r="D860" s="619"/>
      <c r="E860" s="619"/>
      <c r="F860" s="616"/>
      <c r="G860" s="289" t="s">
        <v>626</v>
      </c>
      <c r="H860" s="256" t="s">
        <v>626</v>
      </c>
      <c r="M860" s="616"/>
    </row>
    <row r="861" spans="2:13" ht="18.75" customHeight="1" x14ac:dyDescent="0.25">
      <c r="B861" s="221"/>
      <c r="C861" s="222"/>
      <c r="D861" s="221"/>
      <c r="E861" s="550"/>
      <c r="F861" s="555"/>
      <c r="G861" s="551"/>
      <c r="H861" s="220"/>
      <c r="M861" s="590"/>
    </row>
    <row r="862" spans="2:13" ht="18.75" customHeight="1" x14ac:dyDescent="0.25">
      <c r="B862" s="550" t="s">
        <v>627</v>
      </c>
      <c r="C862" s="223" t="s">
        <v>628</v>
      </c>
      <c r="D862" s="550"/>
      <c r="E862" s="224"/>
      <c r="F862" s="225"/>
      <c r="G862" s="290"/>
      <c r="H862" s="226"/>
      <c r="M862" s="225"/>
    </row>
    <row r="863" spans="2:13" ht="18.75" customHeight="1" x14ac:dyDescent="0.25">
      <c r="B863" s="550"/>
      <c r="C863" s="227" t="s">
        <v>629</v>
      </c>
      <c r="D863" s="550" t="s">
        <v>630</v>
      </c>
      <c r="E863" s="224" t="s">
        <v>631</v>
      </c>
      <c r="F863" s="228">
        <f t="shared" ref="F863:F866" si="43">$K$8*M863</f>
        <v>0.78</v>
      </c>
      <c r="G863" s="229">
        <f>G836</f>
        <v>95000</v>
      </c>
      <c r="H863" s="230">
        <f>+G863*F863</f>
        <v>74100</v>
      </c>
      <c r="M863" s="228">
        <v>0.78</v>
      </c>
    </row>
    <row r="864" spans="2:13" ht="18.75" customHeight="1" x14ac:dyDescent="0.25">
      <c r="B864" s="550"/>
      <c r="C864" s="227" t="s">
        <v>1508</v>
      </c>
      <c r="D864" s="550" t="s">
        <v>632</v>
      </c>
      <c r="E864" s="224" t="s">
        <v>631</v>
      </c>
      <c r="F864" s="228">
        <f t="shared" si="43"/>
        <v>0.39</v>
      </c>
      <c r="G864" s="229">
        <f>G837</f>
        <v>110000</v>
      </c>
      <c r="H864" s="230">
        <f>+G864*F864</f>
        <v>42900</v>
      </c>
      <c r="M864" s="228">
        <v>0.39</v>
      </c>
    </row>
    <row r="865" spans="2:13" ht="18.75" customHeight="1" x14ac:dyDescent="0.25">
      <c r="B865" s="550"/>
      <c r="C865" s="227" t="s">
        <v>633</v>
      </c>
      <c r="D865" s="550" t="s">
        <v>634</v>
      </c>
      <c r="E865" s="224" t="s">
        <v>631</v>
      </c>
      <c r="F865" s="228">
        <f t="shared" si="43"/>
        <v>3.9E-2</v>
      </c>
      <c r="G865" s="229">
        <f>G838</f>
        <v>115000</v>
      </c>
      <c r="H865" s="230">
        <f>+G865*F865</f>
        <v>4485</v>
      </c>
      <c r="M865" s="228">
        <v>3.9E-2</v>
      </c>
    </row>
    <row r="866" spans="2:13" ht="18.75" customHeight="1" x14ac:dyDescent="0.25">
      <c r="B866" s="550"/>
      <c r="C866" s="227" t="s">
        <v>600</v>
      </c>
      <c r="D866" s="550" t="s">
        <v>635</v>
      </c>
      <c r="E866" s="224" t="s">
        <v>631</v>
      </c>
      <c r="F866" s="228">
        <f t="shared" si="43"/>
        <v>3.9E-2</v>
      </c>
      <c r="G866" s="229">
        <f>G839</f>
        <v>140000</v>
      </c>
      <c r="H866" s="230">
        <f>+G866*F866</f>
        <v>5460</v>
      </c>
      <c r="M866" s="228">
        <v>3.9E-2</v>
      </c>
    </row>
    <row r="867" spans="2:13" ht="18.75" customHeight="1" x14ac:dyDescent="0.25">
      <c r="B867" s="550"/>
      <c r="C867" s="223"/>
      <c r="D867" s="550"/>
      <c r="E867" s="224"/>
      <c r="F867" s="233" t="s">
        <v>636</v>
      </c>
      <c r="G867" s="290"/>
      <c r="H867" s="231">
        <f>SUM(H863:H866)</f>
        <v>126945</v>
      </c>
      <c r="M867" s="233" t="s">
        <v>636</v>
      </c>
    </row>
    <row r="868" spans="2:13" ht="18.75" customHeight="1" x14ac:dyDescent="0.25">
      <c r="B868" s="550"/>
      <c r="C868" s="223"/>
      <c r="D868" s="550"/>
      <c r="E868" s="224"/>
      <c r="F868" s="233"/>
      <c r="G868" s="290"/>
      <c r="H868" s="231"/>
      <c r="M868" s="233"/>
    </row>
    <row r="869" spans="2:13" ht="18.75" customHeight="1" x14ac:dyDescent="0.25">
      <c r="B869" s="550" t="s">
        <v>637</v>
      </c>
      <c r="C869" s="223" t="s">
        <v>638</v>
      </c>
      <c r="D869" s="550"/>
      <c r="E869" s="224"/>
      <c r="F869" s="225"/>
      <c r="G869" s="290"/>
      <c r="H869" s="226"/>
      <c r="M869" s="225"/>
    </row>
    <row r="870" spans="2:13" ht="18.75" customHeight="1" x14ac:dyDescent="0.25">
      <c r="B870" s="550"/>
      <c r="C870" s="223" t="s">
        <v>678</v>
      </c>
      <c r="D870" s="550"/>
      <c r="E870" s="550" t="s">
        <v>52</v>
      </c>
      <c r="F870" s="233">
        <v>1.2</v>
      </c>
      <c r="G870" s="234">
        <f>G843</f>
        <v>310000</v>
      </c>
      <c r="H870" s="230">
        <f>+G870*F870</f>
        <v>372000</v>
      </c>
      <c r="M870" s="233">
        <v>1.2</v>
      </c>
    </row>
    <row r="871" spans="2:13" ht="18.75" customHeight="1" x14ac:dyDescent="0.25">
      <c r="B871" s="550"/>
      <c r="C871" s="223" t="s">
        <v>699</v>
      </c>
      <c r="D871" s="550"/>
      <c r="E871" s="550" t="s">
        <v>52</v>
      </c>
      <c r="F871" s="233">
        <v>0.432</v>
      </c>
      <c r="G871" s="234">
        <f>G651</f>
        <v>182000</v>
      </c>
      <c r="H871" s="230">
        <f>+G871*F871</f>
        <v>78624</v>
      </c>
      <c r="M871" s="233">
        <v>0.432</v>
      </c>
    </row>
    <row r="872" spans="2:13" ht="18.75" customHeight="1" x14ac:dyDescent="0.25">
      <c r="B872" s="550"/>
      <c r="C872" s="223"/>
      <c r="D872" s="550"/>
      <c r="E872" s="224"/>
      <c r="F872" s="237" t="s">
        <v>643</v>
      </c>
      <c r="G872" s="290"/>
      <c r="H872" s="231">
        <f>SUM(H870:H871)</f>
        <v>450624</v>
      </c>
      <c r="M872" s="237" t="s">
        <v>643</v>
      </c>
    </row>
    <row r="873" spans="2:13" ht="18.75" customHeight="1" x14ac:dyDescent="0.25">
      <c r="B873" s="550"/>
      <c r="C873" s="223"/>
      <c r="D873" s="550"/>
      <c r="E873" s="224"/>
      <c r="F873" s="225"/>
      <c r="G873" s="290"/>
      <c r="H873" s="226"/>
      <c r="M873" s="225"/>
    </row>
    <row r="874" spans="2:13" ht="18.75" customHeight="1" x14ac:dyDescent="0.25">
      <c r="B874" s="550" t="s">
        <v>644</v>
      </c>
      <c r="C874" s="223" t="s">
        <v>645</v>
      </c>
      <c r="D874" s="550"/>
      <c r="E874" s="224"/>
      <c r="F874" s="225"/>
      <c r="G874" s="290"/>
      <c r="H874" s="235"/>
      <c r="M874" s="225"/>
    </row>
    <row r="875" spans="2:13" ht="18.75" customHeight="1" x14ac:dyDescent="0.25">
      <c r="B875" s="236"/>
      <c r="C875" s="232"/>
      <c r="D875" s="550"/>
      <c r="E875" s="224"/>
      <c r="F875" s="237" t="s">
        <v>646</v>
      </c>
      <c r="G875" s="290"/>
      <c r="H875" s="230">
        <f>SUM(H874:H874)</f>
        <v>0</v>
      </c>
      <c r="M875" s="237" t="s">
        <v>646</v>
      </c>
    </row>
    <row r="876" spans="2:13" ht="18.75" customHeight="1" x14ac:dyDescent="0.25">
      <c r="B876" s="236"/>
      <c r="C876" s="232"/>
      <c r="D876" s="550"/>
      <c r="E876" s="224"/>
      <c r="F876" s="237"/>
      <c r="G876" s="290"/>
      <c r="H876" s="230"/>
      <c r="M876" s="237"/>
    </row>
    <row r="877" spans="2:13" ht="18.75" customHeight="1" x14ac:dyDescent="0.25">
      <c r="B877" s="248"/>
      <c r="C877" s="238"/>
      <c r="D877" s="239"/>
      <c r="E877" s="266"/>
      <c r="F877" s="241"/>
      <c r="G877" s="303"/>
      <c r="H877" s="267"/>
      <c r="M877" s="241"/>
    </row>
    <row r="878" spans="2:13" ht="18.75" customHeight="1" x14ac:dyDescent="0.25">
      <c r="B878" s="249" t="s">
        <v>647</v>
      </c>
      <c r="C878" s="104" t="s">
        <v>648</v>
      </c>
      <c r="D878" s="435"/>
      <c r="E878" s="92"/>
      <c r="F878" s="183"/>
      <c r="G878" s="167"/>
      <c r="H878" s="252">
        <f>+H876+H872+H867</f>
        <v>577569</v>
      </c>
      <c r="M878" s="183"/>
    </row>
    <row r="879" spans="2:13" ht="18.75" customHeight="1" x14ac:dyDescent="0.25">
      <c r="B879" s="249" t="s">
        <v>649</v>
      </c>
      <c r="C879" s="242" t="s">
        <v>650</v>
      </c>
      <c r="D879" s="435"/>
      <c r="E879" s="92"/>
      <c r="F879" s="184" t="str">
        <f>$J$5</f>
        <v>8,0 % x D</v>
      </c>
      <c r="G879" s="167"/>
      <c r="H879" s="253">
        <f>+H878*$K$5</f>
        <v>46205.520000000004</v>
      </c>
      <c r="M879" s="184" t="str">
        <f>$J$5</f>
        <v>8,0 % x D</v>
      </c>
    </row>
    <row r="880" spans="2:13" ht="18.75" customHeight="1" x14ac:dyDescent="0.25">
      <c r="B880" s="249" t="s">
        <v>651</v>
      </c>
      <c r="C880" s="111" t="s">
        <v>652</v>
      </c>
      <c r="D880" s="435"/>
      <c r="E880" s="91"/>
      <c r="F880" s="185"/>
      <c r="G880" s="168"/>
      <c r="H880" s="254">
        <f>ROUNDUP((H879+H878)/100,0)*100</f>
        <v>623800</v>
      </c>
      <c r="M880" s="185"/>
    </row>
    <row r="881" spans="2:13" ht="18.75" customHeight="1" x14ac:dyDescent="0.25">
      <c r="B881" s="259"/>
      <c r="C881" s="261"/>
      <c r="D881" s="245"/>
      <c r="E881" s="246"/>
      <c r="F881" s="247"/>
      <c r="G881" s="298"/>
      <c r="H881" s="260"/>
      <c r="M881" s="247"/>
    </row>
    <row r="882" spans="2:13" ht="18.75" customHeight="1" x14ac:dyDescent="0.25">
      <c r="G882" s="66"/>
      <c r="H882" s="138"/>
    </row>
    <row r="883" spans="2:13" ht="18.75" customHeight="1" x14ac:dyDescent="0.25">
      <c r="B883" s="19">
        <f>B858+1</f>
        <v>6</v>
      </c>
      <c r="C883" s="93" t="s">
        <v>715</v>
      </c>
      <c r="D883" s="19"/>
      <c r="E883" s="21"/>
      <c r="F883" s="176"/>
      <c r="G883" s="165"/>
      <c r="H883" s="119"/>
      <c r="M883" s="176"/>
    </row>
    <row r="884" spans="2:13" ht="18.75" customHeight="1" x14ac:dyDescent="0.25">
      <c r="B884" s="618" t="s">
        <v>620</v>
      </c>
      <c r="C884" s="620" t="s">
        <v>621</v>
      </c>
      <c r="D884" s="618" t="s">
        <v>622</v>
      </c>
      <c r="E884" s="618" t="s">
        <v>2</v>
      </c>
      <c r="F884" s="615" t="s">
        <v>623</v>
      </c>
      <c r="G884" s="289" t="s">
        <v>624</v>
      </c>
      <c r="H884" s="256" t="s">
        <v>625</v>
      </c>
      <c r="M884" s="615" t="s">
        <v>623</v>
      </c>
    </row>
    <row r="885" spans="2:13" ht="18.75" customHeight="1" x14ac:dyDescent="0.25">
      <c r="B885" s="619"/>
      <c r="C885" s="621"/>
      <c r="D885" s="619"/>
      <c r="E885" s="619"/>
      <c r="F885" s="616"/>
      <c r="G885" s="289" t="s">
        <v>626</v>
      </c>
      <c r="H885" s="256" t="s">
        <v>626</v>
      </c>
      <c r="M885" s="616"/>
    </row>
    <row r="886" spans="2:13" ht="18.75" customHeight="1" x14ac:dyDescent="0.25">
      <c r="B886" s="221"/>
      <c r="C886" s="222"/>
      <c r="D886" s="221"/>
      <c r="E886" s="550"/>
      <c r="F886" s="555"/>
      <c r="G886" s="551"/>
      <c r="H886" s="220"/>
      <c r="M886" s="590"/>
    </row>
    <row r="887" spans="2:13" ht="18.75" customHeight="1" x14ac:dyDescent="0.25">
      <c r="B887" s="550" t="s">
        <v>627</v>
      </c>
      <c r="C887" s="223" t="s">
        <v>628</v>
      </c>
      <c r="D887" s="550"/>
      <c r="E887" s="224"/>
      <c r="F887" s="225"/>
      <c r="G887" s="290"/>
      <c r="H887" s="226"/>
      <c r="M887" s="225"/>
    </row>
    <row r="888" spans="2:13" ht="18.75" customHeight="1" x14ac:dyDescent="0.25">
      <c r="B888" s="550"/>
      <c r="C888" s="227" t="s">
        <v>629</v>
      </c>
      <c r="D888" s="550" t="s">
        <v>630</v>
      </c>
      <c r="E888" s="224" t="s">
        <v>631</v>
      </c>
      <c r="F888" s="228">
        <f t="shared" ref="F888:F891" si="44">$K$8*M888</f>
        <v>3</v>
      </c>
      <c r="G888" s="229">
        <f>G863</f>
        <v>95000</v>
      </c>
      <c r="H888" s="230">
        <f>+G888*F888</f>
        <v>285000</v>
      </c>
      <c r="M888" s="228">
        <v>3</v>
      </c>
    </row>
    <row r="889" spans="2:13" ht="18.75" customHeight="1" x14ac:dyDescent="0.25">
      <c r="B889" s="550"/>
      <c r="C889" s="227" t="s">
        <v>1508</v>
      </c>
      <c r="D889" s="550" t="s">
        <v>632</v>
      </c>
      <c r="E889" s="224" t="s">
        <v>631</v>
      </c>
      <c r="F889" s="228">
        <f t="shared" si="44"/>
        <v>0.53</v>
      </c>
      <c r="G889" s="229">
        <f>G864</f>
        <v>110000</v>
      </c>
      <c r="H889" s="230">
        <f>+G889*F889</f>
        <v>58300</v>
      </c>
      <c r="M889" s="228">
        <v>0.53</v>
      </c>
    </row>
    <row r="890" spans="2:13" ht="18.75" customHeight="1" x14ac:dyDescent="0.25">
      <c r="B890" s="550"/>
      <c r="C890" s="227" t="s">
        <v>633</v>
      </c>
      <c r="D890" s="550" t="s">
        <v>634</v>
      </c>
      <c r="E890" s="224" t="s">
        <v>631</v>
      </c>
      <c r="F890" s="228">
        <f t="shared" si="44"/>
        <v>7.5499999999999998E-2</v>
      </c>
      <c r="G890" s="229">
        <f>G865</f>
        <v>115000</v>
      </c>
      <c r="H890" s="230">
        <f>+G890*F890</f>
        <v>8682.5</v>
      </c>
      <c r="M890" s="228">
        <v>7.5499999999999998E-2</v>
      </c>
    </row>
    <row r="891" spans="2:13" ht="18.75" customHeight="1" x14ac:dyDescent="0.25">
      <c r="B891" s="550"/>
      <c r="C891" s="227" t="s">
        <v>600</v>
      </c>
      <c r="D891" s="550" t="s">
        <v>635</v>
      </c>
      <c r="E891" s="224" t="s">
        <v>631</v>
      </c>
      <c r="F891" s="228">
        <f t="shared" si="44"/>
        <v>0.01</v>
      </c>
      <c r="G891" s="229">
        <f>G866</f>
        <v>140000</v>
      </c>
      <c r="H891" s="230">
        <f>+G891*F891</f>
        <v>1400</v>
      </c>
      <c r="M891" s="228">
        <v>0.01</v>
      </c>
    </row>
    <row r="892" spans="2:13" ht="18.75" customHeight="1" x14ac:dyDescent="0.25">
      <c r="B892" s="550"/>
      <c r="C892" s="223"/>
      <c r="D892" s="550"/>
      <c r="E892" s="224"/>
      <c r="F892" s="233" t="s">
        <v>636</v>
      </c>
      <c r="G892" s="290"/>
      <c r="H892" s="231">
        <f>SUM(H888:H891)</f>
        <v>353382.5</v>
      </c>
      <c r="M892" s="233" t="s">
        <v>636</v>
      </c>
    </row>
    <row r="893" spans="2:13" ht="18.75" customHeight="1" x14ac:dyDescent="0.25">
      <c r="B893" s="550"/>
      <c r="C893" s="223"/>
      <c r="D893" s="550"/>
      <c r="E893" s="224"/>
      <c r="F893" s="233"/>
      <c r="G893" s="290"/>
      <c r="H893" s="231"/>
      <c r="M893" s="233"/>
    </row>
    <row r="894" spans="2:13" ht="18.75" customHeight="1" x14ac:dyDescent="0.25">
      <c r="B894" s="550" t="s">
        <v>637</v>
      </c>
      <c r="C894" s="223" t="s">
        <v>638</v>
      </c>
      <c r="D894" s="550"/>
      <c r="E894" s="224"/>
      <c r="F894" s="225"/>
      <c r="G894" s="290"/>
      <c r="H894" s="226"/>
      <c r="M894" s="225"/>
    </row>
    <row r="895" spans="2:13" ht="18.75" customHeight="1" x14ac:dyDescent="0.25">
      <c r="B895" s="550"/>
      <c r="C895" s="223" t="s">
        <v>678</v>
      </c>
      <c r="D895" s="550"/>
      <c r="E895" s="550" t="s">
        <v>52</v>
      </c>
      <c r="F895" s="233">
        <v>0.4</v>
      </c>
      <c r="G895" s="234">
        <f>G870</f>
        <v>310000</v>
      </c>
      <c r="H895" s="230">
        <f t="shared" ref="H895:H899" si="45">+G895*F895</f>
        <v>124000</v>
      </c>
      <c r="M895" s="233">
        <v>0.4</v>
      </c>
    </row>
    <row r="896" spans="2:13" ht="18.75" customHeight="1" x14ac:dyDescent="0.25">
      <c r="B896" s="550"/>
      <c r="C896" s="223" t="s">
        <v>708</v>
      </c>
      <c r="D896" s="550"/>
      <c r="E896" s="550" t="s">
        <v>5</v>
      </c>
      <c r="F896" s="233">
        <v>200</v>
      </c>
      <c r="G896" s="234">
        <f>G844</f>
        <v>1700</v>
      </c>
      <c r="H896" s="230">
        <f t="shared" si="45"/>
        <v>340000</v>
      </c>
      <c r="M896" s="233">
        <v>200</v>
      </c>
    </row>
    <row r="897" spans="2:13" ht="18.75" customHeight="1" x14ac:dyDescent="0.25">
      <c r="B897" s="550"/>
      <c r="C897" s="223" t="s">
        <v>77</v>
      </c>
      <c r="D897" s="550"/>
      <c r="E897" s="550" t="s">
        <v>52</v>
      </c>
      <c r="F897" s="233">
        <v>0.3</v>
      </c>
      <c r="G897" s="234">
        <f>Bahan!D88</f>
        <v>230000</v>
      </c>
      <c r="H897" s="230">
        <f t="shared" si="45"/>
        <v>69000</v>
      </c>
      <c r="M897" s="233">
        <v>0.3</v>
      </c>
    </row>
    <row r="898" spans="2:13" ht="18.75" customHeight="1" x14ac:dyDescent="0.25">
      <c r="B898" s="550"/>
      <c r="C898" s="223" t="s">
        <v>714</v>
      </c>
      <c r="D898" s="550"/>
      <c r="E898" s="550" t="s">
        <v>52</v>
      </c>
      <c r="F898" s="233">
        <v>0.4</v>
      </c>
      <c r="G898" s="234">
        <f>Bahan!D73</f>
        <v>335000</v>
      </c>
      <c r="H898" s="230">
        <f t="shared" si="45"/>
        <v>134000</v>
      </c>
      <c r="M898" s="233">
        <v>0.4</v>
      </c>
    </row>
    <row r="899" spans="2:13" ht="18.75" customHeight="1" x14ac:dyDescent="0.25">
      <c r="B899" s="550"/>
      <c r="C899" s="223" t="s">
        <v>716</v>
      </c>
      <c r="D899" s="550"/>
      <c r="E899" s="550" t="s">
        <v>5</v>
      </c>
      <c r="F899" s="233">
        <v>1.8</v>
      </c>
      <c r="G899" s="234">
        <f>Bahan!D152</f>
        <v>15500</v>
      </c>
      <c r="H899" s="230">
        <f t="shared" si="45"/>
        <v>27900</v>
      </c>
      <c r="M899" s="233">
        <v>1.8</v>
      </c>
    </row>
    <row r="900" spans="2:13" ht="18.75" customHeight="1" x14ac:dyDescent="0.25">
      <c r="B900" s="550"/>
      <c r="C900" s="223"/>
      <c r="D900" s="550"/>
      <c r="E900" s="224"/>
      <c r="F900" s="237" t="s">
        <v>643</v>
      </c>
      <c r="G900" s="290"/>
      <c r="H900" s="231">
        <f>SUM(H895:H899)</f>
        <v>694900</v>
      </c>
      <c r="M900" s="237" t="s">
        <v>643</v>
      </c>
    </row>
    <row r="901" spans="2:13" ht="18.75" customHeight="1" x14ac:dyDescent="0.25">
      <c r="B901" s="550"/>
      <c r="C901" s="223"/>
      <c r="D901" s="550"/>
      <c r="E901" s="224"/>
      <c r="F901" s="225"/>
      <c r="G901" s="290"/>
      <c r="H901" s="226"/>
      <c r="M901" s="225"/>
    </row>
    <row r="902" spans="2:13" ht="18.75" customHeight="1" x14ac:dyDescent="0.25">
      <c r="B902" s="550" t="s">
        <v>644</v>
      </c>
      <c r="C902" s="223" t="s">
        <v>645</v>
      </c>
      <c r="D902" s="550"/>
      <c r="E902" s="224"/>
      <c r="F902" s="225"/>
      <c r="G902" s="290"/>
      <c r="H902" s="235"/>
      <c r="M902" s="225"/>
    </row>
    <row r="903" spans="2:13" ht="18.75" customHeight="1" x14ac:dyDescent="0.25">
      <c r="B903" s="236"/>
      <c r="C903" s="232"/>
      <c r="D903" s="550"/>
      <c r="E903" s="224"/>
      <c r="F903" s="237" t="s">
        <v>646</v>
      </c>
      <c r="G903" s="290"/>
      <c r="H903" s="230">
        <f>SUM(H902:H902)</f>
        <v>0</v>
      </c>
      <c r="M903" s="237" t="s">
        <v>646</v>
      </c>
    </row>
    <row r="904" spans="2:13" ht="18.75" customHeight="1" x14ac:dyDescent="0.25">
      <c r="B904" s="236"/>
      <c r="C904" s="232"/>
      <c r="D904" s="550"/>
      <c r="E904" s="224"/>
      <c r="F904" s="237"/>
      <c r="G904" s="290"/>
      <c r="H904" s="226"/>
      <c r="M904" s="237"/>
    </row>
    <row r="905" spans="2:13" ht="18.75" customHeight="1" x14ac:dyDescent="0.25">
      <c r="B905" s="248"/>
      <c r="C905" s="238"/>
      <c r="D905" s="239"/>
      <c r="E905" s="240"/>
      <c r="F905" s="241"/>
      <c r="G905" s="291"/>
      <c r="H905" s="251"/>
      <c r="M905" s="241"/>
    </row>
    <row r="906" spans="2:13" ht="18.75" customHeight="1" x14ac:dyDescent="0.25">
      <c r="B906" s="249" t="s">
        <v>647</v>
      </c>
      <c r="C906" s="104" t="s">
        <v>648</v>
      </c>
      <c r="D906" s="435"/>
      <c r="E906" s="92"/>
      <c r="F906" s="183"/>
      <c r="G906" s="167"/>
      <c r="H906" s="252">
        <f>+H903+H900+H892</f>
        <v>1048282.5</v>
      </c>
      <c r="M906" s="183"/>
    </row>
    <row r="907" spans="2:13" ht="18.75" customHeight="1" x14ac:dyDescent="0.25">
      <c r="B907" s="249" t="s">
        <v>649</v>
      </c>
      <c r="C907" s="242" t="s">
        <v>650</v>
      </c>
      <c r="D907" s="435"/>
      <c r="E907" s="92"/>
      <c r="F907" s="184" t="str">
        <f>$J$5</f>
        <v>8,0 % x D</v>
      </c>
      <c r="G907" s="167"/>
      <c r="H907" s="253">
        <f>+H906*$K$5</f>
        <v>83862.600000000006</v>
      </c>
      <c r="M907" s="184" t="str">
        <f>$J$5</f>
        <v>8,0 % x D</v>
      </c>
    </row>
    <row r="908" spans="2:13" ht="18.75" customHeight="1" x14ac:dyDescent="0.25">
      <c r="B908" s="249" t="s">
        <v>651</v>
      </c>
      <c r="C908" s="111" t="s">
        <v>652</v>
      </c>
      <c r="D908" s="435"/>
      <c r="E908" s="91"/>
      <c r="F908" s="185"/>
      <c r="G908" s="168"/>
      <c r="H908" s="254">
        <f>ROUNDUP((H907+H906)/100,0)*100</f>
        <v>1132200</v>
      </c>
      <c r="M908" s="185"/>
    </row>
    <row r="909" spans="2:13" ht="18.75" customHeight="1" x14ac:dyDescent="0.25">
      <c r="B909" s="259"/>
      <c r="C909" s="261"/>
      <c r="D909" s="245"/>
      <c r="E909" s="246"/>
      <c r="F909" s="247"/>
      <c r="G909" s="298"/>
      <c r="H909" s="260"/>
      <c r="M909" s="247"/>
    </row>
    <row r="910" spans="2:13" ht="18.75" customHeight="1" x14ac:dyDescent="0.25">
      <c r="B910" s="22"/>
      <c r="C910" s="104"/>
      <c r="E910" s="21"/>
      <c r="F910" s="176"/>
      <c r="G910" s="165"/>
      <c r="H910" s="119"/>
      <c r="M910" s="176"/>
    </row>
    <row r="911" spans="2:13" ht="18.75" customHeight="1" x14ac:dyDescent="0.25">
      <c r="B911" s="19">
        <f>B883+1</f>
        <v>7</v>
      </c>
      <c r="C911" s="93" t="s">
        <v>717</v>
      </c>
      <c r="D911" s="19"/>
      <c r="E911" s="21"/>
      <c r="F911" s="176"/>
      <c r="G911" s="165"/>
      <c r="H911" s="119"/>
      <c r="M911" s="176"/>
    </row>
    <row r="912" spans="2:13" ht="18.75" customHeight="1" x14ac:dyDescent="0.25">
      <c r="B912" s="618" t="s">
        <v>620</v>
      </c>
      <c r="C912" s="620" t="s">
        <v>621</v>
      </c>
      <c r="D912" s="618" t="s">
        <v>622</v>
      </c>
      <c r="E912" s="618" t="s">
        <v>2</v>
      </c>
      <c r="F912" s="615" t="s">
        <v>623</v>
      </c>
      <c r="G912" s="289" t="s">
        <v>624</v>
      </c>
      <c r="H912" s="256" t="s">
        <v>625</v>
      </c>
      <c r="M912" s="615" t="s">
        <v>623</v>
      </c>
    </row>
    <row r="913" spans="2:13" ht="18.75" customHeight="1" x14ac:dyDescent="0.25">
      <c r="B913" s="619"/>
      <c r="C913" s="621"/>
      <c r="D913" s="619"/>
      <c r="E913" s="619"/>
      <c r="F913" s="616"/>
      <c r="G913" s="289" t="s">
        <v>626</v>
      </c>
      <c r="H913" s="256" t="s">
        <v>626</v>
      </c>
      <c r="M913" s="616"/>
    </row>
    <row r="914" spans="2:13" ht="18.75" customHeight="1" x14ac:dyDescent="0.25">
      <c r="B914" s="221"/>
      <c r="C914" s="222"/>
      <c r="D914" s="221"/>
      <c r="E914" s="550"/>
      <c r="F914" s="555"/>
      <c r="G914" s="551"/>
      <c r="H914" s="220"/>
      <c r="M914" s="590"/>
    </row>
    <row r="915" spans="2:13" ht="18.75" customHeight="1" x14ac:dyDescent="0.25">
      <c r="B915" s="550" t="s">
        <v>627</v>
      </c>
      <c r="C915" s="223" t="s">
        <v>628</v>
      </c>
      <c r="D915" s="550"/>
      <c r="E915" s="224"/>
      <c r="F915" s="225"/>
      <c r="G915" s="290"/>
      <c r="H915" s="226"/>
      <c r="M915" s="225"/>
    </row>
    <row r="916" spans="2:13" ht="18.75" customHeight="1" x14ac:dyDescent="0.25">
      <c r="B916" s="550"/>
      <c r="C916" s="227" t="s">
        <v>629</v>
      </c>
      <c r="D916" s="550" t="s">
        <v>630</v>
      </c>
      <c r="E916" s="224" t="s">
        <v>631</v>
      </c>
      <c r="F916" s="228">
        <f t="shared" ref="F916:F919" si="46">$K$8*M916</f>
        <v>2.4</v>
      </c>
      <c r="G916" s="229">
        <f>G888</f>
        <v>95000</v>
      </c>
      <c r="H916" s="230">
        <f>+G916*F916</f>
        <v>228000</v>
      </c>
      <c r="M916" s="228">
        <v>2.4</v>
      </c>
    </row>
    <row r="917" spans="2:13" ht="18.75" customHeight="1" x14ac:dyDescent="0.25">
      <c r="B917" s="550"/>
      <c r="C917" s="227" t="s">
        <v>1508</v>
      </c>
      <c r="D917" s="550" t="s">
        <v>632</v>
      </c>
      <c r="E917" s="224" t="s">
        <v>631</v>
      </c>
      <c r="F917" s="228">
        <f t="shared" si="46"/>
        <v>0.8</v>
      </c>
      <c r="G917" s="229">
        <f>G889</f>
        <v>110000</v>
      </c>
      <c r="H917" s="230">
        <f>+G917*F917</f>
        <v>88000</v>
      </c>
      <c r="M917" s="228">
        <v>0.8</v>
      </c>
    </row>
    <row r="918" spans="2:13" ht="18.75" customHeight="1" x14ac:dyDescent="0.25">
      <c r="B918" s="550"/>
      <c r="C918" s="227" t="s">
        <v>633</v>
      </c>
      <c r="D918" s="550" t="s">
        <v>634</v>
      </c>
      <c r="E918" s="224" t="s">
        <v>631</v>
      </c>
      <c r="F918" s="228">
        <f t="shared" si="46"/>
        <v>0.08</v>
      </c>
      <c r="G918" s="229">
        <f>G890</f>
        <v>115000</v>
      </c>
      <c r="H918" s="230">
        <f>+G918*F918</f>
        <v>9200</v>
      </c>
      <c r="M918" s="228">
        <v>0.08</v>
      </c>
    </row>
    <row r="919" spans="2:13" ht="18.75" customHeight="1" x14ac:dyDescent="0.25">
      <c r="B919" s="550"/>
      <c r="C919" s="227" t="s">
        <v>600</v>
      </c>
      <c r="D919" s="550" t="s">
        <v>635</v>
      </c>
      <c r="E919" s="224" t="s">
        <v>631</v>
      </c>
      <c r="F919" s="228">
        <f t="shared" si="46"/>
        <v>0.11899999999999999</v>
      </c>
      <c r="G919" s="229">
        <f>G891</f>
        <v>140000</v>
      </c>
      <c r="H919" s="230">
        <f>+G919*F919</f>
        <v>16660</v>
      </c>
      <c r="M919" s="228">
        <v>0.11899999999999999</v>
      </c>
    </row>
    <row r="920" spans="2:13" ht="18.75" customHeight="1" x14ac:dyDescent="0.25">
      <c r="B920" s="550"/>
      <c r="C920" s="223"/>
      <c r="D920" s="550"/>
      <c r="E920" s="224"/>
      <c r="F920" s="233" t="s">
        <v>636</v>
      </c>
      <c r="G920" s="290"/>
      <c r="H920" s="231">
        <f>SUM(H916:H919)</f>
        <v>341860</v>
      </c>
      <c r="M920" s="233" t="s">
        <v>636</v>
      </c>
    </row>
    <row r="921" spans="2:13" ht="18.75" customHeight="1" x14ac:dyDescent="0.25">
      <c r="B921" s="550"/>
      <c r="C921" s="223"/>
      <c r="D921" s="550"/>
      <c r="E921" s="224"/>
      <c r="F921" s="233"/>
      <c r="G921" s="290"/>
      <c r="H921" s="231"/>
      <c r="M921" s="233"/>
    </row>
    <row r="922" spans="2:13" ht="18.75" customHeight="1" x14ac:dyDescent="0.25">
      <c r="B922" s="550" t="s">
        <v>637</v>
      </c>
      <c r="C922" s="223" t="s">
        <v>638</v>
      </c>
      <c r="D922" s="550"/>
      <c r="E922" s="224"/>
      <c r="F922" s="225"/>
      <c r="G922" s="290"/>
      <c r="H922" s="226"/>
      <c r="M922" s="225"/>
    </row>
    <row r="923" spans="2:13" ht="18.75" customHeight="1" x14ac:dyDescent="0.25">
      <c r="B923" s="550"/>
      <c r="C923" s="223" t="s">
        <v>678</v>
      </c>
      <c r="D923" s="550"/>
      <c r="E923" s="550" t="s">
        <v>52</v>
      </c>
      <c r="F923" s="233">
        <v>0.45</v>
      </c>
      <c r="G923" s="234">
        <f>G895</f>
        <v>310000</v>
      </c>
      <c r="H923" s="230">
        <f>+G923*F923</f>
        <v>139500</v>
      </c>
      <c r="M923" s="233">
        <v>0.45</v>
      </c>
    </row>
    <row r="924" spans="2:13" ht="18.75" customHeight="1" x14ac:dyDescent="0.25">
      <c r="B924" s="550"/>
      <c r="C924" s="223" t="s">
        <v>708</v>
      </c>
      <c r="D924" s="550"/>
      <c r="E924" s="550" t="s">
        <v>5</v>
      </c>
      <c r="F924" s="233">
        <v>194</v>
      </c>
      <c r="G924" s="234">
        <f>G896</f>
        <v>1700</v>
      </c>
      <c r="H924" s="230">
        <f>+G924*F924</f>
        <v>329800</v>
      </c>
      <c r="M924" s="233">
        <v>194</v>
      </c>
    </row>
    <row r="925" spans="2:13" ht="18.75" customHeight="1" x14ac:dyDescent="0.25">
      <c r="B925" s="550"/>
      <c r="C925" s="223" t="s">
        <v>77</v>
      </c>
      <c r="D925" s="550"/>
      <c r="E925" s="550" t="s">
        <v>52</v>
      </c>
      <c r="F925" s="233">
        <v>0.312</v>
      </c>
      <c r="G925" s="234">
        <f>G897</f>
        <v>230000</v>
      </c>
      <c r="H925" s="230">
        <f>+G925*F925</f>
        <v>71760</v>
      </c>
      <c r="M925" s="233">
        <v>0.312</v>
      </c>
    </row>
    <row r="926" spans="2:13" ht="18.75" customHeight="1" x14ac:dyDescent="0.25">
      <c r="B926" s="550"/>
      <c r="C926" s="223" t="s">
        <v>714</v>
      </c>
      <c r="D926" s="550"/>
      <c r="E926" s="550" t="s">
        <v>52</v>
      </c>
      <c r="F926" s="233">
        <v>0.46800000000000003</v>
      </c>
      <c r="G926" s="234">
        <f>G898</f>
        <v>335000</v>
      </c>
      <c r="H926" s="230">
        <f>+G926*F926</f>
        <v>156780</v>
      </c>
      <c r="M926" s="233">
        <v>0.46800000000000003</v>
      </c>
    </row>
    <row r="927" spans="2:13" ht="18.75" customHeight="1" x14ac:dyDescent="0.25">
      <c r="B927" s="550"/>
      <c r="C927" s="223"/>
      <c r="D927" s="550"/>
      <c r="E927" s="224"/>
      <c r="F927" s="237" t="s">
        <v>643</v>
      </c>
      <c r="G927" s="290"/>
      <c r="H927" s="231">
        <f>SUM(H923:H926)</f>
        <v>697840</v>
      </c>
      <c r="M927" s="237" t="s">
        <v>643</v>
      </c>
    </row>
    <row r="928" spans="2:13" ht="18.75" customHeight="1" x14ac:dyDescent="0.25">
      <c r="B928" s="550"/>
      <c r="C928" s="223"/>
      <c r="D928" s="550"/>
      <c r="E928" s="224"/>
      <c r="F928" s="225"/>
      <c r="G928" s="290"/>
      <c r="H928" s="226"/>
      <c r="M928" s="225"/>
    </row>
    <row r="929" spans="2:13" ht="18.75" customHeight="1" x14ac:dyDescent="0.25">
      <c r="B929" s="550" t="s">
        <v>644</v>
      </c>
      <c r="C929" s="223" t="s">
        <v>645</v>
      </c>
      <c r="D929" s="550"/>
      <c r="E929" s="224"/>
      <c r="F929" s="225"/>
      <c r="G929" s="290"/>
      <c r="H929" s="235"/>
      <c r="M929" s="225"/>
    </row>
    <row r="930" spans="2:13" ht="18.75" customHeight="1" x14ac:dyDescent="0.25">
      <c r="B930" s="236"/>
      <c r="C930" s="232"/>
      <c r="D930" s="550"/>
      <c r="E930" s="224"/>
      <c r="F930" s="237" t="s">
        <v>646</v>
      </c>
      <c r="G930" s="290"/>
      <c r="H930" s="230">
        <f>SUM(H929:H929)</f>
        <v>0</v>
      </c>
      <c r="M930" s="237" t="s">
        <v>646</v>
      </c>
    </row>
    <row r="931" spans="2:13" ht="18.75" customHeight="1" x14ac:dyDescent="0.25">
      <c r="B931" s="236"/>
      <c r="C931" s="232"/>
      <c r="D931" s="550"/>
      <c r="E931" s="224"/>
      <c r="F931" s="237"/>
      <c r="G931" s="290"/>
      <c r="H931" s="226"/>
      <c r="M931" s="237"/>
    </row>
    <row r="932" spans="2:13" ht="18.75" customHeight="1" x14ac:dyDescent="0.25">
      <c r="B932" s="248"/>
      <c r="C932" s="238"/>
      <c r="D932" s="239"/>
      <c r="E932" s="240"/>
      <c r="F932" s="241"/>
      <c r="G932" s="291"/>
      <c r="H932" s="251"/>
      <c r="M932" s="241"/>
    </row>
    <row r="933" spans="2:13" ht="18.75" customHeight="1" x14ac:dyDescent="0.25">
      <c r="B933" s="249" t="s">
        <v>647</v>
      </c>
      <c r="C933" s="104" t="s">
        <v>648</v>
      </c>
      <c r="D933" s="435"/>
      <c r="E933" s="92"/>
      <c r="F933" s="183"/>
      <c r="G933" s="167"/>
      <c r="H933" s="252">
        <f>+H930+H927+H920</f>
        <v>1039700</v>
      </c>
      <c r="M933" s="183"/>
    </row>
    <row r="934" spans="2:13" ht="18.75" customHeight="1" x14ac:dyDescent="0.25">
      <c r="B934" s="249" t="s">
        <v>649</v>
      </c>
      <c r="C934" s="242" t="s">
        <v>650</v>
      </c>
      <c r="D934" s="435"/>
      <c r="E934" s="92"/>
      <c r="F934" s="184" t="str">
        <f>$J$5</f>
        <v>8,0 % x D</v>
      </c>
      <c r="G934" s="167"/>
      <c r="H934" s="253">
        <f>+H933*$K$5</f>
        <v>83176</v>
      </c>
      <c r="M934" s="184" t="str">
        <f>$J$5</f>
        <v>8,0 % x D</v>
      </c>
    </row>
    <row r="935" spans="2:13" ht="18.75" customHeight="1" x14ac:dyDescent="0.25">
      <c r="B935" s="249" t="s">
        <v>651</v>
      </c>
      <c r="C935" s="111" t="s">
        <v>652</v>
      </c>
      <c r="D935" s="435"/>
      <c r="E935" s="91"/>
      <c r="F935" s="185"/>
      <c r="G935" s="168"/>
      <c r="H935" s="254">
        <f>ROUNDUP((H934+H933)/100,0)*100</f>
        <v>1122900</v>
      </c>
      <c r="M935" s="185"/>
    </row>
    <row r="936" spans="2:13" ht="18.75" customHeight="1" x14ac:dyDescent="0.25">
      <c r="B936" s="259"/>
      <c r="C936" s="261"/>
      <c r="D936" s="245"/>
      <c r="E936" s="246"/>
      <c r="F936" s="247"/>
      <c r="G936" s="298"/>
      <c r="H936" s="260"/>
      <c r="M936" s="247"/>
    </row>
    <row r="937" spans="2:13" ht="18.75" customHeight="1" x14ac:dyDescent="0.25">
      <c r="B937" s="92"/>
      <c r="C937" s="104"/>
      <c r="D937" s="435"/>
      <c r="E937" s="91"/>
      <c r="F937" s="185"/>
      <c r="G937" s="168"/>
      <c r="H937" s="139"/>
      <c r="M937" s="185"/>
    </row>
    <row r="938" spans="2:13" ht="18.75" customHeight="1" x14ac:dyDescent="0.25">
      <c r="B938" s="19">
        <f>+B911+1</f>
        <v>8</v>
      </c>
      <c r="C938" s="93" t="s">
        <v>1783</v>
      </c>
      <c r="D938" s="19"/>
      <c r="E938" s="21"/>
      <c r="F938" s="176"/>
      <c r="G938" s="165"/>
      <c r="H938" s="119"/>
      <c r="M938" s="176"/>
    </row>
    <row r="939" spans="2:13" ht="18.75" customHeight="1" x14ac:dyDescent="0.25">
      <c r="B939" s="20"/>
      <c r="C939" s="93" t="s">
        <v>1784</v>
      </c>
      <c r="D939" s="19"/>
      <c r="E939" s="21"/>
      <c r="F939" s="176"/>
      <c r="G939" s="165"/>
      <c r="H939" s="119"/>
      <c r="M939" s="176"/>
    </row>
    <row r="940" spans="2:13" ht="18.75" customHeight="1" x14ac:dyDescent="0.25">
      <c r="B940" s="618" t="s">
        <v>620</v>
      </c>
      <c r="C940" s="620" t="s">
        <v>621</v>
      </c>
      <c r="D940" s="618" t="s">
        <v>622</v>
      </c>
      <c r="E940" s="618" t="s">
        <v>2</v>
      </c>
      <c r="F940" s="615" t="s">
        <v>623</v>
      </c>
      <c r="G940" s="289" t="s">
        <v>624</v>
      </c>
      <c r="H940" s="256" t="s">
        <v>625</v>
      </c>
      <c r="M940" s="615" t="s">
        <v>623</v>
      </c>
    </row>
    <row r="941" spans="2:13" ht="18.75" customHeight="1" x14ac:dyDescent="0.25">
      <c r="B941" s="619"/>
      <c r="C941" s="621"/>
      <c r="D941" s="619"/>
      <c r="E941" s="619"/>
      <c r="F941" s="616"/>
      <c r="G941" s="289" t="s">
        <v>626</v>
      </c>
      <c r="H941" s="256" t="s">
        <v>626</v>
      </c>
      <c r="M941" s="616"/>
    </row>
    <row r="942" spans="2:13" ht="18.75" customHeight="1" x14ac:dyDescent="0.25">
      <c r="B942" s="221"/>
      <c r="C942" s="222"/>
      <c r="D942" s="221"/>
      <c r="E942" s="550"/>
      <c r="F942" s="555"/>
      <c r="G942" s="551"/>
      <c r="H942" s="220"/>
      <c r="M942" s="590"/>
    </row>
    <row r="943" spans="2:13" ht="18.75" customHeight="1" x14ac:dyDescent="0.25">
      <c r="B943" s="550" t="s">
        <v>627</v>
      </c>
      <c r="C943" s="223" t="s">
        <v>628</v>
      </c>
      <c r="D943" s="550"/>
      <c r="E943" s="224"/>
      <c r="F943" s="225"/>
      <c r="G943" s="290"/>
      <c r="H943" s="226"/>
      <c r="M943" s="225"/>
    </row>
    <row r="944" spans="2:13" ht="18.75" customHeight="1" x14ac:dyDescent="0.25">
      <c r="B944" s="550"/>
      <c r="C944" s="227" t="s">
        <v>1503</v>
      </c>
      <c r="D944" s="550"/>
      <c r="E944" s="224" t="s">
        <v>631</v>
      </c>
      <c r="F944" s="228">
        <f t="shared" ref="F944:F945" si="47">$K$8*M944</f>
        <v>0.18</v>
      </c>
      <c r="G944" s="229">
        <f>Upah!E13</f>
        <v>110000</v>
      </c>
      <c r="H944" s="230">
        <f>+G944*F944</f>
        <v>19800</v>
      </c>
      <c r="M944" s="228">
        <v>0.18</v>
      </c>
    </row>
    <row r="945" spans="2:13" ht="18.75" customHeight="1" x14ac:dyDescent="0.25">
      <c r="B945" s="550"/>
      <c r="C945" s="227" t="s">
        <v>600</v>
      </c>
      <c r="D945" s="550"/>
      <c r="E945" s="224" t="s">
        <v>631</v>
      </c>
      <c r="F945" s="228">
        <f t="shared" si="47"/>
        <v>8.9999999999999993E-3</v>
      </c>
      <c r="G945" s="229">
        <f>G919</f>
        <v>140000</v>
      </c>
      <c r="H945" s="230">
        <f>+G945*F945</f>
        <v>1260</v>
      </c>
      <c r="M945" s="228">
        <v>8.9999999999999993E-3</v>
      </c>
    </row>
    <row r="946" spans="2:13" ht="18.75" customHeight="1" x14ac:dyDescent="0.25">
      <c r="B946" s="550"/>
      <c r="C946" s="223"/>
      <c r="D946" s="550"/>
      <c r="E946" s="224"/>
      <c r="F946" s="233" t="s">
        <v>636</v>
      </c>
      <c r="G946" s="290"/>
      <c r="H946" s="231">
        <f>SUM(H944:H945)</f>
        <v>21060</v>
      </c>
      <c r="M946" s="233" t="s">
        <v>636</v>
      </c>
    </row>
    <row r="947" spans="2:13" ht="18.75" customHeight="1" x14ac:dyDescent="0.25">
      <c r="B947" s="550" t="s">
        <v>637</v>
      </c>
      <c r="C947" s="223" t="s">
        <v>638</v>
      </c>
      <c r="D947" s="550"/>
      <c r="E947" s="224"/>
      <c r="F947" s="225"/>
      <c r="G947" s="290"/>
      <c r="H947" s="226"/>
      <c r="M947" s="225"/>
    </row>
    <row r="948" spans="2:13" ht="18.75" customHeight="1" x14ac:dyDescent="0.25">
      <c r="B948" s="550"/>
      <c r="C948" s="223" t="s">
        <v>718</v>
      </c>
      <c r="D948" s="550"/>
      <c r="E948" s="550" t="s">
        <v>546</v>
      </c>
      <c r="F948" s="233">
        <v>1</v>
      </c>
      <c r="G948" s="234">
        <f>Bahan!D9+Bahan!D10</f>
        <v>50000</v>
      </c>
      <c r="H948" s="230">
        <f>+G948*F948</f>
        <v>50000</v>
      </c>
      <c r="M948" s="233">
        <v>1</v>
      </c>
    </row>
    <row r="949" spans="2:13" ht="18.75" customHeight="1" x14ac:dyDescent="0.25">
      <c r="B949" s="550"/>
      <c r="C949" s="223"/>
      <c r="D949" s="550"/>
      <c r="E949" s="224"/>
      <c r="F949" s="237" t="s">
        <v>643</v>
      </c>
      <c r="G949" s="290"/>
      <c r="H949" s="231">
        <f>SUM(H948:H948)</f>
        <v>50000</v>
      </c>
      <c r="M949" s="237" t="s">
        <v>643</v>
      </c>
    </row>
    <row r="950" spans="2:13" ht="18.75" customHeight="1" x14ac:dyDescent="0.25">
      <c r="B950" s="550"/>
      <c r="C950" s="223"/>
      <c r="D950" s="550"/>
      <c r="E950" s="224"/>
      <c r="F950" s="225"/>
      <c r="G950" s="290"/>
      <c r="H950" s="226"/>
      <c r="M950" s="225"/>
    </row>
    <row r="951" spans="2:13" ht="18.75" customHeight="1" x14ac:dyDescent="0.25">
      <c r="B951" s="550" t="s">
        <v>644</v>
      </c>
      <c r="C951" s="223" t="s">
        <v>645</v>
      </c>
      <c r="D951" s="550"/>
      <c r="E951" s="224"/>
      <c r="F951" s="225"/>
      <c r="G951" s="290"/>
      <c r="H951" s="235"/>
      <c r="M951" s="225"/>
    </row>
    <row r="952" spans="2:13" ht="18.75" customHeight="1" x14ac:dyDescent="0.25">
      <c r="B952" s="550"/>
      <c r="C952" s="223" t="s">
        <v>719</v>
      </c>
      <c r="D952" s="550"/>
      <c r="E952" s="550" t="s">
        <v>608</v>
      </c>
      <c r="F952" s="555">
        <v>0.155</v>
      </c>
      <c r="G952" s="321">
        <f>Upah!E21</f>
        <v>100000</v>
      </c>
      <c r="H952" s="230">
        <f>+G952*F952</f>
        <v>15500</v>
      </c>
      <c r="M952" s="590">
        <v>0.155</v>
      </c>
    </row>
    <row r="953" spans="2:13" ht="18.75" customHeight="1" x14ac:dyDescent="0.25">
      <c r="B953" s="236"/>
      <c r="C953" s="232" t="s">
        <v>720</v>
      </c>
      <c r="D953" s="550"/>
      <c r="E953" s="224"/>
      <c r="F953" s="555">
        <v>0.22</v>
      </c>
      <c r="G953" s="321">
        <f>Upah!E20</f>
        <v>85000</v>
      </c>
      <c r="H953" s="230">
        <f>+G953*F953</f>
        <v>18700</v>
      </c>
      <c r="M953" s="590">
        <v>0.22</v>
      </c>
    </row>
    <row r="954" spans="2:13" ht="18.75" customHeight="1" x14ac:dyDescent="0.25">
      <c r="B954" s="236"/>
      <c r="C954" s="232"/>
      <c r="D954" s="550"/>
      <c r="E954" s="224"/>
      <c r="F954" s="237" t="s">
        <v>646</v>
      </c>
      <c r="G954" s="290"/>
      <c r="H954" s="231">
        <f>SUM(H951:H953)</f>
        <v>34200</v>
      </c>
      <c r="M954" s="237" t="s">
        <v>646</v>
      </c>
    </row>
    <row r="955" spans="2:13" ht="18.75" customHeight="1" x14ac:dyDescent="0.25">
      <c r="B955" s="236"/>
      <c r="C955" s="232"/>
      <c r="D955" s="550"/>
      <c r="E955" s="224"/>
      <c r="F955" s="237"/>
      <c r="G955" s="290"/>
      <c r="H955" s="226"/>
      <c r="M955" s="237"/>
    </row>
    <row r="956" spans="2:13" ht="18.75" customHeight="1" x14ac:dyDescent="0.25">
      <c r="B956" s="248"/>
      <c r="C956" s="238"/>
      <c r="D956" s="239"/>
      <c r="E956" s="240"/>
      <c r="F956" s="241"/>
      <c r="G956" s="291"/>
      <c r="H956" s="251"/>
      <c r="M956" s="241"/>
    </row>
    <row r="957" spans="2:13" ht="18.75" customHeight="1" x14ac:dyDescent="0.25">
      <c r="B957" s="249" t="s">
        <v>647</v>
      </c>
      <c r="C957" s="104" t="s">
        <v>648</v>
      </c>
      <c r="D957" s="435"/>
      <c r="E957" s="92"/>
      <c r="F957" s="183"/>
      <c r="G957" s="167"/>
      <c r="H957" s="252">
        <f>+H954+H949+H946</f>
        <v>105260</v>
      </c>
      <c r="M957" s="183"/>
    </row>
    <row r="958" spans="2:13" ht="18.75" customHeight="1" x14ac:dyDescent="0.25">
      <c r="B958" s="249" t="s">
        <v>649</v>
      </c>
      <c r="C958" s="242" t="s">
        <v>650</v>
      </c>
      <c r="D958" s="435"/>
      <c r="E958" s="92"/>
      <c r="F958" s="184" t="str">
        <f>$J$5</f>
        <v>8,0 % x D</v>
      </c>
      <c r="G958" s="167"/>
      <c r="H958" s="253">
        <f>+H957*$K$5</f>
        <v>8420.7999999999993</v>
      </c>
      <c r="M958" s="184" t="str">
        <f>$J$5</f>
        <v>8,0 % x D</v>
      </c>
    </row>
    <row r="959" spans="2:13" ht="18.75" customHeight="1" x14ac:dyDescent="0.25">
      <c r="B959" s="249" t="s">
        <v>651</v>
      </c>
      <c r="C959" s="111" t="s">
        <v>652</v>
      </c>
      <c r="D959" s="435"/>
      <c r="E959" s="91"/>
      <c r="F959" s="185"/>
      <c r="G959" s="168"/>
      <c r="H959" s="254">
        <f>ROUNDUP((H958+H957)/100,0)*100</f>
        <v>113700</v>
      </c>
      <c r="M959" s="185"/>
    </row>
    <row r="960" spans="2:13" ht="18.75" customHeight="1" x14ac:dyDescent="0.25">
      <c r="B960" s="259"/>
      <c r="C960" s="261"/>
      <c r="D960" s="245"/>
      <c r="E960" s="246"/>
      <c r="F960" s="247"/>
      <c r="G960" s="298"/>
      <c r="H960" s="260"/>
      <c r="M960" s="247"/>
    </row>
    <row r="961" spans="2:13" ht="18.75" customHeight="1" x14ac:dyDescent="0.25">
      <c r="B961" s="22"/>
      <c r="C961" s="104"/>
      <c r="E961" s="21"/>
      <c r="F961" s="176"/>
      <c r="G961" s="165"/>
      <c r="H961" s="119"/>
      <c r="M961" s="176"/>
    </row>
    <row r="962" spans="2:13" ht="18.75" customHeight="1" x14ac:dyDescent="0.25">
      <c r="B962" s="20"/>
      <c r="C962" s="93" t="s">
        <v>721</v>
      </c>
      <c r="D962" s="19"/>
      <c r="E962" s="21"/>
      <c r="F962" s="176"/>
      <c r="G962" s="165"/>
      <c r="H962" s="119"/>
      <c r="M962" s="176"/>
    </row>
    <row r="963" spans="2:13" ht="18.75" customHeight="1" x14ac:dyDescent="0.25">
      <c r="B963" s="618" t="s">
        <v>620</v>
      </c>
      <c r="C963" s="620" t="s">
        <v>621</v>
      </c>
      <c r="D963" s="618" t="s">
        <v>622</v>
      </c>
      <c r="E963" s="618" t="s">
        <v>2</v>
      </c>
      <c r="F963" s="615" t="s">
        <v>623</v>
      </c>
      <c r="G963" s="289" t="s">
        <v>624</v>
      </c>
      <c r="H963" s="256" t="s">
        <v>625</v>
      </c>
      <c r="M963" s="615" t="s">
        <v>623</v>
      </c>
    </row>
    <row r="964" spans="2:13" ht="18.75" customHeight="1" x14ac:dyDescent="0.25">
      <c r="B964" s="619"/>
      <c r="C964" s="621"/>
      <c r="D964" s="619"/>
      <c r="E964" s="619"/>
      <c r="F964" s="616"/>
      <c r="G964" s="289" t="s">
        <v>626</v>
      </c>
      <c r="H964" s="256" t="s">
        <v>626</v>
      </c>
      <c r="M964" s="616"/>
    </row>
    <row r="965" spans="2:13" ht="18.75" customHeight="1" x14ac:dyDescent="0.25">
      <c r="B965" s="221"/>
      <c r="C965" s="222"/>
      <c r="D965" s="221"/>
      <c r="E965" s="550"/>
      <c r="F965" s="555"/>
      <c r="G965" s="551"/>
      <c r="H965" s="220"/>
      <c r="M965" s="590"/>
    </row>
    <row r="966" spans="2:13" ht="18.75" customHeight="1" x14ac:dyDescent="0.25">
      <c r="B966" s="550" t="s">
        <v>627</v>
      </c>
      <c r="C966" s="223" t="s">
        <v>628</v>
      </c>
      <c r="D966" s="550"/>
      <c r="E966" s="224"/>
      <c r="F966" s="225"/>
      <c r="G966" s="290"/>
      <c r="H966" s="226"/>
      <c r="M966" s="225"/>
    </row>
    <row r="967" spans="2:13" ht="18.75" customHeight="1" x14ac:dyDescent="0.25">
      <c r="B967" s="550"/>
      <c r="C967" s="227" t="s">
        <v>1508</v>
      </c>
      <c r="D967" s="550" t="s">
        <v>632</v>
      </c>
      <c r="E967" s="224" t="s">
        <v>631</v>
      </c>
      <c r="F967" s="228">
        <f t="shared" ref="F967:F968" si="48">$K$8*M967</f>
        <v>0.42499999999999999</v>
      </c>
      <c r="G967" s="229">
        <f>G917</f>
        <v>110000</v>
      </c>
      <c r="H967" s="230">
        <f>+G967*F967</f>
        <v>46750</v>
      </c>
      <c r="M967" s="228">
        <v>0.42499999999999999</v>
      </c>
    </row>
    <row r="968" spans="2:13" ht="18.75" customHeight="1" x14ac:dyDescent="0.25">
      <c r="B968" s="550"/>
      <c r="C968" s="227" t="s">
        <v>600</v>
      </c>
      <c r="D968" s="550" t="s">
        <v>635</v>
      </c>
      <c r="E968" s="224" t="s">
        <v>631</v>
      </c>
      <c r="F968" s="228">
        <f t="shared" si="48"/>
        <v>2.1000000000000001E-2</v>
      </c>
      <c r="G968" s="229">
        <f>G945</f>
        <v>140000</v>
      </c>
      <c r="H968" s="230">
        <f>+G968*F968</f>
        <v>2940</v>
      </c>
      <c r="M968" s="228">
        <v>2.1000000000000001E-2</v>
      </c>
    </row>
    <row r="969" spans="2:13" ht="18.75" customHeight="1" x14ac:dyDescent="0.25">
      <c r="B969" s="550"/>
      <c r="C969" s="223"/>
      <c r="D969" s="550"/>
      <c r="E969" s="224"/>
      <c r="F969" s="233" t="s">
        <v>636</v>
      </c>
      <c r="G969" s="290"/>
      <c r="H969" s="231">
        <f>SUM(H967:H968)</f>
        <v>49690</v>
      </c>
      <c r="M969" s="233" t="s">
        <v>636</v>
      </c>
    </row>
    <row r="970" spans="2:13" ht="18.75" customHeight="1" x14ac:dyDescent="0.25">
      <c r="B970" s="550"/>
      <c r="C970" s="223"/>
      <c r="D970" s="550"/>
      <c r="E970" s="224"/>
      <c r="F970" s="233"/>
      <c r="G970" s="290"/>
      <c r="H970" s="231"/>
      <c r="M970" s="233"/>
    </row>
    <row r="971" spans="2:13" ht="18.75" customHeight="1" x14ac:dyDescent="0.25">
      <c r="B971" s="550" t="s">
        <v>637</v>
      </c>
      <c r="C971" s="223" t="s">
        <v>638</v>
      </c>
      <c r="D971" s="550"/>
      <c r="E971" s="224"/>
      <c r="F971" s="225"/>
      <c r="G971" s="290"/>
      <c r="H971" s="226"/>
      <c r="M971" s="225"/>
    </row>
    <row r="972" spans="2:13" ht="18.75" customHeight="1" x14ac:dyDescent="0.25">
      <c r="B972" s="550"/>
      <c r="C972" s="223" t="s">
        <v>722</v>
      </c>
      <c r="D972" s="550"/>
      <c r="E972" s="550" t="s">
        <v>52</v>
      </c>
      <c r="F972" s="233">
        <v>7.0699999999999999E-2</v>
      </c>
      <c r="G972" s="234">
        <f>Bahan!D600</f>
        <v>855000</v>
      </c>
      <c r="H972" s="230">
        <f>+G972*F972</f>
        <v>60448.5</v>
      </c>
      <c r="M972" s="233">
        <v>7.0699999999999999E-2</v>
      </c>
    </row>
    <row r="973" spans="2:13" ht="18.75" customHeight="1" x14ac:dyDescent="0.25">
      <c r="B973" s="550"/>
      <c r="C973" s="223"/>
      <c r="D973" s="550"/>
      <c r="E973" s="224"/>
      <c r="F973" s="237" t="s">
        <v>643</v>
      </c>
      <c r="G973" s="290"/>
      <c r="H973" s="231">
        <f>SUM(H972)</f>
        <v>60448.5</v>
      </c>
      <c r="M973" s="237" t="s">
        <v>643</v>
      </c>
    </row>
    <row r="974" spans="2:13" ht="18.75" customHeight="1" x14ac:dyDescent="0.25">
      <c r="B974" s="550"/>
      <c r="C974" s="223"/>
      <c r="D974" s="550"/>
      <c r="E974" s="224"/>
      <c r="F974" s="225"/>
      <c r="G974" s="290"/>
      <c r="H974" s="226"/>
      <c r="M974" s="225"/>
    </row>
    <row r="975" spans="2:13" ht="18.75" customHeight="1" x14ac:dyDescent="0.25">
      <c r="B975" s="550" t="s">
        <v>644</v>
      </c>
      <c r="C975" s="223" t="s">
        <v>645</v>
      </c>
      <c r="D975" s="550"/>
      <c r="E975" s="224"/>
      <c r="F975" s="225"/>
      <c r="G975" s="290"/>
      <c r="H975" s="235"/>
      <c r="M975" s="225"/>
    </row>
    <row r="976" spans="2:13" ht="18.75" customHeight="1" x14ac:dyDescent="0.25">
      <c r="B976" s="550"/>
      <c r="C976" s="223" t="s">
        <v>723</v>
      </c>
      <c r="D976" s="550"/>
      <c r="E976" s="550" t="s">
        <v>546</v>
      </c>
      <c r="F976" s="233">
        <v>1</v>
      </c>
      <c r="G976" s="234">
        <f>Bahan!D608</f>
        <v>124000</v>
      </c>
      <c r="H976" s="230">
        <f>+G976*F976</f>
        <v>124000</v>
      </c>
      <c r="M976" s="233">
        <v>1</v>
      </c>
    </row>
    <row r="977" spans="2:13" ht="18.75" customHeight="1" x14ac:dyDescent="0.25">
      <c r="B977" s="236"/>
      <c r="C977" s="232"/>
      <c r="D977" s="550"/>
      <c r="E977" s="224"/>
      <c r="F977" s="237" t="s">
        <v>646</v>
      </c>
      <c r="G977" s="290"/>
      <c r="H977" s="231">
        <f>SUM(H975:H976)</f>
        <v>124000</v>
      </c>
      <c r="M977" s="237" t="s">
        <v>646</v>
      </c>
    </row>
    <row r="978" spans="2:13" ht="18.75" customHeight="1" x14ac:dyDescent="0.25">
      <c r="B978" s="236"/>
      <c r="C978" s="232"/>
      <c r="D978" s="550"/>
      <c r="E978" s="224"/>
      <c r="F978" s="237"/>
      <c r="G978" s="290"/>
      <c r="H978" s="231"/>
      <c r="M978" s="237"/>
    </row>
    <row r="979" spans="2:13" ht="18.75" customHeight="1" x14ac:dyDescent="0.25">
      <c r="B979" s="248"/>
      <c r="C979" s="238"/>
      <c r="D979" s="239"/>
      <c r="E979" s="240"/>
      <c r="F979" s="241"/>
      <c r="G979" s="291"/>
      <c r="H979" s="251"/>
      <c r="M979" s="241"/>
    </row>
    <row r="980" spans="2:13" ht="18.75" customHeight="1" x14ac:dyDescent="0.25">
      <c r="B980" s="249" t="s">
        <v>647</v>
      </c>
      <c r="C980" s="104" t="s">
        <v>648</v>
      </c>
      <c r="D980" s="435"/>
      <c r="E980" s="92"/>
      <c r="F980" s="183"/>
      <c r="G980" s="167"/>
      <c r="H980" s="252">
        <f>+H977+H973+H969</f>
        <v>234138.5</v>
      </c>
      <c r="M980" s="183"/>
    </row>
    <row r="981" spans="2:13" ht="18.75" customHeight="1" x14ac:dyDescent="0.25">
      <c r="B981" s="249" t="s">
        <v>649</v>
      </c>
      <c r="C981" s="242" t="s">
        <v>650</v>
      </c>
      <c r="D981" s="435"/>
      <c r="E981" s="92"/>
      <c r="F981" s="184" t="str">
        <f>$J$5</f>
        <v>8,0 % x D</v>
      </c>
      <c r="G981" s="167"/>
      <c r="H981" s="253">
        <f>+H980*$K$5</f>
        <v>18731.080000000002</v>
      </c>
      <c r="M981" s="184" t="str">
        <f>$J$5</f>
        <v>8,0 % x D</v>
      </c>
    </row>
    <row r="982" spans="2:13" ht="18.75" customHeight="1" x14ac:dyDescent="0.25">
      <c r="B982" s="249" t="s">
        <v>651</v>
      </c>
      <c r="C982" s="111" t="s">
        <v>652</v>
      </c>
      <c r="D982" s="435"/>
      <c r="E982" s="91"/>
      <c r="F982" s="185"/>
      <c r="G982" s="168"/>
      <c r="H982" s="254">
        <f>ROUNDUP((H981+H980)/100,0)*100</f>
        <v>252900</v>
      </c>
      <c r="M982" s="185"/>
    </row>
    <row r="983" spans="2:13" ht="18.75" customHeight="1" x14ac:dyDescent="0.25">
      <c r="B983" s="259"/>
      <c r="C983" s="261"/>
      <c r="D983" s="245"/>
      <c r="E983" s="246"/>
      <c r="F983" s="247"/>
      <c r="G983" s="298"/>
      <c r="H983" s="260"/>
      <c r="M983" s="247"/>
    </row>
    <row r="984" spans="2:13" ht="18.75" customHeight="1" x14ac:dyDescent="0.25">
      <c r="B984" s="92"/>
      <c r="C984" s="104"/>
      <c r="D984" s="435"/>
      <c r="E984" s="91"/>
      <c r="F984" s="185"/>
      <c r="G984" s="168"/>
      <c r="H984" s="139"/>
      <c r="M984" s="185"/>
    </row>
    <row r="985" spans="2:13" ht="18.75" customHeight="1" x14ac:dyDescent="0.25">
      <c r="B985" s="20"/>
      <c r="C985" s="93" t="s">
        <v>724</v>
      </c>
      <c r="D985" s="19"/>
      <c r="E985" s="21"/>
      <c r="F985" s="176"/>
      <c r="G985" s="165"/>
      <c r="H985" s="119"/>
      <c r="M985" s="176"/>
    </row>
    <row r="986" spans="2:13" ht="18.75" customHeight="1" x14ac:dyDescent="0.25">
      <c r="B986" s="618" t="s">
        <v>620</v>
      </c>
      <c r="C986" s="620" t="s">
        <v>621</v>
      </c>
      <c r="D986" s="618" t="s">
        <v>622</v>
      </c>
      <c r="E986" s="618" t="s">
        <v>2</v>
      </c>
      <c r="F986" s="615" t="s">
        <v>623</v>
      </c>
      <c r="G986" s="289" t="s">
        <v>624</v>
      </c>
      <c r="H986" s="256" t="s">
        <v>625</v>
      </c>
      <c r="M986" s="615" t="s">
        <v>623</v>
      </c>
    </row>
    <row r="987" spans="2:13" ht="18.75" customHeight="1" x14ac:dyDescent="0.25">
      <c r="B987" s="619"/>
      <c r="C987" s="621"/>
      <c r="D987" s="619"/>
      <c r="E987" s="619"/>
      <c r="F987" s="616"/>
      <c r="G987" s="289" t="s">
        <v>626</v>
      </c>
      <c r="H987" s="256" t="s">
        <v>626</v>
      </c>
      <c r="M987" s="616"/>
    </row>
    <row r="988" spans="2:13" ht="18.75" customHeight="1" x14ac:dyDescent="0.25">
      <c r="B988" s="221"/>
      <c r="C988" s="222"/>
      <c r="D988" s="221"/>
      <c r="E988" s="550"/>
      <c r="F988" s="555"/>
      <c r="G988" s="551"/>
      <c r="H988" s="220"/>
      <c r="M988" s="590"/>
    </row>
    <row r="989" spans="2:13" ht="18.75" customHeight="1" x14ac:dyDescent="0.25">
      <c r="B989" s="550" t="s">
        <v>627</v>
      </c>
      <c r="C989" s="223" t="s">
        <v>628</v>
      </c>
      <c r="D989" s="550"/>
      <c r="E989" s="224"/>
      <c r="F989" s="225"/>
      <c r="G989" s="290"/>
      <c r="H989" s="226"/>
      <c r="M989" s="225"/>
    </row>
    <row r="990" spans="2:13" ht="18.75" customHeight="1" x14ac:dyDescent="0.25">
      <c r="B990" s="550"/>
      <c r="C990" s="223"/>
      <c r="D990" s="550"/>
      <c r="E990" s="224"/>
      <c r="F990" s="233" t="s">
        <v>636</v>
      </c>
      <c r="G990" s="290"/>
      <c r="H990" s="230">
        <f>SUM(H989)</f>
        <v>0</v>
      </c>
      <c r="M990" s="233" t="s">
        <v>636</v>
      </c>
    </row>
    <row r="991" spans="2:13" ht="18.75" customHeight="1" x14ac:dyDescent="0.25">
      <c r="B991" s="550"/>
      <c r="C991" s="223"/>
      <c r="D991" s="550"/>
      <c r="E991" s="224"/>
      <c r="F991" s="233"/>
      <c r="G991" s="290"/>
      <c r="H991" s="230"/>
      <c r="M991" s="233"/>
    </row>
    <row r="992" spans="2:13" ht="18.75" customHeight="1" x14ac:dyDescent="0.25">
      <c r="B992" s="550" t="s">
        <v>637</v>
      </c>
      <c r="C992" s="223" t="s">
        <v>638</v>
      </c>
      <c r="D992" s="550"/>
      <c r="E992" s="224"/>
      <c r="F992" s="225"/>
      <c r="G992" s="290"/>
      <c r="H992" s="226"/>
      <c r="M992" s="225"/>
    </row>
    <row r="993" spans="2:13" ht="18.75" customHeight="1" x14ac:dyDescent="0.25">
      <c r="B993" s="550"/>
      <c r="C993" s="223" t="s">
        <v>725</v>
      </c>
      <c r="D993" s="550"/>
      <c r="E993" s="550" t="s">
        <v>5</v>
      </c>
      <c r="F993" s="233">
        <v>7.2935999999999996</v>
      </c>
      <c r="G993" s="234">
        <f>Bahan!D133</f>
        <v>11000</v>
      </c>
      <c r="H993" s="230">
        <f>+G993*F993</f>
        <v>80229.599999999991</v>
      </c>
      <c r="M993" s="233">
        <v>7.2935999999999996</v>
      </c>
    </row>
    <row r="994" spans="2:13" ht="18.75" customHeight="1" x14ac:dyDescent="0.25">
      <c r="B994" s="550"/>
      <c r="C994" s="223" t="s">
        <v>726</v>
      </c>
      <c r="D994" s="550"/>
      <c r="E994" s="550" t="s">
        <v>5</v>
      </c>
      <c r="F994" s="233">
        <v>1.56</v>
      </c>
      <c r="G994" s="234">
        <f>Bahan!D132</f>
        <v>15000</v>
      </c>
      <c r="H994" s="230">
        <f>+G994*F994</f>
        <v>23400</v>
      </c>
      <c r="M994" s="233">
        <v>1.56</v>
      </c>
    </row>
    <row r="995" spans="2:13" ht="18.75" customHeight="1" x14ac:dyDescent="0.25">
      <c r="B995" s="550"/>
      <c r="C995" s="223"/>
      <c r="D995" s="550"/>
      <c r="E995" s="224"/>
      <c r="F995" s="237" t="s">
        <v>643</v>
      </c>
      <c r="G995" s="290"/>
      <c r="H995" s="231">
        <f>SUM(H993:H994)</f>
        <v>103629.59999999999</v>
      </c>
      <c r="M995" s="237" t="s">
        <v>643</v>
      </c>
    </row>
    <row r="996" spans="2:13" ht="18.75" customHeight="1" x14ac:dyDescent="0.25">
      <c r="B996" s="550"/>
      <c r="C996" s="223"/>
      <c r="D996" s="550"/>
      <c r="E996" s="224"/>
      <c r="F996" s="225"/>
      <c r="G996" s="290"/>
      <c r="H996" s="226"/>
      <c r="M996" s="225"/>
    </row>
    <row r="997" spans="2:13" ht="18.75" customHeight="1" x14ac:dyDescent="0.25">
      <c r="B997" s="550" t="s">
        <v>644</v>
      </c>
      <c r="C997" s="223" t="s">
        <v>645</v>
      </c>
      <c r="D997" s="550"/>
      <c r="E997" s="224"/>
      <c r="F997" s="225"/>
      <c r="G997" s="290"/>
      <c r="H997" s="235"/>
      <c r="M997" s="225"/>
    </row>
    <row r="998" spans="2:13" ht="18.75" customHeight="1" x14ac:dyDescent="0.25">
      <c r="B998" s="236"/>
      <c r="C998" s="232"/>
      <c r="D998" s="550"/>
      <c r="E998" s="224"/>
      <c r="F998" s="237" t="s">
        <v>646</v>
      </c>
      <c r="G998" s="290"/>
      <c r="H998" s="230">
        <f>SUM(H996:H997)</f>
        <v>0</v>
      </c>
      <c r="M998" s="237" t="s">
        <v>646</v>
      </c>
    </row>
    <row r="999" spans="2:13" ht="18.75" customHeight="1" x14ac:dyDescent="0.25">
      <c r="B999" s="236"/>
      <c r="C999" s="232"/>
      <c r="D999" s="550"/>
      <c r="E999" s="224"/>
      <c r="F999" s="237"/>
      <c r="G999" s="290"/>
      <c r="H999" s="226"/>
      <c r="M999" s="237"/>
    </row>
    <row r="1000" spans="2:13" ht="18.75" customHeight="1" x14ac:dyDescent="0.25">
      <c r="B1000" s="248"/>
      <c r="C1000" s="238"/>
      <c r="D1000" s="239"/>
      <c r="E1000" s="240"/>
      <c r="F1000" s="241"/>
      <c r="G1000" s="291"/>
      <c r="H1000" s="251"/>
      <c r="M1000" s="241"/>
    </row>
    <row r="1001" spans="2:13" ht="18.75" customHeight="1" x14ac:dyDescent="0.25">
      <c r="B1001" s="249" t="s">
        <v>647</v>
      </c>
      <c r="C1001" s="104" t="s">
        <v>648</v>
      </c>
      <c r="D1001" s="435"/>
      <c r="E1001" s="92"/>
      <c r="F1001" s="183"/>
      <c r="G1001" s="167"/>
      <c r="H1001" s="254">
        <f>+H998+H995+H990</f>
        <v>103629.59999999999</v>
      </c>
      <c r="M1001" s="183"/>
    </row>
    <row r="1002" spans="2:13" ht="18.75" customHeight="1" x14ac:dyDescent="0.25">
      <c r="B1002" s="249" t="s">
        <v>649</v>
      </c>
      <c r="C1002" s="242" t="s">
        <v>650</v>
      </c>
      <c r="D1002" s="435"/>
      <c r="E1002" s="92"/>
      <c r="F1002" s="184" t="str">
        <f>$J$5</f>
        <v>8,0 % x D</v>
      </c>
      <c r="G1002" s="167"/>
      <c r="H1002" s="253">
        <f>+H1001*$K$5</f>
        <v>8290.3679999999986</v>
      </c>
      <c r="M1002" s="184" t="str">
        <f>$J$5</f>
        <v>8,0 % x D</v>
      </c>
    </row>
    <row r="1003" spans="2:13" ht="18.75" customHeight="1" x14ac:dyDescent="0.25">
      <c r="B1003" s="249" t="s">
        <v>651</v>
      </c>
      <c r="C1003" s="111" t="s">
        <v>652</v>
      </c>
      <c r="D1003" s="435"/>
      <c r="E1003" s="91"/>
      <c r="F1003" s="185"/>
      <c r="G1003" s="168"/>
      <c r="H1003" s="254">
        <f>ROUNDUP((H1002+H1001)/100,0)*100</f>
        <v>112000</v>
      </c>
      <c r="M1003" s="185"/>
    </row>
    <row r="1004" spans="2:13" ht="18.75" customHeight="1" x14ac:dyDescent="0.25">
      <c r="B1004" s="249"/>
      <c r="C1004" s="111" t="s">
        <v>1446</v>
      </c>
      <c r="D1004" s="435"/>
      <c r="E1004" s="91"/>
      <c r="F1004" s="185"/>
      <c r="G1004" s="168"/>
      <c r="H1004" s="254">
        <f>+H959+H982+H1003</f>
        <v>478600</v>
      </c>
      <c r="M1004" s="185"/>
    </row>
    <row r="1005" spans="2:13" ht="18.75" customHeight="1" x14ac:dyDescent="0.25">
      <c r="B1005" s="250"/>
      <c r="C1005" s="279"/>
      <c r="D1005" s="245"/>
      <c r="E1005" s="246"/>
      <c r="F1005" s="247"/>
      <c r="G1005" s="298"/>
      <c r="H1005" s="255"/>
      <c r="M1005" s="247"/>
    </row>
    <row r="1006" spans="2:13" ht="18.75" customHeight="1" x14ac:dyDescent="0.25">
      <c r="B1006" s="22"/>
      <c r="C1006" s="104"/>
      <c r="E1006" s="21"/>
      <c r="F1006" s="176"/>
      <c r="G1006" s="165"/>
      <c r="H1006" s="119"/>
      <c r="M1006" s="176"/>
    </row>
    <row r="1007" spans="2:13" ht="18.75" customHeight="1" x14ac:dyDescent="0.25">
      <c r="B1007" s="19">
        <f>B938+1</f>
        <v>9</v>
      </c>
      <c r="C1007" s="93" t="s">
        <v>727</v>
      </c>
      <c r="D1007" s="19"/>
      <c r="E1007" s="21"/>
      <c r="F1007" s="176"/>
      <c r="G1007" s="165"/>
      <c r="H1007" s="119"/>
      <c r="M1007" s="176"/>
    </row>
    <row r="1008" spans="2:13" ht="18.75" customHeight="1" x14ac:dyDescent="0.25">
      <c r="B1008" s="618" t="s">
        <v>620</v>
      </c>
      <c r="C1008" s="620" t="s">
        <v>621</v>
      </c>
      <c r="D1008" s="618" t="s">
        <v>622</v>
      </c>
      <c r="E1008" s="618" t="s">
        <v>2</v>
      </c>
      <c r="F1008" s="615" t="s">
        <v>623</v>
      </c>
      <c r="G1008" s="289" t="s">
        <v>624</v>
      </c>
      <c r="H1008" s="256" t="s">
        <v>625</v>
      </c>
      <c r="M1008" s="615" t="s">
        <v>623</v>
      </c>
    </row>
    <row r="1009" spans="2:13" ht="18.75" customHeight="1" x14ac:dyDescent="0.25">
      <c r="B1009" s="619"/>
      <c r="C1009" s="621"/>
      <c r="D1009" s="619"/>
      <c r="E1009" s="619"/>
      <c r="F1009" s="616"/>
      <c r="G1009" s="289" t="s">
        <v>626</v>
      </c>
      <c r="H1009" s="256" t="s">
        <v>626</v>
      </c>
      <c r="M1009" s="616"/>
    </row>
    <row r="1010" spans="2:13" ht="18.75" customHeight="1" x14ac:dyDescent="0.25">
      <c r="B1010" s="221"/>
      <c r="C1010" s="222"/>
      <c r="D1010" s="221"/>
      <c r="E1010" s="550"/>
      <c r="F1010" s="555"/>
      <c r="G1010" s="551"/>
      <c r="H1010" s="220"/>
      <c r="M1010" s="590"/>
    </row>
    <row r="1011" spans="2:13" ht="18.75" customHeight="1" x14ac:dyDescent="0.25">
      <c r="B1011" s="550" t="s">
        <v>627</v>
      </c>
      <c r="C1011" s="223" t="s">
        <v>628</v>
      </c>
      <c r="D1011" s="550"/>
      <c r="E1011" s="224"/>
      <c r="F1011" s="225"/>
      <c r="G1011" s="290"/>
      <c r="H1011" s="226"/>
      <c r="M1011" s="225"/>
    </row>
    <row r="1012" spans="2:13" ht="18.75" customHeight="1" x14ac:dyDescent="0.25">
      <c r="B1012" s="550"/>
      <c r="C1012" s="227" t="s">
        <v>629</v>
      </c>
      <c r="D1012" s="550" t="s">
        <v>630</v>
      </c>
      <c r="E1012" s="224" t="s">
        <v>631</v>
      </c>
      <c r="F1012" s="228">
        <f t="shared" ref="F1012:F1015" si="49">$K$8*M1012</f>
        <v>0.8</v>
      </c>
      <c r="G1012" s="229">
        <f>G916</f>
        <v>95000</v>
      </c>
      <c r="H1012" s="230">
        <f>+G1012*F1012</f>
        <v>76000</v>
      </c>
      <c r="K1012" s="415"/>
      <c r="L1012" s="416"/>
      <c r="M1012" s="414">
        <v>0.8</v>
      </c>
    </row>
    <row r="1013" spans="2:13" ht="18.75" customHeight="1" x14ac:dyDescent="0.25">
      <c r="B1013" s="550"/>
      <c r="C1013" s="227" t="s">
        <v>1508</v>
      </c>
      <c r="D1013" s="550" t="s">
        <v>632</v>
      </c>
      <c r="E1013" s="224" t="s">
        <v>631</v>
      </c>
      <c r="F1013" s="228">
        <f t="shared" si="49"/>
        <v>0.5</v>
      </c>
      <c r="G1013" s="229">
        <f>G917</f>
        <v>110000</v>
      </c>
      <c r="H1013" s="230">
        <f>+G1013*F1013</f>
        <v>55000</v>
      </c>
      <c r="K1013" s="415"/>
      <c r="L1013" s="416"/>
      <c r="M1013" s="414">
        <v>0.5</v>
      </c>
    </row>
    <row r="1014" spans="2:13" ht="18.75" customHeight="1" x14ac:dyDescent="0.25">
      <c r="B1014" s="550"/>
      <c r="C1014" s="227" t="s">
        <v>633</v>
      </c>
      <c r="D1014" s="550" t="s">
        <v>634</v>
      </c>
      <c r="E1014" s="224" t="s">
        <v>631</v>
      </c>
      <c r="F1014" s="228">
        <f t="shared" si="49"/>
        <v>7.4999999999999997E-2</v>
      </c>
      <c r="G1014" s="229">
        <f>G918</f>
        <v>115000</v>
      </c>
      <c r="H1014" s="230">
        <f>+G1014*F1014</f>
        <v>8625</v>
      </c>
      <c r="K1014" s="415"/>
      <c r="L1014" s="416"/>
      <c r="M1014" s="414">
        <v>7.4999999999999997E-2</v>
      </c>
    </row>
    <row r="1015" spans="2:13" ht="18.75" customHeight="1" x14ac:dyDescent="0.25">
      <c r="B1015" s="550"/>
      <c r="C1015" s="227" t="s">
        <v>600</v>
      </c>
      <c r="D1015" s="550" t="s">
        <v>635</v>
      </c>
      <c r="E1015" s="224" t="s">
        <v>631</v>
      </c>
      <c r="F1015" s="228">
        <f t="shared" si="49"/>
        <v>7.4999999999999997E-2</v>
      </c>
      <c r="G1015" s="229">
        <f>G919</f>
        <v>140000</v>
      </c>
      <c r="H1015" s="230">
        <f>+G1015*F1015</f>
        <v>10500</v>
      </c>
      <c r="K1015" s="415"/>
      <c r="L1015" s="416"/>
      <c r="M1015" s="414">
        <v>7.4999999999999997E-2</v>
      </c>
    </row>
    <row r="1016" spans="2:13" ht="18.75" customHeight="1" x14ac:dyDescent="0.25">
      <c r="B1016" s="550"/>
      <c r="C1016" s="223"/>
      <c r="D1016" s="550"/>
      <c r="E1016" s="224"/>
      <c r="F1016" s="233" t="s">
        <v>636</v>
      </c>
      <c r="G1016" s="290"/>
      <c r="H1016" s="231">
        <f>SUM(H1012:H1015)</f>
        <v>150125</v>
      </c>
      <c r="M1016" s="233" t="s">
        <v>636</v>
      </c>
    </row>
    <row r="1017" spans="2:13" ht="18.75" customHeight="1" x14ac:dyDescent="0.25">
      <c r="B1017" s="550"/>
      <c r="C1017" s="223"/>
      <c r="D1017" s="550"/>
      <c r="E1017" s="224"/>
      <c r="F1017" s="233"/>
      <c r="G1017" s="290"/>
      <c r="H1017" s="231"/>
      <c r="M1017" s="233"/>
    </row>
    <row r="1018" spans="2:13" ht="18.75" customHeight="1" x14ac:dyDescent="0.25">
      <c r="B1018" s="550" t="s">
        <v>637</v>
      </c>
      <c r="C1018" s="223" t="s">
        <v>638</v>
      </c>
      <c r="D1018" s="550"/>
      <c r="E1018" s="224"/>
      <c r="F1018" s="225"/>
      <c r="G1018" s="290"/>
      <c r="H1018" s="226"/>
      <c r="M1018" s="225"/>
    </row>
    <row r="1019" spans="2:13" ht="18.75" customHeight="1" x14ac:dyDescent="0.25">
      <c r="B1019" s="550"/>
      <c r="C1019" s="417" t="s">
        <v>728</v>
      </c>
      <c r="D1019" s="550"/>
      <c r="E1019" s="550" t="s">
        <v>52</v>
      </c>
      <c r="F1019" s="414">
        <v>1.6E-2</v>
      </c>
      <c r="G1019" s="234">
        <f>Bahan!D91</f>
        <v>182000</v>
      </c>
      <c r="H1019" s="230">
        <f>F1019*G1019</f>
        <v>2912</v>
      </c>
      <c r="K1019" s="415"/>
      <c r="L1019" s="416"/>
      <c r="M1019" s="414">
        <v>1.6E-2</v>
      </c>
    </row>
    <row r="1020" spans="2:13" ht="18.75" customHeight="1" x14ac:dyDescent="0.25">
      <c r="B1020" s="550"/>
      <c r="C1020" s="417" t="s">
        <v>729</v>
      </c>
      <c r="D1020" s="550"/>
      <c r="E1020" s="550" t="s">
        <v>52</v>
      </c>
      <c r="F1020" s="414">
        <v>0.08</v>
      </c>
      <c r="G1020" s="234">
        <f>G925</f>
        <v>230000</v>
      </c>
      <c r="H1020" s="230">
        <f t="shared" ref="H1020:H1028" si="50">F1020*G1020</f>
        <v>18400</v>
      </c>
      <c r="K1020" s="415"/>
      <c r="L1020" s="416"/>
      <c r="M1020" s="414">
        <v>0.08</v>
      </c>
    </row>
    <row r="1021" spans="2:13" ht="18.75" customHeight="1" x14ac:dyDescent="0.25">
      <c r="B1021" s="550"/>
      <c r="C1021" s="417" t="s">
        <v>730</v>
      </c>
      <c r="D1021" s="550"/>
      <c r="E1021" s="550" t="s">
        <v>52</v>
      </c>
      <c r="F1021" s="414">
        <v>0.125</v>
      </c>
      <c r="G1021" s="234">
        <f>Bahan!D73</f>
        <v>335000</v>
      </c>
      <c r="H1021" s="230">
        <f t="shared" si="50"/>
        <v>41875</v>
      </c>
      <c r="K1021" s="415"/>
      <c r="L1021" s="416"/>
      <c r="M1021" s="414">
        <v>0.125</v>
      </c>
    </row>
    <row r="1022" spans="2:13" ht="18.75" customHeight="1" x14ac:dyDescent="0.25">
      <c r="B1022" s="550"/>
      <c r="C1022" s="417" t="s">
        <v>1479</v>
      </c>
      <c r="D1022" s="550"/>
      <c r="E1022" s="550" t="s">
        <v>62</v>
      </c>
      <c r="F1022" s="414">
        <v>49</v>
      </c>
      <c r="G1022" s="234">
        <f>G924</f>
        <v>1700</v>
      </c>
      <c r="H1022" s="230">
        <f t="shared" si="50"/>
        <v>83300</v>
      </c>
      <c r="K1022" s="415"/>
      <c r="L1022" s="416"/>
      <c r="M1022" s="414">
        <v>49</v>
      </c>
    </row>
    <row r="1023" spans="2:13" ht="18.75" customHeight="1" x14ac:dyDescent="0.25">
      <c r="B1023" s="550"/>
      <c r="C1023" s="417" t="s">
        <v>1483</v>
      </c>
      <c r="D1023" s="550"/>
      <c r="E1023" s="550" t="s">
        <v>62</v>
      </c>
      <c r="F1023" s="414">
        <v>34.5</v>
      </c>
      <c r="G1023" s="234">
        <f>Bahan!D134</f>
        <v>10000</v>
      </c>
      <c r="H1023" s="230">
        <f t="shared" si="50"/>
        <v>345000</v>
      </c>
      <c r="K1023" s="415"/>
      <c r="L1023" s="416"/>
      <c r="M1023" s="414">
        <v>34.5</v>
      </c>
    </row>
    <row r="1024" spans="2:13" ht="18.75" customHeight="1" x14ac:dyDescent="0.25">
      <c r="B1024" s="550"/>
      <c r="C1024" s="417" t="s">
        <v>733</v>
      </c>
      <c r="D1024" s="550"/>
      <c r="E1024" s="550" t="s">
        <v>62</v>
      </c>
      <c r="F1024" s="414">
        <v>0.7</v>
      </c>
      <c r="G1024" s="234">
        <f>Bahan!D152</f>
        <v>15500</v>
      </c>
      <c r="H1024" s="230">
        <f t="shared" si="50"/>
        <v>10850</v>
      </c>
      <c r="K1024" s="415"/>
      <c r="L1024" s="416"/>
      <c r="M1024" s="414">
        <v>0.7</v>
      </c>
    </row>
    <row r="1025" spans="2:13" ht="18.75" customHeight="1" x14ac:dyDescent="0.25">
      <c r="B1025" s="550"/>
      <c r="C1025" s="417" t="s">
        <v>734</v>
      </c>
      <c r="D1025" s="550"/>
      <c r="E1025" s="550" t="s">
        <v>52</v>
      </c>
      <c r="F1025" s="414">
        <v>2.7E-2</v>
      </c>
      <c r="G1025" s="234">
        <f>Bahan!D277</f>
        <v>5400000</v>
      </c>
      <c r="H1025" s="230">
        <f t="shared" si="50"/>
        <v>145800</v>
      </c>
      <c r="K1025" s="415"/>
      <c r="L1025" s="416"/>
      <c r="M1025" s="414">
        <v>2.7E-2</v>
      </c>
    </row>
    <row r="1026" spans="2:13" ht="18.75" customHeight="1" x14ac:dyDescent="0.25">
      <c r="B1026" s="550"/>
      <c r="C1026" s="417" t="s">
        <v>735</v>
      </c>
      <c r="D1026" s="550"/>
      <c r="E1026" s="550" t="s">
        <v>62</v>
      </c>
      <c r="F1026" s="414">
        <v>0.12</v>
      </c>
      <c r="G1026" s="234">
        <f>Bahan!D341</f>
        <v>25000</v>
      </c>
      <c r="H1026" s="230">
        <f t="shared" si="50"/>
        <v>3000</v>
      </c>
      <c r="K1026" s="415"/>
      <c r="L1026" s="416"/>
      <c r="M1026" s="414">
        <v>0.12</v>
      </c>
    </row>
    <row r="1027" spans="2:13" ht="18.75" customHeight="1" x14ac:dyDescent="0.25">
      <c r="B1027" s="550"/>
      <c r="C1027" s="417" t="s">
        <v>736</v>
      </c>
      <c r="D1027" s="550"/>
      <c r="E1027" s="550" t="s">
        <v>7</v>
      </c>
      <c r="F1027" s="414">
        <v>0.09</v>
      </c>
      <c r="G1027" s="234">
        <f>Bahan!D11</f>
        <v>23000</v>
      </c>
      <c r="H1027" s="230">
        <f t="shared" si="50"/>
        <v>2070</v>
      </c>
      <c r="K1027" s="415"/>
      <c r="L1027" s="416"/>
      <c r="M1027" s="414">
        <v>0.09</v>
      </c>
    </row>
    <row r="1028" spans="2:13" ht="18.75" customHeight="1" x14ac:dyDescent="0.25">
      <c r="B1028" s="550"/>
      <c r="C1028" s="417" t="s">
        <v>1484</v>
      </c>
      <c r="D1028" s="550"/>
      <c r="E1028" s="550" t="s">
        <v>62</v>
      </c>
      <c r="F1028" s="414">
        <v>0.2</v>
      </c>
      <c r="G1028" s="234">
        <f>Bahan!D201</f>
        <v>20000</v>
      </c>
      <c r="H1028" s="230">
        <f t="shared" si="50"/>
        <v>4000</v>
      </c>
      <c r="K1028" s="415"/>
      <c r="L1028" s="416"/>
      <c r="M1028" s="414">
        <v>0.2</v>
      </c>
    </row>
    <row r="1029" spans="2:13" ht="18.75" customHeight="1" x14ac:dyDescent="0.25">
      <c r="B1029" s="550"/>
      <c r="C1029" s="223"/>
      <c r="D1029" s="550"/>
      <c r="E1029" s="224"/>
      <c r="F1029" s="237" t="s">
        <v>643</v>
      </c>
      <c r="G1029" s="290"/>
      <c r="H1029" s="231">
        <f>SUM(H1019:H1028)</f>
        <v>657207</v>
      </c>
      <c r="M1029" s="237" t="s">
        <v>643</v>
      </c>
    </row>
    <row r="1030" spans="2:13" ht="18.75" customHeight="1" x14ac:dyDescent="0.25">
      <c r="B1030" s="550"/>
      <c r="C1030" s="223"/>
      <c r="D1030" s="550"/>
      <c r="E1030" s="224"/>
      <c r="F1030" s="225"/>
      <c r="G1030" s="290"/>
      <c r="H1030" s="226"/>
      <c r="M1030" s="225"/>
    </row>
    <row r="1031" spans="2:13" ht="18.75" customHeight="1" x14ac:dyDescent="0.25">
      <c r="B1031" s="550" t="s">
        <v>644</v>
      </c>
      <c r="C1031" s="223" t="s">
        <v>645</v>
      </c>
      <c r="D1031" s="550"/>
      <c r="E1031" s="224"/>
      <c r="F1031" s="225"/>
      <c r="G1031" s="290"/>
      <c r="H1031" s="235"/>
      <c r="M1031" s="225"/>
    </row>
    <row r="1032" spans="2:13" ht="18.75" customHeight="1" x14ac:dyDescent="0.25">
      <c r="B1032" s="236"/>
      <c r="C1032" s="232"/>
      <c r="D1032" s="550"/>
      <c r="E1032" s="224"/>
      <c r="F1032" s="237" t="s">
        <v>646</v>
      </c>
      <c r="G1032" s="290"/>
      <c r="H1032" s="230">
        <f>SUM(H1031:H1031)</f>
        <v>0</v>
      </c>
      <c r="M1032" s="237" t="s">
        <v>646</v>
      </c>
    </row>
    <row r="1033" spans="2:13" ht="18.75" customHeight="1" x14ac:dyDescent="0.25">
      <c r="B1033" s="236"/>
      <c r="C1033" s="232"/>
      <c r="D1033" s="550"/>
      <c r="E1033" s="224"/>
      <c r="F1033" s="237"/>
      <c r="G1033" s="290"/>
      <c r="H1033" s="226"/>
      <c r="M1033" s="237"/>
    </row>
    <row r="1034" spans="2:13" ht="18.75" customHeight="1" x14ac:dyDescent="0.25">
      <c r="B1034" s="248"/>
      <c r="C1034" s="238"/>
      <c r="D1034" s="239"/>
      <c r="E1034" s="240"/>
      <c r="F1034" s="241"/>
      <c r="G1034" s="291"/>
      <c r="H1034" s="251"/>
      <c r="M1034" s="241"/>
    </row>
    <row r="1035" spans="2:13" ht="18.75" customHeight="1" x14ac:dyDescent="0.25">
      <c r="B1035" s="249" t="s">
        <v>647</v>
      </c>
      <c r="C1035" s="104" t="s">
        <v>648</v>
      </c>
      <c r="D1035" s="435"/>
      <c r="E1035" s="92"/>
      <c r="F1035" s="183"/>
      <c r="G1035" s="167"/>
      <c r="H1035" s="254">
        <f>+H1032+H1029+H1016</f>
        <v>807332</v>
      </c>
      <c r="M1035" s="183"/>
    </row>
    <row r="1036" spans="2:13" ht="18.75" customHeight="1" x14ac:dyDescent="0.25">
      <c r="B1036" s="249" t="s">
        <v>649</v>
      </c>
      <c r="C1036" s="242" t="s">
        <v>650</v>
      </c>
      <c r="D1036" s="435"/>
      <c r="E1036" s="92"/>
      <c r="F1036" s="184" t="str">
        <f>$J$5</f>
        <v>8,0 % x D</v>
      </c>
      <c r="G1036" s="167"/>
      <c r="H1036" s="253">
        <f>+H1035*$K$5</f>
        <v>64586.560000000005</v>
      </c>
      <c r="M1036" s="184" t="str">
        <f>$J$5</f>
        <v>8,0 % x D</v>
      </c>
    </row>
    <row r="1037" spans="2:13" ht="18.75" customHeight="1" x14ac:dyDescent="0.25">
      <c r="B1037" s="249" t="s">
        <v>651</v>
      </c>
      <c r="C1037" s="111" t="s">
        <v>652</v>
      </c>
      <c r="D1037" s="435"/>
      <c r="E1037" s="91"/>
      <c r="F1037" s="185"/>
      <c r="G1037" s="168"/>
      <c r="H1037" s="254">
        <f>ROUNDUP((H1036+H1035)/100,0)*100</f>
        <v>872000</v>
      </c>
      <c r="M1037" s="185"/>
    </row>
    <row r="1038" spans="2:13" ht="18.75" customHeight="1" x14ac:dyDescent="0.25">
      <c r="B1038" s="259"/>
      <c r="C1038" s="261"/>
      <c r="D1038" s="245"/>
      <c r="E1038" s="246"/>
      <c r="F1038" s="247"/>
      <c r="G1038" s="298"/>
      <c r="H1038" s="260"/>
      <c r="M1038" s="247"/>
    </row>
    <row r="1039" spans="2:13" ht="18.75" customHeight="1" x14ac:dyDescent="0.25">
      <c r="B1039" s="22"/>
      <c r="C1039" s="104"/>
      <c r="E1039" s="21"/>
      <c r="F1039" s="176"/>
      <c r="G1039" s="165"/>
      <c r="H1039" s="119"/>
      <c r="M1039" s="176"/>
    </row>
    <row r="1040" spans="2:13" ht="18.75" customHeight="1" x14ac:dyDescent="0.25">
      <c r="B1040" s="19">
        <f>B1007+1</f>
        <v>10</v>
      </c>
      <c r="C1040" s="93" t="s">
        <v>737</v>
      </c>
      <c r="D1040" s="19"/>
      <c r="E1040" s="21"/>
      <c r="F1040" s="176"/>
      <c r="G1040" s="165"/>
      <c r="H1040" s="119"/>
      <c r="M1040" s="176"/>
    </row>
    <row r="1041" spans="2:13" ht="18.75" customHeight="1" x14ac:dyDescent="0.25">
      <c r="B1041" s="618" t="s">
        <v>620</v>
      </c>
      <c r="C1041" s="620" t="s">
        <v>621</v>
      </c>
      <c r="D1041" s="618" t="s">
        <v>622</v>
      </c>
      <c r="E1041" s="618" t="s">
        <v>2</v>
      </c>
      <c r="F1041" s="615" t="s">
        <v>623</v>
      </c>
      <c r="G1041" s="289" t="s">
        <v>624</v>
      </c>
      <c r="H1041" s="256" t="s">
        <v>625</v>
      </c>
      <c r="M1041" s="615" t="s">
        <v>623</v>
      </c>
    </row>
    <row r="1042" spans="2:13" ht="18.75" customHeight="1" x14ac:dyDescent="0.25">
      <c r="B1042" s="619"/>
      <c r="C1042" s="621"/>
      <c r="D1042" s="619"/>
      <c r="E1042" s="619"/>
      <c r="F1042" s="616"/>
      <c r="G1042" s="289" t="s">
        <v>626</v>
      </c>
      <c r="H1042" s="256" t="s">
        <v>626</v>
      </c>
      <c r="M1042" s="616"/>
    </row>
    <row r="1043" spans="2:13" ht="18.75" customHeight="1" x14ac:dyDescent="0.25">
      <c r="B1043" s="221"/>
      <c r="C1043" s="222"/>
      <c r="D1043" s="221"/>
      <c r="E1043" s="550"/>
      <c r="F1043" s="555"/>
      <c r="G1043" s="551"/>
      <c r="H1043" s="220"/>
      <c r="M1043" s="590"/>
    </row>
    <row r="1044" spans="2:13" ht="18.75" customHeight="1" x14ac:dyDescent="0.25">
      <c r="B1044" s="550" t="s">
        <v>627</v>
      </c>
      <c r="C1044" s="223" t="s">
        <v>628</v>
      </c>
      <c r="D1044" s="550"/>
      <c r="E1044" s="224"/>
      <c r="F1044" s="225"/>
      <c r="G1044" s="290"/>
      <c r="H1044" s="226"/>
      <c r="M1044" s="225"/>
    </row>
    <row r="1045" spans="2:13" ht="18.75" customHeight="1" x14ac:dyDescent="0.25">
      <c r="B1045" s="550"/>
      <c r="C1045" s="227" t="s">
        <v>629</v>
      </c>
      <c r="D1045" s="550" t="s">
        <v>630</v>
      </c>
      <c r="E1045" s="224" t="s">
        <v>631</v>
      </c>
      <c r="F1045" s="228">
        <f t="shared" ref="F1045:F1048" si="51">$K$8*M1045</f>
        <v>1</v>
      </c>
      <c r="G1045" s="229">
        <f>G1012</f>
        <v>95000</v>
      </c>
      <c r="H1045" s="230">
        <f>+G1045*F1045</f>
        <v>95000</v>
      </c>
      <c r="K1045" s="415"/>
      <c r="L1045" s="416"/>
      <c r="M1045" s="414">
        <v>1</v>
      </c>
    </row>
    <row r="1046" spans="2:13" ht="18.75" customHeight="1" x14ac:dyDescent="0.25">
      <c r="B1046" s="550"/>
      <c r="C1046" s="227" t="s">
        <v>1508</v>
      </c>
      <c r="D1046" s="550" t="s">
        <v>632</v>
      </c>
      <c r="E1046" s="224" t="s">
        <v>631</v>
      </c>
      <c r="F1046" s="228">
        <f t="shared" si="51"/>
        <v>0.67</v>
      </c>
      <c r="G1046" s="229">
        <f t="shared" ref="G1046:G1048" si="52">G1013</f>
        <v>110000</v>
      </c>
      <c r="H1046" s="230">
        <f>+G1046*F1046</f>
        <v>73700</v>
      </c>
      <c r="K1046" s="415"/>
      <c r="L1046" s="416"/>
      <c r="M1046" s="414">
        <v>0.67</v>
      </c>
    </row>
    <row r="1047" spans="2:13" ht="18.75" customHeight="1" x14ac:dyDescent="0.25">
      <c r="B1047" s="550"/>
      <c r="C1047" s="227" t="s">
        <v>633</v>
      </c>
      <c r="D1047" s="550" t="s">
        <v>634</v>
      </c>
      <c r="E1047" s="224" t="s">
        <v>631</v>
      </c>
      <c r="F1047" s="228">
        <f t="shared" si="51"/>
        <v>7.5700000000000003E-2</v>
      </c>
      <c r="G1047" s="229">
        <f t="shared" si="52"/>
        <v>115000</v>
      </c>
      <c r="H1047" s="230">
        <f>+G1047*F1047</f>
        <v>8705.5</v>
      </c>
      <c r="K1047" s="415"/>
      <c r="L1047" s="416"/>
      <c r="M1047" s="414">
        <v>7.5700000000000003E-2</v>
      </c>
    </row>
    <row r="1048" spans="2:13" ht="18.75" customHeight="1" x14ac:dyDescent="0.25">
      <c r="B1048" s="550"/>
      <c r="C1048" s="227" t="s">
        <v>600</v>
      </c>
      <c r="D1048" s="550" t="s">
        <v>635</v>
      </c>
      <c r="E1048" s="224" t="s">
        <v>631</v>
      </c>
      <c r="F1048" s="228">
        <f t="shared" si="51"/>
        <v>7.4999999999999997E-2</v>
      </c>
      <c r="G1048" s="229">
        <f t="shared" si="52"/>
        <v>140000</v>
      </c>
      <c r="H1048" s="230">
        <f>+G1048*F1048</f>
        <v>10500</v>
      </c>
      <c r="K1048" s="415"/>
      <c r="L1048" s="416"/>
      <c r="M1048" s="414">
        <v>7.4999999999999997E-2</v>
      </c>
    </row>
    <row r="1049" spans="2:13" ht="18.75" customHeight="1" x14ac:dyDescent="0.25">
      <c r="B1049" s="550"/>
      <c r="C1049" s="223"/>
      <c r="D1049" s="550"/>
      <c r="E1049" s="224"/>
      <c r="F1049" s="233" t="s">
        <v>636</v>
      </c>
      <c r="G1049" s="290"/>
      <c r="H1049" s="231">
        <f>SUM(H1045:H1048)</f>
        <v>187905.5</v>
      </c>
      <c r="M1049" s="233" t="s">
        <v>636</v>
      </c>
    </row>
    <row r="1050" spans="2:13" ht="18.75" customHeight="1" x14ac:dyDescent="0.25">
      <c r="B1050" s="550" t="s">
        <v>637</v>
      </c>
      <c r="C1050" s="223" t="s">
        <v>638</v>
      </c>
      <c r="D1050" s="550"/>
      <c r="E1050" s="224"/>
      <c r="F1050" s="225"/>
      <c r="G1050" s="290"/>
      <c r="H1050" s="226"/>
      <c r="M1050" s="225"/>
    </row>
    <row r="1051" spans="2:13" ht="18.75" customHeight="1" x14ac:dyDescent="0.25">
      <c r="B1051" s="550"/>
      <c r="C1051" s="417" t="s">
        <v>728</v>
      </c>
      <c r="D1051" s="550"/>
      <c r="E1051" s="550" t="s">
        <v>52</v>
      </c>
      <c r="F1051" s="414">
        <v>1.9E-2</v>
      </c>
      <c r="G1051" s="234">
        <f t="shared" ref="G1051:G1060" si="53">G1019</f>
        <v>182000</v>
      </c>
      <c r="H1051" s="230">
        <f>+G1051*F1051</f>
        <v>3458</v>
      </c>
      <c r="K1051" s="415"/>
      <c r="L1051" s="416"/>
      <c r="M1051" s="414">
        <v>1.9E-2</v>
      </c>
    </row>
    <row r="1052" spans="2:13" ht="18.75" customHeight="1" x14ac:dyDescent="0.25">
      <c r="B1052" s="550"/>
      <c r="C1052" s="417" t="s">
        <v>729</v>
      </c>
      <c r="D1052" s="550"/>
      <c r="E1052" s="550" t="s">
        <v>52</v>
      </c>
      <c r="F1052" s="414">
        <v>9.4E-2</v>
      </c>
      <c r="G1052" s="234">
        <f t="shared" si="53"/>
        <v>230000</v>
      </c>
      <c r="H1052" s="230">
        <f>+G1052*F1052</f>
        <v>21620</v>
      </c>
      <c r="K1052" s="415"/>
      <c r="L1052" s="416"/>
      <c r="M1052" s="414">
        <v>9.4E-2</v>
      </c>
    </row>
    <row r="1053" spans="2:13" ht="18.75" customHeight="1" x14ac:dyDescent="0.25">
      <c r="B1053" s="550"/>
      <c r="C1053" s="417" t="s">
        <v>730</v>
      </c>
      <c r="D1053" s="550"/>
      <c r="E1053" s="550" t="s">
        <v>52</v>
      </c>
      <c r="F1053" s="414">
        <v>0.15</v>
      </c>
      <c r="G1053" s="234">
        <f t="shared" si="53"/>
        <v>335000</v>
      </c>
      <c r="H1053" s="230">
        <f>+G1053*F1053</f>
        <v>50250</v>
      </c>
      <c r="K1053" s="415"/>
      <c r="L1053" s="416"/>
      <c r="M1053" s="414">
        <v>0.15</v>
      </c>
    </row>
    <row r="1054" spans="2:13" ht="18.75" customHeight="1" x14ac:dyDescent="0.25">
      <c r="B1054" s="550"/>
      <c r="C1054" s="417" t="s">
        <v>731</v>
      </c>
      <c r="D1054" s="550"/>
      <c r="E1054" s="550" t="s">
        <v>62</v>
      </c>
      <c r="F1054" s="414">
        <v>60.5</v>
      </c>
      <c r="G1054" s="234">
        <f t="shared" si="53"/>
        <v>1700</v>
      </c>
      <c r="H1054" s="230">
        <f>+G1054*F1054</f>
        <v>102850</v>
      </c>
      <c r="K1054" s="415"/>
      <c r="L1054" s="416"/>
      <c r="M1054" s="414">
        <v>60.5</v>
      </c>
    </row>
    <row r="1055" spans="2:13" ht="18.75" customHeight="1" x14ac:dyDescent="0.25">
      <c r="B1055" s="550"/>
      <c r="C1055" s="417" t="s">
        <v>732</v>
      </c>
      <c r="D1055" s="550"/>
      <c r="E1055" s="550" t="s">
        <v>62</v>
      </c>
      <c r="F1055" s="414">
        <v>45</v>
      </c>
      <c r="G1055" s="234">
        <f t="shared" si="53"/>
        <v>10000</v>
      </c>
      <c r="H1055" s="230">
        <f>F1055*G1055</f>
        <v>450000</v>
      </c>
      <c r="K1055" s="415"/>
      <c r="L1055" s="416"/>
      <c r="M1055" s="414">
        <v>45</v>
      </c>
    </row>
    <row r="1056" spans="2:13" ht="18.75" customHeight="1" x14ac:dyDescent="0.25">
      <c r="B1056" s="550"/>
      <c r="C1056" s="417" t="s">
        <v>733</v>
      </c>
      <c r="D1056" s="550"/>
      <c r="E1056" s="550" t="s">
        <v>62</v>
      </c>
      <c r="F1056" s="414">
        <v>0.9</v>
      </c>
      <c r="G1056" s="234">
        <f t="shared" si="53"/>
        <v>15500</v>
      </c>
      <c r="H1056" s="230">
        <f>+G1056*F1056</f>
        <v>13950</v>
      </c>
      <c r="K1056" s="415"/>
      <c r="L1056" s="416"/>
      <c r="M1056" s="414">
        <v>0.9</v>
      </c>
    </row>
    <row r="1057" spans="2:13" ht="18.75" customHeight="1" x14ac:dyDescent="0.25">
      <c r="B1057" s="550"/>
      <c r="C1057" s="417" t="s">
        <v>738</v>
      </c>
      <c r="D1057" s="550"/>
      <c r="E1057" s="550" t="s">
        <v>52</v>
      </c>
      <c r="F1057" s="414">
        <v>3.2000000000000001E-2</v>
      </c>
      <c r="G1057" s="234">
        <f t="shared" si="53"/>
        <v>5400000</v>
      </c>
      <c r="H1057" s="230">
        <f>+G1057*F1057</f>
        <v>172800</v>
      </c>
      <c r="K1057" s="415"/>
      <c r="L1057" s="416"/>
      <c r="M1057" s="414">
        <v>3.2000000000000001E-2</v>
      </c>
    </row>
    <row r="1058" spans="2:13" ht="18.75" customHeight="1" x14ac:dyDescent="0.25">
      <c r="B1058" s="550"/>
      <c r="C1058" s="417" t="s">
        <v>735</v>
      </c>
      <c r="D1058" s="550"/>
      <c r="E1058" s="550" t="s">
        <v>62</v>
      </c>
      <c r="F1058" s="414">
        <v>0.12</v>
      </c>
      <c r="G1058" s="234">
        <f t="shared" si="53"/>
        <v>25000</v>
      </c>
      <c r="H1058" s="230">
        <f>+G1058*F1058</f>
        <v>3000</v>
      </c>
      <c r="K1058" s="415"/>
      <c r="L1058" s="416"/>
      <c r="M1058" s="414">
        <v>0.12</v>
      </c>
    </row>
    <row r="1059" spans="2:13" ht="18.75" customHeight="1" x14ac:dyDescent="0.25">
      <c r="B1059" s="550"/>
      <c r="C1059" s="417" t="s">
        <v>736</v>
      </c>
      <c r="D1059" s="550"/>
      <c r="E1059" s="550" t="s">
        <v>7</v>
      </c>
      <c r="F1059" s="414">
        <v>0.09</v>
      </c>
      <c r="G1059" s="234">
        <f t="shared" si="53"/>
        <v>23000</v>
      </c>
      <c r="H1059" s="230">
        <f>+G1059*F1059</f>
        <v>2070</v>
      </c>
      <c r="K1059" s="415"/>
      <c r="L1059" s="416"/>
      <c r="M1059" s="414">
        <v>0.09</v>
      </c>
    </row>
    <row r="1060" spans="2:13" ht="18.75" customHeight="1" x14ac:dyDescent="0.25">
      <c r="B1060" s="550"/>
      <c r="C1060" s="417" t="s">
        <v>1484</v>
      </c>
      <c r="D1060" s="550"/>
      <c r="E1060" s="550" t="s">
        <v>62</v>
      </c>
      <c r="F1060" s="414">
        <v>0.24</v>
      </c>
      <c r="G1060" s="234">
        <f t="shared" si="53"/>
        <v>20000</v>
      </c>
      <c r="H1060" s="230">
        <f>+G1060*F1060</f>
        <v>4800</v>
      </c>
      <c r="K1060" s="415"/>
      <c r="L1060" s="416"/>
      <c r="M1060" s="414">
        <v>0.24</v>
      </c>
    </row>
    <row r="1061" spans="2:13" ht="18.75" customHeight="1" x14ac:dyDescent="0.25">
      <c r="B1061" s="550"/>
      <c r="C1061" s="223"/>
      <c r="D1061" s="550"/>
      <c r="E1061" s="224"/>
      <c r="F1061" s="237" t="s">
        <v>643</v>
      </c>
      <c r="G1061" s="290"/>
      <c r="H1061" s="231">
        <f>SUM(H1051:H1060)</f>
        <v>824798</v>
      </c>
      <c r="M1061" s="237" t="s">
        <v>643</v>
      </c>
    </row>
    <row r="1062" spans="2:13" ht="18.75" customHeight="1" x14ac:dyDescent="0.25">
      <c r="B1062" s="550"/>
      <c r="C1062" s="223"/>
      <c r="D1062" s="550"/>
      <c r="E1062" s="224"/>
      <c r="F1062" s="225"/>
      <c r="G1062" s="290"/>
      <c r="H1062" s="226"/>
      <c r="M1062" s="225"/>
    </row>
    <row r="1063" spans="2:13" ht="18.75" customHeight="1" x14ac:dyDescent="0.25">
      <c r="B1063" s="550" t="s">
        <v>644</v>
      </c>
      <c r="C1063" s="223" t="s">
        <v>645</v>
      </c>
      <c r="D1063" s="550"/>
      <c r="E1063" s="224"/>
      <c r="F1063" s="225"/>
      <c r="G1063" s="290"/>
      <c r="H1063" s="235"/>
      <c r="M1063" s="225"/>
    </row>
    <row r="1064" spans="2:13" ht="18.75" customHeight="1" x14ac:dyDescent="0.25">
      <c r="B1064" s="236"/>
      <c r="C1064" s="232"/>
      <c r="D1064" s="550"/>
      <c r="E1064" s="224"/>
      <c r="F1064" s="237" t="s">
        <v>646</v>
      </c>
      <c r="G1064" s="290"/>
      <c r="H1064" s="230">
        <f>SUM(H1063:H1063)</f>
        <v>0</v>
      </c>
      <c r="M1064" s="237" t="s">
        <v>646</v>
      </c>
    </row>
    <row r="1065" spans="2:13" ht="18.75" customHeight="1" x14ac:dyDescent="0.25">
      <c r="B1065" s="236"/>
      <c r="C1065" s="232"/>
      <c r="D1065" s="550"/>
      <c r="E1065" s="224"/>
      <c r="F1065" s="237"/>
      <c r="G1065" s="290"/>
      <c r="H1065" s="226"/>
      <c r="M1065" s="237"/>
    </row>
    <row r="1066" spans="2:13" ht="18.75" customHeight="1" x14ac:dyDescent="0.25">
      <c r="B1066" s="248"/>
      <c r="C1066" s="238"/>
      <c r="D1066" s="239"/>
      <c r="E1066" s="240"/>
      <c r="F1066" s="241"/>
      <c r="G1066" s="291"/>
      <c r="H1066" s="251"/>
      <c r="M1066" s="241"/>
    </row>
    <row r="1067" spans="2:13" ht="18.75" customHeight="1" x14ac:dyDescent="0.25">
      <c r="B1067" s="249" t="s">
        <v>647</v>
      </c>
      <c r="C1067" s="104" t="s">
        <v>648</v>
      </c>
      <c r="D1067" s="435"/>
      <c r="E1067" s="92"/>
      <c r="F1067" s="183"/>
      <c r="G1067" s="167"/>
      <c r="H1067" s="254">
        <f>H1049+H1061+H1064</f>
        <v>1012703.5</v>
      </c>
      <c r="M1067" s="183"/>
    </row>
    <row r="1068" spans="2:13" ht="18.75" customHeight="1" x14ac:dyDescent="0.25">
      <c r="B1068" s="249" t="s">
        <v>649</v>
      </c>
      <c r="C1068" s="242" t="s">
        <v>650</v>
      </c>
      <c r="D1068" s="435"/>
      <c r="E1068" s="92"/>
      <c r="F1068" s="184" t="str">
        <f>$J$5</f>
        <v>8,0 % x D</v>
      </c>
      <c r="G1068" s="167"/>
      <c r="H1068" s="253">
        <f>+H1067*$K$5</f>
        <v>81016.28</v>
      </c>
      <c r="M1068" s="184" t="str">
        <f>$J$5</f>
        <v>8,0 % x D</v>
      </c>
    </row>
    <row r="1069" spans="2:13" ht="18.75" customHeight="1" x14ac:dyDescent="0.25">
      <c r="B1069" s="249" t="s">
        <v>651</v>
      </c>
      <c r="C1069" s="111" t="s">
        <v>652</v>
      </c>
      <c r="D1069" s="435"/>
      <c r="E1069" s="91"/>
      <c r="F1069" s="185"/>
      <c r="G1069" s="168"/>
      <c r="H1069" s="254">
        <f>ROUNDUP((H1068+H1067)/100,0)*100</f>
        <v>1093800</v>
      </c>
      <c r="M1069" s="185"/>
    </row>
    <row r="1070" spans="2:13" ht="18.75" customHeight="1" x14ac:dyDescent="0.25">
      <c r="B1070" s="259"/>
      <c r="C1070" s="261"/>
      <c r="D1070" s="245"/>
      <c r="E1070" s="246"/>
      <c r="F1070" s="247"/>
      <c r="G1070" s="298"/>
      <c r="H1070" s="260"/>
      <c r="M1070" s="247"/>
    </row>
    <row r="1071" spans="2:13" ht="18.75" customHeight="1" x14ac:dyDescent="0.25">
      <c r="B1071" s="92"/>
      <c r="C1071" s="104"/>
      <c r="D1071" s="435"/>
      <c r="E1071" s="91"/>
      <c r="F1071" s="185"/>
      <c r="G1071" s="168"/>
      <c r="H1071" s="139"/>
      <c r="M1071" s="185"/>
    </row>
    <row r="1072" spans="2:13" ht="18.75" customHeight="1" x14ac:dyDescent="0.25">
      <c r="B1072" s="22"/>
      <c r="C1072" s="104"/>
      <c r="E1072" s="21"/>
      <c r="F1072" s="176"/>
      <c r="G1072" s="165"/>
      <c r="H1072" s="119"/>
      <c r="M1072" s="176"/>
    </row>
    <row r="1073" spans="1:13" ht="18.75" customHeight="1" x14ac:dyDescent="0.25">
      <c r="A1073" s="388" t="s">
        <v>739</v>
      </c>
      <c r="B1073" s="389" t="s">
        <v>740</v>
      </c>
      <c r="C1073" s="390"/>
      <c r="D1073" s="391"/>
      <c r="E1073" s="392"/>
      <c r="F1073" s="393"/>
      <c r="G1073" s="394"/>
      <c r="H1073" s="394"/>
      <c r="M1073" s="393"/>
    </row>
    <row r="1074" spans="1:13" ht="18.75" customHeight="1" x14ac:dyDescent="0.25">
      <c r="B1074" s="19"/>
      <c r="C1074" s="93"/>
      <c r="G1074" s="66"/>
      <c r="H1074" s="138"/>
    </row>
    <row r="1075" spans="1:13" ht="18.75" customHeight="1" x14ac:dyDescent="0.25">
      <c r="B1075" s="19">
        <v>1</v>
      </c>
      <c r="C1075" s="93" t="s">
        <v>1447</v>
      </c>
      <c r="D1075" s="19"/>
      <c r="E1075" s="21"/>
      <c r="F1075" s="176"/>
      <c r="G1075" s="165"/>
      <c r="H1075" s="119"/>
      <c r="M1075" s="176"/>
    </row>
    <row r="1076" spans="1:13" ht="18.75" customHeight="1" x14ac:dyDescent="0.25">
      <c r="B1076" s="618" t="s">
        <v>620</v>
      </c>
      <c r="C1076" s="620" t="s">
        <v>621</v>
      </c>
      <c r="D1076" s="618" t="s">
        <v>622</v>
      </c>
      <c r="E1076" s="618" t="s">
        <v>2</v>
      </c>
      <c r="F1076" s="615" t="s">
        <v>623</v>
      </c>
      <c r="G1076" s="289" t="s">
        <v>624</v>
      </c>
      <c r="H1076" s="256" t="s">
        <v>625</v>
      </c>
      <c r="M1076" s="615" t="s">
        <v>623</v>
      </c>
    </row>
    <row r="1077" spans="1:13" ht="18.75" customHeight="1" x14ac:dyDescent="0.25">
      <c r="B1077" s="619"/>
      <c r="C1077" s="621"/>
      <c r="D1077" s="619"/>
      <c r="E1077" s="619"/>
      <c r="F1077" s="616"/>
      <c r="G1077" s="289" t="s">
        <v>626</v>
      </c>
      <c r="H1077" s="256" t="s">
        <v>626</v>
      </c>
      <c r="M1077" s="616"/>
    </row>
    <row r="1078" spans="1:13" ht="18.75" customHeight="1" x14ac:dyDescent="0.25">
      <c r="B1078" s="221"/>
      <c r="C1078" s="222"/>
      <c r="D1078" s="221"/>
      <c r="E1078" s="550"/>
      <c r="F1078" s="555"/>
      <c r="G1078" s="551"/>
      <c r="H1078" s="220"/>
      <c r="M1078" s="590"/>
    </row>
    <row r="1079" spans="1:13" ht="18.75" customHeight="1" x14ac:dyDescent="0.25">
      <c r="B1079" s="550" t="s">
        <v>627</v>
      </c>
      <c r="C1079" s="223" t="s">
        <v>628</v>
      </c>
      <c r="D1079" s="550"/>
      <c r="E1079" s="224"/>
      <c r="F1079" s="225"/>
      <c r="G1079" s="290"/>
      <c r="H1079" s="226"/>
      <c r="M1079" s="225"/>
    </row>
    <row r="1080" spans="1:13" ht="18.75" customHeight="1" x14ac:dyDescent="0.25">
      <c r="B1080" s="550"/>
      <c r="C1080" s="227" t="s">
        <v>629</v>
      </c>
      <c r="D1080" s="550" t="s">
        <v>630</v>
      </c>
      <c r="E1080" s="224" t="s">
        <v>631</v>
      </c>
      <c r="F1080" s="228">
        <f t="shared" ref="F1080:F1083" si="54">$K$8*M1080</f>
        <v>1.65</v>
      </c>
      <c r="G1080" s="229">
        <f>G1045</f>
        <v>95000</v>
      </c>
      <c r="H1080" s="230">
        <f>+G1080*F1080</f>
        <v>156750</v>
      </c>
      <c r="M1080" s="228">
        <v>1.65</v>
      </c>
    </row>
    <row r="1081" spans="1:13" ht="18.75" customHeight="1" x14ac:dyDescent="0.25">
      <c r="B1081" s="550"/>
      <c r="C1081" s="227" t="s">
        <v>1508</v>
      </c>
      <c r="D1081" s="550" t="s">
        <v>632</v>
      </c>
      <c r="E1081" s="224" t="s">
        <v>631</v>
      </c>
      <c r="F1081" s="228">
        <f t="shared" si="54"/>
        <v>0.27500000000000002</v>
      </c>
      <c r="G1081" s="229">
        <f>G1046</f>
        <v>110000</v>
      </c>
      <c r="H1081" s="230">
        <f>+G1081*F1081</f>
        <v>30250.000000000004</v>
      </c>
      <c r="M1081" s="228">
        <v>0.27500000000000002</v>
      </c>
    </row>
    <row r="1082" spans="1:13" ht="18.75" customHeight="1" x14ac:dyDescent="0.25">
      <c r="B1082" s="550"/>
      <c r="C1082" s="227" t="s">
        <v>633</v>
      </c>
      <c r="D1082" s="550" t="s">
        <v>634</v>
      </c>
      <c r="E1082" s="224" t="s">
        <v>631</v>
      </c>
      <c r="F1082" s="228">
        <f t="shared" si="54"/>
        <v>2.8000000000000001E-2</v>
      </c>
      <c r="G1082" s="229">
        <f>G1047</f>
        <v>115000</v>
      </c>
      <c r="H1082" s="230">
        <f>+G1082*F1082</f>
        <v>3220</v>
      </c>
      <c r="M1082" s="228">
        <v>2.8000000000000001E-2</v>
      </c>
    </row>
    <row r="1083" spans="1:13" ht="18.75" customHeight="1" x14ac:dyDescent="0.25">
      <c r="B1083" s="550"/>
      <c r="C1083" s="227" t="s">
        <v>600</v>
      </c>
      <c r="D1083" s="550" t="s">
        <v>635</v>
      </c>
      <c r="E1083" s="224" t="s">
        <v>631</v>
      </c>
      <c r="F1083" s="228">
        <f t="shared" si="54"/>
        <v>8.3000000000000004E-2</v>
      </c>
      <c r="G1083" s="229">
        <f>G1048</f>
        <v>140000</v>
      </c>
      <c r="H1083" s="230">
        <f>+G1083*F1083</f>
        <v>11620</v>
      </c>
      <c r="M1083" s="228">
        <v>8.3000000000000004E-2</v>
      </c>
    </row>
    <row r="1084" spans="1:13" ht="18.75" customHeight="1" x14ac:dyDescent="0.25">
      <c r="B1084" s="550"/>
      <c r="C1084" s="223"/>
      <c r="D1084" s="550"/>
      <c r="E1084" s="224"/>
      <c r="F1084" s="233" t="s">
        <v>636</v>
      </c>
      <c r="G1084" s="290"/>
      <c r="H1084" s="231">
        <f>SUM(H1080:H1083)</f>
        <v>201840</v>
      </c>
      <c r="M1084" s="233" t="s">
        <v>636</v>
      </c>
    </row>
    <row r="1085" spans="1:13" ht="18.75" customHeight="1" x14ac:dyDescent="0.25">
      <c r="B1085" s="550"/>
      <c r="C1085" s="223"/>
      <c r="D1085" s="550"/>
      <c r="E1085" s="224"/>
      <c r="F1085" s="233"/>
      <c r="G1085" s="290"/>
      <c r="H1085" s="231"/>
      <c r="M1085" s="233"/>
    </row>
    <row r="1086" spans="1:13" ht="18.75" customHeight="1" x14ac:dyDescent="0.25">
      <c r="B1086" s="550" t="s">
        <v>637</v>
      </c>
      <c r="C1086" s="223" t="s">
        <v>638</v>
      </c>
      <c r="D1086" s="550"/>
      <c r="E1086" s="224"/>
      <c r="F1086" s="225"/>
      <c r="G1086" s="290"/>
      <c r="H1086" s="226"/>
      <c r="M1086" s="225"/>
    </row>
    <row r="1087" spans="1:13" ht="18.75" customHeight="1" x14ac:dyDescent="0.25">
      <c r="B1087" s="550"/>
      <c r="C1087" s="223" t="s">
        <v>708</v>
      </c>
      <c r="D1087" s="550"/>
      <c r="E1087" s="550" t="s">
        <v>5</v>
      </c>
      <c r="F1087" s="233">
        <v>247</v>
      </c>
      <c r="G1087" s="234">
        <f>G924</f>
        <v>1700</v>
      </c>
      <c r="H1087" s="230">
        <f>+G1087*F1087</f>
        <v>419900</v>
      </c>
      <c r="M1087" s="233">
        <v>247</v>
      </c>
    </row>
    <row r="1088" spans="1:13" ht="18.75" customHeight="1" x14ac:dyDescent="0.25">
      <c r="B1088" s="550"/>
      <c r="C1088" s="223" t="s">
        <v>77</v>
      </c>
      <c r="D1088" s="550"/>
      <c r="E1088" s="550" t="s">
        <v>5</v>
      </c>
      <c r="F1088" s="233">
        <v>869</v>
      </c>
      <c r="G1088" s="234">
        <f>Bahan!D89</f>
        <v>160</v>
      </c>
      <c r="H1088" s="230">
        <f>+G1088*F1088</f>
        <v>139040</v>
      </c>
      <c r="M1088" s="233">
        <v>869</v>
      </c>
    </row>
    <row r="1089" spans="2:13" ht="18.75" customHeight="1" x14ac:dyDescent="0.25">
      <c r="B1089" s="550"/>
      <c r="C1089" s="223" t="s">
        <v>741</v>
      </c>
      <c r="D1089" s="550"/>
      <c r="E1089" s="550" t="s">
        <v>5</v>
      </c>
      <c r="F1089" s="233">
        <v>999</v>
      </c>
      <c r="G1089" s="234">
        <f>Bahan!D74</f>
        <v>250</v>
      </c>
      <c r="H1089" s="230">
        <f>+G1089*F1089</f>
        <v>249750</v>
      </c>
      <c r="M1089" s="233">
        <v>999</v>
      </c>
    </row>
    <row r="1090" spans="2:13" ht="18.75" customHeight="1" x14ac:dyDescent="0.25">
      <c r="B1090" s="550"/>
      <c r="C1090" s="223" t="s">
        <v>742</v>
      </c>
      <c r="D1090" s="550"/>
      <c r="E1090" s="550" t="s">
        <v>743</v>
      </c>
      <c r="F1090" s="233">
        <v>215</v>
      </c>
      <c r="G1090" s="234">
        <f>Bahan!D12</f>
        <v>10</v>
      </c>
      <c r="H1090" s="230">
        <f>+G1090*F1090</f>
        <v>2150</v>
      </c>
      <c r="M1090" s="233">
        <v>215</v>
      </c>
    </row>
    <row r="1091" spans="2:13" ht="18.75" customHeight="1" x14ac:dyDescent="0.25">
      <c r="B1091" s="550"/>
      <c r="C1091" s="223"/>
      <c r="D1091" s="550"/>
      <c r="E1091" s="224"/>
      <c r="F1091" s="233" t="s">
        <v>643</v>
      </c>
      <c r="G1091" s="290"/>
      <c r="H1091" s="231">
        <f>SUM(H1087:H1090)</f>
        <v>810840</v>
      </c>
      <c r="M1091" s="233" t="s">
        <v>643</v>
      </c>
    </row>
    <row r="1092" spans="2:13" ht="18.75" customHeight="1" x14ac:dyDescent="0.25">
      <c r="B1092" s="550"/>
      <c r="C1092" s="223"/>
      <c r="D1092" s="550"/>
      <c r="E1092" s="224"/>
      <c r="F1092" s="225"/>
      <c r="G1092" s="290"/>
      <c r="H1092" s="226"/>
      <c r="M1092" s="225"/>
    </row>
    <row r="1093" spans="2:13" ht="18.75" customHeight="1" x14ac:dyDescent="0.25">
      <c r="B1093" s="550" t="s">
        <v>644</v>
      </c>
      <c r="C1093" s="223" t="s">
        <v>645</v>
      </c>
      <c r="D1093" s="550"/>
      <c r="E1093" s="224"/>
      <c r="F1093" s="225"/>
      <c r="G1093" s="290"/>
      <c r="H1093" s="235"/>
      <c r="M1093" s="225"/>
    </row>
    <row r="1094" spans="2:13" ht="18.75" customHeight="1" x14ac:dyDescent="0.25">
      <c r="B1094" s="236"/>
      <c r="C1094" s="232"/>
      <c r="D1094" s="550"/>
      <c r="E1094" s="224"/>
      <c r="F1094" s="237" t="s">
        <v>646</v>
      </c>
      <c r="G1094" s="290"/>
      <c r="H1094" s="230">
        <f>SUM(H1093:H1093)</f>
        <v>0</v>
      </c>
      <c r="M1094" s="237" t="s">
        <v>646</v>
      </c>
    </row>
    <row r="1095" spans="2:13" ht="18.75" customHeight="1" x14ac:dyDescent="0.25">
      <c r="B1095" s="236"/>
      <c r="C1095" s="232"/>
      <c r="D1095" s="550"/>
      <c r="E1095" s="224"/>
      <c r="F1095" s="237"/>
      <c r="G1095" s="290"/>
      <c r="H1095" s="226"/>
      <c r="M1095" s="237"/>
    </row>
    <row r="1096" spans="2:13" ht="18.75" customHeight="1" x14ac:dyDescent="0.25">
      <c r="B1096" s="248"/>
      <c r="C1096" s="238"/>
      <c r="D1096" s="239"/>
      <c r="E1096" s="240"/>
      <c r="F1096" s="241"/>
      <c r="G1096" s="291"/>
      <c r="H1096" s="251"/>
      <c r="M1096" s="241"/>
    </row>
    <row r="1097" spans="2:13" ht="18.75" customHeight="1" x14ac:dyDescent="0.25">
      <c r="B1097" s="249" t="s">
        <v>647</v>
      </c>
      <c r="C1097" s="104" t="s">
        <v>648</v>
      </c>
      <c r="D1097" s="435"/>
      <c r="E1097" s="92"/>
      <c r="F1097" s="183"/>
      <c r="G1097" s="167"/>
      <c r="H1097" s="252">
        <f>+H1094+H1091+H1084</f>
        <v>1012680</v>
      </c>
      <c r="M1097" s="183"/>
    </row>
    <row r="1098" spans="2:13" ht="18.75" customHeight="1" x14ac:dyDescent="0.25">
      <c r="B1098" s="249" t="s">
        <v>649</v>
      </c>
      <c r="C1098" s="242" t="s">
        <v>650</v>
      </c>
      <c r="D1098" s="435"/>
      <c r="E1098" s="92"/>
      <c r="F1098" s="184" t="str">
        <f>$J$5</f>
        <v>8,0 % x D</v>
      </c>
      <c r="G1098" s="167"/>
      <c r="H1098" s="253">
        <f>+H1097*$K$5</f>
        <v>81014.400000000009</v>
      </c>
      <c r="M1098" s="184" t="str">
        <f>$J$5</f>
        <v>8,0 % x D</v>
      </c>
    </row>
    <row r="1099" spans="2:13" ht="18.75" customHeight="1" x14ac:dyDescent="0.25">
      <c r="B1099" s="249" t="s">
        <v>651</v>
      </c>
      <c r="C1099" s="111" t="s">
        <v>652</v>
      </c>
      <c r="D1099" s="435"/>
      <c r="E1099" s="91"/>
      <c r="F1099" s="185"/>
      <c r="G1099" s="168"/>
      <c r="H1099" s="254">
        <f>ROUNDUP((H1098+H1097)/100,0)*100</f>
        <v>1093700</v>
      </c>
      <c r="M1099" s="185"/>
    </row>
    <row r="1100" spans="2:13" ht="18.75" customHeight="1" x14ac:dyDescent="0.25">
      <c r="B1100" s="259"/>
      <c r="C1100" s="261"/>
      <c r="D1100" s="245"/>
      <c r="E1100" s="246"/>
      <c r="F1100" s="247"/>
      <c r="G1100" s="298"/>
      <c r="H1100" s="260"/>
      <c r="M1100" s="247"/>
    </row>
    <row r="1101" spans="2:13" ht="18.75" customHeight="1" x14ac:dyDescent="0.25">
      <c r="B1101" s="92"/>
      <c r="C1101" s="104"/>
      <c r="D1101" s="435"/>
      <c r="E1101" s="91"/>
      <c r="F1101" s="185"/>
      <c r="G1101" s="168"/>
      <c r="H1101" s="139"/>
      <c r="M1101" s="185"/>
    </row>
    <row r="1102" spans="2:13" ht="18.75" customHeight="1" x14ac:dyDescent="0.25">
      <c r="B1102" s="19">
        <f>B1075+1</f>
        <v>2</v>
      </c>
      <c r="C1102" s="93" t="s">
        <v>1448</v>
      </c>
      <c r="D1102" s="19"/>
      <c r="E1102" s="21"/>
      <c r="F1102" s="176"/>
      <c r="G1102" s="165"/>
      <c r="H1102" s="119"/>
      <c r="M1102" s="176"/>
    </row>
    <row r="1103" spans="2:13" ht="18.75" customHeight="1" x14ac:dyDescent="0.25">
      <c r="B1103" s="618" t="s">
        <v>620</v>
      </c>
      <c r="C1103" s="620" t="s">
        <v>621</v>
      </c>
      <c r="D1103" s="618" t="s">
        <v>622</v>
      </c>
      <c r="E1103" s="618" t="s">
        <v>2</v>
      </c>
      <c r="F1103" s="615" t="s">
        <v>623</v>
      </c>
      <c r="G1103" s="289" t="s">
        <v>624</v>
      </c>
      <c r="H1103" s="256" t="s">
        <v>625</v>
      </c>
      <c r="M1103" s="615" t="s">
        <v>623</v>
      </c>
    </row>
    <row r="1104" spans="2:13" ht="18.75" customHeight="1" x14ac:dyDescent="0.25">
      <c r="B1104" s="619"/>
      <c r="C1104" s="621"/>
      <c r="D1104" s="619"/>
      <c r="E1104" s="619"/>
      <c r="F1104" s="616"/>
      <c r="G1104" s="289" t="s">
        <v>626</v>
      </c>
      <c r="H1104" s="256" t="s">
        <v>626</v>
      </c>
      <c r="M1104" s="616"/>
    </row>
    <row r="1105" spans="2:13" ht="18.75" customHeight="1" x14ac:dyDescent="0.25">
      <c r="B1105" s="221"/>
      <c r="C1105" s="222"/>
      <c r="D1105" s="221"/>
      <c r="E1105" s="550"/>
      <c r="F1105" s="555"/>
      <c r="G1105" s="551"/>
      <c r="H1105" s="220"/>
      <c r="M1105" s="590"/>
    </row>
    <row r="1106" spans="2:13" ht="18.75" customHeight="1" x14ac:dyDescent="0.25">
      <c r="B1106" s="550" t="s">
        <v>627</v>
      </c>
      <c r="C1106" s="223" t="s">
        <v>628</v>
      </c>
      <c r="D1106" s="550"/>
      <c r="E1106" s="224"/>
      <c r="F1106" s="225"/>
      <c r="G1106" s="290"/>
      <c r="H1106" s="226"/>
      <c r="M1106" s="225"/>
    </row>
    <row r="1107" spans="2:13" ht="18.75" customHeight="1" x14ac:dyDescent="0.25">
      <c r="B1107" s="550"/>
      <c r="C1107" s="227" t="s">
        <v>629</v>
      </c>
      <c r="D1107" s="550" t="s">
        <v>630</v>
      </c>
      <c r="E1107" s="224" t="s">
        <v>631</v>
      </c>
      <c r="F1107" s="228">
        <f t="shared" ref="F1107:F1110" si="55">$K$8*M1107</f>
        <v>1.65</v>
      </c>
      <c r="G1107" s="229">
        <f>G1080</f>
        <v>95000</v>
      </c>
      <c r="H1107" s="230">
        <f>+G1107*F1107</f>
        <v>156750</v>
      </c>
      <c r="M1107" s="228">
        <v>1.65</v>
      </c>
    </row>
    <row r="1108" spans="2:13" ht="18.75" customHeight="1" x14ac:dyDescent="0.25">
      <c r="B1108" s="550"/>
      <c r="C1108" s="227" t="s">
        <v>1508</v>
      </c>
      <c r="D1108" s="550" t="s">
        <v>632</v>
      </c>
      <c r="E1108" s="224" t="s">
        <v>631</v>
      </c>
      <c r="F1108" s="228">
        <f t="shared" si="55"/>
        <v>0.27500000000000002</v>
      </c>
      <c r="G1108" s="229">
        <f>G1081</f>
        <v>110000</v>
      </c>
      <c r="H1108" s="230">
        <f>+G1108*F1108</f>
        <v>30250.000000000004</v>
      </c>
      <c r="M1108" s="228">
        <v>0.27500000000000002</v>
      </c>
    </row>
    <row r="1109" spans="2:13" ht="18.75" customHeight="1" x14ac:dyDescent="0.25">
      <c r="B1109" s="550"/>
      <c r="C1109" s="227" t="s">
        <v>633</v>
      </c>
      <c r="D1109" s="550" t="s">
        <v>634</v>
      </c>
      <c r="E1109" s="224" t="s">
        <v>631</v>
      </c>
      <c r="F1109" s="228">
        <f t="shared" si="55"/>
        <v>2.8000000000000001E-2</v>
      </c>
      <c r="G1109" s="229">
        <f>G1082</f>
        <v>115000</v>
      </c>
      <c r="H1109" s="230">
        <f>+G1109*F1109</f>
        <v>3220</v>
      </c>
      <c r="M1109" s="228">
        <v>2.8000000000000001E-2</v>
      </c>
    </row>
    <row r="1110" spans="2:13" ht="18.75" customHeight="1" x14ac:dyDescent="0.25">
      <c r="B1110" s="550"/>
      <c r="C1110" s="227" t="s">
        <v>600</v>
      </c>
      <c r="D1110" s="550" t="s">
        <v>635</v>
      </c>
      <c r="E1110" s="224" t="s">
        <v>631</v>
      </c>
      <c r="F1110" s="228">
        <f t="shared" si="55"/>
        <v>8.3000000000000004E-2</v>
      </c>
      <c r="G1110" s="229">
        <f>G1083</f>
        <v>140000</v>
      </c>
      <c r="H1110" s="230">
        <f>+G1110*F1110</f>
        <v>11620</v>
      </c>
      <c r="M1110" s="228">
        <v>8.3000000000000004E-2</v>
      </c>
    </row>
    <row r="1111" spans="2:13" ht="18.75" customHeight="1" x14ac:dyDescent="0.25">
      <c r="B1111" s="550"/>
      <c r="C1111" s="223"/>
      <c r="D1111" s="550"/>
      <c r="E1111" s="224"/>
      <c r="F1111" s="233" t="s">
        <v>636</v>
      </c>
      <c r="G1111" s="290"/>
      <c r="H1111" s="231">
        <f>SUM(H1107:H1110)</f>
        <v>201840</v>
      </c>
      <c r="M1111" s="233" t="s">
        <v>636</v>
      </c>
    </row>
    <row r="1112" spans="2:13" ht="18.75" customHeight="1" x14ac:dyDescent="0.25">
      <c r="B1112" s="550" t="s">
        <v>637</v>
      </c>
      <c r="C1112" s="223" t="s">
        <v>638</v>
      </c>
      <c r="D1112" s="550"/>
      <c r="E1112" s="224"/>
      <c r="F1112" s="225"/>
      <c r="G1112" s="290"/>
      <c r="H1112" s="226"/>
      <c r="M1112" s="225"/>
    </row>
    <row r="1113" spans="2:13" ht="18.75" customHeight="1" x14ac:dyDescent="0.25">
      <c r="B1113" s="550"/>
      <c r="C1113" s="223" t="s">
        <v>708</v>
      </c>
      <c r="D1113" s="550"/>
      <c r="E1113" s="550" t="s">
        <v>5</v>
      </c>
      <c r="F1113" s="233">
        <v>276</v>
      </c>
      <c r="G1113" s="234">
        <f>G1087</f>
        <v>1700</v>
      </c>
      <c r="H1113" s="230">
        <f>+G1113*F1113</f>
        <v>469200</v>
      </c>
      <c r="M1113" s="233">
        <v>276</v>
      </c>
    </row>
    <row r="1114" spans="2:13" ht="18.75" customHeight="1" x14ac:dyDescent="0.25">
      <c r="B1114" s="550"/>
      <c r="C1114" s="223" t="s">
        <v>77</v>
      </c>
      <c r="D1114" s="550"/>
      <c r="E1114" s="550" t="s">
        <v>62</v>
      </c>
      <c r="F1114" s="233">
        <v>828</v>
      </c>
      <c r="G1114" s="234">
        <f>G1088</f>
        <v>160</v>
      </c>
      <c r="H1114" s="230">
        <f>+G1114*F1114</f>
        <v>132480</v>
      </c>
      <c r="M1114" s="233">
        <v>828</v>
      </c>
    </row>
    <row r="1115" spans="2:13" ht="18.75" customHeight="1" x14ac:dyDescent="0.25">
      <c r="B1115" s="550"/>
      <c r="C1115" s="223" t="s">
        <v>741</v>
      </c>
      <c r="D1115" s="550"/>
      <c r="E1115" s="550" t="s">
        <v>62</v>
      </c>
      <c r="F1115" s="233">
        <v>1012</v>
      </c>
      <c r="G1115" s="234">
        <f>G1089</f>
        <v>250</v>
      </c>
      <c r="H1115" s="230">
        <f>+G1115*F1115</f>
        <v>253000</v>
      </c>
      <c r="M1115" s="233">
        <v>1012</v>
      </c>
    </row>
    <row r="1116" spans="2:13" ht="18.75" customHeight="1" x14ac:dyDescent="0.25">
      <c r="B1116" s="550"/>
      <c r="C1116" s="223" t="s">
        <v>742</v>
      </c>
      <c r="D1116" s="550"/>
      <c r="E1116" s="550" t="s">
        <v>743</v>
      </c>
      <c r="F1116" s="233">
        <v>215</v>
      </c>
      <c r="G1116" s="234">
        <f>G1090</f>
        <v>10</v>
      </c>
      <c r="H1116" s="230">
        <f>+G1116*F1116</f>
        <v>2150</v>
      </c>
      <c r="M1116" s="233">
        <v>215</v>
      </c>
    </row>
    <row r="1117" spans="2:13" ht="18.75" customHeight="1" x14ac:dyDescent="0.25">
      <c r="B1117" s="550"/>
      <c r="C1117" s="223"/>
      <c r="D1117" s="550"/>
      <c r="E1117" s="224"/>
      <c r="F1117" s="237" t="s">
        <v>643</v>
      </c>
      <c r="G1117" s="290"/>
      <c r="H1117" s="231">
        <f>SUM(H1113:H1116)</f>
        <v>856830</v>
      </c>
      <c r="M1117" s="237" t="s">
        <v>643</v>
      </c>
    </row>
    <row r="1118" spans="2:13" ht="18.75" customHeight="1" x14ac:dyDescent="0.25">
      <c r="B1118" s="550"/>
      <c r="C1118" s="223"/>
      <c r="D1118" s="550"/>
      <c r="E1118" s="224"/>
      <c r="F1118" s="225"/>
      <c r="G1118" s="290"/>
      <c r="H1118" s="226"/>
      <c r="M1118" s="225"/>
    </row>
    <row r="1119" spans="2:13" ht="18.75" customHeight="1" x14ac:dyDescent="0.25">
      <c r="B1119" s="550" t="s">
        <v>644</v>
      </c>
      <c r="C1119" s="223" t="s">
        <v>645</v>
      </c>
      <c r="D1119" s="550"/>
      <c r="E1119" s="224"/>
      <c r="F1119" s="225"/>
      <c r="G1119" s="290"/>
      <c r="H1119" s="235"/>
      <c r="M1119" s="225"/>
    </row>
    <row r="1120" spans="2:13" ht="18.75" customHeight="1" x14ac:dyDescent="0.25">
      <c r="B1120" s="236"/>
      <c r="C1120" s="232"/>
      <c r="D1120" s="550"/>
      <c r="E1120" s="224"/>
      <c r="F1120" s="237" t="s">
        <v>646</v>
      </c>
      <c r="G1120" s="290"/>
      <c r="H1120" s="230">
        <f>SUM(H1119:H1119)</f>
        <v>0</v>
      </c>
      <c r="M1120" s="237" t="s">
        <v>646</v>
      </c>
    </row>
    <row r="1121" spans="2:13" ht="18.75" customHeight="1" x14ac:dyDescent="0.25">
      <c r="B1121" s="236"/>
      <c r="C1121" s="232"/>
      <c r="D1121" s="550"/>
      <c r="E1121" s="224"/>
      <c r="F1121" s="237"/>
      <c r="G1121" s="290"/>
      <c r="H1121" s="226"/>
      <c r="M1121" s="237"/>
    </row>
    <row r="1122" spans="2:13" ht="18.75" customHeight="1" x14ac:dyDescent="0.25">
      <c r="B1122" s="248"/>
      <c r="C1122" s="238"/>
      <c r="D1122" s="239"/>
      <c r="E1122" s="240"/>
      <c r="F1122" s="241"/>
      <c r="G1122" s="291"/>
      <c r="H1122" s="251"/>
      <c r="M1122" s="241"/>
    </row>
    <row r="1123" spans="2:13" ht="18.75" customHeight="1" x14ac:dyDescent="0.25">
      <c r="B1123" s="249" t="s">
        <v>647</v>
      </c>
      <c r="C1123" s="104" t="s">
        <v>648</v>
      </c>
      <c r="D1123" s="435"/>
      <c r="E1123" s="92"/>
      <c r="F1123" s="183"/>
      <c r="G1123" s="167"/>
      <c r="H1123" s="252">
        <f>+H1120+H1117+H1111</f>
        <v>1058670</v>
      </c>
      <c r="M1123" s="183"/>
    </row>
    <row r="1124" spans="2:13" ht="18.75" customHeight="1" x14ac:dyDescent="0.25">
      <c r="B1124" s="249" t="s">
        <v>649</v>
      </c>
      <c r="C1124" s="242" t="s">
        <v>650</v>
      </c>
      <c r="D1124" s="435"/>
      <c r="E1124" s="92"/>
      <c r="F1124" s="184" t="str">
        <f>$J$5</f>
        <v>8,0 % x D</v>
      </c>
      <c r="G1124" s="167"/>
      <c r="H1124" s="253">
        <f>+H1123*$K$5</f>
        <v>84693.6</v>
      </c>
      <c r="M1124" s="184" t="str">
        <f>$J$5</f>
        <v>8,0 % x D</v>
      </c>
    </row>
    <row r="1125" spans="2:13" ht="18.75" customHeight="1" x14ac:dyDescent="0.25">
      <c r="B1125" s="249" t="s">
        <v>651</v>
      </c>
      <c r="C1125" s="111" t="s">
        <v>652</v>
      </c>
      <c r="D1125" s="435"/>
      <c r="E1125" s="91"/>
      <c r="F1125" s="185"/>
      <c r="G1125" s="168"/>
      <c r="H1125" s="254">
        <f>ROUNDUP((H1124+H1123)/100,0)*100</f>
        <v>1143400</v>
      </c>
      <c r="M1125" s="185"/>
    </row>
    <row r="1126" spans="2:13" ht="18.75" customHeight="1" x14ac:dyDescent="0.25">
      <c r="B1126" s="259"/>
      <c r="C1126" s="261"/>
      <c r="D1126" s="245"/>
      <c r="E1126" s="246"/>
      <c r="F1126" s="247"/>
      <c r="G1126" s="298"/>
      <c r="H1126" s="260"/>
      <c r="M1126" s="247"/>
    </row>
    <row r="1127" spans="2:13" ht="18.75" customHeight="1" x14ac:dyDescent="0.25">
      <c r="B1127" s="22"/>
      <c r="C1127" s="104"/>
      <c r="E1127" s="21"/>
      <c r="F1127" s="176"/>
      <c r="G1127" s="165"/>
      <c r="H1127" s="119"/>
      <c r="M1127" s="176"/>
    </row>
    <row r="1128" spans="2:13" ht="18.75" customHeight="1" x14ac:dyDescent="0.25">
      <c r="B1128" s="19">
        <f>B1102+1</f>
        <v>3</v>
      </c>
      <c r="C1128" s="93" t="s">
        <v>1449</v>
      </c>
      <c r="D1128" s="19"/>
      <c r="E1128" s="21"/>
      <c r="F1128" s="176"/>
      <c r="G1128" s="165"/>
      <c r="H1128" s="119"/>
      <c r="M1128" s="176"/>
    </row>
    <row r="1129" spans="2:13" ht="18.75" customHeight="1" x14ac:dyDescent="0.25">
      <c r="B1129" s="618" t="s">
        <v>620</v>
      </c>
      <c r="C1129" s="620" t="s">
        <v>621</v>
      </c>
      <c r="D1129" s="618" t="s">
        <v>622</v>
      </c>
      <c r="E1129" s="618" t="s">
        <v>2</v>
      </c>
      <c r="F1129" s="615" t="s">
        <v>623</v>
      </c>
      <c r="G1129" s="289" t="s">
        <v>624</v>
      </c>
      <c r="H1129" s="256" t="s">
        <v>625</v>
      </c>
      <c r="M1129" s="615" t="s">
        <v>623</v>
      </c>
    </row>
    <row r="1130" spans="2:13" ht="18.75" customHeight="1" x14ac:dyDescent="0.25">
      <c r="B1130" s="619"/>
      <c r="C1130" s="621"/>
      <c r="D1130" s="619"/>
      <c r="E1130" s="619"/>
      <c r="F1130" s="616"/>
      <c r="G1130" s="289" t="s">
        <v>626</v>
      </c>
      <c r="H1130" s="256" t="s">
        <v>626</v>
      </c>
      <c r="M1130" s="616"/>
    </row>
    <row r="1131" spans="2:13" ht="18.75" customHeight="1" x14ac:dyDescent="0.25">
      <c r="B1131" s="221"/>
      <c r="C1131" s="222"/>
      <c r="D1131" s="221"/>
      <c r="E1131" s="550"/>
      <c r="F1131" s="555"/>
      <c r="G1131" s="551"/>
      <c r="H1131" s="220"/>
      <c r="M1131" s="590"/>
    </row>
    <row r="1132" spans="2:13" ht="18.75" customHeight="1" x14ac:dyDescent="0.25">
      <c r="B1132" s="550" t="s">
        <v>627</v>
      </c>
      <c r="C1132" s="223" t="s">
        <v>628</v>
      </c>
      <c r="D1132" s="550"/>
      <c r="E1132" s="224"/>
      <c r="F1132" s="225"/>
      <c r="G1132" s="290"/>
      <c r="H1132" s="226"/>
      <c r="M1132" s="225"/>
    </row>
    <row r="1133" spans="2:13" ht="18.75" customHeight="1" x14ac:dyDescent="0.25">
      <c r="B1133" s="550"/>
      <c r="C1133" s="227" t="s">
        <v>629</v>
      </c>
      <c r="D1133" s="550" t="s">
        <v>630</v>
      </c>
      <c r="E1133" s="224" t="s">
        <v>631</v>
      </c>
      <c r="F1133" s="228">
        <f t="shared" ref="F1133:F1136" si="56">$K$8*M1133</f>
        <v>1.65</v>
      </c>
      <c r="G1133" s="229">
        <f>G1107</f>
        <v>95000</v>
      </c>
      <c r="H1133" s="230">
        <f>+G1133*F1133</f>
        <v>156750</v>
      </c>
      <c r="M1133" s="228">
        <v>1.65</v>
      </c>
    </row>
    <row r="1134" spans="2:13" ht="18.75" customHeight="1" x14ac:dyDescent="0.25">
      <c r="B1134" s="550"/>
      <c r="C1134" s="227" t="s">
        <v>1508</v>
      </c>
      <c r="D1134" s="550" t="s">
        <v>632</v>
      </c>
      <c r="E1134" s="224" t="s">
        <v>631</v>
      </c>
      <c r="F1134" s="228">
        <f t="shared" si="56"/>
        <v>0.27500000000000002</v>
      </c>
      <c r="G1134" s="229">
        <f>G1108</f>
        <v>110000</v>
      </c>
      <c r="H1134" s="230">
        <f>+G1134*F1134</f>
        <v>30250.000000000004</v>
      </c>
      <c r="M1134" s="228">
        <v>0.27500000000000002</v>
      </c>
    </row>
    <row r="1135" spans="2:13" ht="18.75" customHeight="1" x14ac:dyDescent="0.25">
      <c r="B1135" s="550"/>
      <c r="C1135" s="227" t="s">
        <v>633</v>
      </c>
      <c r="D1135" s="550" t="s">
        <v>634</v>
      </c>
      <c r="E1135" s="224" t="s">
        <v>631</v>
      </c>
      <c r="F1135" s="228">
        <f t="shared" si="56"/>
        <v>2.8000000000000001E-2</v>
      </c>
      <c r="G1135" s="229">
        <f>G1109</f>
        <v>115000</v>
      </c>
      <c r="H1135" s="230">
        <f>+G1135*F1135</f>
        <v>3220</v>
      </c>
      <c r="M1135" s="228">
        <v>2.8000000000000001E-2</v>
      </c>
    </row>
    <row r="1136" spans="2:13" ht="18.75" customHeight="1" x14ac:dyDescent="0.25">
      <c r="B1136" s="550"/>
      <c r="C1136" s="227" t="s">
        <v>600</v>
      </c>
      <c r="D1136" s="550" t="s">
        <v>635</v>
      </c>
      <c r="E1136" s="224" t="s">
        <v>631</v>
      </c>
      <c r="F1136" s="228">
        <f t="shared" si="56"/>
        <v>8.3000000000000004E-2</v>
      </c>
      <c r="G1136" s="229">
        <f>G1110</f>
        <v>140000</v>
      </c>
      <c r="H1136" s="230">
        <f>+G1136*F1136</f>
        <v>11620</v>
      </c>
      <c r="M1136" s="228">
        <v>8.3000000000000004E-2</v>
      </c>
    </row>
    <row r="1137" spans="2:13" ht="18.75" customHeight="1" x14ac:dyDescent="0.25">
      <c r="B1137" s="550"/>
      <c r="C1137" s="223"/>
      <c r="D1137" s="550"/>
      <c r="E1137" s="224"/>
      <c r="F1137" s="233" t="s">
        <v>636</v>
      </c>
      <c r="G1137" s="290"/>
      <c r="H1137" s="231">
        <f>SUM(H1133:H1136)</f>
        <v>201840</v>
      </c>
      <c r="M1137" s="233" t="s">
        <v>636</v>
      </c>
    </row>
    <row r="1138" spans="2:13" ht="18.75" customHeight="1" x14ac:dyDescent="0.25">
      <c r="B1138" s="550" t="s">
        <v>637</v>
      </c>
      <c r="C1138" s="223" t="s">
        <v>638</v>
      </c>
      <c r="D1138" s="550"/>
      <c r="E1138" s="224"/>
      <c r="F1138" s="225"/>
      <c r="G1138" s="290"/>
      <c r="H1138" s="226"/>
      <c r="M1138" s="225"/>
    </row>
    <row r="1139" spans="2:13" ht="18.75" customHeight="1" x14ac:dyDescent="0.25">
      <c r="B1139" s="550"/>
      <c r="C1139" s="223" t="s">
        <v>708</v>
      </c>
      <c r="D1139" s="550"/>
      <c r="E1139" s="550" t="s">
        <v>5</v>
      </c>
      <c r="F1139" s="233">
        <v>299</v>
      </c>
      <c r="G1139" s="234">
        <f>G1113</f>
        <v>1700</v>
      </c>
      <c r="H1139" s="230">
        <f>+G1139*F1139</f>
        <v>508300</v>
      </c>
      <c r="M1139" s="233">
        <v>299</v>
      </c>
    </row>
    <row r="1140" spans="2:13" ht="18.75" customHeight="1" x14ac:dyDescent="0.25">
      <c r="B1140" s="550"/>
      <c r="C1140" s="223" t="s">
        <v>77</v>
      </c>
      <c r="D1140" s="550"/>
      <c r="E1140" s="550" t="s">
        <v>62</v>
      </c>
      <c r="F1140" s="233">
        <v>799</v>
      </c>
      <c r="G1140" s="234">
        <f>G1114</f>
        <v>160</v>
      </c>
      <c r="H1140" s="230">
        <f>+G1140*F1140</f>
        <v>127840</v>
      </c>
      <c r="M1140" s="233">
        <v>799</v>
      </c>
    </row>
    <row r="1141" spans="2:13" ht="18.75" customHeight="1" x14ac:dyDescent="0.25">
      <c r="B1141" s="550"/>
      <c r="C1141" s="223" t="s">
        <v>741</v>
      </c>
      <c r="D1141" s="550"/>
      <c r="E1141" s="550" t="s">
        <v>62</v>
      </c>
      <c r="F1141" s="233">
        <v>1017</v>
      </c>
      <c r="G1141" s="234">
        <f>G1115</f>
        <v>250</v>
      </c>
      <c r="H1141" s="230">
        <f>+G1141*F1141</f>
        <v>254250</v>
      </c>
      <c r="M1141" s="233">
        <v>1017</v>
      </c>
    </row>
    <row r="1142" spans="2:13" ht="18.75" customHeight="1" x14ac:dyDescent="0.25">
      <c r="B1142" s="550"/>
      <c r="C1142" s="223" t="s">
        <v>742</v>
      </c>
      <c r="D1142" s="550"/>
      <c r="E1142" s="550" t="s">
        <v>743</v>
      </c>
      <c r="F1142" s="233">
        <v>215</v>
      </c>
      <c r="G1142" s="234">
        <f>G1116</f>
        <v>10</v>
      </c>
      <c r="H1142" s="230">
        <f>+G1142*F1142</f>
        <v>2150</v>
      </c>
      <c r="M1142" s="233">
        <v>215</v>
      </c>
    </row>
    <row r="1143" spans="2:13" ht="18.75" customHeight="1" x14ac:dyDescent="0.25">
      <c r="B1143" s="550"/>
      <c r="C1143" s="223"/>
      <c r="D1143" s="550"/>
      <c r="E1143" s="224"/>
      <c r="F1143" s="237" t="s">
        <v>643</v>
      </c>
      <c r="G1143" s="290"/>
      <c r="H1143" s="231">
        <f>SUM(H1139:H1142)</f>
        <v>892540</v>
      </c>
      <c r="M1143" s="237" t="s">
        <v>643</v>
      </c>
    </row>
    <row r="1144" spans="2:13" ht="18.75" customHeight="1" x14ac:dyDescent="0.25">
      <c r="B1144" s="550"/>
      <c r="C1144" s="223"/>
      <c r="D1144" s="550"/>
      <c r="E1144" s="224"/>
      <c r="F1144" s="225"/>
      <c r="G1144" s="290"/>
      <c r="H1144" s="226"/>
      <c r="M1144" s="225"/>
    </row>
    <row r="1145" spans="2:13" ht="18.75" customHeight="1" x14ac:dyDescent="0.25">
      <c r="B1145" s="550" t="s">
        <v>644</v>
      </c>
      <c r="C1145" s="223" t="s">
        <v>645</v>
      </c>
      <c r="D1145" s="550"/>
      <c r="E1145" s="224"/>
      <c r="F1145" s="225"/>
      <c r="G1145" s="290"/>
      <c r="H1145" s="235"/>
      <c r="M1145" s="225"/>
    </row>
    <row r="1146" spans="2:13" ht="18.75" customHeight="1" x14ac:dyDescent="0.25">
      <c r="B1146" s="236"/>
      <c r="C1146" s="232"/>
      <c r="D1146" s="550"/>
      <c r="E1146" s="224"/>
      <c r="F1146" s="237" t="s">
        <v>646</v>
      </c>
      <c r="G1146" s="290"/>
      <c r="H1146" s="230">
        <f>SUM(H1145:H1145)</f>
        <v>0</v>
      </c>
      <c r="M1146" s="237" t="s">
        <v>646</v>
      </c>
    </row>
    <row r="1147" spans="2:13" ht="18.75" customHeight="1" x14ac:dyDescent="0.25">
      <c r="B1147" s="236"/>
      <c r="C1147" s="232"/>
      <c r="D1147" s="550"/>
      <c r="E1147" s="224"/>
      <c r="F1147" s="237"/>
      <c r="G1147" s="290"/>
      <c r="H1147" s="226"/>
      <c r="M1147" s="237"/>
    </row>
    <row r="1148" spans="2:13" ht="18.75" customHeight="1" x14ac:dyDescent="0.25">
      <c r="B1148" s="248"/>
      <c r="C1148" s="238"/>
      <c r="D1148" s="239"/>
      <c r="E1148" s="240"/>
      <c r="F1148" s="241"/>
      <c r="G1148" s="291"/>
      <c r="H1148" s="251"/>
      <c r="M1148" s="241"/>
    </row>
    <row r="1149" spans="2:13" ht="18.75" customHeight="1" x14ac:dyDescent="0.25">
      <c r="B1149" s="249" t="s">
        <v>647</v>
      </c>
      <c r="C1149" s="104" t="s">
        <v>648</v>
      </c>
      <c r="D1149" s="435"/>
      <c r="E1149" s="92"/>
      <c r="F1149" s="183"/>
      <c r="G1149" s="167"/>
      <c r="H1149" s="252">
        <f>+H1146+H1143+H1137</f>
        <v>1094380</v>
      </c>
      <c r="M1149" s="183"/>
    </row>
    <row r="1150" spans="2:13" ht="18.75" customHeight="1" x14ac:dyDescent="0.25">
      <c r="B1150" s="249" t="s">
        <v>649</v>
      </c>
      <c r="C1150" s="242" t="s">
        <v>650</v>
      </c>
      <c r="D1150" s="435"/>
      <c r="E1150" s="92"/>
      <c r="F1150" s="184" t="str">
        <f>$J$5</f>
        <v>8,0 % x D</v>
      </c>
      <c r="G1150" s="167"/>
      <c r="H1150" s="253">
        <f>+H1149*$K$5</f>
        <v>87550.400000000009</v>
      </c>
      <c r="M1150" s="184" t="str">
        <f>$J$5</f>
        <v>8,0 % x D</v>
      </c>
    </row>
    <row r="1151" spans="2:13" ht="18.75" customHeight="1" x14ac:dyDescent="0.25">
      <c r="B1151" s="249" t="s">
        <v>651</v>
      </c>
      <c r="C1151" s="111" t="s">
        <v>652</v>
      </c>
      <c r="D1151" s="435"/>
      <c r="E1151" s="91"/>
      <c r="F1151" s="185"/>
      <c r="G1151" s="168"/>
      <c r="H1151" s="254">
        <f>ROUNDUP((H1150+H1149)/100,0)*100</f>
        <v>1182000</v>
      </c>
      <c r="M1151" s="185"/>
    </row>
    <row r="1152" spans="2:13" ht="18.75" customHeight="1" x14ac:dyDescent="0.25">
      <c r="B1152" s="259"/>
      <c r="C1152" s="261"/>
      <c r="D1152" s="245"/>
      <c r="E1152" s="246"/>
      <c r="F1152" s="247"/>
      <c r="G1152" s="298"/>
      <c r="H1152" s="260"/>
      <c r="M1152" s="247"/>
    </row>
    <row r="1153" spans="2:13" ht="18.75" customHeight="1" x14ac:dyDescent="0.25">
      <c r="G1153" s="66"/>
      <c r="H1153" s="138"/>
    </row>
    <row r="1154" spans="2:13" ht="18.75" customHeight="1" x14ac:dyDescent="0.25">
      <c r="G1154" s="66"/>
      <c r="H1154" s="138"/>
    </row>
    <row r="1155" spans="2:13" ht="18.75" customHeight="1" x14ac:dyDescent="0.25">
      <c r="B1155" s="20" t="s">
        <v>744</v>
      </c>
      <c r="G1155" s="66"/>
      <c r="H1155" s="138"/>
    </row>
    <row r="1156" spans="2:13" ht="18.75" customHeight="1" x14ac:dyDescent="0.25">
      <c r="B1156" s="20" t="s">
        <v>1450</v>
      </c>
      <c r="C1156" s="93"/>
      <c r="D1156" s="19"/>
      <c r="E1156" s="68"/>
      <c r="F1156" s="201"/>
      <c r="G1156" s="66"/>
      <c r="H1156" s="138"/>
      <c r="M1156" s="201"/>
    </row>
    <row r="1157" spans="2:13" ht="18.75" customHeight="1" x14ac:dyDescent="0.25">
      <c r="B1157" s="19">
        <f>B1128+1</f>
        <v>4</v>
      </c>
      <c r="C1157" s="93" t="s">
        <v>745</v>
      </c>
      <c r="D1157" s="19"/>
      <c r="E1157" s="21"/>
      <c r="F1157" s="176"/>
      <c r="G1157" s="165"/>
      <c r="H1157" s="119"/>
      <c r="M1157" s="176"/>
    </row>
    <row r="1158" spans="2:13" ht="18.75" customHeight="1" x14ac:dyDescent="0.25">
      <c r="B1158" s="618" t="s">
        <v>620</v>
      </c>
      <c r="C1158" s="620" t="s">
        <v>621</v>
      </c>
      <c r="D1158" s="618" t="s">
        <v>622</v>
      </c>
      <c r="E1158" s="618" t="s">
        <v>2</v>
      </c>
      <c r="F1158" s="615" t="s">
        <v>623</v>
      </c>
      <c r="G1158" s="289" t="s">
        <v>624</v>
      </c>
      <c r="H1158" s="256" t="s">
        <v>625</v>
      </c>
      <c r="M1158" s="615" t="s">
        <v>623</v>
      </c>
    </row>
    <row r="1159" spans="2:13" ht="18.75" customHeight="1" x14ac:dyDescent="0.25">
      <c r="B1159" s="619"/>
      <c r="C1159" s="621"/>
      <c r="D1159" s="619"/>
      <c r="E1159" s="619"/>
      <c r="F1159" s="616"/>
      <c r="G1159" s="289" t="s">
        <v>626</v>
      </c>
      <c r="H1159" s="256" t="s">
        <v>626</v>
      </c>
      <c r="M1159" s="616"/>
    </row>
    <row r="1160" spans="2:13" ht="18.75" customHeight="1" x14ac:dyDescent="0.25">
      <c r="B1160" s="221"/>
      <c r="C1160" s="222"/>
      <c r="D1160" s="221"/>
      <c r="E1160" s="550"/>
      <c r="F1160" s="555"/>
      <c r="G1160" s="551"/>
      <c r="H1160" s="220"/>
      <c r="M1160" s="590"/>
    </row>
    <row r="1161" spans="2:13" ht="18.75" customHeight="1" x14ac:dyDescent="0.25">
      <c r="B1161" s="550" t="s">
        <v>627</v>
      </c>
      <c r="C1161" s="223" t="s">
        <v>628</v>
      </c>
      <c r="D1161" s="550"/>
      <c r="E1161" s="224"/>
      <c r="F1161" s="225"/>
      <c r="G1161" s="290"/>
      <c r="H1161" s="226"/>
      <c r="M1161" s="225"/>
    </row>
    <row r="1162" spans="2:13" ht="18.75" customHeight="1" x14ac:dyDescent="0.25">
      <c r="B1162" s="550"/>
      <c r="C1162" s="227" t="s">
        <v>629</v>
      </c>
      <c r="D1162" s="550" t="s">
        <v>630</v>
      </c>
      <c r="E1162" s="224" t="s">
        <v>631</v>
      </c>
      <c r="F1162" s="228">
        <f t="shared" ref="F1162:F1165" si="57">$K$8*M1162</f>
        <v>1.2</v>
      </c>
      <c r="G1162" s="229">
        <f>G1133</f>
        <v>95000</v>
      </c>
      <c r="H1162" s="230">
        <f>+G1162*F1162</f>
        <v>114000</v>
      </c>
      <c r="M1162" s="228">
        <v>1.2</v>
      </c>
    </row>
    <row r="1163" spans="2:13" ht="18.75" customHeight="1" x14ac:dyDescent="0.25">
      <c r="B1163" s="550"/>
      <c r="C1163" s="227" t="s">
        <v>1508</v>
      </c>
      <c r="D1163" s="550" t="s">
        <v>632</v>
      </c>
      <c r="E1163" s="224" t="s">
        <v>631</v>
      </c>
      <c r="F1163" s="228">
        <f t="shared" si="57"/>
        <v>0.2</v>
      </c>
      <c r="G1163" s="229">
        <f>G1134</f>
        <v>110000</v>
      </c>
      <c r="H1163" s="230">
        <f>+G1163*F1163</f>
        <v>22000</v>
      </c>
      <c r="M1163" s="228">
        <v>0.2</v>
      </c>
    </row>
    <row r="1164" spans="2:13" ht="18.75" customHeight="1" x14ac:dyDescent="0.25">
      <c r="B1164" s="550"/>
      <c r="C1164" s="227" t="s">
        <v>633</v>
      </c>
      <c r="D1164" s="550" t="s">
        <v>634</v>
      </c>
      <c r="E1164" s="224" t="s">
        <v>631</v>
      </c>
      <c r="F1164" s="228">
        <f t="shared" si="57"/>
        <v>0.02</v>
      </c>
      <c r="G1164" s="229">
        <f>G1135</f>
        <v>115000</v>
      </c>
      <c r="H1164" s="230">
        <f>+G1164*F1164</f>
        <v>2300</v>
      </c>
      <c r="M1164" s="228">
        <v>0.02</v>
      </c>
    </row>
    <row r="1165" spans="2:13" ht="18.75" customHeight="1" x14ac:dyDescent="0.25">
      <c r="B1165" s="550"/>
      <c r="C1165" s="227" t="s">
        <v>600</v>
      </c>
      <c r="D1165" s="550" t="s">
        <v>635</v>
      </c>
      <c r="E1165" s="224" t="s">
        <v>631</v>
      </c>
      <c r="F1165" s="228">
        <f t="shared" si="57"/>
        <v>7.4999999999999997E-2</v>
      </c>
      <c r="G1165" s="229">
        <f>G1136</f>
        <v>140000</v>
      </c>
      <c r="H1165" s="230">
        <f>+G1165*F1165</f>
        <v>10500</v>
      </c>
      <c r="M1165" s="228">
        <v>7.4999999999999997E-2</v>
      </c>
    </row>
    <row r="1166" spans="2:13" ht="18.75" customHeight="1" x14ac:dyDescent="0.25">
      <c r="B1166" s="550"/>
      <c r="C1166" s="223"/>
      <c r="D1166" s="550"/>
      <c r="E1166" s="224"/>
      <c r="F1166" s="233" t="s">
        <v>636</v>
      </c>
      <c r="G1166" s="290"/>
      <c r="H1166" s="231">
        <f>SUM(H1162:H1165)</f>
        <v>148800</v>
      </c>
      <c r="M1166" s="233" t="s">
        <v>636</v>
      </c>
    </row>
    <row r="1167" spans="2:13" ht="18.75" customHeight="1" x14ac:dyDescent="0.25">
      <c r="B1167" s="550" t="s">
        <v>637</v>
      </c>
      <c r="C1167" s="223" t="s">
        <v>638</v>
      </c>
      <c r="D1167" s="550"/>
      <c r="E1167" s="224"/>
      <c r="F1167" s="225"/>
      <c r="G1167" s="290"/>
      <c r="H1167" s="226"/>
      <c r="M1167" s="225"/>
    </row>
    <row r="1168" spans="2:13" ht="18.75" customHeight="1" x14ac:dyDescent="0.25">
      <c r="B1168" s="550"/>
      <c r="C1168" s="223" t="s">
        <v>708</v>
      </c>
      <c r="D1168" s="550"/>
      <c r="E1168" s="550" t="s">
        <v>5</v>
      </c>
      <c r="F1168" s="233">
        <v>230</v>
      </c>
      <c r="G1168" s="234">
        <f>G1139</f>
        <v>1700</v>
      </c>
      <c r="H1168" s="230">
        <f>+G1168*F1168</f>
        <v>391000</v>
      </c>
      <c r="M1168" s="233">
        <v>230</v>
      </c>
    </row>
    <row r="1169" spans="2:13" ht="18.75" customHeight="1" x14ac:dyDescent="0.25">
      <c r="B1169" s="550"/>
      <c r="C1169" s="223" t="s">
        <v>77</v>
      </c>
      <c r="D1169" s="550"/>
      <c r="E1169" s="550" t="s">
        <v>62</v>
      </c>
      <c r="F1169" s="233">
        <v>893</v>
      </c>
      <c r="G1169" s="234">
        <f>G1140</f>
        <v>160</v>
      </c>
      <c r="H1169" s="230">
        <f>+G1169*F1169</f>
        <v>142880</v>
      </c>
      <c r="M1169" s="233">
        <v>893</v>
      </c>
    </row>
    <row r="1170" spans="2:13" ht="18.75" customHeight="1" x14ac:dyDescent="0.25">
      <c r="B1170" s="550"/>
      <c r="C1170" s="223" t="s">
        <v>741</v>
      </c>
      <c r="D1170" s="550"/>
      <c r="E1170" s="550" t="s">
        <v>62</v>
      </c>
      <c r="F1170" s="233">
        <v>1027</v>
      </c>
      <c r="G1170" s="234">
        <f>G1141</f>
        <v>250</v>
      </c>
      <c r="H1170" s="230">
        <f>+G1170*F1170</f>
        <v>256750</v>
      </c>
      <c r="M1170" s="233">
        <v>1027</v>
      </c>
    </row>
    <row r="1171" spans="2:13" ht="18.75" customHeight="1" x14ac:dyDescent="0.25">
      <c r="B1171" s="550"/>
      <c r="C1171" s="223" t="s">
        <v>742</v>
      </c>
      <c r="D1171" s="550"/>
      <c r="E1171" s="550" t="s">
        <v>743</v>
      </c>
      <c r="F1171" s="233">
        <v>200</v>
      </c>
      <c r="G1171" s="234">
        <f>G1142</f>
        <v>10</v>
      </c>
      <c r="H1171" s="230">
        <f>+G1171*F1171</f>
        <v>2000</v>
      </c>
      <c r="M1171" s="233">
        <v>200</v>
      </c>
    </row>
    <row r="1172" spans="2:13" ht="18.75" customHeight="1" x14ac:dyDescent="0.25">
      <c r="B1172" s="550"/>
      <c r="C1172" s="223"/>
      <c r="D1172" s="550"/>
      <c r="E1172" s="224"/>
      <c r="F1172" s="237" t="s">
        <v>643</v>
      </c>
      <c r="G1172" s="290"/>
      <c r="H1172" s="231">
        <f>SUM(H1168:H1171)</f>
        <v>792630</v>
      </c>
      <c r="M1172" s="237" t="s">
        <v>643</v>
      </c>
    </row>
    <row r="1173" spans="2:13" ht="18.75" customHeight="1" x14ac:dyDescent="0.25">
      <c r="B1173" s="550"/>
      <c r="C1173" s="223"/>
      <c r="D1173" s="550"/>
      <c r="E1173" s="224"/>
      <c r="F1173" s="225"/>
      <c r="G1173" s="290"/>
      <c r="H1173" s="226"/>
      <c r="M1173" s="225"/>
    </row>
    <row r="1174" spans="2:13" ht="18.75" customHeight="1" x14ac:dyDescent="0.25">
      <c r="B1174" s="550" t="s">
        <v>644</v>
      </c>
      <c r="C1174" s="223" t="s">
        <v>645</v>
      </c>
      <c r="D1174" s="550"/>
      <c r="E1174" s="224"/>
      <c r="F1174" s="225"/>
      <c r="G1174" s="290"/>
      <c r="H1174" s="235"/>
      <c r="M1174" s="225"/>
    </row>
    <row r="1175" spans="2:13" ht="18.75" customHeight="1" x14ac:dyDescent="0.25">
      <c r="B1175" s="236"/>
      <c r="C1175" s="232"/>
      <c r="D1175" s="550"/>
      <c r="E1175" s="224"/>
      <c r="F1175" s="237" t="s">
        <v>646</v>
      </c>
      <c r="G1175" s="290"/>
      <c r="H1175" s="230">
        <f>SUM(H1174:H1174)</f>
        <v>0</v>
      </c>
      <c r="M1175" s="237" t="s">
        <v>646</v>
      </c>
    </row>
    <row r="1176" spans="2:13" ht="18.75" customHeight="1" x14ac:dyDescent="0.25">
      <c r="B1176" s="236"/>
      <c r="C1176" s="232"/>
      <c r="D1176" s="550"/>
      <c r="E1176" s="224"/>
      <c r="F1176" s="237"/>
      <c r="G1176" s="290"/>
      <c r="H1176" s="226"/>
      <c r="M1176" s="237"/>
    </row>
    <row r="1177" spans="2:13" ht="18.75" customHeight="1" x14ac:dyDescent="0.25">
      <c r="B1177" s="248"/>
      <c r="C1177" s="238"/>
      <c r="D1177" s="239"/>
      <c r="E1177" s="240"/>
      <c r="F1177" s="241"/>
      <c r="G1177" s="291"/>
      <c r="H1177" s="251"/>
      <c r="M1177" s="241"/>
    </row>
    <row r="1178" spans="2:13" ht="18.75" customHeight="1" x14ac:dyDescent="0.25">
      <c r="B1178" s="249" t="s">
        <v>647</v>
      </c>
      <c r="C1178" s="104" t="s">
        <v>648</v>
      </c>
      <c r="D1178" s="435"/>
      <c r="E1178" s="92"/>
      <c r="F1178" s="183"/>
      <c r="G1178" s="167"/>
      <c r="H1178" s="252">
        <f>+H1175+H1172+H1166</f>
        <v>941430</v>
      </c>
      <c r="M1178" s="183"/>
    </row>
    <row r="1179" spans="2:13" ht="18.75" customHeight="1" x14ac:dyDescent="0.25">
      <c r="B1179" s="249" t="s">
        <v>649</v>
      </c>
      <c r="C1179" s="242" t="s">
        <v>650</v>
      </c>
      <c r="D1179" s="435"/>
      <c r="E1179" s="92"/>
      <c r="F1179" s="184" t="str">
        <f>$J$5</f>
        <v>8,0 % x D</v>
      </c>
      <c r="G1179" s="167"/>
      <c r="H1179" s="253">
        <f>+H1178*$K$5</f>
        <v>75314.400000000009</v>
      </c>
      <c r="M1179" s="184" t="str">
        <f>$J$5</f>
        <v>8,0 % x D</v>
      </c>
    </row>
    <row r="1180" spans="2:13" ht="18.75" customHeight="1" x14ac:dyDescent="0.25">
      <c r="B1180" s="249" t="s">
        <v>651</v>
      </c>
      <c r="C1180" s="111" t="s">
        <v>652</v>
      </c>
      <c r="D1180" s="435"/>
      <c r="E1180" s="91"/>
      <c r="F1180" s="185"/>
      <c r="G1180" s="168"/>
      <c r="H1180" s="254">
        <f>ROUNDUP((H1179+H1178)/100,0)*100</f>
        <v>1016800</v>
      </c>
      <c r="M1180" s="185"/>
    </row>
    <row r="1181" spans="2:13" ht="18.75" customHeight="1" x14ac:dyDescent="0.25">
      <c r="B1181" s="259"/>
      <c r="C1181" s="261"/>
      <c r="D1181" s="245"/>
      <c r="E1181" s="246"/>
      <c r="F1181" s="247"/>
      <c r="G1181" s="298"/>
      <c r="H1181" s="260"/>
      <c r="M1181" s="247"/>
    </row>
    <row r="1182" spans="2:13" ht="18.75" customHeight="1" x14ac:dyDescent="0.25">
      <c r="B1182" s="22"/>
      <c r="C1182" s="104"/>
      <c r="E1182" s="21"/>
      <c r="F1182" s="176"/>
      <c r="G1182" s="165"/>
      <c r="H1182" s="119"/>
      <c r="M1182" s="176"/>
    </row>
    <row r="1183" spans="2:13" ht="18.75" customHeight="1" x14ac:dyDescent="0.25">
      <c r="B1183" s="19">
        <v>5</v>
      </c>
      <c r="C1183" s="93" t="s">
        <v>746</v>
      </c>
      <c r="D1183" s="19"/>
      <c r="E1183" s="21"/>
      <c r="F1183" s="176"/>
      <c r="G1183" s="165"/>
      <c r="H1183" s="119"/>
      <c r="M1183" s="176"/>
    </row>
    <row r="1184" spans="2:13" ht="18.75" customHeight="1" x14ac:dyDescent="0.25">
      <c r="B1184" s="618" t="s">
        <v>620</v>
      </c>
      <c r="C1184" s="620" t="s">
        <v>621</v>
      </c>
      <c r="D1184" s="618" t="s">
        <v>622</v>
      </c>
      <c r="E1184" s="618" t="s">
        <v>2</v>
      </c>
      <c r="F1184" s="615" t="s">
        <v>623</v>
      </c>
      <c r="G1184" s="289" t="s">
        <v>624</v>
      </c>
      <c r="H1184" s="256" t="s">
        <v>625</v>
      </c>
      <c r="M1184" s="615" t="s">
        <v>623</v>
      </c>
    </row>
    <row r="1185" spans="2:13" ht="18.75" customHeight="1" x14ac:dyDescent="0.25">
      <c r="B1185" s="619"/>
      <c r="C1185" s="621"/>
      <c r="D1185" s="619"/>
      <c r="E1185" s="619"/>
      <c r="F1185" s="616"/>
      <c r="G1185" s="289" t="s">
        <v>626</v>
      </c>
      <c r="H1185" s="256" t="s">
        <v>626</v>
      </c>
      <c r="M1185" s="616"/>
    </row>
    <row r="1186" spans="2:13" ht="18.75" customHeight="1" x14ac:dyDescent="0.25">
      <c r="B1186" s="221"/>
      <c r="C1186" s="222"/>
      <c r="D1186" s="221"/>
      <c r="E1186" s="550"/>
      <c r="F1186" s="555"/>
      <c r="G1186" s="551"/>
      <c r="H1186" s="220"/>
      <c r="M1186" s="590"/>
    </row>
    <row r="1187" spans="2:13" ht="18.75" customHeight="1" x14ac:dyDescent="0.25">
      <c r="B1187" s="550" t="s">
        <v>627</v>
      </c>
      <c r="C1187" s="223" t="s">
        <v>628</v>
      </c>
      <c r="D1187" s="550"/>
      <c r="E1187" s="224"/>
      <c r="F1187" s="225"/>
      <c r="G1187" s="290"/>
      <c r="H1187" s="226"/>
      <c r="M1187" s="225"/>
    </row>
    <row r="1188" spans="2:13" ht="18.75" customHeight="1" x14ac:dyDescent="0.25">
      <c r="B1188" s="550"/>
      <c r="C1188" s="227" t="s">
        <v>629</v>
      </c>
      <c r="D1188" s="550" t="s">
        <v>630</v>
      </c>
      <c r="E1188" s="224" t="s">
        <v>631</v>
      </c>
      <c r="F1188" s="228">
        <f t="shared" ref="F1188:F1191" si="58">$K$8*M1188</f>
        <v>1.65</v>
      </c>
      <c r="G1188" s="229">
        <f>G1162</f>
        <v>95000</v>
      </c>
      <c r="H1188" s="230">
        <f>+G1188*F1188</f>
        <v>156750</v>
      </c>
      <c r="M1188" s="228">
        <v>1.65</v>
      </c>
    </row>
    <row r="1189" spans="2:13" ht="18.75" customHeight="1" x14ac:dyDescent="0.25">
      <c r="B1189" s="550"/>
      <c r="C1189" s="227" t="s">
        <v>1508</v>
      </c>
      <c r="D1189" s="550" t="s">
        <v>632</v>
      </c>
      <c r="E1189" s="224" t="s">
        <v>631</v>
      </c>
      <c r="F1189" s="228">
        <f t="shared" si="58"/>
        <v>0.27500000000000002</v>
      </c>
      <c r="G1189" s="229">
        <f>G1163</f>
        <v>110000</v>
      </c>
      <c r="H1189" s="230">
        <f>+G1189*F1189</f>
        <v>30250.000000000004</v>
      </c>
      <c r="M1189" s="228">
        <v>0.27500000000000002</v>
      </c>
    </row>
    <row r="1190" spans="2:13" ht="18.75" customHeight="1" x14ac:dyDescent="0.25">
      <c r="B1190" s="550"/>
      <c r="C1190" s="227" t="s">
        <v>633</v>
      </c>
      <c r="D1190" s="550" t="s">
        <v>634</v>
      </c>
      <c r="E1190" s="224" t="s">
        <v>631</v>
      </c>
      <c r="F1190" s="228">
        <f t="shared" si="58"/>
        <v>2.8000000000000001E-2</v>
      </c>
      <c r="G1190" s="229">
        <f>G1164</f>
        <v>115000</v>
      </c>
      <c r="H1190" s="230">
        <f>+G1190*F1190</f>
        <v>3220</v>
      </c>
      <c r="M1190" s="228">
        <v>2.8000000000000001E-2</v>
      </c>
    </row>
    <row r="1191" spans="2:13" ht="18.75" customHeight="1" x14ac:dyDescent="0.25">
      <c r="B1191" s="550"/>
      <c r="C1191" s="227" t="s">
        <v>600</v>
      </c>
      <c r="D1191" s="550" t="s">
        <v>635</v>
      </c>
      <c r="E1191" s="224" t="s">
        <v>631</v>
      </c>
      <c r="F1191" s="228">
        <f t="shared" si="58"/>
        <v>8.3000000000000004E-2</v>
      </c>
      <c r="G1191" s="229">
        <f>G1165</f>
        <v>140000</v>
      </c>
      <c r="H1191" s="230">
        <f>+G1191*F1191</f>
        <v>11620</v>
      </c>
      <c r="M1191" s="228">
        <v>8.3000000000000004E-2</v>
      </c>
    </row>
    <row r="1192" spans="2:13" ht="18.75" customHeight="1" x14ac:dyDescent="0.25">
      <c r="B1192" s="550"/>
      <c r="C1192" s="223"/>
      <c r="D1192" s="550"/>
      <c r="E1192" s="224"/>
      <c r="F1192" s="233" t="s">
        <v>636</v>
      </c>
      <c r="G1192" s="290"/>
      <c r="H1192" s="231">
        <f>SUM(H1188:H1191)</f>
        <v>201840</v>
      </c>
      <c r="M1192" s="233" t="s">
        <v>636</v>
      </c>
    </row>
    <row r="1193" spans="2:13" ht="18.75" customHeight="1" x14ac:dyDescent="0.25">
      <c r="B1193" s="550"/>
      <c r="C1193" s="223"/>
      <c r="D1193" s="550"/>
      <c r="E1193" s="224"/>
      <c r="F1193" s="233"/>
      <c r="G1193" s="290"/>
      <c r="H1193" s="231"/>
      <c r="M1193" s="233"/>
    </row>
    <row r="1194" spans="2:13" ht="18.75" customHeight="1" x14ac:dyDescent="0.25">
      <c r="B1194" s="550" t="s">
        <v>637</v>
      </c>
      <c r="C1194" s="223" t="s">
        <v>638</v>
      </c>
      <c r="D1194" s="550"/>
      <c r="E1194" s="224"/>
      <c r="F1194" s="225"/>
      <c r="G1194" s="290"/>
      <c r="H1194" s="226"/>
      <c r="M1194" s="225"/>
    </row>
    <row r="1195" spans="2:13" ht="18.75" customHeight="1" x14ac:dyDescent="0.25">
      <c r="B1195" s="550"/>
      <c r="C1195" s="223" t="s">
        <v>708</v>
      </c>
      <c r="D1195" s="550"/>
      <c r="E1195" s="550" t="s">
        <v>5</v>
      </c>
      <c r="F1195" s="233">
        <v>326</v>
      </c>
      <c r="G1195" s="234">
        <f>G1168</f>
        <v>1700</v>
      </c>
      <c r="H1195" s="230">
        <f>+G1195*F1195</f>
        <v>554200</v>
      </c>
      <c r="M1195" s="233">
        <v>326</v>
      </c>
    </row>
    <row r="1196" spans="2:13" ht="18.75" customHeight="1" x14ac:dyDescent="0.25">
      <c r="B1196" s="550"/>
      <c r="C1196" s="223" t="s">
        <v>77</v>
      </c>
      <c r="D1196" s="550"/>
      <c r="E1196" s="550" t="s">
        <v>62</v>
      </c>
      <c r="F1196" s="233">
        <v>760</v>
      </c>
      <c r="G1196" s="234">
        <f>G1169</f>
        <v>160</v>
      </c>
      <c r="H1196" s="230">
        <f>+G1196*F1196</f>
        <v>121600</v>
      </c>
      <c r="M1196" s="233">
        <v>760</v>
      </c>
    </row>
    <row r="1197" spans="2:13" ht="18.75" customHeight="1" x14ac:dyDescent="0.25">
      <c r="B1197" s="550"/>
      <c r="C1197" s="223" t="s">
        <v>741</v>
      </c>
      <c r="D1197" s="550"/>
      <c r="E1197" s="550" t="s">
        <v>62</v>
      </c>
      <c r="F1197" s="233">
        <v>1029</v>
      </c>
      <c r="G1197" s="234">
        <f>G1170</f>
        <v>250</v>
      </c>
      <c r="H1197" s="230">
        <f>+G1197*F1197</f>
        <v>257250</v>
      </c>
      <c r="M1197" s="233">
        <v>1029</v>
      </c>
    </row>
    <row r="1198" spans="2:13" ht="18.75" customHeight="1" x14ac:dyDescent="0.25">
      <c r="B1198" s="550"/>
      <c r="C1198" s="223" t="s">
        <v>742</v>
      </c>
      <c r="D1198" s="550"/>
      <c r="E1198" s="550" t="s">
        <v>743</v>
      </c>
      <c r="F1198" s="233">
        <v>215</v>
      </c>
      <c r="G1198" s="234">
        <f>G1171</f>
        <v>10</v>
      </c>
      <c r="H1198" s="230">
        <f>+G1198*F1198</f>
        <v>2150</v>
      </c>
      <c r="M1198" s="233">
        <v>215</v>
      </c>
    </row>
    <row r="1199" spans="2:13" ht="18.75" customHeight="1" x14ac:dyDescent="0.25">
      <c r="B1199" s="550"/>
      <c r="C1199" s="223"/>
      <c r="D1199" s="550"/>
      <c r="E1199" s="224"/>
      <c r="F1199" s="237" t="s">
        <v>643</v>
      </c>
      <c r="G1199" s="290"/>
      <c r="H1199" s="231">
        <f>SUM(H1195:H1198)</f>
        <v>935200</v>
      </c>
      <c r="M1199" s="237" t="s">
        <v>643</v>
      </c>
    </row>
    <row r="1200" spans="2:13" ht="18.75" customHeight="1" x14ac:dyDescent="0.25">
      <c r="B1200" s="550"/>
      <c r="C1200" s="223"/>
      <c r="D1200" s="550"/>
      <c r="E1200" s="224"/>
      <c r="F1200" s="225"/>
      <c r="G1200" s="290"/>
      <c r="H1200" s="226"/>
      <c r="M1200" s="225"/>
    </row>
    <row r="1201" spans="2:13" ht="18.75" customHeight="1" x14ac:dyDescent="0.25">
      <c r="B1201" s="550" t="s">
        <v>644</v>
      </c>
      <c r="C1201" s="223" t="s">
        <v>645</v>
      </c>
      <c r="D1201" s="550"/>
      <c r="E1201" s="224"/>
      <c r="F1201" s="225"/>
      <c r="G1201" s="290"/>
      <c r="H1201" s="235"/>
      <c r="M1201" s="225"/>
    </row>
    <row r="1202" spans="2:13" ht="18.75" customHeight="1" x14ac:dyDescent="0.25">
      <c r="B1202" s="236"/>
      <c r="C1202" s="232"/>
      <c r="D1202" s="550"/>
      <c r="E1202" s="224"/>
      <c r="F1202" s="237" t="s">
        <v>646</v>
      </c>
      <c r="G1202" s="290"/>
      <c r="H1202" s="230">
        <f>SUM(H1201:H1201)</f>
        <v>0</v>
      </c>
      <c r="M1202" s="237" t="s">
        <v>646</v>
      </c>
    </row>
    <row r="1203" spans="2:13" ht="18.75" customHeight="1" x14ac:dyDescent="0.25">
      <c r="B1203" s="236"/>
      <c r="C1203" s="232"/>
      <c r="D1203" s="550"/>
      <c r="E1203" s="224"/>
      <c r="F1203" s="237"/>
      <c r="G1203" s="290"/>
      <c r="H1203" s="226"/>
      <c r="M1203" s="237"/>
    </row>
    <row r="1204" spans="2:13" ht="18.75" customHeight="1" x14ac:dyDescent="0.25">
      <c r="B1204" s="248"/>
      <c r="C1204" s="238"/>
      <c r="D1204" s="239"/>
      <c r="E1204" s="266"/>
      <c r="F1204" s="241"/>
      <c r="G1204" s="303"/>
      <c r="H1204" s="267"/>
      <c r="M1204" s="241"/>
    </row>
    <row r="1205" spans="2:13" ht="18.75" customHeight="1" x14ac:dyDescent="0.25">
      <c r="B1205" s="249" t="s">
        <v>647</v>
      </c>
      <c r="C1205" s="104" t="s">
        <v>648</v>
      </c>
      <c r="D1205" s="435"/>
      <c r="E1205" s="92"/>
      <c r="F1205" s="183"/>
      <c r="G1205" s="167"/>
      <c r="H1205" s="252">
        <f>+H1202+H1199+H1192</f>
        <v>1137040</v>
      </c>
      <c r="M1205" s="183"/>
    </row>
    <row r="1206" spans="2:13" ht="18.75" customHeight="1" x14ac:dyDescent="0.25">
      <c r="B1206" s="249" t="s">
        <v>649</v>
      </c>
      <c r="C1206" s="242" t="s">
        <v>650</v>
      </c>
      <c r="D1206" s="435"/>
      <c r="E1206" s="92"/>
      <c r="F1206" s="184" t="str">
        <f>$J$5</f>
        <v>8,0 % x D</v>
      </c>
      <c r="G1206" s="167"/>
      <c r="H1206" s="253">
        <f>+H1205*$K$5</f>
        <v>90963.199999999997</v>
      </c>
      <c r="M1206" s="184" t="str">
        <f>$J$5</f>
        <v>8,0 % x D</v>
      </c>
    </row>
    <row r="1207" spans="2:13" ht="18.75" customHeight="1" x14ac:dyDescent="0.25">
      <c r="B1207" s="249" t="s">
        <v>651</v>
      </c>
      <c r="C1207" s="111" t="s">
        <v>652</v>
      </c>
      <c r="D1207" s="435"/>
      <c r="E1207" s="91"/>
      <c r="F1207" s="185"/>
      <c r="G1207" s="168"/>
      <c r="H1207" s="254">
        <f>ROUNDUP((H1206+H1205)/100,0)*100</f>
        <v>1228100</v>
      </c>
      <c r="M1207" s="185"/>
    </row>
    <row r="1208" spans="2:13" ht="18.75" customHeight="1" x14ac:dyDescent="0.25">
      <c r="B1208" s="259"/>
      <c r="C1208" s="261"/>
      <c r="D1208" s="245"/>
      <c r="E1208" s="246"/>
      <c r="F1208" s="247"/>
      <c r="G1208" s="298"/>
      <c r="H1208" s="260"/>
      <c r="M1208" s="247"/>
    </row>
    <row r="1209" spans="2:13" ht="18.75" customHeight="1" x14ac:dyDescent="0.25">
      <c r="B1209" s="92"/>
      <c r="C1209" s="104"/>
      <c r="D1209" s="435"/>
      <c r="E1209" s="91"/>
      <c r="F1209" s="185"/>
      <c r="G1209" s="168"/>
      <c r="H1209" s="139"/>
      <c r="M1209" s="185"/>
    </row>
    <row r="1210" spans="2:13" ht="18.75" customHeight="1" x14ac:dyDescent="0.25">
      <c r="B1210" s="19">
        <v>6</v>
      </c>
      <c r="C1210" s="93" t="s">
        <v>747</v>
      </c>
      <c r="D1210" s="19"/>
      <c r="E1210" s="21"/>
      <c r="F1210" s="176"/>
      <c r="G1210" s="165"/>
      <c r="H1210" s="119"/>
      <c r="M1210" s="176"/>
    </row>
    <row r="1211" spans="2:13" ht="18.75" customHeight="1" x14ac:dyDescent="0.25">
      <c r="B1211" s="618" t="s">
        <v>620</v>
      </c>
      <c r="C1211" s="620" t="s">
        <v>621</v>
      </c>
      <c r="D1211" s="618" t="s">
        <v>622</v>
      </c>
      <c r="E1211" s="618" t="s">
        <v>2</v>
      </c>
      <c r="F1211" s="615" t="s">
        <v>623</v>
      </c>
      <c r="G1211" s="289" t="s">
        <v>624</v>
      </c>
      <c r="H1211" s="256" t="s">
        <v>625</v>
      </c>
      <c r="M1211" s="615" t="s">
        <v>623</v>
      </c>
    </row>
    <row r="1212" spans="2:13" ht="18.75" customHeight="1" x14ac:dyDescent="0.25">
      <c r="B1212" s="619"/>
      <c r="C1212" s="621"/>
      <c r="D1212" s="619"/>
      <c r="E1212" s="619"/>
      <c r="F1212" s="616"/>
      <c r="G1212" s="289" t="s">
        <v>626</v>
      </c>
      <c r="H1212" s="256" t="s">
        <v>626</v>
      </c>
      <c r="M1212" s="616"/>
    </row>
    <row r="1213" spans="2:13" ht="18.75" customHeight="1" x14ac:dyDescent="0.25">
      <c r="B1213" s="221"/>
      <c r="C1213" s="222"/>
      <c r="D1213" s="221"/>
      <c r="E1213" s="550"/>
      <c r="F1213" s="555"/>
      <c r="G1213" s="551"/>
      <c r="H1213" s="220"/>
      <c r="M1213" s="590"/>
    </row>
    <row r="1214" spans="2:13" ht="18.75" customHeight="1" x14ac:dyDescent="0.25">
      <c r="B1214" s="550" t="s">
        <v>627</v>
      </c>
      <c r="C1214" s="223" t="s">
        <v>628</v>
      </c>
      <c r="D1214" s="550"/>
      <c r="E1214" s="224"/>
      <c r="F1214" s="225"/>
      <c r="G1214" s="290"/>
      <c r="H1214" s="226"/>
      <c r="M1214" s="225"/>
    </row>
    <row r="1215" spans="2:13" ht="18.75" customHeight="1" x14ac:dyDescent="0.25">
      <c r="B1215" s="550"/>
      <c r="C1215" s="227" t="s">
        <v>629</v>
      </c>
      <c r="D1215" s="550" t="s">
        <v>630</v>
      </c>
      <c r="E1215" s="224" t="s">
        <v>631</v>
      </c>
      <c r="F1215" s="228">
        <f t="shared" ref="F1215:F1218" si="59">$K$8*M1215</f>
        <v>1.65</v>
      </c>
      <c r="G1215" s="229">
        <f>G1188</f>
        <v>95000</v>
      </c>
      <c r="H1215" s="230">
        <f>+G1215*F1215</f>
        <v>156750</v>
      </c>
      <c r="M1215" s="228">
        <v>1.65</v>
      </c>
    </row>
    <row r="1216" spans="2:13" ht="18.75" customHeight="1" x14ac:dyDescent="0.25">
      <c r="B1216" s="550"/>
      <c r="C1216" s="227" t="s">
        <v>1508</v>
      </c>
      <c r="D1216" s="550" t="s">
        <v>632</v>
      </c>
      <c r="E1216" s="224" t="s">
        <v>631</v>
      </c>
      <c r="F1216" s="228">
        <f t="shared" si="59"/>
        <v>0.27500000000000002</v>
      </c>
      <c r="G1216" s="229">
        <f>G1189</f>
        <v>110000</v>
      </c>
      <c r="H1216" s="230">
        <f>+G1216*F1216</f>
        <v>30250.000000000004</v>
      </c>
      <c r="M1216" s="228">
        <v>0.27500000000000002</v>
      </c>
    </row>
    <row r="1217" spans="2:13" ht="18.75" customHeight="1" x14ac:dyDescent="0.25">
      <c r="B1217" s="550"/>
      <c r="C1217" s="227" t="s">
        <v>633</v>
      </c>
      <c r="D1217" s="550" t="s">
        <v>634</v>
      </c>
      <c r="E1217" s="224" t="s">
        <v>631</v>
      </c>
      <c r="F1217" s="228">
        <f t="shared" si="59"/>
        <v>2.8000000000000001E-2</v>
      </c>
      <c r="G1217" s="229">
        <f>G1190</f>
        <v>115000</v>
      </c>
      <c r="H1217" s="230">
        <f>+G1217*F1217</f>
        <v>3220</v>
      </c>
      <c r="M1217" s="228">
        <v>2.8000000000000001E-2</v>
      </c>
    </row>
    <row r="1218" spans="2:13" ht="18.75" customHeight="1" x14ac:dyDescent="0.25">
      <c r="B1218" s="550"/>
      <c r="C1218" s="227" t="s">
        <v>600</v>
      </c>
      <c r="D1218" s="550" t="s">
        <v>635</v>
      </c>
      <c r="E1218" s="224" t="s">
        <v>631</v>
      </c>
      <c r="F1218" s="228">
        <f t="shared" si="59"/>
        <v>8.3000000000000004E-2</v>
      </c>
      <c r="G1218" s="229">
        <f>G1191</f>
        <v>140000</v>
      </c>
      <c r="H1218" s="230">
        <f>+G1218*F1218</f>
        <v>11620</v>
      </c>
      <c r="M1218" s="228">
        <v>8.3000000000000004E-2</v>
      </c>
    </row>
    <row r="1219" spans="2:13" ht="18.75" customHeight="1" x14ac:dyDescent="0.25">
      <c r="B1219" s="550"/>
      <c r="C1219" s="223"/>
      <c r="D1219" s="550"/>
      <c r="E1219" s="224"/>
      <c r="F1219" s="233" t="s">
        <v>636</v>
      </c>
      <c r="G1219" s="290"/>
      <c r="H1219" s="231">
        <f>SUM(H1215:H1218)</f>
        <v>201840</v>
      </c>
      <c r="M1219" s="233" t="s">
        <v>636</v>
      </c>
    </row>
    <row r="1220" spans="2:13" ht="18.75" customHeight="1" x14ac:dyDescent="0.25">
      <c r="B1220" s="550"/>
      <c r="C1220" s="223"/>
      <c r="D1220" s="550"/>
      <c r="E1220" s="224"/>
      <c r="F1220" s="233"/>
      <c r="G1220" s="290"/>
      <c r="H1220" s="231"/>
      <c r="M1220" s="233"/>
    </row>
    <row r="1221" spans="2:13" ht="18.75" customHeight="1" x14ac:dyDescent="0.25">
      <c r="B1221" s="550" t="s">
        <v>637</v>
      </c>
      <c r="C1221" s="223" t="s">
        <v>638</v>
      </c>
      <c r="D1221" s="550"/>
      <c r="E1221" s="224"/>
      <c r="F1221" s="225"/>
      <c r="G1221" s="290"/>
      <c r="H1221" s="226"/>
      <c r="M1221" s="225"/>
    </row>
    <row r="1222" spans="2:13" ht="18.75" customHeight="1" x14ac:dyDescent="0.25">
      <c r="B1222" s="550"/>
      <c r="C1222" s="223" t="s">
        <v>708</v>
      </c>
      <c r="D1222" s="550"/>
      <c r="E1222" s="550" t="s">
        <v>5</v>
      </c>
      <c r="F1222" s="233">
        <v>352</v>
      </c>
      <c r="G1222" s="234">
        <f>G1195</f>
        <v>1700</v>
      </c>
      <c r="H1222" s="230">
        <f>+G1222*F1222</f>
        <v>598400</v>
      </c>
      <c r="M1222" s="233">
        <v>352</v>
      </c>
    </row>
    <row r="1223" spans="2:13" ht="18.75" customHeight="1" x14ac:dyDescent="0.25">
      <c r="B1223" s="550"/>
      <c r="C1223" s="223" t="s">
        <v>77</v>
      </c>
      <c r="D1223" s="550"/>
      <c r="E1223" s="550" t="s">
        <v>52</v>
      </c>
      <c r="F1223" s="233">
        <v>731</v>
      </c>
      <c r="G1223" s="234">
        <f>G1196</f>
        <v>160</v>
      </c>
      <c r="H1223" s="230">
        <f>+G1223*F1223</f>
        <v>116960</v>
      </c>
      <c r="M1223" s="233">
        <v>731</v>
      </c>
    </row>
    <row r="1224" spans="2:13" ht="18.75" customHeight="1" x14ac:dyDescent="0.25">
      <c r="B1224" s="550"/>
      <c r="C1224" s="223" t="s">
        <v>741</v>
      </c>
      <c r="D1224" s="550"/>
      <c r="E1224" s="550" t="s">
        <v>52</v>
      </c>
      <c r="F1224" s="233">
        <v>1031</v>
      </c>
      <c r="G1224" s="234">
        <f>G1197</f>
        <v>250</v>
      </c>
      <c r="H1224" s="230">
        <f>+G1224*F1224</f>
        <v>257750</v>
      </c>
      <c r="M1224" s="233">
        <v>1031</v>
      </c>
    </row>
    <row r="1225" spans="2:13" ht="18.75" customHeight="1" x14ac:dyDescent="0.25">
      <c r="B1225" s="550"/>
      <c r="C1225" s="223" t="s">
        <v>742</v>
      </c>
      <c r="D1225" s="550"/>
      <c r="E1225" s="550" t="s">
        <v>743</v>
      </c>
      <c r="F1225" s="233">
        <v>215</v>
      </c>
      <c r="G1225" s="234">
        <f>G1198</f>
        <v>10</v>
      </c>
      <c r="H1225" s="230">
        <f>+G1225*F1225</f>
        <v>2150</v>
      </c>
      <c r="M1225" s="233">
        <v>215</v>
      </c>
    </row>
    <row r="1226" spans="2:13" ht="18.75" customHeight="1" x14ac:dyDescent="0.25">
      <c r="B1226" s="550"/>
      <c r="C1226" s="223"/>
      <c r="D1226" s="550"/>
      <c r="E1226" s="224"/>
      <c r="F1226" s="237" t="s">
        <v>643</v>
      </c>
      <c r="G1226" s="290"/>
      <c r="H1226" s="231">
        <f>SUM(H1222:H1225)</f>
        <v>975260</v>
      </c>
      <c r="M1226" s="237" t="s">
        <v>643</v>
      </c>
    </row>
    <row r="1227" spans="2:13" ht="18.75" customHeight="1" x14ac:dyDescent="0.25">
      <c r="B1227" s="550"/>
      <c r="C1227" s="223"/>
      <c r="D1227" s="550"/>
      <c r="E1227" s="224"/>
      <c r="F1227" s="225"/>
      <c r="G1227" s="290"/>
      <c r="H1227" s="226"/>
      <c r="M1227" s="225"/>
    </row>
    <row r="1228" spans="2:13" ht="18.75" customHeight="1" x14ac:dyDescent="0.25">
      <c r="B1228" s="550" t="s">
        <v>644</v>
      </c>
      <c r="C1228" s="223" t="s">
        <v>645</v>
      </c>
      <c r="D1228" s="550"/>
      <c r="E1228" s="224"/>
      <c r="F1228" s="225"/>
      <c r="G1228" s="290"/>
      <c r="H1228" s="235"/>
      <c r="M1228" s="225"/>
    </row>
    <row r="1229" spans="2:13" ht="18.75" customHeight="1" x14ac:dyDescent="0.25">
      <c r="B1229" s="236"/>
      <c r="C1229" s="232"/>
      <c r="D1229" s="550"/>
      <c r="E1229" s="224"/>
      <c r="F1229" s="237" t="s">
        <v>646</v>
      </c>
      <c r="G1229" s="290"/>
      <c r="H1229" s="230">
        <f>SUM(H1228:H1228)</f>
        <v>0</v>
      </c>
      <c r="M1229" s="237" t="s">
        <v>646</v>
      </c>
    </row>
    <row r="1230" spans="2:13" ht="18.75" customHeight="1" x14ac:dyDescent="0.25">
      <c r="B1230" s="236"/>
      <c r="C1230" s="232"/>
      <c r="D1230" s="550"/>
      <c r="E1230" s="224"/>
      <c r="F1230" s="237"/>
      <c r="G1230" s="290"/>
      <c r="H1230" s="226"/>
      <c r="M1230" s="237"/>
    </row>
    <row r="1231" spans="2:13" ht="18.75" customHeight="1" x14ac:dyDescent="0.25">
      <c r="B1231" s="248"/>
      <c r="C1231" s="238"/>
      <c r="D1231" s="239"/>
      <c r="E1231" s="266"/>
      <c r="F1231" s="241"/>
      <c r="G1231" s="303"/>
      <c r="H1231" s="267"/>
      <c r="M1231" s="241"/>
    </row>
    <row r="1232" spans="2:13" ht="18.75" customHeight="1" x14ac:dyDescent="0.25">
      <c r="B1232" s="249" t="s">
        <v>647</v>
      </c>
      <c r="C1232" s="104" t="s">
        <v>648</v>
      </c>
      <c r="D1232" s="435"/>
      <c r="E1232" s="92"/>
      <c r="F1232" s="183"/>
      <c r="G1232" s="167"/>
      <c r="H1232" s="252">
        <f>+H1229+H1226+H1219</f>
        <v>1177100</v>
      </c>
      <c r="M1232" s="183"/>
    </row>
    <row r="1233" spans="2:13" ht="18.75" customHeight="1" x14ac:dyDescent="0.25">
      <c r="B1233" s="249" t="s">
        <v>649</v>
      </c>
      <c r="C1233" s="242" t="s">
        <v>650</v>
      </c>
      <c r="D1233" s="435"/>
      <c r="E1233" s="92"/>
      <c r="F1233" s="184" t="str">
        <f>$J$5</f>
        <v>8,0 % x D</v>
      </c>
      <c r="G1233" s="167"/>
      <c r="H1233" s="253">
        <f>+H1232*$K$5</f>
        <v>94168</v>
      </c>
      <c r="M1233" s="184" t="str">
        <f>$J$5</f>
        <v>8,0 % x D</v>
      </c>
    </row>
    <row r="1234" spans="2:13" ht="18.75" customHeight="1" x14ac:dyDescent="0.25">
      <c r="B1234" s="249" t="s">
        <v>651</v>
      </c>
      <c r="C1234" s="111" t="s">
        <v>652</v>
      </c>
      <c r="D1234" s="435"/>
      <c r="E1234" s="91"/>
      <c r="F1234" s="185"/>
      <c r="G1234" s="168"/>
      <c r="H1234" s="254">
        <f>ROUNDUP((H1233+H1232)/100,0)*100</f>
        <v>1271300</v>
      </c>
      <c r="M1234" s="185"/>
    </row>
    <row r="1235" spans="2:13" ht="18.75" customHeight="1" x14ac:dyDescent="0.25">
      <c r="B1235" s="259"/>
      <c r="C1235" s="261"/>
      <c r="D1235" s="245"/>
      <c r="E1235" s="246"/>
      <c r="F1235" s="247"/>
      <c r="G1235" s="298"/>
      <c r="H1235" s="260"/>
      <c r="M1235" s="247"/>
    </row>
    <row r="1236" spans="2:13" ht="18.75" customHeight="1" x14ac:dyDescent="0.25">
      <c r="G1236" s="66"/>
      <c r="H1236" s="138"/>
    </row>
    <row r="1237" spans="2:13" ht="18.75" customHeight="1" x14ac:dyDescent="0.25">
      <c r="B1237" s="19">
        <f>B1210+1</f>
        <v>7</v>
      </c>
      <c r="C1237" s="93" t="s">
        <v>748</v>
      </c>
      <c r="D1237" s="19"/>
      <c r="E1237" s="21"/>
      <c r="F1237" s="176"/>
      <c r="G1237" s="165"/>
      <c r="H1237" s="119"/>
      <c r="M1237" s="176"/>
    </row>
    <row r="1238" spans="2:13" ht="18.75" customHeight="1" x14ac:dyDescent="0.25">
      <c r="B1238" s="618" t="s">
        <v>620</v>
      </c>
      <c r="C1238" s="620" t="s">
        <v>621</v>
      </c>
      <c r="D1238" s="618" t="s">
        <v>622</v>
      </c>
      <c r="E1238" s="618" t="s">
        <v>2</v>
      </c>
      <c r="F1238" s="615" t="s">
        <v>623</v>
      </c>
      <c r="G1238" s="289" t="s">
        <v>624</v>
      </c>
      <c r="H1238" s="256" t="s">
        <v>625</v>
      </c>
      <c r="M1238" s="615" t="s">
        <v>623</v>
      </c>
    </row>
    <row r="1239" spans="2:13" ht="18.75" customHeight="1" x14ac:dyDescent="0.25">
      <c r="B1239" s="619"/>
      <c r="C1239" s="621"/>
      <c r="D1239" s="619"/>
      <c r="E1239" s="619"/>
      <c r="F1239" s="616"/>
      <c r="G1239" s="289" t="s">
        <v>626</v>
      </c>
      <c r="H1239" s="256" t="s">
        <v>626</v>
      </c>
      <c r="M1239" s="616"/>
    </row>
    <row r="1240" spans="2:13" ht="18.75" customHeight="1" x14ac:dyDescent="0.25">
      <c r="B1240" s="221"/>
      <c r="C1240" s="222"/>
      <c r="D1240" s="221"/>
      <c r="E1240" s="550"/>
      <c r="F1240" s="555"/>
      <c r="G1240" s="551"/>
      <c r="H1240" s="220"/>
      <c r="M1240" s="590"/>
    </row>
    <row r="1241" spans="2:13" ht="18.75" customHeight="1" x14ac:dyDescent="0.25">
      <c r="B1241" s="550" t="s">
        <v>627</v>
      </c>
      <c r="C1241" s="223" t="s">
        <v>628</v>
      </c>
      <c r="D1241" s="550"/>
      <c r="E1241" s="224"/>
      <c r="F1241" s="225"/>
      <c r="G1241" s="290"/>
      <c r="H1241" s="226"/>
      <c r="M1241" s="225"/>
    </row>
    <row r="1242" spans="2:13" ht="18.75" customHeight="1" x14ac:dyDescent="0.25">
      <c r="B1242" s="550"/>
      <c r="C1242" s="227" t="s">
        <v>629</v>
      </c>
      <c r="D1242" s="550" t="s">
        <v>630</v>
      </c>
      <c r="E1242" s="224" t="s">
        <v>631</v>
      </c>
      <c r="F1242" s="228">
        <f t="shared" ref="F1242:F1245" si="60">$K$8*M1242</f>
        <v>1.65</v>
      </c>
      <c r="G1242" s="229">
        <f>G1215</f>
        <v>95000</v>
      </c>
      <c r="H1242" s="230">
        <f>+G1242*F1242</f>
        <v>156750</v>
      </c>
      <c r="M1242" s="228">
        <v>1.65</v>
      </c>
    </row>
    <row r="1243" spans="2:13" ht="18.75" customHeight="1" x14ac:dyDescent="0.25">
      <c r="B1243" s="550"/>
      <c r="C1243" s="227" t="s">
        <v>1508</v>
      </c>
      <c r="D1243" s="550" t="s">
        <v>632</v>
      </c>
      <c r="E1243" s="224" t="s">
        <v>631</v>
      </c>
      <c r="F1243" s="228">
        <f t="shared" si="60"/>
        <v>0.27500000000000002</v>
      </c>
      <c r="G1243" s="229">
        <f>G1216</f>
        <v>110000</v>
      </c>
      <c r="H1243" s="230">
        <f>+G1243*F1243</f>
        <v>30250.000000000004</v>
      </c>
      <c r="M1243" s="228">
        <v>0.27500000000000002</v>
      </c>
    </row>
    <row r="1244" spans="2:13" ht="18.75" customHeight="1" x14ac:dyDescent="0.25">
      <c r="B1244" s="550"/>
      <c r="C1244" s="227" t="s">
        <v>633</v>
      </c>
      <c r="D1244" s="550" t="s">
        <v>634</v>
      </c>
      <c r="E1244" s="224" t="s">
        <v>631</v>
      </c>
      <c r="F1244" s="228">
        <f t="shared" si="60"/>
        <v>2.8000000000000001E-2</v>
      </c>
      <c r="G1244" s="229">
        <f>G1217</f>
        <v>115000</v>
      </c>
      <c r="H1244" s="230">
        <f>+G1244*F1244</f>
        <v>3220</v>
      </c>
      <c r="M1244" s="228">
        <v>2.8000000000000001E-2</v>
      </c>
    </row>
    <row r="1245" spans="2:13" ht="18.75" customHeight="1" x14ac:dyDescent="0.25">
      <c r="B1245" s="550"/>
      <c r="C1245" s="227" t="s">
        <v>600</v>
      </c>
      <c r="D1245" s="550" t="s">
        <v>635</v>
      </c>
      <c r="E1245" s="224" t="s">
        <v>631</v>
      </c>
      <c r="F1245" s="228">
        <f t="shared" si="60"/>
        <v>8.3000000000000004E-2</v>
      </c>
      <c r="G1245" s="229">
        <f>G1218</f>
        <v>140000</v>
      </c>
      <c r="H1245" s="230">
        <f>+G1245*F1245</f>
        <v>11620</v>
      </c>
      <c r="M1245" s="228">
        <v>8.3000000000000004E-2</v>
      </c>
    </row>
    <row r="1246" spans="2:13" ht="18.75" customHeight="1" x14ac:dyDescent="0.25">
      <c r="B1246" s="550"/>
      <c r="C1246" s="223"/>
      <c r="D1246" s="550"/>
      <c r="E1246" s="224"/>
      <c r="F1246" s="233" t="s">
        <v>636</v>
      </c>
      <c r="G1246" s="290"/>
      <c r="H1246" s="231">
        <f>SUM(H1242:H1245)</f>
        <v>201840</v>
      </c>
      <c r="M1246" s="233" t="s">
        <v>636</v>
      </c>
    </row>
    <row r="1247" spans="2:13" ht="18.75" customHeight="1" x14ac:dyDescent="0.25">
      <c r="B1247" s="550"/>
      <c r="C1247" s="223"/>
      <c r="D1247" s="550"/>
      <c r="E1247" s="224"/>
      <c r="F1247" s="233"/>
      <c r="G1247" s="290"/>
      <c r="H1247" s="231"/>
      <c r="M1247" s="233"/>
    </row>
    <row r="1248" spans="2:13" ht="18.75" customHeight="1" x14ac:dyDescent="0.25">
      <c r="B1248" s="550" t="s">
        <v>637</v>
      </c>
      <c r="C1248" s="223" t="s">
        <v>638</v>
      </c>
      <c r="D1248" s="550"/>
      <c r="E1248" s="224"/>
      <c r="F1248" s="225"/>
      <c r="G1248" s="290"/>
      <c r="H1248" s="226"/>
      <c r="M1248" s="225"/>
    </row>
    <row r="1249" spans="2:13" ht="18.75" customHeight="1" x14ac:dyDescent="0.25">
      <c r="B1249" s="550"/>
      <c r="C1249" s="223" t="s">
        <v>708</v>
      </c>
      <c r="D1249" s="550"/>
      <c r="E1249" s="550" t="s">
        <v>5</v>
      </c>
      <c r="F1249" s="233">
        <v>371</v>
      </c>
      <c r="G1249" s="234">
        <f>G1222</f>
        <v>1700</v>
      </c>
      <c r="H1249" s="230">
        <f>+G1249*F1249</f>
        <v>630700</v>
      </c>
      <c r="M1249" s="233">
        <v>371</v>
      </c>
    </row>
    <row r="1250" spans="2:13" ht="18.75" customHeight="1" x14ac:dyDescent="0.25">
      <c r="B1250" s="550"/>
      <c r="C1250" s="223" t="s">
        <v>77</v>
      </c>
      <c r="D1250" s="550"/>
      <c r="E1250" s="550" t="s">
        <v>62</v>
      </c>
      <c r="F1250" s="233">
        <v>698</v>
      </c>
      <c r="G1250" s="234">
        <f>G1223</f>
        <v>160</v>
      </c>
      <c r="H1250" s="230">
        <f>+G1250*F1250</f>
        <v>111680</v>
      </c>
      <c r="M1250" s="233">
        <v>698</v>
      </c>
    </row>
    <row r="1251" spans="2:13" ht="18.75" customHeight="1" x14ac:dyDescent="0.25">
      <c r="B1251" s="550"/>
      <c r="C1251" s="223" t="s">
        <v>741</v>
      </c>
      <c r="D1251" s="550"/>
      <c r="E1251" s="550" t="s">
        <v>62</v>
      </c>
      <c r="F1251" s="233">
        <v>1047</v>
      </c>
      <c r="G1251" s="234">
        <f>G1224</f>
        <v>250</v>
      </c>
      <c r="H1251" s="230">
        <f>+G1251*F1251</f>
        <v>261750</v>
      </c>
      <c r="M1251" s="233">
        <v>1047</v>
      </c>
    </row>
    <row r="1252" spans="2:13" ht="18.75" customHeight="1" x14ac:dyDescent="0.25">
      <c r="B1252" s="550"/>
      <c r="C1252" s="223" t="s">
        <v>742</v>
      </c>
      <c r="D1252" s="550"/>
      <c r="E1252" s="550" t="s">
        <v>743</v>
      </c>
      <c r="F1252" s="233">
        <v>215</v>
      </c>
      <c r="G1252" s="234">
        <f>G1225</f>
        <v>10</v>
      </c>
      <c r="H1252" s="230">
        <f>+G1252*F1252</f>
        <v>2150</v>
      </c>
      <c r="M1252" s="233">
        <v>215</v>
      </c>
    </row>
    <row r="1253" spans="2:13" ht="18.75" customHeight="1" x14ac:dyDescent="0.25">
      <c r="B1253" s="550"/>
      <c r="C1253" s="223"/>
      <c r="D1253" s="550"/>
      <c r="E1253" s="224"/>
      <c r="F1253" s="237" t="s">
        <v>643</v>
      </c>
      <c r="G1253" s="290"/>
      <c r="H1253" s="231">
        <f>SUM(H1249:H1252)</f>
        <v>1006280</v>
      </c>
      <c r="M1253" s="237" t="s">
        <v>643</v>
      </c>
    </row>
    <row r="1254" spans="2:13" ht="18.75" customHeight="1" x14ac:dyDescent="0.25">
      <c r="B1254" s="550"/>
      <c r="C1254" s="223"/>
      <c r="D1254" s="550"/>
      <c r="E1254" s="224"/>
      <c r="F1254" s="225"/>
      <c r="G1254" s="290"/>
      <c r="H1254" s="226"/>
      <c r="M1254" s="225"/>
    </row>
    <row r="1255" spans="2:13" ht="18.75" customHeight="1" x14ac:dyDescent="0.25">
      <c r="B1255" s="550" t="s">
        <v>644</v>
      </c>
      <c r="C1255" s="223" t="s">
        <v>645</v>
      </c>
      <c r="D1255" s="550"/>
      <c r="E1255" s="224"/>
      <c r="F1255" s="225"/>
      <c r="G1255" s="290"/>
      <c r="H1255" s="235"/>
      <c r="M1255" s="225"/>
    </row>
    <row r="1256" spans="2:13" ht="18.75" customHeight="1" x14ac:dyDescent="0.25">
      <c r="B1256" s="236"/>
      <c r="C1256" s="232"/>
      <c r="D1256" s="550"/>
      <c r="E1256" s="224"/>
      <c r="F1256" s="237" t="s">
        <v>646</v>
      </c>
      <c r="G1256" s="290"/>
      <c r="H1256" s="230">
        <f>SUM(H1255:H1255)</f>
        <v>0</v>
      </c>
      <c r="M1256" s="237" t="s">
        <v>646</v>
      </c>
    </row>
    <row r="1257" spans="2:13" ht="18.75" customHeight="1" x14ac:dyDescent="0.25">
      <c r="B1257" s="236"/>
      <c r="C1257" s="232"/>
      <c r="D1257" s="550"/>
      <c r="E1257" s="224"/>
      <c r="F1257" s="237"/>
      <c r="G1257" s="290"/>
      <c r="H1257" s="230"/>
      <c r="M1257" s="237"/>
    </row>
    <row r="1258" spans="2:13" ht="18.75" customHeight="1" x14ac:dyDescent="0.25">
      <c r="B1258" s="236"/>
      <c r="C1258" s="232"/>
      <c r="D1258" s="550"/>
      <c r="E1258" s="224"/>
      <c r="F1258" s="237"/>
      <c r="G1258" s="290"/>
      <c r="H1258" s="226"/>
      <c r="M1258" s="237"/>
    </row>
    <row r="1259" spans="2:13" ht="18.75" customHeight="1" x14ac:dyDescent="0.25">
      <c r="B1259" s="248"/>
      <c r="C1259" s="238"/>
      <c r="D1259" s="239"/>
      <c r="E1259" s="266"/>
      <c r="F1259" s="241"/>
      <c r="G1259" s="303"/>
      <c r="H1259" s="267"/>
      <c r="M1259" s="241"/>
    </row>
    <row r="1260" spans="2:13" ht="18.75" customHeight="1" x14ac:dyDescent="0.25">
      <c r="B1260" s="249" t="s">
        <v>647</v>
      </c>
      <c r="C1260" s="104" t="s">
        <v>648</v>
      </c>
      <c r="D1260" s="435"/>
      <c r="E1260" s="92"/>
      <c r="F1260" s="183"/>
      <c r="G1260" s="167"/>
      <c r="H1260" s="252">
        <f>+H1256+H1253+H1246</f>
        <v>1208120</v>
      </c>
      <c r="M1260" s="183"/>
    </row>
    <row r="1261" spans="2:13" ht="18.75" customHeight="1" x14ac:dyDescent="0.25">
      <c r="B1261" s="249" t="s">
        <v>649</v>
      </c>
      <c r="C1261" s="242" t="s">
        <v>650</v>
      </c>
      <c r="D1261" s="435"/>
      <c r="E1261" s="92"/>
      <c r="F1261" s="184" t="str">
        <f>$J$5</f>
        <v>8,0 % x D</v>
      </c>
      <c r="G1261" s="167"/>
      <c r="H1261" s="253">
        <f>+H1260*$K$5</f>
        <v>96649.600000000006</v>
      </c>
      <c r="M1261" s="184" t="str">
        <f>$J$5</f>
        <v>8,0 % x D</v>
      </c>
    </row>
    <row r="1262" spans="2:13" ht="18.75" customHeight="1" x14ac:dyDescent="0.25">
      <c r="B1262" s="249" t="s">
        <v>651</v>
      </c>
      <c r="C1262" s="111" t="s">
        <v>652</v>
      </c>
      <c r="D1262" s="435"/>
      <c r="E1262" s="91"/>
      <c r="F1262" s="185"/>
      <c r="G1262" s="168"/>
      <c r="H1262" s="254">
        <f>ROUNDUP((H1261+H1260)/100,0)*100</f>
        <v>1304800</v>
      </c>
      <c r="M1262" s="185"/>
    </row>
    <row r="1263" spans="2:13" ht="18.75" customHeight="1" x14ac:dyDescent="0.25">
      <c r="B1263" s="259"/>
      <c r="C1263" s="261"/>
      <c r="D1263" s="245"/>
      <c r="E1263" s="246"/>
      <c r="F1263" s="247"/>
      <c r="G1263" s="298"/>
      <c r="H1263" s="260"/>
      <c r="M1263" s="247"/>
    </row>
    <row r="1264" spans="2:13" ht="18.75" customHeight="1" x14ac:dyDescent="0.25">
      <c r="G1264" s="66"/>
      <c r="H1264" s="138"/>
    </row>
    <row r="1265" spans="2:13" ht="18.75" customHeight="1" x14ac:dyDescent="0.25">
      <c r="B1265" s="19">
        <f>B1237+1</f>
        <v>8</v>
      </c>
      <c r="C1265" s="93" t="s">
        <v>749</v>
      </c>
      <c r="D1265" s="19"/>
      <c r="E1265" s="21"/>
      <c r="F1265" s="176"/>
      <c r="G1265" s="165"/>
      <c r="H1265" s="119"/>
      <c r="M1265" s="176"/>
    </row>
    <row r="1266" spans="2:13" ht="18.75" customHeight="1" x14ac:dyDescent="0.25">
      <c r="B1266" s="618" t="s">
        <v>620</v>
      </c>
      <c r="C1266" s="620" t="s">
        <v>621</v>
      </c>
      <c r="D1266" s="618" t="s">
        <v>622</v>
      </c>
      <c r="E1266" s="618" t="s">
        <v>2</v>
      </c>
      <c r="F1266" s="615" t="s">
        <v>623</v>
      </c>
      <c r="G1266" s="289" t="s">
        <v>624</v>
      </c>
      <c r="H1266" s="256" t="s">
        <v>625</v>
      </c>
      <c r="M1266" s="615" t="s">
        <v>623</v>
      </c>
    </row>
    <row r="1267" spans="2:13" ht="18.75" customHeight="1" x14ac:dyDescent="0.25">
      <c r="B1267" s="619"/>
      <c r="C1267" s="621"/>
      <c r="D1267" s="619"/>
      <c r="E1267" s="619"/>
      <c r="F1267" s="616"/>
      <c r="G1267" s="289" t="s">
        <v>626</v>
      </c>
      <c r="H1267" s="256" t="s">
        <v>626</v>
      </c>
      <c r="M1267" s="616"/>
    </row>
    <row r="1268" spans="2:13" ht="18.75" customHeight="1" x14ac:dyDescent="0.25">
      <c r="B1268" s="221"/>
      <c r="C1268" s="222"/>
      <c r="D1268" s="221"/>
      <c r="E1268" s="550"/>
      <c r="F1268" s="555"/>
      <c r="G1268" s="551"/>
      <c r="H1268" s="220"/>
      <c r="M1268" s="590"/>
    </row>
    <row r="1269" spans="2:13" ht="18.75" customHeight="1" x14ac:dyDescent="0.25">
      <c r="B1269" s="550" t="s">
        <v>627</v>
      </c>
      <c r="C1269" s="223" t="s">
        <v>628</v>
      </c>
      <c r="D1269" s="550"/>
      <c r="E1269" s="224"/>
      <c r="F1269" s="225"/>
      <c r="G1269" s="290"/>
      <c r="H1269" s="226"/>
      <c r="M1269" s="225"/>
    </row>
    <row r="1270" spans="2:13" ht="18.75" customHeight="1" x14ac:dyDescent="0.25">
      <c r="B1270" s="550"/>
      <c r="C1270" s="227" t="s">
        <v>629</v>
      </c>
      <c r="D1270" s="550" t="s">
        <v>630</v>
      </c>
      <c r="E1270" s="224" t="s">
        <v>631</v>
      </c>
      <c r="F1270" s="228">
        <f t="shared" ref="F1270:F1273" si="61">$K$8*M1270</f>
        <v>1.65</v>
      </c>
      <c r="G1270" s="229">
        <f>G1242</f>
        <v>95000</v>
      </c>
      <c r="H1270" s="230">
        <f>+G1270*F1270</f>
        <v>156750</v>
      </c>
      <c r="M1270" s="228">
        <v>1.65</v>
      </c>
    </row>
    <row r="1271" spans="2:13" ht="18.75" customHeight="1" x14ac:dyDescent="0.25">
      <c r="B1271" s="550"/>
      <c r="C1271" s="227" t="s">
        <v>1508</v>
      </c>
      <c r="D1271" s="550" t="s">
        <v>632</v>
      </c>
      <c r="E1271" s="224" t="s">
        <v>631</v>
      </c>
      <c r="F1271" s="228">
        <f t="shared" si="61"/>
        <v>0.27500000000000002</v>
      </c>
      <c r="G1271" s="229">
        <f>G1243</f>
        <v>110000</v>
      </c>
      <c r="H1271" s="230">
        <f>+G1271*F1271</f>
        <v>30250.000000000004</v>
      </c>
      <c r="M1271" s="228">
        <v>0.27500000000000002</v>
      </c>
    </row>
    <row r="1272" spans="2:13" ht="18.75" customHeight="1" x14ac:dyDescent="0.25">
      <c r="B1272" s="550"/>
      <c r="C1272" s="227" t="s">
        <v>633</v>
      </c>
      <c r="D1272" s="550" t="s">
        <v>634</v>
      </c>
      <c r="E1272" s="224" t="s">
        <v>631</v>
      </c>
      <c r="F1272" s="228">
        <f t="shared" si="61"/>
        <v>2.8000000000000001E-2</v>
      </c>
      <c r="G1272" s="229">
        <f>G1244</f>
        <v>115000</v>
      </c>
      <c r="H1272" s="230">
        <f>+G1272*F1272</f>
        <v>3220</v>
      </c>
      <c r="M1272" s="228">
        <v>2.8000000000000001E-2</v>
      </c>
    </row>
    <row r="1273" spans="2:13" ht="18.75" customHeight="1" x14ac:dyDescent="0.25">
      <c r="B1273" s="550"/>
      <c r="C1273" s="227" t="s">
        <v>600</v>
      </c>
      <c r="D1273" s="550" t="s">
        <v>635</v>
      </c>
      <c r="E1273" s="224" t="s">
        <v>631</v>
      </c>
      <c r="F1273" s="228">
        <f t="shared" si="61"/>
        <v>8.3000000000000004E-2</v>
      </c>
      <c r="G1273" s="229">
        <f>G1245</f>
        <v>140000</v>
      </c>
      <c r="H1273" s="230">
        <f>+G1273*F1273</f>
        <v>11620</v>
      </c>
      <c r="M1273" s="228">
        <v>8.3000000000000004E-2</v>
      </c>
    </row>
    <row r="1274" spans="2:13" ht="18.75" customHeight="1" x14ac:dyDescent="0.25">
      <c r="B1274" s="550"/>
      <c r="C1274" s="223"/>
      <c r="D1274" s="550"/>
      <c r="E1274" s="224"/>
      <c r="F1274" s="233" t="s">
        <v>636</v>
      </c>
      <c r="G1274" s="290"/>
      <c r="H1274" s="231">
        <f>SUM(H1270:H1273)</f>
        <v>201840</v>
      </c>
      <c r="M1274" s="233" t="s">
        <v>636</v>
      </c>
    </row>
    <row r="1275" spans="2:13" ht="18.75" customHeight="1" x14ac:dyDescent="0.25">
      <c r="B1275" s="550"/>
      <c r="C1275" s="223"/>
      <c r="D1275" s="550"/>
      <c r="E1275" s="224"/>
      <c r="F1275" s="233"/>
      <c r="G1275" s="290"/>
      <c r="H1275" s="231"/>
      <c r="M1275" s="233"/>
    </row>
    <row r="1276" spans="2:13" ht="18.75" customHeight="1" x14ac:dyDescent="0.25">
      <c r="B1276" s="550" t="s">
        <v>637</v>
      </c>
      <c r="C1276" s="223" t="s">
        <v>638</v>
      </c>
      <c r="D1276" s="550"/>
      <c r="E1276" s="224"/>
      <c r="F1276" s="225"/>
      <c r="G1276" s="290"/>
      <c r="H1276" s="226"/>
      <c r="M1276" s="225"/>
    </row>
    <row r="1277" spans="2:13" ht="18.75" customHeight="1" x14ac:dyDescent="0.25">
      <c r="B1277" s="550"/>
      <c r="C1277" s="223" t="s">
        <v>708</v>
      </c>
      <c r="D1277" s="550"/>
      <c r="E1277" s="550" t="s">
        <v>5</v>
      </c>
      <c r="F1277" s="233">
        <v>384</v>
      </c>
      <c r="G1277" s="234">
        <f>G1249</f>
        <v>1700</v>
      </c>
      <c r="H1277" s="230">
        <f>+G1277*F1277</f>
        <v>652800</v>
      </c>
      <c r="M1277" s="233">
        <v>384</v>
      </c>
    </row>
    <row r="1278" spans="2:13" ht="18.75" customHeight="1" x14ac:dyDescent="0.25">
      <c r="B1278" s="550"/>
      <c r="C1278" s="223" t="s">
        <v>77</v>
      </c>
      <c r="D1278" s="550"/>
      <c r="E1278" s="550" t="s">
        <v>52</v>
      </c>
      <c r="F1278" s="233">
        <v>692</v>
      </c>
      <c r="G1278" s="234">
        <f>G1250</f>
        <v>160</v>
      </c>
      <c r="H1278" s="230">
        <f>+G1278*F1278</f>
        <v>110720</v>
      </c>
      <c r="M1278" s="233">
        <v>692</v>
      </c>
    </row>
    <row r="1279" spans="2:13" ht="18.75" customHeight="1" x14ac:dyDescent="0.25">
      <c r="B1279" s="550"/>
      <c r="C1279" s="223" t="s">
        <v>741</v>
      </c>
      <c r="D1279" s="550"/>
      <c r="E1279" s="550" t="s">
        <v>52</v>
      </c>
      <c r="F1279" s="233">
        <v>1039</v>
      </c>
      <c r="G1279" s="234">
        <f>G1251</f>
        <v>250</v>
      </c>
      <c r="H1279" s="230">
        <f>+G1279*F1279</f>
        <v>259750</v>
      </c>
      <c r="M1279" s="233">
        <v>1039</v>
      </c>
    </row>
    <row r="1280" spans="2:13" ht="18.75" customHeight="1" x14ac:dyDescent="0.25">
      <c r="B1280" s="550"/>
      <c r="C1280" s="223" t="s">
        <v>742</v>
      </c>
      <c r="D1280" s="550"/>
      <c r="E1280" s="550" t="s">
        <v>743</v>
      </c>
      <c r="F1280" s="233">
        <v>215</v>
      </c>
      <c r="G1280" s="234">
        <f>G1252</f>
        <v>10</v>
      </c>
      <c r="H1280" s="230">
        <f>+G1280*F1280</f>
        <v>2150</v>
      </c>
      <c r="M1280" s="233">
        <v>215</v>
      </c>
    </row>
    <row r="1281" spans="2:13" ht="18.75" customHeight="1" x14ac:dyDescent="0.25">
      <c r="B1281" s="550"/>
      <c r="C1281" s="223"/>
      <c r="D1281" s="550"/>
      <c r="E1281" s="224"/>
      <c r="F1281" s="237" t="s">
        <v>643</v>
      </c>
      <c r="G1281" s="290"/>
      <c r="H1281" s="231">
        <f>SUM(H1277:H1280)</f>
        <v>1025420</v>
      </c>
      <c r="M1281" s="237" t="s">
        <v>643</v>
      </c>
    </row>
    <row r="1282" spans="2:13" ht="18.75" customHeight="1" x14ac:dyDescent="0.25">
      <c r="B1282" s="550"/>
      <c r="C1282" s="223"/>
      <c r="D1282" s="550"/>
      <c r="E1282" s="224"/>
      <c r="F1282" s="225"/>
      <c r="G1282" s="290"/>
      <c r="H1282" s="226"/>
      <c r="M1282" s="225"/>
    </row>
    <row r="1283" spans="2:13" ht="18.75" customHeight="1" x14ac:dyDescent="0.25">
      <c r="B1283" s="550" t="s">
        <v>644</v>
      </c>
      <c r="C1283" s="223" t="s">
        <v>645</v>
      </c>
      <c r="D1283" s="550"/>
      <c r="E1283" s="224"/>
      <c r="F1283" s="225"/>
      <c r="G1283" s="290"/>
      <c r="H1283" s="235"/>
      <c r="M1283" s="225"/>
    </row>
    <row r="1284" spans="2:13" ht="18.75" customHeight="1" x14ac:dyDescent="0.25">
      <c r="B1284" s="236"/>
      <c r="C1284" s="232"/>
      <c r="D1284" s="550"/>
      <c r="E1284" s="224"/>
      <c r="F1284" s="237" t="s">
        <v>646</v>
      </c>
      <c r="G1284" s="290"/>
      <c r="H1284" s="230">
        <f>SUM(H1283:H1283)</f>
        <v>0</v>
      </c>
      <c r="M1284" s="237" t="s">
        <v>646</v>
      </c>
    </row>
    <row r="1285" spans="2:13" ht="18.75" customHeight="1" x14ac:dyDescent="0.25">
      <c r="B1285" s="236"/>
      <c r="C1285" s="232"/>
      <c r="D1285" s="550"/>
      <c r="E1285" s="224"/>
      <c r="F1285" s="237"/>
      <c r="G1285" s="290"/>
      <c r="H1285" s="226"/>
      <c r="M1285" s="237"/>
    </row>
    <row r="1286" spans="2:13" ht="18.75" customHeight="1" x14ac:dyDescent="0.25">
      <c r="B1286" s="248"/>
      <c r="C1286" s="238"/>
      <c r="D1286" s="239"/>
      <c r="E1286" s="266"/>
      <c r="F1286" s="241"/>
      <c r="G1286" s="303"/>
      <c r="H1286" s="267"/>
      <c r="M1286" s="241"/>
    </row>
    <row r="1287" spans="2:13" ht="18.75" customHeight="1" x14ac:dyDescent="0.25">
      <c r="B1287" s="249" t="s">
        <v>647</v>
      </c>
      <c r="C1287" s="104" t="s">
        <v>648</v>
      </c>
      <c r="D1287" s="435"/>
      <c r="E1287" s="92"/>
      <c r="F1287" s="183"/>
      <c r="G1287" s="167"/>
      <c r="H1287" s="252">
        <f>+H1284+H1281+H1274</f>
        <v>1227260</v>
      </c>
      <c r="M1287" s="183"/>
    </row>
    <row r="1288" spans="2:13" ht="18.75" customHeight="1" x14ac:dyDescent="0.25">
      <c r="B1288" s="249" t="s">
        <v>649</v>
      </c>
      <c r="C1288" s="242" t="s">
        <v>650</v>
      </c>
      <c r="D1288" s="435"/>
      <c r="E1288" s="92"/>
      <c r="F1288" s="184" t="str">
        <f>$J$5</f>
        <v>8,0 % x D</v>
      </c>
      <c r="G1288" s="167"/>
      <c r="H1288" s="253">
        <f>+H1287*$K$5</f>
        <v>98180.800000000003</v>
      </c>
      <c r="M1288" s="184" t="str">
        <f>$J$5</f>
        <v>8,0 % x D</v>
      </c>
    </row>
    <row r="1289" spans="2:13" ht="18.75" customHeight="1" x14ac:dyDescent="0.25">
      <c r="B1289" s="249" t="s">
        <v>651</v>
      </c>
      <c r="C1289" s="111" t="s">
        <v>652</v>
      </c>
      <c r="D1289" s="435"/>
      <c r="E1289" s="91"/>
      <c r="F1289" s="185"/>
      <c r="G1289" s="168"/>
      <c r="H1289" s="254">
        <f>ROUNDUP((H1288+H1287)/100,0)*100</f>
        <v>1325500</v>
      </c>
      <c r="M1289" s="185"/>
    </row>
    <row r="1290" spans="2:13" ht="18.75" customHeight="1" x14ac:dyDescent="0.25">
      <c r="B1290" s="259"/>
      <c r="C1290" s="261"/>
      <c r="D1290" s="245"/>
      <c r="E1290" s="246"/>
      <c r="F1290" s="247"/>
      <c r="G1290" s="298"/>
      <c r="H1290" s="260"/>
      <c r="M1290" s="247"/>
    </row>
    <row r="1291" spans="2:13" ht="18.75" customHeight="1" x14ac:dyDescent="0.25">
      <c r="G1291" s="66"/>
      <c r="H1291" s="138"/>
    </row>
    <row r="1292" spans="2:13" ht="18.75" customHeight="1" x14ac:dyDescent="0.25">
      <c r="B1292" s="19">
        <f>B1265+1</f>
        <v>9</v>
      </c>
      <c r="C1292" s="93" t="s">
        <v>750</v>
      </c>
      <c r="D1292" s="19"/>
      <c r="E1292" s="21"/>
      <c r="F1292" s="176"/>
      <c r="G1292" s="165"/>
      <c r="H1292" s="119"/>
      <c r="M1292" s="176"/>
    </row>
    <row r="1293" spans="2:13" ht="18.75" customHeight="1" x14ac:dyDescent="0.25">
      <c r="B1293" s="618" t="s">
        <v>620</v>
      </c>
      <c r="C1293" s="620" t="s">
        <v>621</v>
      </c>
      <c r="D1293" s="618" t="s">
        <v>622</v>
      </c>
      <c r="E1293" s="618" t="s">
        <v>2</v>
      </c>
      <c r="F1293" s="615" t="s">
        <v>623</v>
      </c>
      <c r="G1293" s="289" t="s">
        <v>624</v>
      </c>
      <c r="H1293" s="256" t="s">
        <v>625</v>
      </c>
      <c r="M1293" s="615" t="s">
        <v>623</v>
      </c>
    </row>
    <row r="1294" spans="2:13" ht="18.75" customHeight="1" x14ac:dyDescent="0.25">
      <c r="B1294" s="619"/>
      <c r="C1294" s="621"/>
      <c r="D1294" s="619"/>
      <c r="E1294" s="619"/>
      <c r="F1294" s="616"/>
      <c r="G1294" s="289" t="s">
        <v>626</v>
      </c>
      <c r="H1294" s="256" t="s">
        <v>626</v>
      </c>
      <c r="M1294" s="616"/>
    </row>
    <row r="1295" spans="2:13" ht="18.75" customHeight="1" x14ac:dyDescent="0.25">
      <c r="B1295" s="221"/>
      <c r="C1295" s="222"/>
      <c r="D1295" s="221"/>
      <c r="E1295" s="550"/>
      <c r="F1295" s="555"/>
      <c r="G1295" s="551"/>
      <c r="H1295" s="220"/>
      <c r="M1295" s="590"/>
    </row>
    <row r="1296" spans="2:13" ht="18.75" customHeight="1" x14ac:dyDescent="0.25">
      <c r="B1296" s="550" t="s">
        <v>627</v>
      </c>
      <c r="C1296" s="223" t="s">
        <v>628</v>
      </c>
      <c r="D1296" s="550"/>
      <c r="E1296" s="224"/>
      <c r="F1296" s="225"/>
      <c r="G1296" s="290"/>
      <c r="H1296" s="226"/>
      <c r="M1296" s="225"/>
    </row>
    <row r="1297" spans="2:13" ht="18.75" customHeight="1" x14ac:dyDescent="0.25">
      <c r="B1297" s="550"/>
      <c r="C1297" s="227" t="s">
        <v>629</v>
      </c>
      <c r="D1297" s="550" t="s">
        <v>630</v>
      </c>
      <c r="E1297" s="224" t="s">
        <v>631</v>
      </c>
      <c r="F1297" s="228">
        <f t="shared" ref="F1297:F1300" si="62">$K$8*M1297</f>
        <v>1.65</v>
      </c>
      <c r="G1297" s="229">
        <f>G1270</f>
        <v>95000</v>
      </c>
      <c r="H1297" s="230">
        <f>+G1297*F1297</f>
        <v>156750</v>
      </c>
      <c r="M1297" s="228">
        <v>1.65</v>
      </c>
    </row>
    <row r="1298" spans="2:13" ht="18.75" customHeight="1" x14ac:dyDescent="0.25">
      <c r="B1298" s="550"/>
      <c r="C1298" s="227" t="s">
        <v>1508</v>
      </c>
      <c r="D1298" s="550" t="s">
        <v>632</v>
      </c>
      <c r="E1298" s="224" t="s">
        <v>631</v>
      </c>
      <c r="F1298" s="228">
        <f t="shared" si="62"/>
        <v>0.27500000000000002</v>
      </c>
      <c r="G1298" s="229">
        <f>G1271</f>
        <v>110000</v>
      </c>
      <c r="H1298" s="230">
        <f>+G1298*F1298</f>
        <v>30250.000000000004</v>
      </c>
      <c r="M1298" s="228">
        <v>0.27500000000000002</v>
      </c>
    </row>
    <row r="1299" spans="2:13" ht="18.75" customHeight="1" x14ac:dyDescent="0.25">
      <c r="B1299" s="550"/>
      <c r="C1299" s="227" t="s">
        <v>633</v>
      </c>
      <c r="D1299" s="550" t="s">
        <v>634</v>
      </c>
      <c r="E1299" s="224" t="s">
        <v>631</v>
      </c>
      <c r="F1299" s="228">
        <f t="shared" si="62"/>
        <v>2.8000000000000001E-2</v>
      </c>
      <c r="G1299" s="229">
        <f>G1272</f>
        <v>115000</v>
      </c>
      <c r="H1299" s="230">
        <f>+G1299*F1299</f>
        <v>3220</v>
      </c>
      <c r="M1299" s="228">
        <v>2.8000000000000001E-2</v>
      </c>
    </row>
    <row r="1300" spans="2:13" ht="18.75" customHeight="1" x14ac:dyDescent="0.25">
      <c r="B1300" s="550"/>
      <c r="C1300" s="227" t="s">
        <v>600</v>
      </c>
      <c r="D1300" s="550" t="s">
        <v>635</v>
      </c>
      <c r="E1300" s="224" t="s">
        <v>631</v>
      </c>
      <c r="F1300" s="228">
        <f t="shared" si="62"/>
        <v>8.3000000000000004E-2</v>
      </c>
      <c r="G1300" s="229">
        <f>G1273</f>
        <v>140000</v>
      </c>
      <c r="H1300" s="230">
        <f>+G1300*F1300</f>
        <v>11620</v>
      </c>
      <c r="M1300" s="228">
        <v>8.3000000000000004E-2</v>
      </c>
    </row>
    <row r="1301" spans="2:13" ht="18.75" customHeight="1" x14ac:dyDescent="0.25">
      <c r="B1301" s="550"/>
      <c r="C1301" s="223"/>
      <c r="D1301" s="550"/>
      <c r="E1301" s="224"/>
      <c r="F1301" s="233" t="s">
        <v>636</v>
      </c>
      <c r="G1301" s="290"/>
      <c r="H1301" s="231">
        <f>SUM(H1297:H1300)</f>
        <v>201840</v>
      </c>
      <c r="M1301" s="233" t="s">
        <v>636</v>
      </c>
    </row>
    <row r="1302" spans="2:13" ht="18.75" customHeight="1" x14ac:dyDescent="0.25">
      <c r="B1302" s="550"/>
      <c r="C1302" s="223"/>
      <c r="D1302" s="550"/>
      <c r="E1302" s="224"/>
      <c r="F1302" s="233"/>
      <c r="G1302" s="290"/>
      <c r="H1302" s="231"/>
      <c r="M1302" s="233"/>
    </row>
    <row r="1303" spans="2:13" ht="18.75" customHeight="1" x14ac:dyDescent="0.25">
      <c r="B1303" s="550" t="s">
        <v>637</v>
      </c>
      <c r="C1303" s="223" t="s">
        <v>638</v>
      </c>
      <c r="D1303" s="550"/>
      <c r="E1303" s="224"/>
      <c r="F1303" s="225"/>
      <c r="G1303" s="290"/>
      <c r="H1303" s="226"/>
      <c r="M1303" s="225"/>
    </row>
    <row r="1304" spans="2:13" ht="18.75" customHeight="1" x14ac:dyDescent="0.25">
      <c r="B1304" s="550"/>
      <c r="C1304" s="223" t="s">
        <v>708</v>
      </c>
      <c r="D1304" s="550"/>
      <c r="E1304" s="550" t="s">
        <v>5</v>
      </c>
      <c r="F1304" s="233">
        <v>406</v>
      </c>
      <c r="G1304" s="234">
        <f>G1277</f>
        <v>1700</v>
      </c>
      <c r="H1304" s="230">
        <f>+G1304*F1304</f>
        <v>690200</v>
      </c>
      <c r="M1304" s="233">
        <v>406</v>
      </c>
    </row>
    <row r="1305" spans="2:13" ht="18.75" customHeight="1" x14ac:dyDescent="0.25">
      <c r="B1305" s="550"/>
      <c r="C1305" s="223" t="s">
        <v>77</v>
      </c>
      <c r="D1305" s="550"/>
      <c r="E1305" s="550" t="s">
        <v>5</v>
      </c>
      <c r="F1305" s="233">
        <v>684</v>
      </c>
      <c r="G1305" s="234">
        <f>G1278</f>
        <v>160</v>
      </c>
      <c r="H1305" s="230">
        <f>+G1305*F1305</f>
        <v>109440</v>
      </c>
      <c r="M1305" s="233">
        <v>684</v>
      </c>
    </row>
    <row r="1306" spans="2:13" ht="18.75" customHeight="1" x14ac:dyDescent="0.25">
      <c r="B1306" s="550"/>
      <c r="C1306" s="223" t="s">
        <v>741</v>
      </c>
      <c r="D1306" s="550"/>
      <c r="E1306" s="550" t="s">
        <v>5</v>
      </c>
      <c r="F1306" s="233">
        <v>1026</v>
      </c>
      <c r="G1306" s="234">
        <f>G1279</f>
        <v>250</v>
      </c>
      <c r="H1306" s="230">
        <f>+G1306*F1306</f>
        <v>256500</v>
      </c>
      <c r="M1306" s="233">
        <v>1026</v>
      </c>
    </row>
    <row r="1307" spans="2:13" ht="18.75" customHeight="1" x14ac:dyDescent="0.25">
      <c r="B1307" s="550"/>
      <c r="C1307" s="223" t="s">
        <v>742</v>
      </c>
      <c r="D1307" s="550"/>
      <c r="E1307" s="550" t="s">
        <v>743</v>
      </c>
      <c r="F1307" s="233">
        <v>215</v>
      </c>
      <c r="G1307" s="234">
        <f>G1280</f>
        <v>10</v>
      </c>
      <c r="H1307" s="230">
        <f>+G1307*F1307</f>
        <v>2150</v>
      </c>
      <c r="M1307" s="233">
        <v>215</v>
      </c>
    </row>
    <row r="1308" spans="2:13" ht="18.75" customHeight="1" x14ac:dyDescent="0.25">
      <c r="B1308" s="550"/>
      <c r="C1308" s="223"/>
      <c r="D1308" s="550"/>
      <c r="E1308" s="224"/>
      <c r="F1308" s="237" t="s">
        <v>643</v>
      </c>
      <c r="G1308" s="290"/>
      <c r="H1308" s="231">
        <f>SUM(H1304:H1307)</f>
        <v>1058290</v>
      </c>
      <c r="M1308" s="237" t="s">
        <v>643</v>
      </c>
    </row>
    <row r="1309" spans="2:13" ht="18.75" customHeight="1" x14ac:dyDescent="0.25">
      <c r="B1309" s="550"/>
      <c r="C1309" s="223"/>
      <c r="D1309" s="550"/>
      <c r="E1309" s="224"/>
      <c r="F1309" s="225"/>
      <c r="G1309" s="290"/>
      <c r="H1309" s="226"/>
      <c r="M1309" s="225"/>
    </row>
    <row r="1310" spans="2:13" ht="18.75" customHeight="1" x14ac:dyDescent="0.25">
      <c r="B1310" s="550" t="s">
        <v>644</v>
      </c>
      <c r="C1310" s="223" t="s">
        <v>645</v>
      </c>
      <c r="D1310" s="550"/>
      <c r="E1310" s="224"/>
      <c r="F1310" s="225"/>
      <c r="G1310" s="290"/>
      <c r="H1310" s="235"/>
      <c r="M1310" s="225"/>
    </row>
    <row r="1311" spans="2:13" ht="18.75" customHeight="1" x14ac:dyDescent="0.25">
      <c r="B1311" s="236"/>
      <c r="C1311" s="232"/>
      <c r="D1311" s="550"/>
      <c r="E1311" s="224"/>
      <c r="F1311" s="237" t="s">
        <v>646</v>
      </c>
      <c r="G1311" s="290"/>
      <c r="H1311" s="230">
        <f>SUM(H1310:H1310)</f>
        <v>0</v>
      </c>
      <c r="M1311" s="237" t="s">
        <v>646</v>
      </c>
    </row>
    <row r="1312" spans="2:13" ht="18.75" customHeight="1" x14ac:dyDescent="0.25">
      <c r="B1312" s="236"/>
      <c r="C1312" s="232"/>
      <c r="D1312" s="550"/>
      <c r="E1312" s="224"/>
      <c r="F1312" s="237"/>
      <c r="G1312" s="290"/>
      <c r="H1312" s="230"/>
      <c r="M1312" s="237"/>
    </row>
    <row r="1313" spans="2:13" ht="18.75" customHeight="1" x14ac:dyDescent="0.25">
      <c r="B1313" s="248"/>
      <c r="C1313" s="238"/>
      <c r="D1313" s="239"/>
      <c r="E1313" s="240"/>
      <c r="F1313" s="241"/>
      <c r="G1313" s="291"/>
      <c r="H1313" s="251"/>
      <c r="M1313" s="241"/>
    </row>
    <row r="1314" spans="2:13" ht="18.75" customHeight="1" x14ac:dyDescent="0.25">
      <c r="B1314" s="249" t="s">
        <v>647</v>
      </c>
      <c r="C1314" s="104" t="s">
        <v>648</v>
      </c>
      <c r="D1314" s="435"/>
      <c r="E1314" s="92"/>
      <c r="F1314" s="183"/>
      <c r="G1314" s="167"/>
      <c r="H1314" s="252">
        <f>+H1311+H1308+H1301</f>
        <v>1260130</v>
      </c>
      <c r="M1314" s="183"/>
    </row>
    <row r="1315" spans="2:13" ht="18.75" customHeight="1" x14ac:dyDescent="0.25">
      <c r="B1315" s="249" t="s">
        <v>649</v>
      </c>
      <c r="C1315" s="242" t="s">
        <v>650</v>
      </c>
      <c r="D1315" s="435"/>
      <c r="E1315" s="92"/>
      <c r="F1315" s="184" t="str">
        <f>$J$5</f>
        <v>8,0 % x D</v>
      </c>
      <c r="G1315" s="167"/>
      <c r="H1315" s="253">
        <f>+H1314*$K$5</f>
        <v>100810.40000000001</v>
      </c>
      <c r="M1315" s="184" t="str">
        <f>$J$5</f>
        <v>8,0 % x D</v>
      </c>
    </row>
    <row r="1316" spans="2:13" ht="18.75" customHeight="1" x14ac:dyDescent="0.25">
      <c r="B1316" s="249" t="s">
        <v>651</v>
      </c>
      <c r="C1316" s="111" t="s">
        <v>652</v>
      </c>
      <c r="D1316" s="435"/>
      <c r="E1316" s="91"/>
      <c r="F1316" s="185"/>
      <c r="G1316" s="168"/>
      <c r="H1316" s="254">
        <f>ROUNDUP((H1315+H1314)/100,0)*100</f>
        <v>1361000</v>
      </c>
      <c r="M1316" s="185"/>
    </row>
    <row r="1317" spans="2:13" ht="18.75" customHeight="1" x14ac:dyDescent="0.25">
      <c r="B1317" s="259"/>
      <c r="C1317" s="261"/>
      <c r="D1317" s="245"/>
      <c r="E1317" s="246"/>
      <c r="F1317" s="247"/>
      <c r="G1317" s="298"/>
      <c r="H1317" s="260"/>
      <c r="M1317" s="247"/>
    </row>
    <row r="1318" spans="2:13" ht="18.75" customHeight="1" x14ac:dyDescent="0.25">
      <c r="B1318" s="92"/>
      <c r="C1318" s="104"/>
      <c r="D1318" s="435"/>
      <c r="E1318" s="91"/>
      <c r="F1318" s="185"/>
      <c r="G1318" s="168"/>
      <c r="H1318" s="139"/>
      <c r="M1318" s="185"/>
    </row>
    <row r="1319" spans="2:13" ht="18.75" customHeight="1" x14ac:dyDescent="0.25">
      <c r="B1319" s="19">
        <f>B1292+1</f>
        <v>10</v>
      </c>
      <c r="C1319" s="93" t="s">
        <v>751</v>
      </c>
      <c r="D1319" s="19"/>
      <c r="E1319" s="21"/>
      <c r="F1319" s="176"/>
      <c r="G1319" s="165"/>
      <c r="H1319" s="119"/>
      <c r="M1319" s="176"/>
    </row>
    <row r="1320" spans="2:13" ht="18.75" customHeight="1" x14ac:dyDescent="0.25">
      <c r="B1320" s="618" t="s">
        <v>620</v>
      </c>
      <c r="C1320" s="620" t="s">
        <v>621</v>
      </c>
      <c r="D1320" s="618" t="s">
        <v>622</v>
      </c>
      <c r="E1320" s="618" t="s">
        <v>2</v>
      </c>
      <c r="F1320" s="615" t="s">
        <v>623</v>
      </c>
      <c r="G1320" s="289" t="s">
        <v>624</v>
      </c>
      <c r="H1320" s="256" t="s">
        <v>625</v>
      </c>
      <c r="M1320" s="615" t="s">
        <v>623</v>
      </c>
    </row>
    <row r="1321" spans="2:13" ht="18.75" customHeight="1" x14ac:dyDescent="0.25">
      <c r="B1321" s="619"/>
      <c r="C1321" s="621"/>
      <c r="D1321" s="619"/>
      <c r="E1321" s="619"/>
      <c r="F1321" s="616"/>
      <c r="G1321" s="289" t="s">
        <v>626</v>
      </c>
      <c r="H1321" s="256" t="s">
        <v>626</v>
      </c>
      <c r="M1321" s="616"/>
    </row>
    <row r="1322" spans="2:13" ht="18.75" customHeight="1" x14ac:dyDescent="0.25">
      <c r="B1322" s="221"/>
      <c r="C1322" s="222"/>
      <c r="D1322" s="221"/>
      <c r="E1322" s="550"/>
      <c r="F1322" s="555"/>
      <c r="G1322" s="551"/>
      <c r="H1322" s="220"/>
      <c r="M1322" s="590"/>
    </row>
    <row r="1323" spans="2:13" ht="18.75" customHeight="1" x14ac:dyDescent="0.25">
      <c r="B1323" s="550" t="s">
        <v>627</v>
      </c>
      <c r="C1323" s="223" t="s">
        <v>628</v>
      </c>
      <c r="D1323" s="550"/>
      <c r="E1323" s="224"/>
      <c r="F1323" s="225"/>
      <c r="G1323" s="290"/>
      <c r="H1323" s="226"/>
      <c r="M1323" s="225"/>
    </row>
    <row r="1324" spans="2:13" ht="18.75" customHeight="1" x14ac:dyDescent="0.25">
      <c r="B1324" s="550"/>
      <c r="C1324" s="227" t="s">
        <v>629</v>
      </c>
      <c r="D1324" s="550" t="s">
        <v>630</v>
      </c>
      <c r="E1324" s="224" t="s">
        <v>631</v>
      </c>
      <c r="F1324" s="228">
        <f t="shared" ref="F1324:F1327" si="63">$K$8*M1324</f>
        <v>1.65</v>
      </c>
      <c r="G1324" s="229">
        <f>G1297</f>
        <v>95000</v>
      </c>
      <c r="H1324" s="230">
        <f>+G1324*F1324</f>
        <v>156750</v>
      </c>
      <c r="M1324" s="228">
        <v>1.65</v>
      </c>
    </row>
    <row r="1325" spans="2:13" ht="18.75" customHeight="1" x14ac:dyDescent="0.25">
      <c r="B1325" s="550"/>
      <c r="C1325" s="227" t="s">
        <v>1508</v>
      </c>
      <c r="D1325" s="550" t="s">
        <v>632</v>
      </c>
      <c r="E1325" s="224" t="s">
        <v>631</v>
      </c>
      <c r="F1325" s="228">
        <f t="shared" si="63"/>
        <v>0.27500000000000002</v>
      </c>
      <c r="G1325" s="229">
        <f>G1298</f>
        <v>110000</v>
      </c>
      <c r="H1325" s="230">
        <f>+G1325*F1325</f>
        <v>30250.000000000004</v>
      </c>
      <c r="M1325" s="228">
        <v>0.27500000000000002</v>
      </c>
    </row>
    <row r="1326" spans="2:13" ht="18.75" customHeight="1" x14ac:dyDescent="0.25">
      <c r="B1326" s="550"/>
      <c r="C1326" s="227" t="s">
        <v>633</v>
      </c>
      <c r="D1326" s="550" t="s">
        <v>634</v>
      </c>
      <c r="E1326" s="224" t="s">
        <v>631</v>
      </c>
      <c r="F1326" s="228">
        <f t="shared" si="63"/>
        <v>2.8000000000000001E-2</v>
      </c>
      <c r="G1326" s="229">
        <f>G1299</f>
        <v>115000</v>
      </c>
      <c r="H1326" s="230">
        <f>+G1326*F1326</f>
        <v>3220</v>
      </c>
      <c r="M1326" s="228">
        <v>2.8000000000000001E-2</v>
      </c>
    </row>
    <row r="1327" spans="2:13" ht="18.75" customHeight="1" x14ac:dyDescent="0.25">
      <c r="B1327" s="550"/>
      <c r="C1327" s="227" t="s">
        <v>600</v>
      </c>
      <c r="D1327" s="550" t="s">
        <v>635</v>
      </c>
      <c r="E1327" s="224" t="s">
        <v>631</v>
      </c>
      <c r="F1327" s="228">
        <f t="shared" si="63"/>
        <v>8.3000000000000004E-2</v>
      </c>
      <c r="G1327" s="229">
        <f>G1300</f>
        <v>140000</v>
      </c>
      <c r="H1327" s="230">
        <f>+G1327*F1327</f>
        <v>11620</v>
      </c>
      <c r="M1327" s="228">
        <v>8.3000000000000004E-2</v>
      </c>
    </row>
    <row r="1328" spans="2:13" ht="18.75" customHeight="1" x14ac:dyDescent="0.25">
      <c r="B1328" s="550"/>
      <c r="C1328" s="223"/>
      <c r="D1328" s="550"/>
      <c r="E1328" s="224"/>
      <c r="F1328" s="233" t="s">
        <v>636</v>
      </c>
      <c r="G1328" s="290"/>
      <c r="H1328" s="231">
        <f>SUM(H1324:H1327)</f>
        <v>201840</v>
      </c>
      <c r="M1328" s="233" t="s">
        <v>636</v>
      </c>
    </row>
    <row r="1329" spans="2:13" ht="18.75" customHeight="1" x14ac:dyDescent="0.25">
      <c r="B1329" s="550"/>
      <c r="C1329" s="223"/>
      <c r="D1329" s="550"/>
      <c r="E1329" s="224"/>
      <c r="F1329" s="233"/>
      <c r="G1329" s="290"/>
      <c r="H1329" s="231"/>
      <c r="M1329" s="233"/>
    </row>
    <row r="1330" spans="2:13" ht="18.75" customHeight="1" x14ac:dyDescent="0.25">
      <c r="B1330" s="550" t="s">
        <v>637</v>
      </c>
      <c r="C1330" s="223" t="s">
        <v>638</v>
      </c>
      <c r="D1330" s="550"/>
      <c r="E1330" s="224"/>
      <c r="F1330" s="225"/>
      <c r="G1330" s="290"/>
      <c r="H1330" s="226"/>
      <c r="M1330" s="225"/>
    </row>
    <row r="1331" spans="2:13" ht="18.75" customHeight="1" x14ac:dyDescent="0.25">
      <c r="B1331" s="550"/>
      <c r="C1331" s="223" t="s">
        <v>708</v>
      </c>
      <c r="D1331" s="550"/>
      <c r="E1331" s="550" t="s">
        <v>5</v>
      </c>
      <c r="F1331" s="233">
        <v>413</v>
      </c>
      <c r="G1331" s="234">
        <f>G1304</f>
        <v>1700</v>
      </c>
      <c r="H1331" s="230">
        <f>+G1331*F1331</f>
        <v>702100</v>
      </c>
      <c r="M1331" s="233">
        <v>413</v>
      </c>
    </row>
    <row r="1332" spans="2:13" ht="18.75" customHeight="1" x14ac:dyDescent="0.25">
      <c r="B1332" s="550"/>
      <c r="C1332" s="223" t="s">
        <v>77</v>
      </c>
      <c r="D1332" s="550"/>
      <c r="E1332" s="550" t="s">
        <v>5</v>
      </c>
      <c r="F1332" s="233">
        <v>681</v>
      </c>
      <c r="G1332" s="234">
        <f>G1305</f>
        <v>160</v>
      </c>
      <c r="H1332" s="230">
        <f>+G1332*F1332</f>
        <v>108960</v>
      </c>
      <c r="M1332" s="233">
        <v>681</v>
      </c>
    </row>
    <row r="1333" spans="2:13" ht="18.75" customHeight="1" x14ac:dyDescent="0.25">
      <c r="B1333" s="550"/>
      <c r="C1333" s="223" t="s">
        <v>741</v>
      </c>
      <c r="D1333" s="550"/>
      <c r="E1333" s="550" t="s">
        <v>5</v>
      </c>
      <c r="F1333" s="233">
        <v>1021</v>
      </c>
      <c r="G1333" s="234">
        <f>G1306</f>
        <v>250</v>
      </c>
      <c r="H1333" s="230">
        <f>+G1333*F1333</f>
        <v>255250</v>
      </c>
      <c r="M1333" s="233">
        <v>1021</v>
      </c>
    </row>
    <row r="1334" spans="2:13" ht="18.75" customHeight="1" x14ac:dyDescent="0.25">
      <c r="B1334" s="550"/>
      <c r="C1334" s="223" t="s">
        <v>742</v>
      </c>
      <c r="D1334" s="550"/>
      <c r="E1334" s="550" t="s">
        <v>743</v>
      </c>
      <c r="F1334" s="233">
        <v>215</v>
      </c>
      <c r="G1334" s="234">
        <f>G1307</f>
        <v>10</v>
      </c>
      <c r="H1334" s="230">
        <f>+G1334*F1334</f>
        <v>2150</v>
      </c>
      <c r="M1334" s="233">
        <v>215</v>
      </c>
    </row>
    <row r="1335" spans="2:13" ht="18.75" customHeight="1" x14ac:dyDescent="0.25">
      <c r="B1335" s="550"/>
      <c r="C1335" s="223"/>
      <c r="D1335" s="550"/>
      <c r="E1335" s="224"/>
      <c r="F1335" s="237" t="s">
        <v>643</v>
      </c>
      <c r="G1335" s="290"/>
      <c r="H1335" s="231">
        <f>SUM(H1331:H1334)</f>
        <v>1068460</v>
      </c>
      <c r="M1335" s="237" t="s">
        <v>643</v>
      </c>
    </row>
    <row r="1336" spans="2:13" ht="18.75" customHeight="1" x14ac:dyDescent="0.25">
      <c r="B1336" s="550"/>
      <c r="C1336" s="223"/>
      <c r="D1336" s="550"/>
      <c r="E1336" s="224"/>
      <c r="F1336" s="225"/>
      <c r="G1336" s="290"/>
      <c r="H1336" s="226"/>
      <c r="M1336" s="225"/>
    </row>
    <row r="1337" spans="2:13" ht="18.75" customHeight="1" x14ac:dyDescent="0.25">
      <c r="B1337" s="550" t="s">
        <v>644</v>
      </c>
      <c r="C1337" s="223" t="s">
        <v>645</v>
      </c>
      <c r="D1337" s="550"/>
      <c r="E1337" s="224"/>
      <c r="F1337" s="225"/>
      <c r="G1337" s="290"/>
      <c r="H1337" s="235"/>
      <c r="M1337" s="225"/>
    </row>
    <row r="1338" spans="2:13" ht="18.75" customHeight="1" x14ac:dyDescent="0.25">
      <c r="B1338" s="236"/>
      <c r="C1338" s="232"/>
      <c r="D1338" s="550"/>
      <c r="E1338" s="224"/>
      <c r="F1338" s="237" t="s">
        <v>646</v>
      </c>
      <c r="G1338" s="290"/>
      <c r="H1338" s="230">
        <f>SUM(H1337:H1337)</f>
        <v>0</v>
      </c>
      <c r="M1338" s="237" t="s">
        <v>646</v>
      </c>
    </row>
    <row r="1339" spans="2:13" ht="18.75" customHeight="1" x14ac:dyDescent="0.25">
      <c r="B1339" s="236"/>
      <c r="C1339" s="232"/>
      <c r="D1339" s="550"/>
      <c r="E1339" s="224"/>
      <c r="F1339" s="237"/>
      <c r="G1339" s="290"/>
      <c r="H1339" s="226"/>
      <c r="M1339" s="237"/>
    </row>
    <row r="1340" spans="2:13" ht="18.75" customHeight="1" x14ac:dyDescent="0.25">
      <c r="B1340" s="248"/>
      <c r="C1340" s="238"/>
      <c r="D1340" s="239"/>
      <c r="E1340" s="240"/>
      <c r="F1340" s="241"/>
      <c r="G1340" s="291"/>
      <c r="H1340" s="251"/>
      <c r="M1340" s="241"/>
    </row>
    <row r="1341" spans="2:13" ht="18.75" customHeight="1" x14ac:dyDescent="0.25">
      <c r="B1341" s="249" t="s">
        <v>647</v>
      </c>
      <c r="C1341" s="104" t="s">
        <v>648</v>
      </c>
      <c r="D1341" s="435"/>
      <c r="E1341" s="92"/>
      <c r="F1341" s="183"/>
      <c r="G1341" s="167"/>
      <c r="H1341" s="252">
        <f>+H1338+H1335+H1328</f>
        <v>1270300</v>
      </c>
      <c r="M1341" s="183"/>
    </row>
    <row r="1342" spans="2:13" ht="18.75" customHeight="1" x14ac:dyDescent="0.25">
      <c r="B1342" s="249" t="s">
        <v>649</v>
      </c>
      <c r="C1342" s="242" t="s">
        <v>650</v>
      </c>
      <c r="D1342" s="435"/>
      <c r="E1342" s="92"/>
      <c r="F1342" s="184" t="str">
        <f>$J$5</f>
        <v>8,0 % x D</v>
      </c>
      <c r="G1342" s="167"/>
      <c r="H1342" s="253">
        <f>+H1341*$K$5</f>
        <v>101624</v>
      </c>
      <c r="M1342" s="184" t="str">
        <f>$J$5</f>
        <v>8,0 % x D</v>
      </c>
    </row>
    <row r="1343" spans="2:13" ht="18.75" customHeight="1" x14ac:dyDescent="0.25">
      <c r="B1343" s="249" t="s">
        <v>651</v>
      </c>
      <c r="C1343" s="111" t="s">
        <v>652</v>
      </c>
      <c r="D1343" s="435"/>
      <c r="E1343" s="91"/>
      <c r="F1343" s="185"/>
      <c r="G1343" s="168"/>
      <c r="H1343" s="254">
        <f>ROUNDUP((H1342+H1341)/100,0)*100</f>
        <v>1372000</v>
      </c>
      <c r="M1343" s="185"/>
    </row>
    <row r="1344" spans="2:13" ht="18.75" customHeight="1" x14ac:dyDescent="0.25">
      <c r="B1344" s="259"/>
      <c r="C1344" s="261"/>
      <c r="D1344" s="245"/>
      <c r="E1344" s="246"/>
      <c r="F1344" s="247"/>
      <c r="G1344" s="298"/>
      <c r="H1344" s="260"/>
      <c r="M1344" s="247"/>
    </row>
    <row r="1345" spans="2:13" ht="18.75" customHeight="1" x14ac:dyDescent="0.25">
      <c r="G1345" s="66"/>
      <c r="H1345" s="138"/>
    </row>
    <row r="1346" spans="2:13" ht="18.75" customHeight="1" x14ac:dyDescent="0.25">
      <c r="B1346" s="19">
        <f>B1319+1</f>
        <v>11</v>
      </c>
      <c r="C1346" s="93" t="s">
        <v>752</v>
      </c>
      <c r="D1346" s="19"/>
      <c r="E1346" s="21"/>
      <c r="F1346" s="176"/>
      <c r="G1346" s="165"/>
      <c r="H1346" s="119"/>
      <c r="M1346" s="176"/>
    </row>
    <row r="1347" spans="2:13" ht="18.75" customHeight="1" x14ac:dyDescent="0.25">
      <c r="B1347" s="618" t="s">
        <v>620</v>
      </c>
      <c r="C1347" s="620" t="s">
        <v>621</v>
      </c>
      <c r="D1347" s="618" t="s">
        <v>622</v>
      </c>
      <c r="E1347" s="618" t="s">
        <v>2</v>
      </c>
      <c r="F1347" s="615" t="s">
        <v>623</v>
      </c>
      <c r="G1347" s="289" t="s">
        <v>624</v>
      </c>
      <c r="H1347" s="256" t="s">
        <v>625</v>
      </c>
      <c r="M1347" s="615" t="s">
        <v>623</v>
      </c>
    </row>
    <row r="1348" spans="2:13" ht="18.75" customHeight="1" x14ac:dyDescent="0.25">
      <c r="B1348" s="619"/>
      <c r="C1348" s="621"/>
      <c r="D1348" s="619"/>
      <c r="E1348" s="619"/>
      <c r="F1348" s="616"/>
      <c r="G1348" s="289" t="s">
        <v>626</v>
      </c>
      <c r="H1348" s="256" t="s">
        <v>626</v>
      </c>
      <c r="M1348" s="616"/>
    </row>
    <row r="1349" spans="2:13" ht="18.75" customHeight="1" x14ac:dyDescent="0.25">
      <c r="B1349" s="221"/>
      <c r="C1349" s="222"/>
      <c r="D1349" s="221"/>
      <c r="E1349" s="550"/>
      <c r="F1349" s="555"/>
      <c r="G1349" s="551"/>
      <c r="H1349" s="220"/>
      <c r="M1349" s="590"/>
    </row>
    <row r="1350" spans="2:13" ht="18.75" customHeight="1" x14ac:dyDescent="0.25">
      <c r="B1350" s="550" t="s">
        <v>627</v>
      </c>
      <c r="C1350" s="223" t="s">
        <v>628</v>
      </c>
      <c r="D1350" s="550"/>
      <c r="E1350" s="224"/>
      <c r="F1350" s="225"/>
      <c r="G1350" s="290"/>
      <c r="H1350" s="226"/>
      <c r="M1350" s="225"/>
    </row>
    <row r="1351" spans="2:13" ht="18.75" customHeight="1" x14ac:dyDescent="0.25">
      <c r="B1351" s="550"/>
      <c r="C1351" s="227" t="s">
        <v>629</v>
      </c>
      <c r="D1351" s="550" t="s">
        <v>630</v>
      </c>
      <c r="E1351" s="224" t="s">
        <v>631</v>
      </c>
      <c r="F1351" s="228">
        <f t="shared" ref="F1351:F1354" si="64">$K$8*M1351</f>
        <v>2.1</v>
      </c>
      <c r="G1351" s="229">
        <f>G1324</f>
        <v>95000</v>
      </c>
      <c r="H1351" s="230">
        <f>+G1351*F1351</f>
        <v>199500</v>
      </c>
      <c r="M1351" s="228">
        <v>2.1</v>
      </c>
    </row>
    <row r="1352" spans="2:13" ht="18.75" customHeight="1" x14ac:dyDescent="0.25">
      <c r="B1352" s="550"/>
      <c r="C1352" s="227" t="s">
        <v>1508</v>
      </c>
      <c r="D1352" s="550" t="s">
        <v>632</v>
      </c>
      <c r="E1352" s="224" t="s">
        <v>631</v>
      </c>
      <c r="F1352" s="228">
        <f t="shared" si="64"/>
        <v>0.35</v>
      </c>
      <c r="G1352" s="229">
        <f>G1325</f>
        <v>110000</v>
      </c>
      <c r="H1352" s="230">
        <f>+G1352*F1352</f>
        <v>38500</v>
      </c>
      <c r="M1352" s="228">
        <v>0.35</v>
      </c>
    </row>
    <row r="1353" spans="2:13" ht="18.75" customHeight="1" x14ac:dyDescent="0.25">
      <c r="B1353" s="550"/>
      <c r="C1353" s="227" t="s">
        <v>633</v>
      </c>
      <c r="D1353" s="550" t="s">
        <v>634</v>
      </c>
      <c r="E1353" s="224" t="s">
        <v>631</v>
      </c>
      <c r="F1353" s="228">
        <f t="shared" si="64"/>
        <v>3.5000000000000003E-2</v>
      </c>
      <c r="G1353" s="229">
        <f>G1326</f>
        <v>115000</v>
      </c>
      <c r="H1353" s="230">
        <f>+G1353*F1353</f>
        <v>4025.0000000000005</v>
      </c>
      <c r="M1353" s="228">
        <v>3.5000000000000003E-2</v>
      </c>
    </row>
    <row r="1354" spans="2:13" ht="18.75" customHeight="1" x14ac:dyDescent="0.25">
      <c r="B1354" s="550"/>
      <c r="C1354" s="227" t="s">
        <v>600</v>
      </c>
      <c r="D1354" s="550" t="s">
        <v>635</v>
      </c>
      <c r="E1354" s="224" t="s">
        <v>631</v>
      </c>
      <c r="F1354" s="228">
        <f t="shared" si="64"/>
        <v>0.105</v>
      </c>
      <c r="G1354" s="229">
        <f>G1327</f>
        <v>140000</v>
      </c>
      <c r="H1354" s="230">
        <f>+G1354*F1354</f>
        <v>14700</v>
      </c>
      <c r="M1354" s="228">
        <v>0.105</v>
      </c>
    </row>
    <row r="1355" spans="2:13" ht="18.75" customHeight="1" x14ac:dyDescent="0.25">
      <c r="B1355" s="550"/>
      <c r="C1355" s="223"/>
      <c r="D1355" s="550"/>
      <c r="E1355" s="224"/>
      <c r="F1355" s="233" t="s">
        <v>636</v>
      </c>
      <c r="G1355" s="290"/>
      <c r="H1355" s="231">
        <f>SUM(H1351:H1354)</f>
        <v>256725</v>
      </c>
      <c r="M1355" s="233" t="s">
        <v>636</v>
      </c>
    </row>
    <row r="1356" spans="2:13" ht="18.75" customHeight="1" x14ac:dyDescent="0.25">
      <c r="B1356" s="550"/>
      <c r="C1356" s="223"/>
      <c r="D1356" s="550"/>
      <c r="E1356" s="224"/>
      <c r="F1356" s="233"/>
      <c r="G1356" s="290"/>
      <c r="H1356" s="231"/>
      <c r="M1356" s="233"/>
    </row>
    <row r="1357" spans="2:13" ht="18.75" customHeight="1" x14ac:dyDescent="0.25">
      <c r="B1357" s="550" t="s">
        <v>637</v>
      </c>
      <c r="C1357" s="223" t="s">
        <v>638</v>
      </c>
      <c r="D1357" s="550"/>
      <c r="E1357" s="224"/>
      <c r="F1357" s="225"/>
      <c r="G1357" s="290"/>
      <c r="H1357" s="226"/>
      <c r="M1357" s="225"/>
    </row>
    <row r="1358" spans="2:13" ht="18.75" customHeight="1" x14ac:dyDescent="0.25">
      <c r="B1358" s="550"/>
      <c r="C1358" s="223" t="s">
        <v>708</v>
      </c>
      <c r="D1358" s="550"/>
      <c r="E1358" s="550" t="s">
        <v>5</v>
      </c>
      <c r="F1358" s="233">
        <v>439</v>
      </c>
      <c r="G1358" s="234">
        <f>G1331</f>
        <v>1700</v>
      </c>
      <c r="H1358" s="230">
        <f>+G1358*F1358</f>
        <v>746300</v>
      </c>
      <c r="M1358" s="233">
        <v>439</v>
      </c>
    </row>
    <row r="1359" spans="2:13" ht="18.75" customHeight="1" x14ac:dyDescent="0.25">
      <c r="B1359" s="550"/>
      <c r="C1359" s="223" t="s">
        <v>77</v>
      </c>
      <c r="D1359" s="550"/>
      <c r="E1359" s="550" t="s">
        <v>5</v>
      </c>
      <c r="F1359" s="233">
        <v>670</v>
      </c>
      <c r="G1359" s="234">
        <f>G1332</f>
        <v>160</v>
      </c>
      <c r="H1359" s="230">
        <f>+G1359*F1359</f>
        <v>107200</v>
      </c>
      <c r="M1359" s="233">
        <v>670</v>
      </c>
    </row>
    <row r="1360" spans="2:13" ht="18.75" customHeight="1" x14ac:dyDescent="0.25">
      <c r="B1360" s="550"/>
      <c r="C1360" s="223" t="s">
        <v>741</v>
      </c>
      <c r="D1360" s="550"/>
      <c r="E1360" s="550" t="s">
        <v>5</v>
      </c>
      <c r="F1360" s="233">
        <v>1006</v>
      </c>
      <c r="G1360" s="234">
        <f>G1333</f>
        <v>250</v>
      </c>
      <c r="H1360" s="230">
        <f>+G1360*F1360</f>
        <v>251500</v>
      </c>
      <c r="M1360" s="233">
        <v>1006</v>
      </c>
    </row>
    <row r="1361" spans="2:13" ht="18.75" customHeight="1" x14ac:dyDescent="0.25">
      <c r="B1361" s="550"/>
      <c r="C1361" s="223" t="s">
        <v>742</v>
      </c>
      <c r="D1361" s="550"/>
      <c r="E1361" s="550" t="s">
        <v>743</v>
      </c>
      <c r="F1361" s="233">
        <v>215</v>
      </c>
      <c r="G1361" s="234">
        <f>G1334</f>
        <v>10</v>
      </c>
      <c r="H1361" s="230">
        <f>+G1361*F1361</f>
        <v>2150</v>
      </c>
      <c r="M1361" s="233">
        <v>215</v>
      </c>
    </row>
    <row r="1362" spans="2:13" ht="18.75" customHeight="1" x14ac:dyDescent="0.25">
      <c r="B1362" s="550"/>
      <c r="C1362" s="223"/>
      <c r="D1362" s="550"/>
      <c r="E1362" s="224"/>
      <c r="F1362" s="237" t="s">
        <v>643</v>
      </c>
      <c r="G1362" s="290"/>
      <c r="H1362" s="231">
        <f>SUM(H1358:H1361)</f>
        <v>1107150</v>
      </c>
      <c r="M1362" s="237" t="s">
        <v>643</v>
      </c>
    </row>
    <row r="1363" spans="2:13" ht="18.75" customHeight="1" x14ac:dyDescent="0.25">
      <c r="B1363" s="550"/>
      <c r="C1363" s="223"/>
      <c r="D1363" s="550"/>
      <c r="E1363" s="224"/>
      <c r="F1363" s="225"/>
      <c r="G1363" s="290"/>
      <c r="H1363" s="226"/>
      <c r="M1363" s="225"/>
    </row>
    <row r="1364" spans="2:13" ht="18.75" customHeight="1" x14ac:dyDescent="0.25">
      <c r="B1364" s="550" t="s">
        <v>644</v>
      </c>
      <c r="C1364" s="223" t="s">
        <v>645</v>
      </c>
      <c r="D1364" s="550"/>
      <c r="E1364" s="224"/>
      <c r="F1364" s="225"/>
      <c r="G1364" s="290"/>
      <c r="H1364" s="235"/>
      <c r="M1364" s="225"/>
    </row>
    <row r="1365" spans="2:13" ht="18.75" customHeight="1" x14ac:dyDescent="0.25">
      <c r="B1365" s="236"/>
      <c r="C1365" s="232"/>
      <c r="D1365" s="550"/>
      <c r="E1365" s="224"/>
      <c r="F1365" s="237" t="s">
        <v>646</v>
      </c>
      <c r="G1365" s="290"/>
      <c r="H1365" s="230">
        <f>SUM(H1364:H1364)</f>
        <v>0</v>
      </c>
      <c r="M1365" s="237" t="s">
        <v>646</v>
      </c>
    </row>
    <row r="1366" spans="2:13" ht="18.75" customHeight="1" x14ac:dyDescent="0.25">
      <c r="B1366" s="236"/>
      <c r="C1366" s="232"/>
      <c r="D1366" s="550"/>
      <c r="E1366" s="224"/>
      <c r="F1366" s="237"/>
      <c r="G1366" s="290"/>
      <c r="H1366" s="230"/>
      <c r="M1366" s="237"/>
    </row>
    <row r="1367" spans="2:13" ht="18.75" customHeight="1" x14ac:dyDescent="0.25">
      <c r="B1367" s="248"/>
      <c r="C1367" s="238"/>
      <c r="D1367" s="239"/>
      <c r="E1367" s="266"/>
      <c r="F1367" s="241"/>
      <c r="G1367" s="303"/>
      <c r="H1367" s="267"/>
      <c r="M1367" s="241"/>
    </row>
    <row r="1368" spans="2:13" ht="18.75" customHeight="1" x14ac:dyDescent="0.25">
      <c r="B1368" s="249" t="s">
        <v>647</v>
      </c>
      <c r="C1368" s="104" t="s">
        <v>648</v>
      </c>
      <c r="D1368" s="435"/>
      <c r="E1368" s="92"/>
      <c r="F1368" s="183"/>
      <c r="G1368" s="167"/>
      <c r="H1368" s="252">
        <f>+H1365+H1362+H1355</f>
        <v>1363875</v>
      </c>
      <c r="M1368" s="183"/>
    </row>
    <row r="1369" spans="2:13" ht="18.75" customHeight="1" x14ac:dyDescent="0.25">
      <c r="B1369" s="249" t="s">
        <v>649</v>
      </c>
      <c r="C1369" s="242" t="s">
        <v>650</v>
      </c>
      <c r="D1369" s="435"/>
      <c r="E1369" s="92"/>
      <c r="F1369" s="184" t="str">
        <f>$J$5</f>
        <v>8,0 % x D</v>
      </c>
      <c r="G1369" s="167"/>
      <c r="H1369" s="253">
        <f>+H1368*$K$5</f>
        <v>109110</v>
      </c>
      <c r="M1369" s="184" t="str">
        <f>$J$5</f>
        <v>8,0 % x D</v>
      </c>
    </row>
    <row r="1370" spans="2:13" ht="18.75" customHeight="1" x14ac:dyDescent="0.25">
      <c r="B1370" s="249" t="s">
        <v>651</v>
      </c>
      <c r="C1370" s="111" t="s">
        <v>652</v>
      </c>
      <c r="D1370" s="435"/>
      <c r="E1370" s="91"/>
      <c r="F1370" s="185"/>
      <c r="G1370" s="168"/>
      <c r="H1370" s="254">
        <f>ROUNDUP((H1369+H1368)/100,0)*100</f>
        <v>1473000</v>
      </c>
      <c r="M1370" s="185"/>
    </row>
    <row r="1371" spans="2:13" ht="18.75" customHeight="1" x14ac:dyDescent="0.25">
      <c r="B1371" s="259"/>
      <c r="C1371" s="261"/>
      <c r="D1371" s="245"/>
      <c r="E1371" s="246"/>
      <c r="F1371" s="247"/>
      <c r="G1371" s="298"/>
      <c r="H1371" s="260"/>
      <c r="M1371" s="247"/>
    </row>
    <row r="1372" spans="2:13" ht="18.75" customHeight="1" x14ac:dyDescent="0.25">
      <c r="G1372" s="66"/>
      <c r="H1372" s="138"/>
    </row>
    <row r="1373" spans="2:13" ht="18.75" customHeight="1" x14ac:dyDescent="0.25">
      <c r="B1373" s="19">
        <f>B1346+1</f>
        <v>12</v>
      </c>
      <c r="C1373" s="93" t="s">
        <v>753</v>
      </c>
      <c r="D1373" s="19"/>
      <c r="E1373" s="21"/>
      <c r="F1373" s="176"/>
      <c r="G1373" s="165"/>
      <c r="H1373" s="119"/>
      <c r="M1373" s="176"/>
    </row>
    <row r="1374" spans="2:13" ht="18.75" customHeight="1" x14ac:dyDescent="0.25">
      <c r="B1374" s="618" t="s">
        <v>620</v>
      </c>
      <c r="C1374" s="620" t="s">
        <v>621</v>
      </c>
      <c r="D1374" s="618" t="s">
        <v>622</v>
      </c>
      <c r="E1374" s="618" t="s">
        <v>2</v>
      </c>
      <c r="F1374" s="615" t="s">
        <v>623</v>
      </c>
      <c r="G1374" s="289" t="s">
        <v>624</v>
      </c>
      <c r="H1374" s="256" t="s">
        <v>625</v>
      </c>
      <c r="M1374" s="615" t="s">
        <v>623</v>
      </c>
    </row>
    <row r="1375" spans="2:13" ht="18.75" customHeight="1" x14ac:dyDescent="0.25">
      <c r="B1375" s="619"/>
      <c r="C1375" s="621"/>
      <c r="D1375" s="619"/>
      <c r="E1375" s="619"/>
      <c r="F1375" s="616"/>
      <c r="G1375" s="289" t="s">
        <v>626</v>
      </c>
      <c r="H1375" s="256" t="s">
        <v>626</v>
      </c>
      <c r="M1375" s="616"/>
    </row>
    <row r="1376" spans="2:13" ht="18.75" customHeight="1" x14ac:dyDescent="0.25">
      <c r="B1376" s="221"/>
      <c r="C1376" s="222"/>
      <c r="D1376" s="221"/>
      <c r="E1376" s="550"/>
      <c r="F1376" s="555"/>
      <c r="G1376" s="551"/>
      <c r="H1376" s="220"/>
      <c r="M1376" s="590"/>
    </row>
    <row r="1377" spans="2:13" ht="18.75" customHeight="1" x14ac:dyDescent="0.25">
      <c r="B1377" s="550" t="s">
        <v>627</v>
      </c>
      <c r="C1377" s="223" t="s">
        <v>628</v>
      </c>
      <c r="D1377" s="550"/>
      <c r="E1377" s="224"/>
      <c r="F1377" s="225"/>
      <c r="G1377" s="290"/>
      <c r="H1377" s="226"/>
      <c r="M1377" s="225"/>
    </row>
    <row r="1378" spans="2:13" ht="18.75" customHeight="1" x14ac:dyDescent="0.25">
      <c r="B1378" s="550"/>
      <c r="C1378" s="227" t="s">
        <v>629</v>
      </c>
      <c r="D1378" s="550" t="s">
        <v>630</v>
      </c>
      <c r="E1378" s="224" t="s">
        <v>631</v>
      </c>
      <c r="F1378" s="228">
        <f t="shared" ref="F1378:F1381" si="65">$K$8*M1378</f>
        <v>2.1</v>
      </c>
      <c r="G1378" s="229">
        <f>G1351</f>
        <v>95000</v>
      </c>
      <c r="H1378" s="230">
        <f>+G1378*F1378</f>
        <v>199500</v>
      </c>
      <c r="M1378" s="228">
        <v>2.1</v>
      </c>
    </row>
    <row r="1379" spans="2:13" ht="18.75" customHeight="1" x14ac:dyDescent="0.25">
      <c r="B1379" s="550"/>
      <c r="C1379" s="227" t="s">
        <v>1508</v>
      </c>
      <c r="D1379" s="550" t="s">
        <v>632</v>
      </c>
      <c r="E1379" s="224" t="s">
        <v>631</v>
      </c>
      <c r="F1379" s="228">
        <f t="shared" si="65"/>
        <v>0.35</v>
      </c>
      <c r="G1379" s="229">
        <f>G1352</f>
        <v>110000</v>
      </c>
      <c r="H1379" s="230">
        <f>+G1379*F1379</f>
        <v>38500</v>
      </c>
      <c r="M1379" s="228">
        <v>0.35</v>
      </c>
    </row>
    <row r="1380" spans="2:13" ht="18.75" customHeight="1" x14ac:dyDescent="0.25">
      <c r="B1380" s="550"/>
      <c r="C1380" s="227" t="s">
        <v>633</v>
      </c>
      <c r="D1380" s="550" t="s">
        <v>634</v>
      </c>
      <c r="E1380" s="224" t="s">
        <v>631</v>
      </c>
      <c r="F1380" s="228">
        <f t="shared" si="65"/>
        <v>3.5000000000000003E-2</v>
      </c>
      <c r="G1380" s="229">
        <f>G1353</f>
        <v>115000</v>
      </c>
      <c r="H1380" s="230">
        <f>+G1380*F1380</f>
        <v>4025.0000000000005</v>
      </c>
      <c r="M1380" s="228">
        <v>3.5000000000000003E-2</v>
      </c>
    </row>
    <row r="1381" spans="2:13" ht="18.75" customHeight="1" x14ac:dyDescent="0.25">
      <c r="B1381" s="550"/>
      <c r="C1381" s="227" t="s">
        <v>600</v>
      </c>
      <c r="D1381" s="550" t="s">
        <v>635</v>
      </c>
      <c r="E1381" s="224" t="s">
        <v>631</v>
      </c>
      <c r="F1381" s="228">
        <f t="shared" si="65"/>
        <v>0.105</v>
      </c>
      <c r="G1381" s="229">
        <f>G1354</f>
        <v>140000</v>
      </c>
      <c r="H1381" s="230">
        <f>+G1381*F1381</f>
        <v>14700</v>
      </c>
      <c r="M1381" s="228">
        <v>0.105</v>
      </c>
    </row>
    <row r="1382" spans="2:13" ht="18.75" customHeight="1" x14ac:dyDescent="0.25">
      <c r="B1382" s="550"/>
      <c r="C1382" s="223"/>
      <c r="D1382" s="550"/>
      <c r="E1382" s="224"/>
      <c r="F1382" s="233" t="s">
        <v>636</v>
      </c>
      <c r="G1382" s="290"/>
      <c r="H1382" s="231">
        <f>SUM(H1378:H1381)</f>
        <v>256725</v>
      </c>
      <c r="M1382" s="233" t="s">
        <v>636</v>
      </c>
    </row>
    <row r="1383" spans="2:13" ht="18.75" customHeight="1" x14ac:dyDescent="0.25">
      <c r="B1383" s="550" t="s">
        <v>637</v>
      </c>
      <c r="C1383" s="223" t="s">
        <v>638</v>
      </c>
      <c r="D1383" s="550"/>
      <c r="E1383" s="224"/>
      <c r="F1383" s="225"/>
      <c r="G1383" s="290"/>
      <c r="H1383" s="226"/>
      <c r="M1383" s="225"/>
    </row>
    <row r="1384" spans="2:13" ht="18.75" customHeight="1" x14ac:dyDescent="0.25">
      <c r="B1384" s="550"/>
      <c r="C1384" s="223" t="s">
        <v>708</v>
      </c>
      <c r="D1384" s="550"/>
      <c r="E1384" s="550" t="s">
        <v>5</v>
      </c>
      <c r="F1384" s="233">
        <v>448</v>
      </c>
      <c r="G1384" s="234">
        <f>G1358</f>
        <v>1700</v>
      </c>
      <c r="H1384" s="230">
        <f>+G1384*F1384</f>
        <v>761600</v>
      </c>
      <c r="M1384" s="233">
        <v>448</v>
      </c>
    </row>
    <row r="1385" spans="2:13" ht="18.75" customHeight="1" x14ac:dyDescent="0.25">
      <c r="B1385" s="550"/>
      <c r="C1385" s="223" t="s">
        <v>77</v>
      </c>
      <c r="D1385" s="550"/>
      <c r="E1385" s="550" t="s">
        <v>5</v>
      </c>
      <c r="F1385" s="233">
        <v>667</v>
      </c>
      <c r="G1385" s="234">
        <f>G1359</f>
        <v>160</v>
      </c>
      <c r="H1385" s="230">
        <f>+G1385*F1385</f>
        <v>106720</v>
      </c>
      <c r="M1385" s="233">
        <v>667</v>
      </c>
    </row>
    <row r="1386" spans="2:13" ht="18.75" customHeight="1" x14ac:dyDescent="0.25">
      <c r="B1386" s="550"/>
      <c r="C1386" s="223" t="s">
        <v>741</v>
      </c>
      <c r="D1386" s="550"/>
      <c r="E1386" s="550" t="s">
        <v>5</v>
      </c>
      <c r="F1386" s="233">
        <v>1000</v>
      </c>
      <c r="G1386" s="234">
        <f>G1360</f>
        <v>250</v>
      </c>
      <c r="H1386" s="230">
        <f>+G1386*F1386</f>
        <v>250000</v>
      </c>
      <c r="M1386" s="233">
        <v>1000</v>
      </c>
    </row>
    <row r="1387" spans="2:13" ht="18.75" customHeight="1" x14ac:dyDescent="0.25">
      <c r="B1387" s="550"/>
      <c r="C1387" s="223" t="s">
        <v>742</v>
      </c>
      <c r="D1387" s="550"/>
      <c r="E1387" s="550" t="s">
        <v>743</v>
      </c>
      <c r="F1387" s="233">
        <v>215</v>
      </c>
      <c r="G1387" s="234">
        <f>G1361</f>
        <v>10</v>
      </c>
      <c r="H1387" s="230">
        <f>+G1387*F1387</f>
        <v>2150</v>
      </c>
      <c r="M1387" s="233">
        <v>215</v>
      </c>
    </row>
    <row r="1388" spans="2:13" ht="18.75" customHeight="1" x14ac:dyDescent="0.25">
      <c r="B1388" s="550"/>
      <c r="C1388" s="223"/>
      <c r="D1388" s="550"/>
      <c r="E1388" s="224"/>
      <c r="F1388" s="237" t="s">
        <v>643</v>
      </c>
      <c r="G1388" s="290"/>
      <c r="H1388" s="231">
        <f>SUM(H1384:H1387)</f>
        <v>1120470</v>
      </c>
      <c r="M1388" s="237" t="s">
        <v>643</v>
      </c>
    </row>
    <row r="1389" spans="2:13" ht="18.75" customHeight="1" x14ac:dyDescent="0.25">
      <c r="B1389" s="550"/>
      <c r="C1389" s="223"/>
      <c r="D1389" s="550"/>
      <c r="E1389" s="224"/>
      <c r="F1389" s="225"/>
      <c r="G1389" s="290"/>
      <c r="H1389" s="226"/>
      <c r="M1389" s="225"/>
    </row>
    <row r="1390" spans="2:13" ht="18.75" customHeight="1" x14ac:dyDescent="0.25">
      <c r="B1390" s="550" t="s">
        <v>644</v>
      </c>
      <c r="C1390" s="223" t="s">
        <v>645</v>
      </c>
      <c r="D1390" s="550"/>
      <c r="E1390" s="224"/>
      <c r="F1390" s="225"/>
      <c r="G1390" s="290"/>
      <c r="H1390" s="235"/>
      <c r="M1390" s="225"/>
    </row>
    <row r="1391" spans="2:13" ht="18.75" customHeight="1" x14ac:dyDescent="0.25">
      <c r="B1391" s="236"/>
      <c r="C1391" s="232"/>
      <c r="D1391" s="550"/>
      <c r="E1391" s="224"/>
      <c r="F1391" s="237" t="s">
        <v>646</v>
      </c>
      <c r="G1391" s="290"/>
      <c r="H1391" s="230">
        <f>SUM(H1390:H1390)</f>
        <v>0</v>
      </c>
      <c r="M1391" s="237" t="s">
        <v>646</v>
      </c>
    </row>
    <row r="1392" spans="2:13" ht="18.75" customHeight="1" x14ac:dyDescent="0.25">
      <c r="B1392" s="236"/>
      <c r="C1392" s="232"/>
      <c r="D1392" s="550"/>
      <c r="E1392" s="224"/>
      <c r="F1392" s="237"/>
      <c r="G1392" s="290"/>
      <c r="H1392" s="226"/>
      <c r="M1392" s="237"/>
    </row>
    <row r="1393" spans="2:13" ht="18.75" customHeight="1" x14ac:dyDescent="0.25">
      <c r="B1393" s="248"/>
      <c r="C1393" s="238"/>
      <c r="D1393" s="239"/>
      <c r="E1393" s="240"/>
      <c r="F1393" s="241"/>
      <c r="G1393" s="291"/>
      <c r="H1393" s="251"/>
      <c r="M1393" s="241"/>
    </row>
    <row r="1394" spans="2:13" ht="18.75" customHeight="1" x14ac:dyDescent="0.25">
      <c r="B1394" s="249" t="s">
        <v>647</v>
      </c>
      <c r="C1394" s="104" t="s">
        <v>648</v>
      </c>
      <c r="D1394" s="435"/>
      <c r="E1394" s="92"/>
      <c r="F1394" s="183"/>
      <c r="G1394" s="167"/>
      <c r="H1394" s="252">
        <f>+H1391+H1388+H1382</f>
        <v>1377195</v>
      </c>
      <c r="M1394" s="183"/>
    </row>
    <row r="1395" spans="2:13" ht="18.75" customHeight="1" x14ac:dyDescent="0.25">
      <c r="B1395" s="249" t="s">
        <v>649</v>
      </c>
      <c r="C1395" s="242" t="s">
        <v>650</v>
      </c>
      <c r="D1395" s="435"/>
      <c r="E1395" s="92"/>
      <c r="F1395" s="184" t="str">
        <f>$J$5</f>
        <v>8,0 % x D</v>
      </c>
      <c r="G1395" s="167"/>
      <c r="H1395" s="253">
        <f>+H1394*$K$5</f>
        <v>110175.6</v>
      </c>
      <c r="M1395" s="184" t="str">
        <f>$J$5</f>
        <v>8,0 % x D</v>
      </c>
    </row>
    <row r="1396" spans="2:13" ht="18.75" customHeight="1" x14ac:dyDescent="0.25">
      <c r="B1396" s="249" t="s">
        <v>651</v>
      </c>
      <c r="C1396" s="111" t="s">
        <v>652</v>
      </c>
      <c r="D1396" s="435"/>
      <c r="E1396" s="91"/>
      <c r="F1396" s="185"/>
      <c r="G1396" s="168"/>
      <c r="H1396" s="254">
        <f>ROUNDUP((H1395+H1394)/100,0)*100</f>
        <v>1487400</v>
      </c>
      <c r="M1396" s="185"/>
    </row>
    <row r="1397" spans="2:13" ht="18.75" customHeight="1" x14ac:dyDescent="0.25">
      <c r="B1397" s="259"/>
      <c r="C1397" s="261"/>
      <c r="D1397" s="245"/>
      <c r="E1397" s="246"/>
      <c r="F1397" s="247"/>
      <c r="G1397" s="298"/>
      <c r="H1397" s="260"/>
      <c r="M1397" s="247"/>
    </row>
    <row r="1398" spans="2:13" ht="18.75" customHeight="1" x14ac:dyDescent="0.25">
      <c r="B1398" s="22"/>
      <c r="C1398" s="104"/>
      <c r="E1398" s="21"/>
      <c r="F1398" s="176"/>
      <c r="G1398" s="165"/>
      <c r="H1398" s="119"/>
      <c r="M1398" s="176"/>
    </row>
    <row r="1399" spans="2:13" ht="18.75" customHeight="1" x14ac:dyDescent="0.25">
      <c r="B1399" s="19">
        <f>B1373+1</f>
        <v>13</v>
      </c>
      <c r="C1399" s="93" t="s">
        <v>754</v>
      </c>
      <c r="D1399" s="19"/>
      <c r="E1399" s="21"/>
      <c r="F1399" s="176"/>
      <c r="G1399" s="165"/>
      <c r="H1399" s="119"/>
      <c r="M1399" s="176"/>
    </row>
    <row r="1400" spans="2:13" ht="18.75" customHeight="1" x14ac:dyDescent="0.25">
      <c r="B1400" s="618" t="s">
        <v>620</v>
      </c>
      <c r="C1400" s="620" t="s">
        <v>621</v>
      </c>
      <c r="D1400" s="618" t="s">
        <v>622</v>
      </c>
      <c r="E1400" s="618" t="s">
        <v>2</v>
      </c>
      <c r="F1400" s="615" t="s">
        <v>623</v>
      </c>
      <c r="G1400" s="289" t="s">
        <v>624</v>
      </c>
      <c r="H1400" s="256" t="s">
        <v>625</v>
      </c>
      <c r="M1400" s="615" t="s">
        <v>623</v>
      </c>
    </row>
    <row r="1401" spans="2:13" ht="18.75" customHeight="1" x14ac:dyDescent="0.25">
      <c r="B1401" s="619"/>
      <c r="C1401" s="621"/>
      <c r="D1401" s="619"/>
      <c r="E1401" s="619"/>
      <c r="F1401" s="616"/>
      <c r="G1401" s="289" t="s">
        <v>626</v>
      </c>
      <c r="H1401" s="256" t="s">
        <v>626</v>
      </c>
      <c r="M1401" s="616"/>
    </row>
    <row r="1402" spans="2:13" ht="18.75" customHeight="1" x14ac:dyDescent="0.25">
      <c r="B1402" s="221"/>
      <c r="C1402" s="222"/>
      <c r="D1402" s="221"/>
      <c r="E1402" s="550"/>
      <c r="F1402" s="555"/>
      <c r="G1402" s="551"/>
      <c r="H1402" s="220"/>
      <c r="M1402" s="590"/>
    </row>
    <row r="1403" spans="2:13" ht="18.75" customHeight="1" x14ac:dyDescent="0.25">
      <c r="B1403" s="550" t="s">
        <v>627</v>
      </c>
      <c r="C1403" s="223" t="s">
        <v>628</v>
      </c>
      <c r="D1403" s="550"/>
      <c r="E1403" s="224"/>
      <c r="F1403" s="225"/>
      <c r="G1403" s="290"/>
      <c r="H1403" s="226"/>
      <c r="M1403" s="225"/>
    </row>
    <row r="1404" spans="2:13" ht="18.75" customHeight="1" x14ac:dyDescent="0.25">
      <c r="B1404" s="550"/>
      <c r="C1404" s="227" t="s">
        <v>629</v>
      </c>
      <c r="D1404" s="550" t="s">
        <v>630</v>
      </c>
      <c r="E1404" s="224" t="s">
        <v>631</v>
      </c>
      <c r="F1404" s="228">
        <f t="shared" ref="F1404:F1407" si="66">$K$8*M1404</f>
        <v>2.1</v>
      </c>
      <c r="G1404" s="229">
        <f>G1378</f>
        <v>95000</v>
      </c>
      <c r="H1404" s="230">
        <f>+G1404*F1404</f>
        <v>199500</v>
      </c>
      <c r="M1404" s="228">
        <v>2.1</v>
      </c>
    </row>
    <row r="1405" spans="2:13" ht="18.75" customHeight="1" x14ac:dyDescent="0.25">
      <c r="B1405" s="550"/>
      <c r="C1405" s="227" t="s">
        <v>1508</v>
      </c>
      <c r="D1405" s="550" t="s">
        <v>632</v>
      </c>
      <c r="E1405" s="224" t="s">
        <v>631</v>
      </c>
      <c r="F1405" s="228">
        <f t="shared" si="66"/>
        <v>0.35</v>
      </c>
      <c r="G1405" s="229">
        <f>G1379</f>
        <v>110000</v>
      </c>
      <c r="H1405" s="230">
        <f>+G1405*F1405</f>
        <v>38500</v>
      </c>
      <c r="M1405" s="228">
        <v>0.35</v>
      </c>
    </row>
    <row r="1406" spans="2:13" ht="18.75" customHeight="1" x14ac:dyDescent="0.25">
      <c r="B1406" s="550"/>
      <c r="C1406" s="227" t="s">
        <v>633</v>
      </c>
      <c r="D1406" s="550" t="s">
        <v>634</v>
      </c>
      <c r="E1406" s="224" t="s">
        <v>631</v>
      </c>
      <c r="F1406" s="228">
        <f t="shared" si="66"/>
        <v>3.5000000000000003E-2</v>
      </c>
      <c r="G1406" s="229">
        <f>G1380</f>
        <v>115000</v>
      </c>
      <c r="H1406" s="230">
        <f>+G1406*F1406</f>
        <v>4025.0000000000005</v>
      </c>
      <c r="M1406" s="228">
        <v>3.5000000000000003E-2</v>
      </c>
    </row>
    <row r="1407" spans="2:13" ht="18.75" customHeight="1" x14ac:dyDescent="0.25">
      <c r="B1407" s="550"/>
      <c r="C1407" s="227" t="s">
        <v>600</v>
      </c>
      <c r="D1407" s="550" t="s">
        <v>635</v>
      </c>
      <c r="E1407" s="224" t="s">
        <v>631</v>
      </c>
      <c r="F1407" s="228">
        <f t="shared" si="66"/>
        <v>0.105</v>
      </c>
      <c r="G1407" s="229">
        <f>G1381</f>
        <v>140000</v>
      </c>
      <c r="H1407" s="230">
        <f>+G1407*F1407</f>
        <v>14700</v>
      </c>
      <c r="M1407" s="228">
        <v>0.105</v>
      </c>
    </row>
    <row r="1408" spans="2:13" ht="18.75" customHeight="1" x14ac:dyDescent="0.25">
      <c r="B1408" s="550"/>
      <c r="C1408" s="223"/>
      <c r="D1408" s="550"/>
      <c r="E1408" s="224"/>
      <c r="F1408" s="233" t="s">
        <v>636</v>
      </c>
      <c r="G1408" s="290"/>
      <c r="H1408" s="231">
        <f>SUM(H1404:H1407)</f>
        <v>256725</v>
      </c>
      <c r="M1408" s="233" t="s">
        <v>636</v>
      </c>
    </row>
    <row r="1409" spans="2:13" ht="18.75" customHeight="1" x14ac:dyDescent="0.25">
      <c r="B1409" s="550"/>
      <c r="C1409" s="223"/>
      <c r="D1409" s="550"/>
      <c r="E1409" s="224"/>
      <c r="F1409" s="233"/>
      <c r="G1409" s="290"/>
      <c r="H1409" s="231"/>
      <c r="M1409" s="233"/>
    </row>
    <row r="1410" spans="2:13" ht="18.75" customHeight="1" x14ac:dyDescent="0.25">
      <c r="B1410" s="550" t="s">
        <v>637</v>
      </c>
      <c r="C1410" s="223" t="s">
        <v>638</v>
      </c>
      <c r="D1410" s="550"/>
      <c r="E1410" s="224"/>
      <c r="F1410" s="225"/>
      <c r="G1410" s="290"/>
      <c r="H1410" s="226"/>
      <c r="M1410" s="225"/>
    </row>
    <row r="1411" spans="2:13" ht="18.75" customHeight="1" x14ac:dyDescent="0.25">
      <c r="B1411" s="550"/>
      <c r="C1411" s="223" t="s">
        <v>708</v>
      </c>
      <c r="D1411" s="550"/>
      <c r="E1411" s="550" t="s">
        <v>5</v>
      </c>
      <c r="F1411" s="233">
        <v>400</v>
      </c>
      <c r="G1411" s="234">
        <f>G1384</f>
        <v>1700</v>
      </c>
      <c r="H1411" s="230">
        <f>+G1411*F1411</f>
        <v>680000</v>
      </c>
      <c r="M1411" s="233">
        <v>400</v>
      </c>
    </row>
    <row r="1412" spans="2:13" ht="18.75" customHeight="1" x14ac:dyDescent="0.25">
      <c r="B1412" s="550"/>
      <c r="C1412" s="223" t="s">
        <v>77</v>
      </c>
      <c r="D1412" s="550"/>
      <c r="E1412" s="550" t="s">
        <v>52</v>
      </c>
      <c r="F1412" s="233">
        <v>0.48</v>
      </c>
      <c r="G1412" s="234">
        <f>Bahan!D88</f>
        <v>230000</v>
      </c>
      <c r="H1412" s="230">
        <f>+G1412*F1412</f>
        <v>110400</v>
      </c>
      <c r="M1412" s="233">
        <v>0.48</v>
      </c>
    </row>
    <row r="1413" spans="2:13" ht="18.75" customHeight="1" x14ac:dyDescent="0.25">
      <c r="B1413" s="550"/>
      <c r="C1413" s="223" t="s">
        <v>755</v>
      </c>
      <c r="D1413" s="550"/>
      <c r="E1413" s="550" t="s">
        <v>52</v>
      </c>
      <c r="F1413" s="233">
        <v>0.8</v>
      </c>
      <c r="G1413" s="234">
        <f>Bahan!D73</f>
        <v>335000</v>
      </c>
      <c r="H1413" s="230">
        <f>+G1413*F1413</f>
        <v>268000</v>
      </c>
      <c r="M1413" s="233">
        <v>0.8</v>
      </c>
    </row>
    <row r="1414" spans="2:13" ht="18.75" customHeight="1" x14ac:dyDescent="0.25">
      <c r="B1414" s="550"/>
      <c r="C1414" s="223" t="s">
        <v>550</v>
      </c>
      <c r="D1414" s="550"/>
      <c r="E1414" s="550" t="s">
        <v>62</v>
      </c>
      <c r="F1414" s="233">
        <v>1.2</v>
      </c>
      <c r="G1414" s="234">
        <f>Bahan!D612</f>
        <v>2500</v>
      </c>
      <c r="H1414" s="230">
        <f>+G1414*F1414</f>
        <v>3000</v>
      </c>
      <c r="M1414" s="233">
        <v>1.2</v>
      </c>
    </row>
    <row r="1415" spans="2:13" ht="18.75" customHeight="1" x14ac:dyDescent="0.25">
      <c r="B1415" s="550"/>
      <c r="C1415" s="223"/>
      <c r="D1415" s="550"/>
      <c r="E1415" s="224"/>
      <c r="F1415" s="237" t="s">
        <v>643</v>
      </c>
      <c r="G1415" s="290"/>
      <c r="H1415" s="231">
        <f>SUM(H1411:H1414)</f>
        <v>1061400</v>
      </c>
      <c r="M1415" s="237" t="s">
        <v>643</v>
      </c>
    </row>
    <row r="1416" spans="2:13" ht="18.75" customHeight="1" x14ac:dyDescent="0.25">
      <c r="B1416" s="550"/>
      <c r="C1416" s="223"/>
      <c r="D1416" s="550"/>
      <c r="E1416" s="224"/>
      <c r="F1416" s="225"/>
      <c r="G1416" s="290"/>
      <c r="H1416" s="226"/>
      <c r="M1416" s="225"/>
    </row>
    <row r="1417" spans="2:13" ht="18.75" customHeight="1" x14ac:dyDescent="0.25">
      <c r="B1417" s="550" t="s">
        <v>644</v>
      </c>
      <c r="C1417" s="223" t="s">
        <v>645</v>
      </c>
      <c r="D1417" s="550"/>
      <c r="E1417" s="224"/>
      <c r="F1417" s="225"/>
      <c r="G1417" s="290"/>
      <c r="H1417" s="235"/>
      <c r="M1417" s="225"/>
    </row>
    <row r="1418" spans="2:13" ht="18.75" customHeight="1" x14ac:dyDescent="0.25">
      <c r="B1418" s="236"/>
      <c r="C1418" s="232"/>
      <c r="D1418" s="550"/>
      <c r="E1418" s="224"/>
      <c r="F1418" s="237" t="s">
        <v>646</v>
      </c>
      <c r="G1418" s="290"/>
      <c r="H1418" s="230">
        <f>SUM(H1417:H1417)</f>
        <v>0</v>
      </c>
      <c r="M1418" s="237" t="s">
        <v>646</v>
      </c>
    </row>
    <row r="1419" spans="2:13" ht="18.75" customHeight="1" x14ac:dyDescent="0.25">
      <c r="B1419" s="236"/>
      <c r="C1419" s="232"/>
      <c r="D1419" s="550"/>
      <c r="E1419" s="224"/>
      <c r="F1419" s="237"/>
      <c r="G1419" s="290"/>
      <c r="H1419" s="226"/>
      <c r="M1419" s="237"/>
    </row>
    <row r="1420" spans="2:13" ht="18.75" customHeight="1" x14ac:dyDescent="0.25">
      <c r="B1420" s="248"/>
      <c r="C1420" s="238"/>
      <c r="D1420" s="239"/>
      <c r="E1420" s="240"/>
      <c r="F1420" s="241"/>
      <c r="G1420" s="291"/>
      <c r="H1420" s="251"/>
      <c r="M1420" s="241"/>
    </row>
    <row r="1421" spans="2:13" ht="18.75" customHeight="1" x14ac:dyDescent="0.25">
      <c r="B1421" s="249" t="s">
        <v>647</v>
      </c>
      <c r="C1421" s="104" t="s">
        <v>648</v>
      </c>
      <c r="D1421" s="435"/>
      <c r="E1421" s="92"/>
      <c r="F1421" s="183"/>
      <c r="G1421" s="167"/>
      <c r="H1421" s="252">
        <f>+H1418+H1415+H1408</f>
        <v>1318125</v>
      </c>
      <c r="M1421" s="183"/>
    </row>
    <row r="1422" spans="2:13" ht="18.75" customHeight="1" x14ac:dyDescent="0.25">
      <c r="B1422" s="249" t="s">
        <v>649</v>
      </c>
      <c r="C1422" s="242" t="s">
        <v>650</v>
      </c>
      <c r="D1422" s="435"/>
      <c r="E1422" s="92"/>
      <c r="F1422" s="184" t="str">
        <f>$J$5</f>
        <v>8,0 % x D</v>
      </c>
      <c r="G1422" s="167"/>
      <c r="H1422" s="253">
        <f>+H1421*$K$5</f>
        <v>105450</v>
      </c>
      <c r="M1422" s="184" t="str">
        <f>$J$5</f>
        <v>8,0 % x D</v>
      </c>
    </row>
    <row r="1423" spans="2:13" ht="18.75" customHeight="1" x14ac:dyDescent="0.25">
      <c r="B1423" s="249" t="s">
        <v>651</v>
      </c>
      <c r="C1423" s="111" t="s">
        <v>652</v>
      </c>
      <c r="D1423" s="435"/>
      <c r="E1423" s="91"/>
      <c r="F1423" s="185"/>
      <c r="G1423" s="168"/>
      <c r="H1423" s="254">
        <f>ROUNDUP((H1422+H1421)/100,0)*100</f>
        <v>1423600</v>
      </c>
      <c r="M1423" s="185"/>
    </row>
    <row r="1424" spans="2:13" ht="18.75" customHeight="1" x14ac:dyDescent="0.25">
      <c r="B1424" s="259"/>
      <c r="C1424" s="261"/>
      <c r="D1424" s="245"/>
      <c r="E1424" s="246"/>
      <c r="F1424" s="247"/>
      <c r="G1424" s="298"/>
      <c r="H1424" s="260"/>
      <c r="M1424" s="247"/>
    </row>
    <row r="1425" spans="2:13" ht="18.75" customHeight="1" x14ac:dyDescent="0.25">
      <c r="B1425" s="92"/>
      <c r="C1425" s="104"/>
      <c r="D1425" s="435"/>
      <c r="E1425" s="91"/>
      <c r="F1425" s="185"/>
      <c r="G1425" s="168"/>
      <c r="H1425" s="139"/>
      <c r="M1425" s="185"/>
    </row>
    <row r="1426" spans="2:13" ht="18.75" customHeight="1" x14ac:dyDescent="0.25">
      <c r="B1426" s="19">
        <f>B1399+1</f>
        <v>14</v>
      </c>
      <c r="C1426" s="93" t="s">
        <v>756</v>
      </c>
      <c r="D1426" s="19"/>
      <c r="E1426" s="21"/>
      <c r="F1426" s="176"/>
      <c r="G1426" s="165"/>
      <c r="H1426" s="119"/>
      <c r="M1426" s="176"/>
    </row>
    <row r="1427" spans="2:13" ht="18.75" customHeight="1" x14ac:dyDescent="0.25">
      <c r="B1427" s="618" t="s">
        <v>620</v>
      </c>
      <c r="C1427" s="620" t="s">
        <v>621</v>
      </c>
      <c r="D1427" s="618" t="s">
        <v>622</v>
      </c>
      <c r="E1427" s="618" t="s">
        <v>2</v>
      </c>
      <c r="F1427" s="615" t="s">
        <v>623</v>
      </c>
      <c r="G1427" s="289" t="s">
        <v>624</v>
      </c>
      <c r="H1427" s="256" t="s">
        <v>625</v>
      </c>
      <c r="M1427" s="615" t="s">
        <v>623</v>
      </c>
    </row>
    <row r="1428" spans="2:13" ht="18.75" customHeight="1" x14ac:dyDescent="0.25">
      <c r="B1428" s="619"/>
      <c r="C1428" s="621"/>
      <c r="D1428" s="619"/>
      <c r="E1428" s="619"/>
      <c r="F1428" s="616"/>
      <c r="G1428" s="289" t="s">
        <v>626</v>
      </c>
      <c r="H1428" s="256" t="s">
        <v>626</v>
      </c>
      <c r="M1428" s="616"/>
    </row>
    <row r="1429" spans="2:13" ht="18.75" customHeight="1" x14ac:dyDescent="0.25">
      <c r="B1429" s="221"/>
      <c r="C1429" s="222"/>
      <c r="D1429" s="221"/>
      <c r="E1429" s="550"/>
      <c r="F1429" s="555"/>
      <c r="G1429" s="551"/>
      <c r="H1429" s="220"/>
      <c r="M1429" s="590"/>
    </row>
    <row r="1430" spans="2:13" ht="18.75" customHeight="1" x14ac:dyDescent="0.25">
      <c r="B1430" s="550" t="s">
        <v>627</v>
      </c>
      <c r="C1430" s="223" t="s">
        <v>628</v>
      </c>
      <c r="D1430" s="550"/>
      <c r="E1430" s="224"/>
      <c r="F1430" s="225"/>
      <c r="G1430" s="290"/>
      <c r="H1430" s="226"/>
      <c r="M1430" s="225"/>
    </row>
    <row r="1431" spans="2:13" ht="18.75" customHeight="1" x14ac:dyDescent="0.25">
      <c r="B1431" s="550"/>
      <c r="C1431" s="227" t="s">
        <v>629</v>
      </c>
      <c r="D1431" s="550" t="s">
        <v>630</v>
      </c>
      <c r="E1431" s="224" t="s">
        <v>631</v>
      </c>
      <c r="F1431" s="228">
        <f t="shared" ref="F1431:F1434" si="67">$K$8*M1431</f>
        <v>7.0000000000000007E-2</v>
      </c>
      <c r="G1431" s="229">
        <f>G1404</f>
        <v>95000</v>
      </c>
      <c r="H1431" s="230">
        <f>+G1431*F1431</f>
        <v>6650.0000000000009</v>
      </c>
      <c r="M1431" s="228">
        <v>7.0000000000000007E-2</v>
      </c>
    </row>
    <row r="1432" spans="2:13" ht="18.75" customHeight="1" x14ac:dyDescent="0.25">
      <c r="B1432" s="550"/>
      <c r="C1432" s="227" t="s">
        <v>1508</v>
      </c>
      <c r="D1432" s="550" t="s">
        <v>632</v>
      </c>
      <c r="E1432" s="224" t="s">
        <v>631</v>
      </c>
      <c r="F1432" s="228">
        <f t="shared" si="67"/>
        <v>7.0000000000000007E-2</v>
      </c>
      <c r="G1432" s="229">
        <f>G1405</f>
        <v>110000</v>
      </c>
      <c r="H1432" s="230">
        <f>+G1432*F1432</f>
        <v>7700.0000000000009</v>
      </c>
      <c r="M1432" s="228">
        <v>7.0000000000000007E-2</v>
      </c>
    </row>
    <row r="1433" spans="2:13" ht="18.75" customHeight="1" x14ac:dyDescent="0.25">
      <c r="B1433" s="550"/>
      <c r="C1433" s="227" t="s">
        <v>633</v>
      </c>
      <c r="D1433" s="550" t="s">
        <v>634</v>
      </c>
      <c r="E1433" s="224" t="s">
        <v>631</v>
      </c>
      <c r="F1433" s="228">
        <f t="shared" si="67"/>
        <v>7.0000000000000001E-3</v>
      </c>
      <c r="G1433" s="229">
        <f>G1406</f>
        <v>115000</v>
      </c>
      <c r="H1433" s="230">
        <f>+G1433*F1433</f>
        <v>805</v>
      </c>
      <c r="M1433" s="228">
        <v>7.0000000000000001E-3</v>
      </c>
    </row>
    <row r="1434" spans="2:13" ht="18.75" customHeight="1" x14ac:dyDescent="0.25">
      <c r="B1434" s="550"/>
      <c r="C1434" s="227" t="s">
        <v>600</v>
      </c>
      <c r="D1434" s="550" t="s">
        <v>635</v>
      </c>
      <c r="E1434" s="224" t="s">
        <v>631</v>
      </c>
      <c r="F1434" s="228">
        <f t="shared" si="67"/>
        <v>4.0000000000000001E-3</v>
      </c>
      <c r="G1434" s="229">
        <f>G1407</f>
        <v>140000</v>
      </c>
      <c r="H1434" s="230">
        <f>+G1434*F1434</f>
        <v>560</v>
      </c>
      <c r="M1434" s="228">
        <v>4.0000000000000001E-3</v>
      </c>
    </row>
    <row r="1435" spans="2:13" ht="18.75" customHeight="1" x14ac:dyDescent="0.25">
      <c r="B1435" s="550"/>
      <c r="C1435" s="223"/>
      <c r="D1435" s="550"/>
      <c r="E1435" s="224"/>
      <c r="F1435" s="233" t="s">
        <v>636</v>
      </c>
      <c r="G1435" s="290"/>
      <c r="H1435" s="231">
        <f>SUM(H1431:H1434)</f>
        <v>15715.000000000002</v>
      </c>
      <c r="M1435" s="233" t="s">
        <v>636</v>
      </c>
    </row>
    <row r="1436" spans="2:13" ht="18.75" customHeight="1" x14ac:dyDescent="0.25">
      <c r="B1436" s="550"/>
      <c r="C1436" s="223"/>
      <c r="D1436" s="550"/>
      <c r="E1436" s="224"/>
      <c r="F1436" s="233"/>
      <c r="G1436" s="290"/>
      <c r="H1436" s="231"/>
      <c r="M1436" s="233"/>
    </row>
    <row r="1437" spans="2:13" ht="18.75" customHeight="1" x14ac:dyDescent="0.25">
      <c r="B1437" s="550" t="s">
        <v>637</v>
      </c>
      <c r="C1437" s="223" t="s">
        <v>638</v>
      </c>
      <c r="D1437" s="550"/>
      <c r="E1437" s="224"/>
      <c r="F1437" s="225"/>
      <c r="G1437" s="290"/>
      <c r="H1437" s="226"/>
      <c r="M1437" s="225"/>
    </row>
    <row r="1438" spans="2:13" ht="18.75" customHeight="1" x14ac:dyDescent="0.25">
      <c r="B1438" s="550"/>
      <c r="C1438" s="223" t="s">
        <v>757</v>
      </c>
      <c r="D1438" s="550"/>
      <c r="E1438" s="550" t="s">
        <v>62</v>
      </c>
      <c r="F1438" s="233">
        <v>10.5</v>
      </c>
      <c r="G1438" s="234">
        <f>MAX(Bahan!D133:D134)</f>
        <v>11000</v>
      </c>
      <c r="H1438" s="230">
        <f>+G1438*F1438</f>
        <v>115500</v>
      </c>
      <c r="M1438" s="233">
        <v>10.5</v>
      </c>
    </row>
    <row r="1439" spans="2:13" ht="18.75" customHeight="1" x14ac:dyDescent="0.25">
      <c r="B1439" s="550"/>
      <c r="C1439" s="223" t="s">
        <v>716</v>
      </c>
      <c r="D1439" s="550"/>
      <c r="E1439" s="550" t="s">
        <v>62</v>
      </c>
      <c r="F1439" s="233">
        <v>0.15</v>
      </c>
      <c r="G1439" s="234">
        <f>Bahan!D152</f>
        <v>15500</v>
      </c>
      <c r="H1439" s="230">
        <f>+G1439*F1439</f>
        <v>2325</v>
      </c>
      <c r="M1439" s="233">
        <v>0.15</v>
      </c>
    </row>
    <row r="1440" spans="2:13" ht="18.75" customHeight="1" x14ac:dyDescent="0.25">
      <c r="B1440" s="550"/>
      <c r="C1440" s="223"/>
      <c r="D1440" s="550"/>
      <c r="E1440" s="224"/>
      <c r="F1440" s="237" t="s">
        <v>643</v>
      </c>
      <c r="G1440" s="290"/>
      <c r="H1440" s="231">
        <f>SUM(H1438:H1439)</f>
        <v>117825</v>
      </c>
      <c r="M1440" s="237" t="s">
        <v>643</v>
      </c>
    </row>
    <row r="1441" spans="2:13" ht="18.75" customHeight="1" x14ac:dyDescent="0.25">
      <c r="B1441" s="550"/>
      <c r="C1441" s="223"/>
      <c r="D1441" s="550"/>
      <c r="E1441" s="224"/>
      <c r="F1441" s="225"/>
      <c r="G1441" s="290"/>
      <c r="H1441" s="226"/>
      <c r="M1441" s="225"/>
    </row>
    <row r="1442" spans="2:13" ht="18.75" customHeight="1" x14ac:dyDescent="0.25">
      <c r="B1442" s="550" t="s">
        <v>644</v>
      </c>
      <c r="C1442" s="223" t="s">
        <v>645</v>
      </c>
      <c r="D1442" s="550"/>
      <c r="E1442" s="224"/>
      <c r="F1442" s="225"/>
      <c r="G1442" s="290"/>
      <c r="H1442" s="235"/>
      <c r="M1442" s="225"/>
    </row>
    <row r="1443" spans="2:13" ht="18.75" customHeight="1" x14ac:dyDescent="0.25">
      <c r="B1443" s="236"/>
      <c r="C1443" s="232"/>
      <c r="D1443" s="550"/>
      <c r="E1443" s="224"/>
      <c r="F1443" s="237" t="s">
        <v>646</v>
      </c>
      <c r="G1443" s="290"/>
      <c r="H1443" s="230">
        <f>SUM(H1442:H1442)</f>
        <v>0</v>
      </c>
      <c r="M1443" s="237" t="s">
        <v>646</v>
      </c>
    </row>
    <row r="1444" spans="2:13" ht="18.75" customHeight="1" x14ac:dyDescent="0.25">
      <c r="B1444" s="236"/>
      <c r="C1444" s="232"/>
      <c r="D1444" s="550"/>
      <c r="E1444" s="224"/>
      <c r="F1444" s="237"/>
      <c r="G1444" s="290"/>
      <c r="H1444" s="226"/>
      <c r="M1444" s="237"/>
    </row>
    <row r="1445" spans="2:13" ht="18.75" customHeight="1" x14ac:dyDescent="0.25">
      <c r="B1445" s="248"/>
      <c r="C1445" s="238"/>
      <c r="D1445" s="239"/>
      <c r="E1445" s="240"/>
      <c r="F1445" s="241"/>
      <c r="G1445" s="291"/>
      <c r="H1445" s="251"/>
      <c r="M1445" s="241"/>
    </row>
    <row r="1446" spans="2:13" ht="18.75" customHeight="1" x14ac:dyDescent="0.25">
      <c r="B1446" s="249" t="s">
        <v>647</v>
      </c>
      <c r="C1446" s="104" t="s">
        <v>648</v>
      </c>
      <c r="D1446" s="435"/>
      <c r="E1446" s="92"/>
      <c r="F1446" s="183"/>
      <c r="G1446" s="167"/>
      <c r="H1446" s="252">
        <f>+H1443+H1440+H1435</f>
        <v>133540</v>
      </c>
      <c r="M1446" s="183"/>
    </row>
    <row r="1447" spans="2:13" ht="18.75" customHeight="1" x14ac:dyDescent="0.25">
      <c r="B1447" s="249" t="s">
        <v>649</v>
      </c>
      <c r="C1447" s="242" t="s">
        <v>650</v>
      </c>
      <c r="D1447" s="435"/>
      <c r="E1447" s="92"/>
      <c r="F1447" s="184" t="str">
        <f>$J$5</f>
        <v>8,0 % x D</v>
      </c>
      <c r="G1447" s="167"/>
      <c r="H1447" s="253">
        <f>+H1446*$K$5</f>
        <v>10683.2</v>
      </c>
      <c r="M1447" s="184" t="str">
        <f>$J$5</f>
        <v>8,0 % x D</v>
      </c>
    </row>
    <row r="1448" spans="2:13" ht="18.75" customHeight="1" x14ac:dyDescent="0.25">
      <c r="B1448" s="249" t="s">
        <v>651</v>
      </c>
      <c r="C1448" s="111" t="s">
        <v>652</v>
      </c>
      <c r="D1448" s="435"/>
      <c r="E1448" s="91"/>
      <c r="F1448" s="185"/>
      <c r="G1448" s="168"/>
      <c r="H1448" s="254">
        <f>ROUNDUP((H1447+H1446)/100,0)*100</f>
        <v>144300</v>
      </c>
      <c r="M1448" s="185"/>
    </row>
    <row r="1449" spans="2:13" ht="18.75" customHeight="1" x14ac:dyDescent="0.25">
      <c r="B1449" s="333"/>
      <c r="C1449" s="329"/>
      <c r="D1449" s="330"/>
      <c r="E1449" s="330"/>
      <c r="F1449" s="331"/>
      <c r="G1449" s="332"/>
      <c r="H1449" s="334"/>
      <c r="M1449" s="331"/>
    </row>
    <row r="1450" spans="2:13" ht="18.75" customHeight="1" x14ac:dyDescent="0.25">
      <c r="B1450" s="19"/>
      <c r="C1450" s="110"/>
      <c r="D1450" s="19"/>
      <c r="E1450" s="19"/>
      <c r="F1450" s="198"/>
      <c r="G1450" s="172"/>
      <c r="H1450" s="143"/>
      <c r="M1450" s="198"/>
    </row>
    <row r="1451" spans="2:13" ht="18.75" customHeight="1" x14ac:dyDescent="0.25">
      <c r="B1451" s="19">
        <f>B1426+1</f>
        <v>15</v>
      </c>
      <c r="C1451" s="93" t="s">
        <v>758</v>
      </c>
      <c r="D1451" s="19"/>
      <c r="E1451" s="21"/>
      <c r="F1451" s="176"/>
      <c r="G1451" s="165"/>
      <c r="H1451" s="119"/>
      <c r="M1451" s="176"/>
    </row>
    <row r="1452" spans="2:13" ht="18.75" customHeight="1" x14ac:dyDescent="0.25">
      <c r="B1452" s="618" t="s">
        <v>620</v>
      </c>
      <c r="C1452" s="620" t="s">
        <v>621</v>
      </c>
      <c r="D1452" s="618" t="s">
        <v>622</v>
      </c>
      <c r="E1452" s="618" t="s">
        <v>2</v>
      </c>
      <c r="F1452" s="615" t="s">
        <v>623</v>
      </c>
      <c r="G1452" s="289" t="s">
        <v>624</v>
      </c>
      <c r="H1452" s="256" t="s">
        <v>625</v>
      </c>
      <c r="M1452" s="615" t="s">
        <v>623</v>
      </c>
    </row>
    <row r="1453" spans="2:13" ht="18.75" customHeight="1" x14ac:dyDescent="0.25">
      <c r="B1453" s="619"/>
      <c r="C1453" s="621"/>
      <c r="D1453" s="619"/>
      <c r="E1453" s="619"/>
      <c r="F1453" s="616"/>
      <c r="G1453" s="289" t="s">
        <v>626</v>
      </c>
      <c r="H1453" s="256" t="s">
        <v>626</v>
      </c>
      <c r="M1453" s="616"/>
    </row>
    <row r="1454" spans="2:13" ht="18.75" customHeight="1" x14ac:dyDescent="0.25">
      <c r="B1454" s="221"/>
      <c r="C1454" s="222"/>
      <c r="D1454" s="221"/>
      <c r="E1454" s="550"/>
      <c r="F1454" s="555"/>
      <c r="G1454" s="551"/>
      <c r="H1454" s="220"/>
      <c r="M1454" s="590"/>
    </row>
    <row r="1455" spans="2:13" ht="18.75" customHeight="1" x14ac:dyDescent="0.25">
      <c r="B1455" s="550" t="s">
        <v>627</v>
      </c>
      <c r="C1455" s="223" t="s">
        <v>628</v>
      </c>
      <c r="D1455" s="550"/>
      <c r="E1455" s="224"/>
      <c r="F1455" s="225"/>
      <c r="G1455" s="290"/>
      <c r="H1455" s="226"/>
      <c r="M1455" s="225"/>
    </row>
    <row r="1456" spans="2:13" ht="18.75" customHeight="1" x14ac:dyDescent="0.25">
      <c r="B1456" s="550"/>
      <c r="C1456" s="227" t="s">
        <v>629</v>
      </c>
      <c r="D1456" s="550" t="s">
        <v>630</v>
      </c>
      <c r="E1456" s="224" t="s">
        <v>631</v>
      </c>
      <c r="F1456" s="228">
        <f t="shared" ref="F1456:F1459" si="68">$K$8*M1456</f>
        <v>7.4999999999999997E-2</v>
      </c>
      <c r="G1456" s="229">
        <f>G1431</f>
        <v>95000</v>
      </c>
      <c r="H1456" s="230">
        <f>+G1456*F1456</f>
        <v>7125</v>
      </c>
      <c r="M1456" s="228">
        <v>7.4999999999999997E-2</v>
      </c>
    </row>
    <row r="1457" spans="2:13" ht="18.75" customHeight="1" x14ac:dyDescent="0.25">
      <c r="B1457" s="550"/>
      <c r="C1457" s="227" t="s">
        <v>1508</v>
      </c>
      <c r="D1457" s="550" t="s">
        <v>632</v>
      </c>
      <c r="E1457" s="224" t="s">
        <v>631</v>
      </c>
      <c r="F1457" s="228">
        <f t="shared" si="68"/>
        <v>7.4999999999999997E-2</v>
      </c>
      <c r="G1457" s="229">
        <f>G1432</f>
        <v>110000</v>
      </c>
      <c r="H1457" s="230">
        <f>+G1457*F1457</f>
        <v>8250</v>
      </c>
      <c r="M1457" s="228">
        <v>7.4999999999999997E-2</v>
      </c>
    </row>
    <row r="1458" spans="2:13" ht="18.75" customHeight="1" x14ac:dyDescent="0.25">
      <c r="B1458" s="550"/>
      <c r="C1458" s="227" t="s">
        <v>633</v>
      </c>
      <c r="D1458" s="550" t="s">
        <v>634</v>
      </c>
      <c r="E1458" s="224" t="s">
        <v>631</v>
      </c>
      <c r="F1458" s="228">
        <f t="shared" si="68"/>
        <v>5.0000000000000001E-3</v>
      </c>
      <c r="G1458" s="229">
        <f>G1433</f>
        <v>115000</v>
      </c>
      <c r="H1458" s="230">
        <f>+G1458*F1458</f>
        <v>575</v>
      </c>
      <c r="M1458" s="228">
        <v>5.0000000000000001E-3</v>
      </c>
    </row>
    <row r="1459" spans="2:13" ht="18.75" customHeight="1" x14ac:dyDescent="0.25">
      <c r="B1459" s="550"/>
      <c r="C1459" s="227" t="s">
        <v>600</v>
      </c>
      <c r="D1459" s="550" t="s">
        <v>635</v>
      </c>
      <c r="E1459" s="224" t="s">
        <v>631</v>
      </c>
      <c r="F1459" s="228">
        <f t="shared" si="68"/>
        <v>3.0000000000000001E-3</v>
      </c>
      <c r="G1459" s="229">
        <f>G1434</f>
        <v>140000</v>
      </c>
      <c r="H1459" s="230">
        <f>+G1459*F1459</f>
        <v>420</v>
      </c>
      <c r="M1459" s="228">
        <v>3.0000000000000001E-3</v>
      </c>
    </row>
    <row r="1460" spans="2:13" ht="18.75" customHeight="1" x14ac:dyDescent="0.25">
      <c r="B1460" s="550"/>
      <c r="C1460" s="223"/>
      <c r="D1460" s="550"/>
      <c r="E1460" s="224"/>
      <c r="F1460" s="233" t="s">
        <v>636</v>
      </c>
      <c r="G1460" s="290"/>
      <c r="H1460" s="231">
        <f>SUM(H1456:H1459)</f>
        <v>16370</v>
      </c>
      <c r="M1460" s="233" t="s">
        <v>636</v>
      </c>
    </row>
    <row r="1461" spans="2:13" ht="18.75" customHeight="1" x14ac:dyDescent="0.25">
      <c r="B1461" s="550"/>
      <c r="C1461" s="223"/>
      <c r="D1461" s="550"/>
      <c r="E1461" s="224"/>
      <c r="F1461" s="233"/>
      <c r="G1461" s="290"/>
      <c r="H1461" s="231"/>
      <c r="M1461" s="233"/>
    </row>
    <row r="1462" spans="2:13" ht="18.75" customHeight="1" x14ac:dyDescent="0.25">
      <c r="B1462" s="550" t="s">
        <v>637</v>
      </c>
      <c r="C1462" s="223" t="s">
        <v>638</v>
      </c>
      <c r="D1462" s="550"/>
      <c r="E1462" s="224"/>
      <c r="F1462" s="225"/>
      <c r="G1462" s="290"/>
      <c r="H1462" s="226"/>
      <c r="M1462" s="225"/>
    </row>
    <row r="1463" spans="2:13" ht="18.75" customHeight="1" x14ac:dyDescent="0.25">
      <c r="B1463" s="550"/>
      <c r="C1463" s="223" t="s">
        <v>757</v>
      </c>
      <c r="D1463" s="550"/>
      <c r="E1463" s="550" t="s">
        <v>62</v>
      </c>
      <c r="F1463" s="233">
        <v>10.5</v>
      </c>
      <c r="G1463" s="234">
        <f>G1438</f>
        <v>11000</v>
      </c>
      <c r="H1463" s="230">
        <f>+G1463*F1463</f>
        <v>115500</v>
      </c>
      <c r="M1463" s="233">
        <v>10.5</v>
      </c>
    </row>
    <row r="1464" spans="2:13" ht="18.75" customHeight="1" x14ac:dyDescent="0.25">
      <c r="B1464" s="550"/>
      <c r="C1464" s="223" t="s">
        <v>716</v>
      </c>
      <c r="D1464" s="550"/>
      <c r="E1464" s="550" t="s">
        <v>62</v>
      </c>
      <c r="F1464" s="233">
        <v>0.1</v>
      </c>
      <c r="G1464" s="234">
        <f>G1439</f>
        <v>15500</v>
      </c>
      <c r="H1464" s="230">
        <f>+G1464*F1464</f>
        <v>1550</v>
      </c>
      <c r="M1464" s="233">
        <v>0.1</v>
      </c>
    </row>
    <row r="1465" spans="2:13" ht="18.75" customHeight="1" x14ac:dyDescent="0.25">
      <c r="B1465" s="550"/>
      <c r="C1465" s="223"/>
      <c r="D1465" s="550"/>
      <c r="E1465" s="224"/>
      <c r="F1465" s="237" t="s">
        <v>643</v>
      </c>
      <c r="G1465" s="290"/>
      <c r="H1465" s="231">
        <f>SUM(H1463:H1464)</f>
        <v>117050</v>
      </c>
      <c r="M1465" s="237" t="s">
        <v>643</v>
      </c>
    </row>
    <row r="1466" spans="2:13" ht="18.75" customHeight="1" x14ac:dyDescent="0.25">
      <c r="B1466" s="550"/>
      <c r="C1466" s="223"/>
      <c r="D1466" s="550"/>
      <c r="E1466" s="224"/>
      <c r="F1466" s="225"/>
      <c r="G1466" s="290"/>
      <c r="H1466" s="226"/>
      <c r="M1466" s="225"/>
    </row>
    <row r="1467" spans="2:13" ht="18.75" customHeight="1" x14ac:dyDescent="0.25">
      <c r="B1467" s="550" t="s">
        <v>644</v>
      </c>
      <c r="C1467" s="223" t="s">
        <v>645</v>
      </c>
      <c r="D1467" s="550"/>
      <c r="E1467" s="224"/>
      <c r="F1467" s="225"/>
      <c r="G1467" s="290"/>
      <c r="H1467" s="235"/>
      <c r="M1467" s="225"/>
    </row>
    <row r="1468" spans="2:13" ht="18.75" customHeight="1" x14ac:dyDescent="0.25">
      <c r="B1468" s="236"/>
      <c r="C1468" s="232"/>
      <c r="D1468" s="550"/>
      <c r="E1468" s="224"/>
      <c r="F1468" s="237" t="s">
        <v>646</v>
      </c>
      <c r="G1468" s="290"/>
      <c r="H1468" s="230">
        <f>SUM(H1467:H1467)</f>
        <v>0</v>
      </c>
      <c r="M1468" s="237" t="s">
        <v>646</v>
      </c>
    </row>
    <row r="1469" spans="2:13" ht="18.75" customHeight="1" x14ac:dyDescent="0.25">
      <c r="B1469" s="236"/>
      <c r="C1469" s="232"/>
      <c r="D1469" s="550"/>
      <c r="E1469" s="224"/>
      <c r="F1469" s="237"/>
      <c r="G1469" s="290"/>
      <c r="H1469" s="226"/>
      <c r="M1469" s="237"/>
    </row>
    <row r="1470" spans="2:13" ht="18.75" customHeight="1" x14ac:dyDescent="0.25">
      <c r="B1470" s="248"/>
      <c r="C1470" s="238"/>
      <c r="D1470" s="239"/>
      <c r="E1470" s="240"/>
      <c r="F1470" s="241"/>
      <c r="G1470" s="291"/>
      <c r="H1470" s="251"/>
      <c r="M1470" s="241"/>
    </row>
    <row r="1471" spans="2:13" ht="18.75" customHeight="1" x14ac:dyDescent="0.25">
      <c r="B1471" s="249" t="s">
        <v>647</v>
      </c>
      <c r="C1471" s="104" t="s">
        <v>648</v>
      </c>
      <c r="D1471" s="435"/>
      <c r="E1471" s="92"/>
      <c r="F1471" s="183"/>
      <c r="G1471" s="167"/>
      <c r="H1471" s="252">
        <f>+H1468+H1465+H1460</f>
        <v>133420</v>
      </c>
      <c r="M1471" s="183"/>
    </row>
    <row r="1472" spans="2:13" ht="18.75" customHeight="1" x14ac:dyDescent="0.25">
      <c r="B1472" s="249" t="s">
        <v>649</v>
      </c>
      <c r="C1472" s="242" t="s">
        <v>650</v>
      </c>
      <c r="D1472" s="435"/>
      <c r="E1472" s="92"/>
      <c r="F1472" s="184" t="str">
        <f>$J$5</f>
        <v>8,0 % x D</v>
      </c>
      <c r="G1472" s="167"/>
      <c r="H1472" s="253">
        <f>+H1471*$K$5</f>
        <v>10673.6</v>
      </c>
      <c r="M1472" s="184" t="str">
        <f>$J$5</f>
        <v>8,0 % x D</v>
      </c>
    </row>
    <row r="1473" spans="2:13" ht="18.75" customHeight="1" x14ac:dyDescent="0.25">
      <c r="B1473" s="249" t="s">
        <v>651</v>
      </c>
      <c r="C1473" s="111" t="s">
        <v>652</v>
      </c>
      <c r="D1473" s="435"/>
      <c r="E1473" s="91"/>
      <c r="F1473" s="185"/>
      <c r="G1473" s="168"/>
      <c r="H1473" s="254">
        <f>ROUNDUP((H1472+H1471)/100,0)*100</f>
        <v>144100</v>
      </c>
      <c r="M1473" s="185"/>
    </row>
    <row r="1474" spans="2:13" ht="18.75" customHeight="1" x14ac:dyDescent="0.25">
      <c r="B1474" s="259"/>
      <c r="C1474" s="261"/>
      <c r="D1474" s="245"/>
      <c r="E1474" s="246"/>
      <c r="F1474" s="247"/>
      <c r="G1474" s="298"/>
      <c r="H1474" s="260"/>
      <c r="M1474" s="247"/>
    </row>
    <row r="1475" spans="2:13" ht="18.75" customHeight="1" x14ac:dyDescent="0.25">
      <c r="G1475" s="66"/>
      <c r="H1475" s="138"/>
    </row>
    <row r="1476" spans="2:13" ht="18.75" customHeight="1" x14ac:dyDescent="0.25">
      <c r="B1476" s="19">
        <f>B1451+1</f>
        <v>16</v>
      </c>
      <c r="C1476" s="93" t="s">
        <v>1451</v>
      </c>
      <c r="D1476" s="19"/>
      <c r="E1476" s="21"/>
      <c r="F1476" s="176"/>
      <c r="G1476" s="165"/>
      <c r="H1476" s="119"/>
      <c r="M1476" s="176"/>
    </row>
    <row r="1477" spans="2:13" ht="18.75" customHeight="1" x14ac:dyDescent="0.25">
      <c r="B1477" s="618" t="s">
        <v>620</v>
      </c>
      <c r="C1477" s="620" t="s">
        <v>621</v>
      </c>
      <c r="D1477" s="618" t="s">
        <v>622</v>
      </c>
      <c r="E1477" s="618" t="s">
        <v>2</v>
      </c>
      <c r="F1477" s="615" t="s">
        <v>623</v>
      </c>
      <c r="G1477" s="289" t="s">
        <v>624</v>
      </c>
      <c r="H1477" s="256" t="s">
        <v>625</v>
      </c>
      <c r="M1477" s="615" t="s">
        <v>623</v>
      </c>
    </row>
    <row r="1478" spans="2:13" ht="18.75" customHeight="1" x14ac:dyDescent="0.25">
      <c r="B1478" s="619"/>
      <c r="C1478" s="621"/>
      <c r="D1478" s="619"/>
      <c r="E1478" s="619"/>
      <c r="F1478" s="616"/>
      <c r="G1478" s="289" t="s">
        <v>626</v>
      </c>
      <c r="H1478" s="256" t="s">
        <v>626</v>
      </c>
      <c r="M1478" s="616"/>
    </row>
    <row r="1479" spans="2:13" ht="18.75" customHeight="1" x14ac:dyDescent="0.25">
      <c r="B1479" s="221"/>
      <c r="C1479" s="222"/>
      <c r="D1479" s="221"/>
      <c r="E1479" s="550"/>
      <c r="F1479" s="555"/>
      <c r="G1479" s="551"/>
      <c r="H1479" s="220"/>
      <c r="M1479" s="590"/>
    </row>
    <row r="1480" spans="2:13" ht="18.75" customHeight="1" x14ac:dyDescent="0.25">
      <c r="B1480" s="550" t="s">
        <v>627</v>
      </c>
      <c r="C1480" s="223" t="s">
        <v>628</v>
      </c>
      <c r="D1480" s="550"/>
      <c r="E1480" s="224"/>
      <c r="F1480" s="225"/>
      <c r="G1480" s="290"/>
      <c r="H1480" s="226"/>
      <c r="M1480" s="225"/>
    </row>
    <row r="1481" spans="2:13" ht="18.75" customHeight="1" x14ac:dyDescent="0.25">
      <c r="B1481" s="550"/>
      <c r="C1481" s="227" t="s">
        <v>629</v>
      </c>
      <c r="D1481" s="550" t="s">
        <v>630</v>
      </c>
      <c r="E1481" s="224" t="s">
        <v>631</v>
      </c>
      <c r="F1481" s="228">
        <f t="shared" ref="F1481:F1484" si="69">$K$8*M1481</f>
        <v>2.5000000000000001E-2</v>
      </c>
      <c r="G1481" s="229">
        <f>G1456</f>
        <v>95000</v>
      </c>
      <c r="H1481" s="230">
        <f>+G1481*F1481</f>
        <v>2375</v>
      </c>
      <c r="M1481" s="228">
        <v>2.5000000000000001E-2</v>
      </c>
    </row>
    <row r="1482" spans="2:13" ht="18.75" customHeight="1" x14ac:dyDescent="0.25">
      <c r="B1482" s="550"/>
      <c r="C1482" s="227" t="s">
        <v>1508</v>
      </c>
      <c r="D1482" s="550" t="s">
        <v>632</v>
      </c>
      <c r="E1482" s="224" t="s">
        <v>631</v>
      </c>
      <c r="F1482" s="228">
        <f t="shared" si="69"/>
        <v>2.5000000000000001E-2</v>
      </c>
      <c r="G1482" s="229">
        <f>G1457</f>
        <v>110000</v>
      </c>
      <c r="H1482" s="230">
        <f>+G1482*F1482</f>
        <v>2750</v>
      </c>
      <c r="M1482" s="228">
        <v>2.5000000000000001E-2</v>
      </c>
    </row>
    <row r="1483" spans="2:13" ht="18.75" customHeight="1" x14ac:dyDescent="0.25">
      <c r="B1483" s="550"/>
      <c r="C1483" s="227" t="s">
        <v>633</v>
      </c>
      <c r="D1483" s="550" t="s">
        <v>634</v>
      </c>
      <c r="E1483" s="224" t="s">
        <v>631</v>
      </c>
      <c r="F1483" s="228">
        <f t="shared" si="69"/>
        <v>2.5000000000000001E-2</v>
      </c>
      <c r="G1483" s="229">
        <f>G1458</f>
        <v>115000</v>
      </c>
      <c r="H1483" s="230">
        <f>+G1483*F1483</f>
        <v>2875</v>
      </c>
      <c r="M1483" s="228">
        <v>2.5000000000000001E-2</v>
      </c>
    </row>
    <row r="1484" spans="2:13" ht="18.75" customHeight="1" x14ac:dyDescent="0.25">
      <c r="B1484" s="550"/>
      <c r="C1484" s="227" t="s">
        <v>600</v>
      </c>
      <c r="D1484" s="550" t="s">
        <v>635</v>
      </c>
      <c r="E1484" s="224" t="s">
        <v>631</v>
      </c>
      <c r="F1484" s="228">
        <f t="shared" si="69"/>
        <v>1E-3</v>
      </c>
      <c r="G1484" s="229">
        <f>G1459</f>
        <v>140000</v>
      </c>
      <c r="H1484" s="230">
        <f>+G1484*F1484</f>
        <v>140</v>
      </c>
      <c r="M1484" s="228">
        <v>1E-3</v>
      </c>
    </row>
    <row r="1485" spans="2:13" ht="18.75" customHeight="1" x14ac:dyDescent="0.25">
      <c r="B1485" s="550"/>
      <c r="C1485" s="223"/>
      <c r="D1485" s="550"/>
      <c r="E1485" s="224"/>
      <c r="F1485" s="233" t="s">
        <v>636</v>
      </c>
      <c r="G1485" s="290"/>
      <c r="H1485" s="231">
        <f>SUM(H1481:H1484)</f>
        <v>8140</v>
      </c>
      <c r="M1485" s="233" t="s">
        <v>636</v>
      </c>
    </row>
    <row r="1486" spans="2:13" ht="18.75" customHeight="1" x14ac:dyDescent="0.25">
      <c r="B1486" s="550"/>
      <c r="C1486" s="223"/>
      <c r="D1486" s="550"/>
      <c r="E1486" s="224"/>
      <c r="F1486" s="233"/>
      <c r="G1486" s="290"/>
      <c r="H1486" s="231"/>
      <c r="M1486" s="233"/>
    </row>
    <row r="1487" spans="2:13" ht="18.75" customHeight="1" x14ac:dyDescent="0.25">
      <c r="B1487" s="550" t="s">
        <v>637</v>
      </c>
      <c r="C1487" s="223" t="s">
        <v>638</v>
      </c>
      <c r="D1487" s="550"/>
      <c r="E1487" s="224"/>
      <c r="F1487" s="225"/>
      <c r="G1487" s="290"/>
      <c r="H1487" s="226"/>
      <c r="M1487" s="225"/>
    </row>
    <row r="1488" spans="2:13" ht="18.75" customHeight="1" x14ac:dyDescent="0.25">
      <c r="B1488" s="550"/>
      <c r="C1488" s="223" t="s">
        <v>759</v>
      </c>
      <c r="D1488" s="550"/>
      <c r="E1488" s="550" t="s">
        <v>62</v>
      </c>
      <c r="F1488" s="233">
        <v>10.5</v>
      </c>
      <c r="G1488" s="234">
        <f>Bahan!D155</f>
        <v>30000</v>
      </c>
      <c r="H1488" s="230">
        <f>+G1488*F1488</f>
        <v>315000</v>
      </c>
      <c r="M1488" s="233">
        <v>10.5</v>
      </c>
    </row>
    <row r="1489" spans="2:13" ht="18.75" customHeight="1" x14ac:dyDescent="0.25">
      <c r="B1489" s="550"/>
      <c r="C1489" s="223" t="s">
        <v>716</v>
      </c>
      <c r="D1489" s="550"/>
      <c r="E1489" s="550" t="s">
        <v>62</v>
      </c>
      <c r="F1489" s="233">
        <v>0.1</v>
      </c>
      <c r="G1489" s="234">
        <f>G1464</f>
        <v>15500</v>
      </c>
      <c r="H1489" s="230">
        <f>+G1489*F1489</f>
        <v>1550</v>
      </c>
      <c r="M1489" s="233">
        <v>0.1</v>
      </c>
    </row>
    <row r="1490" spans="2:13" ht="18.75" customHeight="1" x14ac:dyDescent="0.25">
      <c r="B1490" s="550"/>
      <c r="C1490" s="223"/>
      <c r="D1490" s="550"/>
      <c r="E1490" s="224"/>
      <c r="F1490" s="237" t="s">
        <v>643</v>
      </c>
      <c r="G1490" s="290"/>
      <c r="H1490" s="231">
        <f>SUM(H1488:H1489)</f>
        <v>316550</v>
      </c>
      <c r="M1490" s="237" t="s">
        <v>643</v>
      </c>
    </row>
    <row r="1491" spans="2:13" ht="18.75" customHeight="1" x14ac:dyDescent="0.25">
      <c r="B1491" s="550"/>
      <c r="C1491" s="223"/>
      <c r="D1491" s="550"/>
      <c r="E1491" s="224"/>
      <c r="F1491" s="225"/>
      <c r="G1491" s="290"/>
      <c r="H1491" s="226"/>
      <c r="M1491" s="225"/>
    </row>
    <row r="1492" spans="2:13" ht="18.75" customHeight="1" x14ac:dyDescent="0.25">
      <c r="B1492" s="550" t="s">
        <v>644</v>
      </c>
      <c r="C1492" s="223" t="s">
        <v>645</v>
      </c>
      <c r="D1492" s="550"/>
      <c r="E1492" s="224"/>
      <c r="F1492" s="225"/>
      <c r="G1492" s="290"/>
      <c r="H1492" s="235"/>
      <c r="M1492" s="225"/>
    </row>
    <row r="1493" spans="2:13" ht="18.75" customHeight="1" x14ac:dyDescent="0.25">
      <c r="B1493" s="236"/>
      <c r="C1493" s="232"/>
      <c r="D1493" s="550"/>
      <c r="E1493" s="224"/>
      <c r="F1493" s="237" t="s">
        <v>646</v>
      </c>
      <c r="G1493" s="290"/>
      <c r="H1493" s="230">
        <f>SUM(H1492:H1492)</f>
        <v>0</v>
      </c>
      <c r="M1493" s="237" t="s">
        <v>646</v>
      </c>
    </row>
    <row r="1494" spans="2:13" ht="18.75" customHeight="1" x14ac:dyDescent="0.25">
      <c r="B1494" s="236"/>
      <c r="C1494" s="232"/>
      <c r="D1494" s="550"/>
      <c r="E1494" s="224"/>
      <c r="F1494" s="237"/>
      <c r="G1494" s="290"/>
      <c r="H1494" s="226"/>
      <c r="M1494" s="237"/>
    </row>
    <row r="1495" spans="2:13" ht="18.75" customHeight="1" x14ac:dyDescent="0.25">
      <c r="B1495" s="248"/>
      <c r="C1495" s="238"/>
      <c r="D1495" s="239"/>
      <c r="E1495" s="240"/>
      <c r="F1495" s="241"/>
      <c r="G1495" s="291"/>
      <c r="H1495" s="251"/>
      <c r="M1495" s="241"/>
    </row>
    <row r="1496" spans="2:13" ht="18.75" customHeight="1" x14ac:dyDescent="0.25">
      <c r="B1496" s="249" t="s">
        <v>647</v>
      </c>
      <c r="C1496" s="104" t="s">
        <v>648</v>
      </c>
      <c r="D1496" s="435"/>
      <c r="E1496" s="92"/>
      <c r="F1496" s="183"/>
      <c r="G1496" s="167"/>
      <c r="H1496" s="252">
        <f>+H1493+H1490+H1485</f>
        <v>324690</v>
      </c>
      <c r="M1496" s="183"/>
    </row>
    <row r="1497" spans="2:13" ht="18.75" customHeight="1" x14ac:dyDescent="0.25">
      <c r="B1497" s="249" t="s">
        <v>649</v>
      </c>
      <c r="C1497" s="242" t="s">
        <v>650</v>
      </c>
      <c r="D1497" s="435"/>
      <c r="E1497" s="92"/>
      <c r="F1497" s="184" t="str">
        <f>$J$5</f>
        <v>8,0 % x D</v>
      </c>
      <c r="G1497" s="167"/>
      <c r="H1497" s="253">
        <f>+H1496*$K$5</f>
        <v>25975.200000000001</v>
      </c>
      <c r="M1497" s="184" t="str">
        <f>$J$5</f>
        <v>8,0 % x D</v>
      </c>
    </row>
    <row r="1498" spans="2:13" ht="18.75" customHeight="1" x14ac:dyDescent="0.25">
      <c r="B1498" s="249" t="s">
        <v>651</v>
      </c>
      <c r="C1498" s="111" t="s">
        <v>652</v>
      </c>
      <c r="D1498" s="435"/>
      <c r="E1498" s="91"/>
      <c r="F1498" s="185"/>
      <c r="G1498" s="168"/>
      <c r="H1498" s="254">
        <f>ROUNDUP((H1497+H1496)/100,0)*100</f>
        <v>350700</v>
      </c>
      <c r="M1498" s="185"/>
    </row>
    <row r="1499" spans="2:13" ht="18.75" customHeight="1" x14ac:dyDescent="0.25">
      <c r="B1499" s="250"/>
      <c r="C1499" s="258"/>
      <c r="D1499" s="245"/>
      <c r="E1499" s="335"/>
      <c r="F1499" s="336"/>
      <c r="G1499" s="337"/>
      <c r="H1499" s="338"/>
      <c r="M1499" s="336"/>
    </row>
    <row r="1500" spans="2:13" ht="18.75" customHeight="1" x14ac:dyDescent="0.25">
      <c r="G1500" s="66"/>
      <c r="H1500" s="138"/>
    </row>
    <row r="1501" spans="2:13" ht="18.75" customHeight="1" x14ac:dyDescent="0.25">
      <c r="B1501" s="19">
        <f>B1476+1</f>
        <v>17</v>
      </c>
      <c r="C1501" s="93" t="s">
        <v>760</v>
      </c>
      <c r="D1501" s="19"/>
      <c r="E1501" s="21"/>
      <c r="F1501" s="176"/>
      <c r="G1501" s="165"/>
      <c r="H1501" s="119"/>
      <c r="M1501" s="176"/>
    </row>
    <row r="1502" spans="2:13" ht="18.75" customHeight="1" x14ac:dyDescent="0.25">
      <c r="B1502" s="618" t="s">
        <v>620</v>
      </c>
      <c r="C1502" s="620" t="s">
        <v>621</v>
      </c>
      <c r="D1502" s="618" t="s">
        <v>622</v>
      </c>
      <c r="E1502" s="618" t="s">
        <v>2</v>
      </c>
      <c r="F1502" s="615" t="s">
        <v>623</v>
      </c>
      <c r="G1502" s="289" t="s">
        <v>624</v>
      </c>
      <c r="H1502" s="256" t="s">
        <v>625</v>
      </c>
      <c r="M1502" s="615" t="s">
        <v>623</v>
      </c>
    </row>
    <row r="1503" spans="2:13" ht="18.75" customHeight="1" x14ac:dyDescent="0.25">
      <c r="B1503" s="619"/>
      <c r="C1503" s="621"/>
      <c r="D1503" s="619"/>
      <c r="E1503" s="619"/>
      <c r="F1503" s="616"/>
      <c r="G1503" s="289" t="s">
        <v>626</v>
      </c>
      <c r="H1503" s="256" t="s">
        <v>626</v>
      </c>
      <c r="M1503" s="616"/>
    </row>
    <row r="1504" spans="2:13" ht="18.75" customHeight="1" x14ac:dyDescent="0.25">
      <c r="B1504" s="221"/>
      <c r="C1504" s="222"/>
      <c r="D1504" s="221"/>
      <c r="E1504" s="550"/>
      <c r="F1504" s="555"/>
      <c r="G1504" s="551"/>
      <c r="H1504" s="220"/>
      <c r="M1504" s="590"/>
    </row>
    <row r="1505" spans="2:13" ht="18.75" customHeight="1" x14ac:dyDescent="0.25">
      <c r="B1505" s="550" t="s">
        <v>627</v>
      </c>
      <c r="C1505" s="223" t="s">
        <v>628</v>
      </c>
      <c r="D1505" s="550"/>
      <c r="E1505" s="224"/>
      <c r="F1505" s="225"/>
      <c r="G1505" s="290"/>
      <c r="H1505" s="226"/>
      <c r="M1505" s="225"/>
    </row>
    <row r="1506" spans="2:13" ht="18.75" customHeight="1" x14ac:dyDescent="0.25">
      <c r="B1506" s="550"/>
      <c r="C1506" s="227" t="s">
        <v>629</v>
      </c>
      <c r="D1506" s="550" t="s">
        <v>630</v>
      </c>
      <c r="E1506" s="224" t="s">
        <v>631</v>
      </c>
      <c r="F1506" s="228">
        <f t="shared" ref="F1506:F1509" si="70">$K$8*M1506</f>
        <v>0.52</v>
      </c>
      <c r="G1506" s="229">
        <f>G1481</f>
        <v>95000</v>
      </c>
      <c r="H1506" s="230">
        <f>+G1506*F1506</f>
        <v>49400</v>
      </c>
      <c r="M1506" s="228">
        <v>0.52</v>
      </c>
    </row>
    <row r="1507" spans="2:13" ht="18.75" customHeight="1" x14ac:dyDescent="0.25">
      <c r="B1507" s="550"/>
      <c r="C1507" s="227" t="s">
        <v>1508</v>
      </c>
      <c r="D1507" s="550" t="s">
        <v>632</v>
      </c>
      <c r="E1507" s="224" t="s">
        <v>631</v>
      </c>
      <c r="F1507" s="228">
        <f t="shared" si="70"/>
        <v>0.26</v>
      </c>
      <c r="G1507" s="229">
        <f>G1482</f>
        <v>110000</v>
      </c>
      <c r="H1507" s="230">
        <f>+G1507*F1507</f>
        <v>28600</v>
      </c>
      <c r="M1507" s="228">
        <v>0.26</v>
      </c>
    </row>
    <row r="1508" spans="2:13" ht="18.75" customHeight="1" x14ac:dyDescent="0.25">
      <c r="B1508" s="550"/>
      <c r="C1508" s="227" t="s">
        <v>633</v>
      </c>
      <c r="D1508" s="550" t="s">
        <v>634</v>
      </c>
      <c r="E1508" s="224" t="s">
        <v>631</v>
      </c>
      <c r="F1508" s="228">
        <f t="shared" si="70"/>
        <v>2.5999999999999999E-2</v>
      </c>
      <c r="G1508" s="229">
        <f>G1483</f>
        <v>115000</v>
      </c>
      <c r="H1508" s="230">
        <f>+G1508*F1508</f>
        <v>2990</v>
      </c>
      <c r="M1508" s="228">
        <v>2.5999999999999999E-2</v>
      </c>
    </row>
    <row r="1509" spans="2:13" ht="18.75" customHeight="1" x14ac:dyDescent="0.25">
      <c r="B1509" s="550"/>
      <c r="C1509" s="227" t="s">
        <v>600</v>
      </c>
      <c r="D1509" s="550" t="s">
        <v>635</v>
      </c>
      <c r="E1509" s="224" t="s">
        <v>631</v>
      </c>
      <c r="F1509" s="228">
        <f t="shared" si="70"/>
        <v>2.5999999999999999E-2</v>
      </c>
      <c r="G1509" s="229">
        <f>G1484</f>
        <v>140000</v>
      </c>
      <c r="H1509" s="230">
        <f>+G1509*F1509</f>
        <v>3640</v>
      </c>
      <c r="M1509" s="228">
        <v>2.5999999999999999E-2</v>
      </c>
    </row>
    <row r="1510" spans="2:13" ht="18.75" customHeight="1" x14ac:dyDescent="0.25">
      <c r="B1510" s="550"/>
      <c r="C1510" s="223"/>
      <c r="D1510" s="550"/>
      <c r="E1510" s="224"/>
      <c r="F1510" s="233" t="s">
        <v>636</v>
      </c>
      <c r="G1510" s="290"/>
      <c r="H1510" s="231">
        <f>SUM(H1506:H1509)</f>
        <v>84630</v>
      </c>
      <c r="M1510" s="233" t="s">
        <v>636</v>
      </c>
    </row>
    <row r="1511" spans="2:13" ht="18.75" customHeight="1" x14ac:dyDescent="0.25">
      <c r="B1511" s="550"/>
      <c r="C1511" s="223"/>
      <c r="D1511" s="550"/>
      <c r="E1511" s="224"/>
      <c r="F1511" s="233"/>
      <c r="G1511" s="290"/>
      <c r="H1511" s="231"/>
      <c r="M1511" s="233"/>
    </row>
    <row r="1512" spans="2:13" ht="18.75" customHeight="1" x14ac:dyDescent="0.25">
      <c r="B1512" s="550" t="s">
        <v>637</v>
      </c>
      <c r="C1512" s="223" t="s">
        <v>638</v>
      </c>
      <c r="D1512" s="550"/>
      <c r="E1512" s="224"/>
      <c r="F1512" s="225"/>
      <c r="G1512" s="290"/>
      <c r="H1512" s="226"/>
      <c r="M1512" s="225"/>
    </row>
    <row r="1513" spans="2:13" ht="18.75" customHeight="1" x14ac:dyDescent="0.25">
      <c r="B1513" s="550"/>
      <c r="C1513" s="223" t="s">
        <v>1236</v>
      </c>
      <c r="D1513" s="550"/>
      <c r="E1513" s="550" t="s">
        <v>52</v>
      </c>
      <c r="F1513" s="233">
        <v>0.04</v>
      </c>
      <c r="G1513" s="234">
        <f>G165</f>
        <v>3900000</v>
      </c>
      <c r="H1513" s="230">
        <f>+G1513*F1513</f>
        <v>156000</v>
      </c>
      <c r="M1513" s="233">
        <v>0.04</v>
      </c>
    </row>
    <row r="1514" spans="2:13" ht="18.75" customHeight="1" x14ac:dyDescent="0.25">
      <c r="B1514" s="550"/>
      <c r="C1514" s="223" t="s">
        <v>761</v>
      </c>
      <c r="D1514" s="550"/>
      <c r="E1514" s="550" t="s">
        <v>62</v>
      </c>
      <c r="F1514" s="233">
        <v>0.3</v>
      </c>
      <c r="G1514" s="234">
        <f>G166</f>
        <v>25000</v>
      </c>
      <c r="H1514" s="230">
        <f>+G1514*F1514</f>
        <v>7500</v>
      </c>
      <c r="M1514" s="233">
        <v>0.3</v>
      </c>
    </row>
    <row r="1515" spans="2:13" ht="18.75" customHeight="1" x14ac:dyDescent="0.25">
      <c r="B1515" s="550"/>
      <c r="C1515" s="223" t="s">
        <v>248</v>
      </c>
      <c r="D1515" s="550"/>
      <c r="E1515" s="550" t="s">
        <v>743</v>
      </c>
      <c r="F1515" s="233">
        <v>0.1</v>
      </c>
      <c r="G1515" s="234">
        <f>G1027</f>
        <v>23000</v>
      </c>
      <c r="H1515" s="230">
        <f>+G1515*F1515</f>
        <v>2300</v>
      </c>
      <c r="M1515" s="233">
        <v>0.1</v>
      </c>
    </row>
    <row r="1516" spans="2:13" ht="18.75" customHeight="1" x14ac:dyDescent="0.25">
      <c r="B1516" s="550"/>
      <c r="C1516" s="223"/>
      <c r="D1516" s="550"/>
      <c r="E1516" s="224"/>
      <c r="F1516" s="237" t="s">
        <v>643</v>
      </c>
      <c r="G1516" s="290"/>
      <c r="H1516" s="231">
        <f>SUM(H1513:H1515)</f>
        <v>165800</v>
      </c>
      <c r="M1516" s="237" t="s">
        <v>643</v>
      </c>
    </row>
    <row r="1517" spans="2:13" ht="18.75" customHeight="1" x14ac:dyDescent="0.25">
      <c r="B1517" s="550"/>
      <c r="C1517" s="223"/>
      <c r="D1517" s="550"/>
      <c r="E1517" s="224"/>
      <c r="F1517" s="225"/>
      <c r="G1517" s="290"/>
      <c r="H1517" s="226"/>
      <c r="M1517" s="225"/>
    </row>
    <row r="1518" spans="2:13" ht="18.75" customHeight="1" x14ac:dyDescent="0.25">
      <c r="B1518" s="550" t="s">
        <v>644</v>
      </c>
      <c r="C1518" s="223" t="s">
        <v>645</v>
      </c>
      <c r="D1518" s="550"/>
      <c r="E1518" s="224"/>
      <c r="F1518" s="225"/>
      <c r="G1518" s="290"/>
      <c r="H1518" s="235"/>
      <c r="M1518" s="225"/>
    </row>
    <row r="1519" spans="2:13" ht="18.75" customHeight="1" x14ac:dyDescent="0.25">
      <c r="B1519" s="236"/>
      <c r="C1519" s="232"/>
      <c r="D1519" s="550"/>
      <c r="E1519" s="224"/>
      <c r="F1519" s="237" t="s">
        <v>646</v>
      </c>
      <c r="G1519" s="290"/>
      <c r="H1519" s="230">
        <f>SUM(H1518:H1518)</f>
        <v>0</v>
      </c>
      <c r="M1519" s="237" t="s">
        <v>646</v>
      </c>
    </row>
    <row r="1520" spans="2:13" ht="18.75" customHeight="1" x14ac:dyDescent="0.25">
      <c r="B1520" s="236"/>
      <c r="C1520" s="232"/>
      <c r="D1520" s="550"/>
      <c r="E1520" s="224"/>
      <c r="F1520" s="237"/>
      <c r="G1520" s="290"/>
      <c r="H1520" s="226"/>
      <c r="M1520" s="237"/>
    </row>
    <row r="1521" spans="2:13" ht="18.75" customHeight="1" x14ac:dyDescent="0.25">
      <c r="B1521" s="248"/>
      <c r="C1521" s="238"/>
      <c r="D1521" s="239"/>
      <c r="E1521" s="240"/>
      <c r="F1521" s="241"/>
      <c r="G1521" s="291"/>
      <c r="H1521" s="251"/>
      <c r="M1521" s="241"/>
    </row>
    <row r="1522" spans="2:13" ht="18.75" customHeight="1" x14ac:dyDescent="0.25">
      <c r="B1522" s="249" t="s">
        <v>647</v>
      </c>
      <c r="C1522" s="104" t="s">
        <v>648</v>
      </c>
      <c r="D1522" s="435"/>
      <c r="E1522" s="92"/>
      <c r="F1522" s="183"/>
      <c r="G1522" s="167"/>
      <c r="H1522" s="252">
        <f>+H1519+H1516+H1510</f>
        <v>250430</v>
      </c>
      <c r="M1522" s="183"/>
    </row>
    <row r="1523" spans="2:13" ht="18.75" customHeight="1" x14ac:dyDescent="0.25">
      <c r="B1523" s="249" t="s">
        <v>649</v>
      </c>
      <c r="C1523" s="242" t="s">
        <v>650</v>
      </c>
      <c r="D1523" s="435"/>
      <c r="E1523" s="92"/>
      <c r="F1523" s="184" t="str">
        <f>$J$5</f>
        <v>8,0 % x D</v>
      </c>
      <c r="G1523" s="167"/>
      <c r="H1523" s="253">
        <f>+H1522*$K$5</f>
        <v>20034.400000000001</v>
      </c>
      <c r="M1523" s="184" t="str">
        <f>$J$5</f>
        <v>8,0 % x D</v>
      </c>
    </row>
    <row r="1524" spans="2:13" ht="18.75" customHeight="1" x14ac:dyDescent="0.25">
      <c r="B1524" s="249" t="s">
        <v>651</v>
      </c>
      <c r="C1524" s="111" t="s">
        <v>652</v>
      </c>
      <c r="D1524" s="435"/>
      <c r="E1524" s="91"/>
      <c r="F1524" s="185"/>
      <c r="G1524" s="168"/>
      <c r="H1524" s="254">
        <f>ROUNDUP((H1523+H1522)/100,0)*100</f>
        <v>270500</v>
      </c>
      <c r="M1524" s="185"/>
    </row>
    <row r="1525" spans="2:13" ht="18.75" customHeight="1" x14ac:dyDescent="0.25">
      <c r="B1525" s="259"/>
      <c r="C1525" s="261"/>
      <c r="D1525" s="245"/>
      <c r="E1525" s="246"/>
      <c r="F1525" s="247"/>
      <c r="G1525" s="298"/>
      <c r="H1525" s="260"/>
      <c r="M1525" s="247"/>
    </row>
    <row r="1526" spans="2:13" ht="18.75" customHeight="1" x14ac:dyDescent="0.25">
      <c r="G1526" s="66"/>
      <c r="H1526" s="138"/>
    </row>
    <row r="1527" spans="2:13" ht="18.75" customHeight="1" x14ac:dyDescent="0.25">
      <c r="B1527" s="19">
        <f>B1501+1</f>
        <v>18</v>
      </c>
      <c r="C1527" s="93" t="s">
        <v>762</v>
      </c>
      <c r="D1527" s="19"/>
      <c r="E1527" s="21"/>
      <c r="F1527" s="176"/>
      <c r="G1527" s="165"/>
      <c r="H1527" s="119"/>
      <c r="M1527" s="176"/>
    </row>
    <row r="1528" spans="2:13" ht="18.75" customHeight="1" x14ac:dyDescent="0.25">
      <c r="B1528" s="618" t="s">
        <v>620</v>
      </c>
      <c r="C1528" s="620" t="s">
        <v>621</v>
      </c>
      <c r="D1528" s="618" t="s">
        <v>622</v>
      </c>
      <c r="E1528" s="618" t="s">
        <v>2</v>
      </c>
      <c r="F1528" s="615" t="s">
        <v>623</v>
      </c>
      <c r="G1528" s="289" t="s">
        <v>624</v>
      </c>
      <c r="H1528" s="256" t="s">
        <v>625</v>
      </c>
      <c r="M1528" s="615" t="s">
        <v>623</v>
      </c>
    </row>
    <row r="1529" spans="2:13" ht="18.75" customHeight="1" x14ac:dyDescent="0.25">
      <c r="B1529" s="619"/>
      <c r="C1529" s="621"/>
      <c r="D1529" s="619"/>
      <c r="E1529" s="619"/>
      <c r="F1529" s="616"/>
      <c r="G1529" s="289" t="s">
        <v>626</v>
      </c>
      <c r="H1529" s="256" t="s">
        <v>626</v>
      </c>
      <c r="M1529" s="616"/>
    </row>
    <row r="1530" spans="2:13" ht="18.75" customHeight="1" x14ac:dyDescent="0.25">
      <c r="B1530" s="221"/>
      <c r="C1530" s="222"/>
      <c r="D1530" s="221"/>
      <c r="E1530" s="550"/>
      <c r="F1530" s="555"/>
      <c r="G1530" s="551"/>
      <c r="H1530" s="220"/>
      <c r="M1530" s="590"/>
    </row>
    <row r="1531" spans="2:13" ht="18.75" customHeight="1" x14ac:dyDescent="0.25">
      <c r="B1531" s="550" t="s">
        <v>627</v>
      </c>
      <c r="C1531" s="223" t="s">
        <v>628</v>
      </c>
      <c r="D1531" s="550"/>
      <c r="E1531" s="224"/>
      <c r="F1531" s="225"/>
      <c r="G1531" s="290"/>
      <c r="H1531" s="226"/>
      <c r="M1531" s="225"/>
    </row>
    <row r="1532" spans="2:13" ht="18.75" customHeight="1" x14ac:dyDescent="0.25">
      <c r="B1532" s="550"/>
      <c r="C1532" s="227" t="s">
        <v>629</v>
      </c>
      <c r="D1532" s="550" t="s">
        <v>630</v>
      </c>
      <c r="E1532" s="224" t="s">
        <v>631</v>
      </c>
      <c r="F1532" s="228">
        <f t="shared" ref="F1532:F1535" si="71">$K$8*M1532</f>
        <v>0.52</v>
      </c>
      <c r="G1532" s="229">
        <f>G1506</f>
        <v>95000</v>
      </c>
      <c r="H1532" s="230">
        <f>+G1532*F1532</f>
        <v>49400</v>
      </c>
      <c r="M1532" s="228">
        <v>0.52</v>
      </c>
    </row>
    <row r="1533" spans="2:13" ht="18.75" customHeight="1" x14ac:dyDescent="0.25">
      <c r="B1533" s="550"/>
      <c r="C1533" s="227" t="s">
        <v>1508</v>
      </c>
      <c r="D1533" s="550" t="s">
        <v>632</v>
      </c>
      <c r="E1533" s="224" t="s">
        <v>631</v>
      </c>
      <c r="F1533" s="228">
        <f t="shared" si="71"/>
        <v>0.26</v>
      </c>
      <c r="G1533" s="229">
        <f>G1507</f>
        <v>110000</v>
      </c>
      <c r="H1533" s="230">
        <f>+G1533*F1533</f>
        <v>28600</v>
      </c>
      <c r="M1533" s="228">
        <v>0.26</v>
      </c>
    </row>
    <row r="1534" spans="2:13" ht="18.75" customHeight="1" x14ac:dyDescent="0.25">
      <c r="B1534" s="550"/>
      <c r="C1534" s="227" t="s">
        <v>633</v>
      </c>
      <c r="D1534" s="550" t="s">
        <v>634</v>
      </c>
      <c r="E1534" s="224" t="s">
        <v>631</v>
      </c>
      <c r="F1534" s="228">
        <f t="shared" si="71"/>
        <v>2.5999999999999999E-2</v>
      </c>
      <c r="G1534" s="229">
        <f>G1508</f>
        <v>115000</v>
      </c>
      <c r="H1534" s="230">
        <f>+G1534*F1534</f>
        <v>2990</v>
      </c>
      <c r="M1534" s="228">
        <v>2.5999999999999999E-2</v>
      </c>
    </row>
    <row r="1535" spans="2:13" ht="18.75" customHeight="1" x14ac:dyDescent="0.25">
      <c r="B1535" s="550"/>
      <c r="C1535" s="227" t="s">
        <v>600</v>
      </c>
      <c r="D1535" s="550" t="s">
        <v>635</v>
      </c>
      <c r="E1535" s="224" t="s">
        <v>631</v>
      </c>
      <c r="F1535" s="228">
        <f t="shared" si="71"/>
        <v>2.5999999999999999E-2</v>
      </c>
      <c r="G1535" s="229">
        <f>G1509</f>
        <v>140000</v>
      </c>
      <c r="H1535" s="230">
        <f>+G1535*F1535</f>
        <v>3640</v>
      </c>
      <c r="M1535" s="228">
        <v>2.5999999999999999E-2</v>
      </c>
    </row>
    <row r="1536" spans="2:13" ht="18.75" customHeight="1" x14ac:dyDescent="0.25">
      <c r="B1536" s="550"/>
      <c r="C1536" s="223"/>
      <c r="D1536" s="550"/>
      <c r="E1536" s="224"/>
      <c r="F1536" s="233" t="s">
        <v>636</v>
      </c>
      <c r="G1536" s="290"/>
      <c r="H1536" s="231">
        <f>SUM(H1532:H1535)</f>
        <v>84630</v>
      </c>
      <c r="M1536" s="233" t="s">
        <v>636</v>
      </c>
    </row>
    <row r="1537" spans="2:13" ht="18.75" customHeight="1" x14ac:dyDescent="0.25">
      <c r="B1537" s="550"/>
      <c r="C1537" s="223"/>
      <c r="D1537" s="550"/>
      <c r="E1537" s="224"/>
      <c r="F1537" s="233"/>
      <c r="G1537" s="290"/>
      <c r="H1537" s="231"/>
      <c r="M1537" s="233"/>
    </row>
    <row r="1538" spans="2:13" ht="18.75" customHeight="1" x14ac:dyDescent="0.25">
      <c r="B1538" s="550" t="s">
        <v>637</v>
      </c>
      <c r="C1538" s="223" t="s">
        <v>638</v>
      </c>
      <c r="D1538" s="550"/>
      <c r="E1538" s="224"/>
      <c r="F1538" s="225"/>
      <c r="G1538" s="290"/>
      <c r="H1538" s="226"/>
      <c r="M1538" s="225"/>
    </row>
    <row r="1539" spans="2:13" ht="18.75" customHeight="1" x14ac:dyDescent="0.25">
      <c r="B1539" s="550"/>
      <c r="C1539" s="223" t="s">
        <v>1236</v>
      </c>
      <c r="D1539" s="550"/>
      <c r="E1539" s="550" t="s">
        <v>52</v>
      </c>
      <c r="F1539" s="233">
        <v>4.4999999999999998E-2</v>
      </c>
      <c r="G1539" s="234">
        <f>G1513</f>
        <v>3900000</v>
      </c>
      <c r="H1539" s="230">
        <f>+G1539*F1539</f>
        <v>175500</v>
      </c>
      <c r="M1539" s="233">
        <v>4.4999999999999998E-2</v>
      </c>
    </row>
    <row r="1540" spans="2:13" ht="18.75" customHeight="1" x14ac:dyDescent="0.25">
      <c r="B1540" s="550"/>
      <c r="C1540" s="223" t="s">
        <v>761</v>
      </c>
      <c r="D1540" s="550"/>
      <c r="E1540" s="550" t="s">
        <v>62</v>
      </c>
      <c r="F1540" s="233">
        <v>0.3</v>
      </c>
      <c r="G1540" s="234">
        <f>G1514</f>
        <v>25000</v>
      </c>
      <c r="H1540" s="230">
        <f>+G1540*F1540</f>
        <v>7500</v>
      </c>
      <c r="M1540" s="233">
        <v>0.3</v>
      </c>
    </row>
    <row r="1541" spans="2:13" ht="18.75" customHeight="1" x14ac:dyDescent="0.25">
      <c r="B1541" s="550"/>
      <c r="C1541" s="223" t="s">
        <v>248</v>
      </c>
      <c r="D1541" s="550"/>
      <c r="E1541" s="550" t="s">
        <v>743</v>
      </c>
      <c r="F1541" s="233">
        <v>0.1</v>
      </c>
      <c r="G1541" s="234">
        <f>G1515</f>
        <v>23000</v>
      </c>
      <c r="H1541" s="230">
        <f>+G1541*F1541</f>
        <v>2300</v>
      </c>
      <c r="M1541" s="233">
        <v>0.1</v>
      </c>
    </row>
    <row r="1542" spans="2:13" ht="18.75" customHeight="1" x14ac:dyDescent="0.25">
      <c r="B1542" s="550"/>
      <c r="C1542" s="223"/>
      <c r="D1542" s="550"/>
      <c r="E1542" s="224"/>
      <c r="F1542" s="237" t="s">
        <v>643</v>
      </c>
      <c r="G1542" s="290"/>
      <c r="H1542" s="231">
        <f>SUM(H1539:H1541)</f>
        <v>185300</v>
      </c>
      <c r="M1542" s="237" t="s">
        <v>643</v>
      </c>
    </row>
    <row r="1543" spans="2:13" ht="18.75" customHeight="1" x14ac:dyDescent="0.25">
      <c r="B1543" s="550"/>
      <c r="C1543" s="223"/>
      <c r="D1543" s="550"/>
      <c r="E1543" s="224"/>
      <c r="F1543" s="225"/>
      <c r="G1543" s="290"/>
      <c r="H1543" s="226"/>
      <c r="M1543" s="225"/>
    </row>
    <row r="1544" spans="2:13" ht="18.75" customHeight="1" x14ac:dyDescent="0.25">
      <c r="B1544" s="550" t="s">
        <v>644</v>
      </c>
      <c r="C1544" s="223" t="s">
        <v>645</v>
      </c>
      <c r="D1544" s="550"/>
      <c r="E1544" s="224"/>
      <c r="F1544" s="225"/>
      <c r="G1544" s="290"/>
      <c r="H1544" s="235"/>
      <c r="M1544" s="225"/>
    </row>
    <row r="1545" spans="2:13" ht="18.75" customHeight="1" x14ac:dyDescent="0.25">
      <c r="B1545" s="236"/>
      <c r="C1545" s="232"/>
      <c r="D1545" s="550"/>
      <c r="E1545" s="224"/>
      <c r="F1545" s="237" t="s">
        <v>646</v>
      </c>
      <c r="G1545" s="290"/>
      <c r="H1545" s="230">
        <f>SUM(H1544:H1544)</f>
        <v>0</v>
      </c>
      <c r="M1545" s="237" t="s">
        <v>646</v>
      </c>
    </row>
    <row r="1546" spans="2:13" ht="18.75" customHeight="1" x14ac:dyDescent="0.25">
      <c r="B1546" s="236"/>
      <c r="C1546" s="232"/>
      <c r="D1546" s="550"/>
      <c r="E1546" s="224"/>
      <c r="F1546" s="237"/>
      <c r="G1546" s="290"/>
      <c r="H1546" s="226"/>
      <c r="M1546" s="237"/>
    </row>
    <row r="1547" spans="2:13" ht="18.75" customHeight="1" x14ac:dyDescent="0.25">
      <c r="B1547" s="248"/>
      <c r="C1547" s="238"/>
      <c r="D1547" s="239"/>
      <c r="E1547" s="240"/>
      <c r="F1547" s="241"/>
      <c r="G1547" s="291"/>
      <c r="H1547" s="251"/>
      <c r="M1547" s="241"/>
    </row>
    <row r="1548" spans="2:13" ht="18.75" customHeight="1" x14ac:dyDescent="0.25">
      <c r="B1548" s="249" t="s">
        <v>647</v>
      </c>
      <c r="C1548" s="104" t="s">
        <v>648</v>
      </c>
      <c r="D1548" s="435"/>
      <c r="E1548" s="92"/>
      <c r="F1548" s="183"/>
      <c r="G1548" s="167"/>
      <c r="H1548" s="252">
        <f>SUM(H1532:H1545)/2</f>
        <v>269930</v>
      </c>
      <c r="M1548" s="183"/>
    </row>
    <row r="1549" spans="2:13" ht="18.75" customHeight="1" x14ac:dyDescent="0.25">
      <c r="B1549" s="249" t="s">
        <v>649</v>
      </c>
      <c r="C1549" s="242" t="s">
        <v>650</v>
      </c>
      <c r="D1549" s="435"/>
      <c r="E1549" s="92"/>
      <c r="F1549" s="184" t="str">
        <f>$J$5</f>
        <v>8,0 % x D</v>
      </c>
      <c r="G1549" s="167"/>
      <c r="H1549" s="253">
        <f>+H1548*$K$5</f>
        <v>21594.400000000001</v>
      </c>
      <c r="M1549" s="184" t="str">
        <f>$J$5</f>
        <v>8,0 % x D</v>
      </c>
    </row>
    <row r="1550" spans="2:13" ht="18.75" customHeight="1" x14ac:dyDescent="0.25">
      <c r="B1550" s="249" t="s">
        <v>651</v>
      </c>
      <c r="C1550" s="111" t="s">
        <v>652</v>
      </c>
      <c r="D1550" s="435"/>
      <c r="E1550" s="91"/>
      <c r="F1550" s="185"/>
      <c r="G1550" s="168"/>
      <c r="H1550" s="254">
        <f>ROUNDUP((H1549+H1548)/100,0)*100</f>
        <v>291600</v>
      </c>
      <c r="M1550" s="185"/>
    </row>
    <row r="1551" spans="2:13" ht="18.75" customHeight="1" x14ac:dyDescent="0.25">
      <c r="B1551" s="259"/>
      <c r="C1551" s="261"/>
      <c r="D1551" s="245"/>
      <c r="E1551" s="246"/>
      <c r="F1551" s="247"/>
      <c r="G1551" s="298"/>
      <c r="H1551" s="260"/>
      <c r="M1551" s="247"/>
    </row>
    <row r="1552" spans="2:13" ht="18.75" customHeight="1" x14ac:dyDescent="0.25">
      <c r="G1552" s="66"/>
      <c r="H1552" s="138"/>
    </row>
    <row r="1553" spans="2:13" ht="18.75" customHeight="1" x14ac:dyDescent="0.25">
      <c r="B1553" s="19">
        <f>B1527+1</f>
        <v>19</v>
      </c>
      <c r="C1553" s="93" t="s">
        <v>763</v>
      </c>
      <c r="D1553" s="19"/>
      <c r="E1553" s="21"/>
      <c r="F1553" s="176"/>
      <c r="G1553" s="165"/>
      <c r="H1553" s="119"/>
      <c r="M1553" s="176"/>
    </row>
    <row r="1554" spans="2:13" ht="18.75" customHeight="1" x14ac:dyDescent="0.25">
      <c r="B1554" s="618" t="s">
        <v>620</v>
      </c>
      <c r="C1554" s="620" t="s">
        <v>621</v>
      </c>
      <c r="D1554" s="618" t="s">
        <v>622</v>
      </c>
      <c r="E1554" s="618" t="s">
        <v>2</v>
      </c>
      <c r="F1554" s="615" t="s">
        <v>623</v>
      </c>
      <c r="G1554" s="289" t="s">
        <v>624</v>
      </c>
      <c r="H1554" s="256" t="s">
        <v>625</v>
      </c>
      <c r="M1554" s="615" t="s">
        <v>623</v>
      </c>
    </row>
    <row r="1555" spans="2:13" ht="18.75" customHeight="1" x14ac:dyDescent="0.25">
      <c r="B1555" s="619"/>
      <c r="C1555" s="621"/>
      <c r="D1555" s="619"/>
      <c r="E1555" s="619"/>
      <c r="F1555" s="616"/>
      <c r="G1555" s="289" t="s">
        <v>626</v>
      </c>
      <c r="H1555" s="256" t="s">
        <v>626</v>
      </c>
      <c r="M1555" s="616"/>
    </row>
    <row r="1556" spans="2:13" ht="18.75" customHeight="1" x14ac:dyDescent="0.25">
      <c r="B1556" s="221"/>
      <c r="C1556" s="222"/>
      <c r="D1556" s="221"/>
      <c r="E1556" s="550"/>
      <c r="F1556" s="555"/>
      <c r="G1556" s="551"/>
      <c r="H1556" s="220"/>
      <c r="M1556" s="590"/>
    </row>
    <row r="1557" spans="2:13" ht="18.75" customHeight="1" x14ac:dyDescent="0.25">
      <c r="B1557" s="550" t="s">
        <v>627</v>
      </c>
      <c r="C1557" s="223" t="s">
        <v>628</v>
      </c>
      <c r="D1557" s="550"/>
      <c r="E1557" s="224"/>
      <c r="F1557" s="225"/>
      <c r="G1557" s="290"/>
      <c r="H1557" s="226"/>
      <c r="M1557" s="225"/>
    </row>
    <row r="1558" spans="2:13" ht="18.75" customHeight="1" x14ac:dyDescent="0.25">
      <c r="B1558" s="550"/>
      <c r="C1558" s="227" t="s">
        <v>629</v>
      </c>
      <c r="D1558" s="550" t="s">
        <v>630</v>
      </c>
      <c r="E1558" s="224" t="s">
        <v>631</v>
      </c>
      <c r="F1558" s="228">
        <f t="shared" ref="F1558:F1561" si="72">$K$8*M1558</f>
        <v>0.66</v>
      </c>
      <c r="G1558" s="229">
        <f>G1532</f>
        <v>95000</v>
      </c>
      <c r="H1558" s="230">
        <f>+G1558*F1558</f>
        <v>62700</v>
      </c>
      <c r="M1558" s="228">
        <v>0.66</v>
      </c>
    </row>
    <row r="1559" spans="2:13" ht="18.75" customHeight="1" x14ac:dyDescent="0.25">
      <c r="B1559" s="550"/>
      <c r="C1559" s="227" t="s">
        <v>1508</v>
      </c>
      <c r="D1559" s="550" t="s">
        <v>632</v>
      </c>
      <c r="E1559" s="224" t="s">
        <v>631</v>
      </c>
      <c r="F1559" s="228">
        <f t="shared" si="72"/>
        <v>0.33</v>
      </c>
      <c r="G1559" s="229">
        <f>G1533</f>
        <v>110000</v>
      </c>
      <c r="H1559" s="230">
        <f>+G1559*F1559</f>
        <v>36300</v>
      </c>
      <c r="M1559" s="228">
        <v>0.33</v>
      </c>
    </row>
    <row r="1560" spans="2:13" ht="18.75" customHeight="1" x14ac:dyDescent="0.25">
      <c r="B1560" s="550"/>
      <c r="C1560" s="227" t="s">
        <v>633</v>
      </c>
      <c r="D1560" s="550" t="s">
        <v>634</v>
      </c>
      <c r="E1560" s="224" t="s">
        <v>631</v>
      </c>
      <c r="F1560" s="228">
        <f t="shared" si="72"/>
        <v>3.3000000000000002E-2</v>
      </c>
      <c r="G1560" s="229">
        <f>G1534</f>
        <v>115000</v>
      </c>
      <c r="H1560" s="230">
        <f>+G1560*F1560</f>
        <v>3795</v>
      </c>
      <c r="M1560" s="228">
        <v>3.3000000000000002E-2</v>
      </c>
    </row>
    <row r="1561" spans="2:13" ht="18.75" customHeight="1" x14ac:dyDescent="0.25">
      <c r="B1561" s="550"/>
      <c r="C1561" s="227" t="s">
        <v>600</v>
      </c>
      <c r="D1561" s="550" t="s">
        <v>635</v>
      </c>
      <c r="E1561" s="224" t="s">
        <v>631</v>
      </c>
      <c r="F1561" s="228">
        <f t="shared" si="72"/>
        <v>3.3000000000000002E-2</v>
      </c>
      <c r="G1561" s="229">
        <f>G1535</f>
        <v>140000</v>
      </c>
      <c r="H1561" s="230">
        <f>+G1561*F1561</f>
        <v>4620</v>
      </c>
      <c r="M1561" s="228">
        <v>3.3000000000000002E-2</v>
      </c>
    </row>
    <row r="1562" spans="2:13" ht="18.75" customHeight="1" x14ac:dyDescent="0.25">
      <c r="B1562" s="550"/>
      <c r="C1562" s="223"/>
      <c r="D1562" s="550"/>
      <c r="E1562" s="224"/>
      <c r="F1562" s="233" t="s">
        <v>636</v>
      </c>
      <c r="G1562" s="290"/>
      <c r="H1562" s="231">
        <f>SUM(H1558:H1561)</f>
        <v>107415</v>
      </c>
      <c r="M1562" s="233" t="s">
        <v>636</v>
      </c>
    </row>
    <row r="1563" spans="2:13" ht="18.75" customHeight="1" x14ac:dyDescent="0.25">
      <c r="B1563" s="550"/>
      <c r="C1563" s="223"/>
      <c r="D1563" s="550"/>
      <c r="E1563" s="224"/>
      <c r="F1563" s="233"/>
      <c r="G1563" s="290"/>
      <c r="H1563" s="231"/>
      <c r="M1563" s="233"/>
    </row>
    <row r="1564" spans="2:13" ht="18.75" customHeight="1" x14ac:dyDescent="0.25">
      <c r="B1564" s="550" t="s">
        <v>637</v>
      </c>
      <c r="C1564" s="223" t="s">
        <v>638</v>
      </c>
      <c r="D1564" s="550"/>
      <c r="E1564" s="224"/>
      <c r="F1564" s="225"/>
      <c r="G1564" s="290"/>
      <c r="H1564" s="226"/>
      <c r="M1564" s="225"/>
    </row>
    <row r="1565" spans="2:13" ht="18.75" customHeight="1" x14ac:dyDescent="0.25">
      <c r="B1565" s="550"/>
      <c r="C1565" s="223" t="s">
        <v>1236</v>
      </c>
      <c r="D1565" s="550"/>
      <c r="E1565" s="550" t="s">
        <v>52</v>
      </c>
      <c r="F1565" s="233">
        <v>0.04</v>
      </c>
      <c r="G1565" s="234">
        <f>G1539</f>
        <v>3900000</v>
      </c>
      <c r="H1565" s="230">
        <f t="shared" ref="H1565:H1570" si="73">+G1565*F1565</f>
        <v>156000</v>
      </c>
      <c r="M1565" s="233">
        <v>0.04</v>
      </c>
    </row>
    <row r="1566" spans="2:13" ht="18.75" customHeight="1" x14ac:dyDescent="0.25">
      <c r="B1566" s="550"/>
      <c r="C1566" s="223" t="s">
        <v>764</v>
      </c>
      <c r="D1566" s="550"/>
      <c r="E1566" s="550" t="s">
        <v>62</v>
      </c>
      <c r="F1566" s="233">
        <v>0.4</v>
      </c>
      <c r="G1566" s="234">
        <f>+G1540</f>
        <v>25000</v>
      </c>
      <c r="H1566" s="230">
        <f t="shared" si="73"/>
        <v>10000</v>
      </c>
      <c r="M1566" s="233">
        <v>0.4</v>
      </c>
    </row>
    <row r="1567" spans="2:13" ht="18.75" customHeight="1" x14ac:dyDescent="0.25">
      <c r="B1567" s="550"/>
      <c r="C1567" s="223" t="s">
        <v>248</v>
      </c>
      <c r="D1567" s="550"/>
      <c r="E1567" s="550" t="s">
        <v>743</v>
      </c>
      <c r="F1567" s="233">
        <v>0.2</v>
      </c>
      <c r="G1567" s="234">
        <f>+G1541</f>
        <v>23000</v>
      </c>
      <c r="H1567" s="230">
        <f t="shared" si="73"/>
        <v>4600</v>
      </c>
      <c r="M1567" s="233">
        <v>0.2</v>
      </c>
    </row>
    <row r="1568" spans="2:13" ht="18.75" customHeight="1" x14ac:dyDescent="0.25">
      <c r="B1568" s="550"/>
      <c r="C1568" s="223" t="s">
        <v>765</v>
      </c>
      <c r="D1568" s="550"/>
      <c r="E1568" s="550" t="s">
        <v>52</v>
      </c>
      <c r="F1568" s="233">
        <v>1.4999999999999999E-2</v>
      </c>
      <c r="G1568" s="234">
        <f>Bahan!D258</f>
        <v>4230000</v>
      </c>
      <c r="H1568" s="230">
        <f t="shared" si="73"/>
        <v>63450</v>
      </c>
      <c r="M1568" s="233">
        <v>1.4999999999999999E-2</v>
      </c>
    </row>
    <row r="1569" spans="2:13" ht="18.75" customHeight="1" x14ac:dyDescent="0.25">
      <c r="B1569" s="550"/>
      <c r="C1569" s="223" t="s">
        <v>766</v>
      </c>
      <c r="D1569" s="550"/>
      <c r="E1569" s="550" t="s">
        <v>18</v>
      </c>
      <c r="F1569" s="233">
        <v>0.35</v>
      </c>
      <c r="G1569" s="234">
        <f>Bahan!D540</f>
        <v>150000</v>
      </c>
      <c r="H1569" s="230">
        <f t="shared" si="73"/>
        <v>52500</v>
      </c>
      <c r="M1569" s="233">
        <v>0.35</v>
      </c>
    </row>
    <row r="1570" spans="2:13" ht="18.75" customHeight="1" x14ac:dyDescent="0.25">
      <c r="B1570" s="550"/>
      <c r="C1570" s="223" t="s">
        <v>1452</v>
      </c>
      <c r="D1570" s="550"/>
      <c r="E1570" s="550" t="s">
        <v>128</v>
      </c>
      <c r="F1570" s="233">
        <v>2</v>
      </c>
      <c r="G1570" s="234">
        <f>Bahan!D244</f>
        <v>34500</v>
      </c>
      <c r="H1570" s="230">
        <f t="shared" si="73"/>
        <v>69000</v>
      </c>
      <c r="M1570" s="233">
        <v>2</v>
      </c>
    </row>
    <row r="1571" spans="2:13" ht="18.75" customHeight="1" x14ac:dyDescent="0.25">
      <c r="B1571" s="550"/>
      <c r="C1571" s="223"/>
      <c r="D1571" s="550"/>
      <c r="E1571" s="224"/>
      <c r="F1571" s="237" t="s">
        <v>643</v>
      </c>
      <c r="G1571" s="290"/>
      <c r="H1571" s="231">
        <f>SUM(H1565:H1570)</f>
        <v>355550</v>
      </c>
      <c r="M1571" s="237" t="s">
        <v>643</v>
      </c>
    </row>
    <row r="1572" spans="2:13" ht="18.75" customHeight="1" x14ac:dyDescent="0.25">
      <c r="B1572" s="550"/>
      <c r="C1572" s="223"/>
      <c r="D1572" s="550"/>
      <c r="E1572" s="224"/>
      <c r="F1572" s="237"/>
      <c r="G1572" s="290"/>
      <c r="H1572" s="231"/>
      <c r="M1572" s="237"/>
    </row>
    <row r="1573" spans="2:13" ht="18.75" customHeight="1" x14ac:dyDescent="0.25">
      <c r="B1573" s="550" t="s">
        <v>644</v>
      </c>
      <c r="C1573" s="223" t="s">
        <v>645</v>
      </c>
      <c r="D1573" s="550"/>
      <c r="E1573" s="224"/>
      <c r="F1573" s="225"/>
      <c r="G1573" s="290"/>
      <c r="H1573" s="235"/>
      <c r="M1573" s="225"/>
    </row>
    <row r="1574" spans="2:13" ht="18.75" customHeight="1" x14ac:dyDescent="0.25">
      <c r="B1574" s="236"/>
      <c r="C1574" s="232"/>
      <c r="D1574" s="550"/>
      <c r="E1574" s="224"/>
      <c r="F1574" s="237" t="s">
        <v>646</v>
      </c>
      <c r="G1574" s="290"/>
      <c r="H1574" s="230">
        <f>SUM(H1573:H1573)</f>
        <v>0</v>
      </c>
      <c r="M1574" s="237" t="s">
        <v>646</v>
      </c>
    </row>
    <row r="1575" spans="2:13" ht="18.75" customHeight="1" x14ac:dyDescent="0.25">
      <c r="B1575" s="236"/>
      <c r="C1575" s="232"/>
      <c r="D1575" s="550"/>
      <c r="E1575" s="224"/>
      <c r="F1575" s="237"/>
      <c r="G1575" s="290"/>
      <c r="H1575" s="226"/>
      <c r="M1575" s="237"/>
    </row>
    <row r="1576" spans="2:13" ht="18.75" customHeight="1" x14ac:dyDescent="0.25">
      <c r="B1576" s="248"/>
      <c r="C1576" s="238"/>
      <c r="D1576" s="239"/>
      <c r="E1576" s="240"/>
      <c r="F1576" s="241"/>
      <c r="G1576" s="291"/>
      <c r="H1576" s="251"/>
      <c r="M1576" s="241"/>
    </row>
    <row r="1577" spans="2:13" ht="18.75" customHeight="1" x14ac:dyDescent="0.25">
      <c r="B1577" s="249" t="s">
        <v>647</v>
      </c>
      <c r="C1577" s="104" t="s">
        <v>648</v>
      </c>
      <c r="D1577" s="435"/>
      <c r="E1577" s="92"/>
      <c r="F1577" s="183"/>
      <c r="G1577" s="167"/>
      <c r="H1577" s="252">
        <f>+H1574+H1571+H1562</f>
        <v>462965</v>
      </c>
      <c r="M1577" s="183"/>
    </row>
    <row r="1578" spans="2:13" ht="18.75" customHeight="1" x14ac:dyDescent="0.25">
      <c r="B1578" s="249" t="s">
        <v>649</v>
      </c>
      <c r="C1578" s="242" t="s">
        <v>650</v>
      </c>
      <c r="D1578" s="435"/>
      <c r="E1578" s="92"/>
      <c r="F1578" s="184" t="str">
        <f>$J$5</f>
        <v>8,0 % x D</v>
      </c>
      <c r="G1578" s="167"/>
      <c r="H1578" s="253">
        <f>+H1577*$K$5</f>
        <v>37037.200000000004</v>
      </c>
      <c r="M1578" s="184" t="str">
        <f>$J$5</f>
        <v>8,0 % x D</v>
      </c>
    </row>
    <row r="1579" spans="2:13" ht="18.75" customHeight="1" x14ac:dyDescent="0.25">
      <c r="B1579" s="249" t="s">
        <v>651</v>
      </c>
      <c r="C1579" s="111" t="s">
        <v>652</v>
      </c>
      <c r="D1579" s="435"/>
      <c r="E1579" s="91"/>
      <c r="F1579" s="185"/>
      <c r="G1579" s="168"/>
      <c r="H1579" s="254">
        <f>ROUNDUP((H1578+H1577)/100,0)*100</f>
        <v>500100</v>
      </c>
      <c r="M1579" s="185"/>
    </row>
    <row r="1580" spans="2:13" ht="18.75" customHeight="1" x14ac:dyDescent="0.25">
      <c r="B1580" s="259"/>
      <c r="C1580" s="261"/>
      <c r="D1580" s="245"/>
      <c r="E1580" s="246"/>
      <c r="F1580" s="247"/>
      <c r="G1580" s="298"/>
      <c r="H1580" s="260"/>
      <c r="M1580" s="247"/>
    </row>
    <row r="1581" spans="2:13" ht="18.75" customHeight="1" x14ac:dyDescent="0.25">
      <c r="B1581" s="22"/>
      <c r="C1581" s="104"/>
      <c r="E1581" s="21"/>
      <c r="F1581" s="176"/>
      <c r="G1581" s="165"/>
      <c r="H1581" s="119"/>
      <c r="M1581" s="176"/>
    </row>
    <row r="1582" spans="2:13" ht="18.75" customHeight="1" x14ac:dyDescent="0.25">
      <c r="B1582" s="19">
        <f>B1553+1</f>
        <v>20</v>
      </c>
      <c r="C1582" s="93" t="s">
        <v>767</v>
      </c>
      <c r="D1582" s="19"/>
      <c r="E1582" s="21"/>
      <c r="F1582" s="176"/>
      <c r="G1582" s="165"/>
      <c r="H1582" s="119"/>
      <c r="M1582" s="176"/>
    </row>
    <row r="1583" spans="2:13" ht="18.75" customHeight="1" x14ac:dyDescent="0.25">
      <c r="B1583" s="618" t="s">
        <v>620</v>
      </c>
      <c r="C1583" s="620" t="s">
        <v>621</v>
      </c>
      <c r="D1583" s="618" t="s">
        <v>622</v>
      </c>
      <c r="E1583" s="618" t="s">
        <v>2</v>
      </c>
      <c r="F1583" s="615" t="s">
        <v>623</v>
      </c>
      <c r="G1583" s="289" t="s">
        <v>624</v>
      </c>
      <c r="H1583" s="256" t="s">
        <v>625</v>
      </c>
      <c r="M1583" s="615" t="s">
        <v>623</v>
      </c>
    </row>
    <row r="1584" spans="2:13" ht="18.75" customHeight="1" x14ac:dyDescent="0.25">
      <c r="B1584" s="619"/>
      <c r="C1584" s="621"/>
      <c r="D1584" s="619"/>
      <c r="E1584" s="619"/>
      <c r="F1584" s="616"/>
      <c r="G1584" s="289" t="s">
        <v>626</v>
      </c>
      <c r="H1584" s="256" t="s">
        <v>626</v>
      </c>
      <c r="M1584" s="616"/>
    </row>
    <row r="1585" spans="2:13" ht="18.75" customHeight="1" x14ac:dyDescent="0.25">
      <c r="B1585" s="221"/>
      <c r="C1585" s="222"/>
      <c r="D1585" s="221"/>
      <c r="E1585" s="550"/>
      <c r="F1585" s="555"/>
      <c r="G1585" s="551"/>
      <c r="H1585" s="220"/>
      <c r="M1585" s="590"/>
    </row>
    <row r="1586" spans="2:13" ht="18.75" customHeight="1" x14ac:dyDescent="0.25">
      <c r="B1586" s="550" t="s">
        <v>627</v>
      </c>
      <c r="C1586" s="223" t="s">
        <v>628</v>
      </c>
      <c r="D1586" s="550"/>
      <c r="E1586" s="224"/>
      <c r="F1586" s="225"/>
      <c r="G1586" s="290"/>
      <c r="H1586" s="226"/>
      <c r="M1586" s="225"/>
    </row>
    <row r="1587" spans="2:13" ht="18.75" customHeight="1" x14ac:dyDescent="0.25">
      <c r="B1587" s="550"/>
      <c r="C1587" s="227" t="s">
        <v>629</v>
      </c>
      <c r="D1587" s="550" t="s">
        <v>630</v>
      </c>
      <c r="E1587" s="224" t="s">
        <v>631</v>
      </c>
      <c r="F1587" s="228">
        <f t="shared" ref="F1587:F1590" si="74">$K$8*M1587</f>
        <v>0.66</v>
      </c>
      <c r="G1587" s="229">
        <f>G1558</f>
        <v>95000</v>
      </c>
      <c r="H1587" s="230">
        <f>+G1587*F1587</f>
        <v>62700</v>
      </c>
      <c r="M1587" s="228">
        <v>0.66</v>
      </c>
    </row>
    <row r="1588" spans="2:13" ht="18.75" customHeight="1" x14ac:dyDescent="0.25">
      <c r="B1588" s="550"/>
      <c r="C1588" s="227" t="s">
        <v>1508</v>
      </c>
      <c r="D1588" s="550" t="s">
        <v>632</v>
      </c>
      <c r="E1588" s="224" t="s">
        <v>631</v>
      </c>
      <c r="F1588" s="228">
        <f t="shared" si="74"/>
        <v>0.33</v>
      </c>
      <c r="G1588" s="229">
        <f>G1559</f>
        <v>110000</v>
      </c>
      <c r="H1588" s="230">
        <f>+G1588*F1588</f>
        <v>36300</v>
      </c>
      <c r="M1588" s="228">
        <v>0.33</v>
      </c>
    </row>
    <row r="1589" spans="2:13" ht="18.75" customHeight="1" x14ac:dyDescent="0.25">
      <c r="B1589" s="550"/>
      <c r="C1589" s="227" t="s">
        <v>633</v>
      </c>
      <c r="D1589" s="550" t="s">
        <v>634</v>
      </c>
      <c r="E1589" s="224" t="s">
        <v>631</v>
      </c>
      <c r="F1589" s="228">
        <f t="shared" si="74"/>
        <v>3.3000000000000002E-2</v>
      </c>
      <c r="G1589" s="229">
        <f>G1560</f>
        <v>115000</v>
      </c>
      <c r="H1589" s="230">
        <f>+G1589*F1589</f>
        <v>3795</v>
      </c>
      <c r="M1589" s="228">
        <v>3.3000000000000002E-2</v>
      </c>
    </row>
    <row r="1590" spans="2:13" ht="18.75" customHeight="1" x14ac:dyDescent="0.25">
      <c r="B1590" s="550"/>
      <c r="C1590" s="227" t="s">
        <v>600</v>
      </c>
      <c r="D1590" s="550" t="s">
        <v>635</v>
      </c>
      <c r="E1590" s="224" t="s">
        <v>631</v>
      </c>
      <c r="F1590" s="228">
        <f t="shared" si="74"/>
        <v>3.3000000000000002E-2</v>
      </c>
      <c r="G1590" s="229">
        <f>G1561</f>
        <v>140000</v>
      </c>
      <c r="H1590" s="230">
        <f>+G1590*F1590</f>
        <v>4620</v>
      </c>
      <c r="M1590" s="228">
        <v>3.3000000000000002E-2</v>
      </c>
    </row>
    <row r="1591" spans="2:13" ht="18.75" customHeight="1" x14ac:dyDescent="0.25">
      <c r="B1591" s="550"/>
      <c r="C1591" s="223"/>
      <c r="D1591" s="550"/>
      <c r="E1591" s="224"/>
      <c r="F1591" s="233" t="s">
        <v>636</v>
      </c>
      <c r="G1591" s="290"/>
      <c r="H1591" s="231">
        <f>SUM(H1587:H1590)</f>
        <v>107415</v>
      </c>
      <c r="M1591" s="233" t="s">
        <v>636</v>
      </c>
    </row>
    <row r="1592" spans="2:13" ht="18.75" customHeight="1" x14ac:dyDescent="0.25">
      <c r="B1592" s="550"/>
      <c r="C1592" s="223"/>
      <c r="D1592" s="550"/>
      <c r="E1592" s="224"/>
      <c r="F1592" s="233"/>
      <c r="G1592" s="290"/>
      <c r="H1592" s="231"/>
      <c r="M1592" s="233"/>
    </row>
    <row r="1593" spans="2:13" ht="18.75" customHeight="1" x14ac:dyDescent="0.25">
      <c r="B1593" s="550" t="s">
        <v>637</v>
      </c>
      <c r="C1593" s="223" t="s">
        <v>638</v>
      </c>
      <c r="D1593" s="550"/>
      <c r="E1593" s="224"/>
      <c r="F1593" s="225"/>
      <c r="G1593" s="290"/>
      <c r="H1593" s="226"/>
      <c r="M1593" s="225"/>
    </row>
    <row r="1594" spans="2:13" ht="18.75" customHeight="1" x14ac:dyDescent="0.25">
      <c r="B1594" s="550"/>
      <c r="C1594" s="223" t="s">
        <v>768</v>
      </c>
      <c r="D1594" s="550"/>
      <c r="E1594" s="550" t="s">
        <v>52</v>
      </c>
      <c r="F1594" s="233">
        <v>0.04</v>
      </c>
      <c r="G1594" s="234">
        <f t="shared" ref="G1594:G1599" si="75">+G1565</f>
        <v>3900000</v>
      </c>
      <c r="H1594" s="230">
        <f t="shared" ref="H1594:H1599" si="76">+G1594*F1594</f>
        <v>156000</v>
      </c>
      <c r="M1594" s="233">
        <v>0.04</v>
      </c>
    </row>
    <row r="1595" spans="2:13" ht="18.75" customHeight="1" x14ac:dyDescent="0.25">
      <c r="B1595" s="550"/>
      <c r="C1595" s="223" t="s">
        <v>764</v>
      </c>
      <c r="D1595" s="550"/>
      <c r="E1595" s="550" t="s">
        <v>62</v>
      </c>
      <c r="F1595" s="233">
        <v>0.4</v>
      </c>
      <c r="G1595" s="234">
        <f t="shared" si="75"/>
        <v>25000</v>
      </c>
      <c r="H1595" s="230">
        <f t="shared" si="76"/>
        <v>10000</v>
      </c>
      <c r="M1595" s="233">
        <v>0.4</v>
      </c>
    </row>
    <row r="1596" spans="2:13" ht="18.75" customHeight="1" x14ac:dyDescent="0.25">
      <c r="B1596" s="550"/>
      <c r="C1596" s="223" t="s">
        <v>248</v>
      </c>
      <c r="D1596" s="550"/>
      <c r="E1596" s="550" t="s">
        <v>743</v>
      </c>
      <c r="F1596" s="233">
        <v>0.2</v>
      </c>
      <c r="G1596" s="234">
        <f t="shared" si="75"/>
        <v>23000</v>
      </c>
      <c r="H1596" s="230">
        <f t="shared" si="76"/>
        <v>4600</v>
      </c>
      <c r="M1596" s="233">
        <v>0.2</v>
      </c>
    </row>
    <row r="1597" spans="2:13" ht="18.75" customHeight="1" x14ac:dyDescent="0.25">
      <c r="B1597" s="550"/>
      <c r="C1597" s="223" t="s">
        <v>765</v>
      </c>
      <c r="D1597" s="550"/>
      <c r="E1597" s="550" t="s">
        <v>52</v>
      </c>
      <c r="F1597" s="233">
        <v>1.7999999999999999E-2</v>
      </c>
      <c r="G1597" s="234">
        <f t="shared" si="75"/>
        <v>4230000</v>
      </c>
      <c r="H1597" s="230">
        <f t="shared" si="76"/>
        <v>76140</v>
      </c>
      <c r="M1597" s="233">
        <v>1.7999999999999999E-2</v>
      </c>
    </row>
    <row r="1598" spans="2:13" ht="18.75" customHeight="1" x14ac:dyDescent="0.25">
      <c r="B1598" s="550"/>
      <c r="C1598" s="223" t="s">
        <v>766</v>
      </c>
      <c r="D1598" s="550"/>
      <c r="E1598" s="550" t="s">
        <v>18</v>
      </c>
      <c r="F1598" s="233">
        <v>0.35</v>
      </c>
      <c r="G1598" s="234">
        <f t="shared" si="75"/>
        <v>150000</v>
      </c>
      <c r="H1598" s="230">
        <f t="shared" si="76"/>
        <v>52500</v>
      </c>
      <c r="M1598" s="233">
        <v>0.35</v>
      </c>
    </row>
    <row r="1599" spans="2:13" ht="18.75" customHeight="1" x14ac:dyDescent="0.25">
      <c r="B1599" s="550"/>
      <c r="C1599" s="223" t="s">
        <v>1452</v>
      </c>
      <c r="D1599" s="550"/>
      <c r="E1599" s="550" t="s">
        <v>128</v>
      </c>
      <c r="F1599" s="233">
        <v>2</v>
      </c>
      <c r="G1599" s="234">
        <f t="shared" si="75"/>
        <v>34500</v>
      </c>
      <c r="H1599" s="230">
        <f t="shared" si="76"/>
        <v>69000</v>
      </c>
      <c r="M1599" s="233">
        <v>2</v>
      </c>
    </row>
    <row r="1600" spans="2:13" ht="18.75" customHeight="1" x14ac:dyDescent="0.25">
      <c r="B1600" s="550"/>
      <c r="C1600" s="223"/>
      <c r="D1600" s="550"/>
      <c r="E1600" s="224"/>
      <c r="F1600" s="237" t="s">
        <v>643</v>
      </c>
      <c r="G1600" s="290"/>
      <c r="H1600" s="231">
        <f>SUM(H1594:H1599)</f>
        <v>368240</v>
      </c>
      <c r="M1600" s="237" t="s">
        <v>643</v>
      </c>
    </row>
    <row r="1601" spans="2:13" ht="18.75" customHeight="1" x14ac:dyDescent="0.25">
      <c r="B1601" s="550"/>
      <c r="C1601" s="223"/>
      <c r="D1601" s="550"/>
      <c r="E1601" s="224"/>
      <c r="F1601" s="225"/>
      <c r="G1601" s="290"/>
      <c r="H1601" s="226"/>
      <c r="M1601" s="225"/>
    </row>
    <row r="1602" spans="2:13" ht="18.75" customHeight="1" x14ac:dyDescent="0.25">
      <c r="B1602" s="550" t="s">
        <v>644</v>
      </c>
      <c r="C1602" s="223" t="s">
        <v>645</v>
      </c>
      <c r="D1602" s="550"/>
      <c r="E1602" s="224"/>
      <c r="F1602" s="225"/>
      <c r="G1602" s="290"/>
      <c r="H1602" s="235"/>
      <c r="M1602" s="225"/>
    </row>
    <row r="1603" spans="2:13" ht="18.75" customHeight="1" x14ac:dyDescent="0.25">
      <c r="B1603" s="236"/>
      <c r="C1603" s="232"/>
      <c r="D1603" s="550"/>
      <c r="E1603" s="224"/>
      <c r="F1603" s="237" t="s">
        <v>646</v>
      </c>
      <c r="G1603" s="290"/>
      <c r="H1603" s="230">
        <f>SUM(H1602:H1602)</f>
        <v>0</v>
      </c>
      <c r="M1603" s="237" t="s">
        <v>646</v>
      </c>
    </row>
    <row r="1604" spans="2:13" ht="18.75" customHeight="1" x14ac:dyDescent="0.25">
      <c r="B1604" s="236"/>
      <c r="C1604" s="232"/>
      <c r="D1604" s="550"/>
      <c r="E1604" s="224"/>
      <c r="F1604" s="237"/>
      <c r="G1604" s="290"/>
      <c r="H1604" s="226"/>
      <c r="M1604" s="237"/>
    </row>
    <row r="1605" spans="2:13" ht="18.75" customHeight="1" x14ac:dyDescent="0.25">
      <c r="B1605" s="248"/>
      <c r="C1605" s="238"/>
      <c r="D1605" s="239"/>
      <c r="E1605" s="240"/>
      <c r="F1605" s="241"/>
      <c r="G1605" s="291"/>
      <c r="H1605" s="251"/>
      <c r="M1605" s="241"/>
    </row>
    <row r="1606" spans="2:13" ht="18.75" customHeight="1" x14ac:dyDescent="0.25">
      <c r="B1606" s="249" t="s">
        <v>647</v>
      </c>
      <c r="C1606" s="104" t="s">
        <v>648</v>
      </c>
      <c r="D1606" s="435"/>
      <c r="E1606" s="92"/>
      <c r="F1606" s="183"/>
      <c r="G1606" s="167"/>
      <c r="H1606" s="252">
        <f>+H1603+H1600+H1591</f>
        <v>475655</v>
      </c>
      <c r="M1606" s="183"/>
    </row>
    <row r="1607" spans="2:13" ht="18.75" customHeight="1" x14ac:dyDescent="0.25">
      <c r="B1607" s="249" t="s">
        <v>649</v>
      </c>
      <c r="C1607" s="242" t="s">
        <v>650</v>
      </c>
      <c r="D1607" s="435"/>
      <c r="E1607" s="92"/>
      <c r="F1607" s="184" t="str">
        <f>$J$5</f>
        <v>8,0 % x D</v>
      </c>
      <c r="G1607" s="167"/>
      <c r="H1607" s="253">
        <f>+H1606*$K$5</f>
        <v>38052.400000000001</v>
      </c>
      <c r="M1607" s="184" t="str">
        <f>$J$5</f>
        <v>8,0 % x D</v>
      </c>
    </row>
    <row r="1608" spans="2:13" ht="18.75" customHeight="1" x14ac:dyDescent="0.25">
      <c r="B1608" s="249" t="s">
        <v>651</v>
      </c>
      <c r="C1608" s="111" t="s">
        <v>652</v>
      </c>
      <c r="D1608" s="435"/>
      <c r="E1608" s="91"/>
      <c r="F1608" s="185"/>
      <c r="G1608" s="168"/>
      <c r="H1608" s="254">
        <f>ROUNDUP((H1607+H1606)/100,0)*100</f>
        <v>513800</v>
      </c>
      <c r="M1608" s="185"/>
    </row>
    <row r="1609" spans="2:13" ht="18.75" customHeight="1" x14ac:dyDescent="0.25">
      <c r="B1609" s="259"/>
      <c r="C1609" s="261"/>
      <c r="D1609" s="245"/>
      <c r="E1609" s="246"/>
      <c r="F1609" s="247"/>
      <c r="G1609" s="298"/>
      <c r="H1609" s="260"/>
      <c r="M1609" s="247"/>
    </row>
    <row r="1610" spans="2:13" ht="18.75" customHeight="1" x14ac:dyDescent="0.25">
      <c r="G1610" s="66"/>
      <c r="H1610" s="138"/>
    </row>
    <row r="1611" spans="2:13" ht="18.75" customHeight="1" x14ac:dyDescent="0.25">
      <c r="B1611" s="19">
        <f>B1582+1</f>
        <v>21</v>
      </c>
      <c r="C1611" s="93" t="s">
        <v>769</v>
      </c>
      <c r="D1611" s="19"/>
      <c r="E1611" s="21"/>
      <c r="F1611" s="176"/>
      <c r="G1611" s="165"/>
      <c r="H1611" s="119"/>
      <c r="M1611" s="176"/>
    </row>
    <row r="1612" spans="2:13" ht="18.75" customHeight="1" x14ac:dyDescent="0.25">
      <c r="B1612" s="618" t="s">
        <v>620</v>
      </c>
      <c r="C1612" s="620" t="s">
        <v>621</v>
      </c>
      <c r="D1612" s="618" t="s">
        <v>622</v>
      </c>
      <c r="E1612" s="618" t="s">
        <v>2</v>
      </c>
      <c r="F1612" s="615" t="s">
        <v>623</v>
      </c>
      <c r="G1612" s="289" t="s">
        <v>624</v>
      </c>
      <c r="H1612" s="256" t="s">
        <v>625</v>
      </c>
      <c r="M1612" s="615" t="s">
        <v>623</v>
      </c>
    </row>
    <row r="1613" spans="2:13" ht="18.75" customHeight="1" x14ac:dyDescent="0.25">
      <c r="B1613" s="619"/>
      <c r="C1613" s="621"/>
      <c r="D1613" s="619"/>
      <c r="E1613" s="619"/>
      <c r="F1613" s="616"/>
      <c r="G1613" s="289" t="s">
        <v>626</v>
      </c>
      <c r="H1613" s="256" t="s">
        <v>626</v>
      </c>
      <c r="M1613" s="616"/>
    </row>
    <row r="1614" spans="2:13" ht="18.75" customHeight="1" x14ac:dyDescent="0.25">
      <c r="B1614" s="221"/>
      <c r="C1614" s="222"/>
      <c r="D1614" s="221"/>
      <c r="E1614" s="550"/>
      <c r="F1614" s="555"/>
      <c r="G1614" s="551"/>
      <c r="H1614" s="220"/>
      <c r="M1614" s="590"/>
    </row>
    <row r="1615" spans="2:13" ht="18.75" customHeight="1" x14ac:dyDescent="0.25">
      <c r="B1615" s="550" t="s">
        <v>627</v>
      </c>
      <c r="C1615" s="223" t="s">
        <v>628</v>
      </c>
      <c r="D1615" s="550"/>
      <c r="E1615" s="224"/>
      <c r="F1615" s="225"/>
      <c r="G1615" s="290"/>
      <c r="H1615" s="226"/>
      <c r="M1615" s="225"/>
    </row>
    <row r="1616" spans="2:13" ht="18.75" customHeight="1" x14ac:dyDescent="0.25">
      <c r="B1616" s="550"/>
      <c r="C1616" s="227" t="s">
        <v>629</v>
      </c>
      <c r="D1616" s="550" t="s">
        <v>630</v>
      </c>
      <c r="E1616" s="224" t="s">
        <v>631</v>
      </c>
      <c r="F1616" s="228">
        <f t="shared" ref="F1616:F1619" si="77">$K$8*M1616</f>
        <v>0.66</v>
      </c>
      <c r="G1616" s="229">
        <f>G1587</f>
        <v>95000</v>
      </c>
      <c r="H1616" s="230">
        <f>+G1616*F1616</f>
        <v>62700</v>
      </c>
      <c r="M1616" s="228">
        <v>0.66</v>
      </c>
    </row>
    <row r="1617" spans="2:13" ht="18.75" customHeight="1" x14ac:dyDescent="0.25">
      <c r="B1617" s="550"/>
      <c r="C1617" s="227" t="s">
        <v>1508</v>
      </c>
      <c r="D1617" s="550" t="s">
        <v>632</v>
      </c>
      <c r="E1617" s="224" t="s">
        <v>631</v>
      </c>
      <c r="F1617" s="228">
        <f t="shared" si="77"/>
        <v>0.33</v>
      </c>
      <c r="G1617" s="229">
        <f>G1588</f>
        <v>110000</v>
      </c>
      <c r="H1617" s="230">
        <f>+G1617*F1617</f>
        <v>36300</v>
      </c>
      <c r="M1617" s="228">
        <v>0.33</v>
      </c>
    </row>
    <row r="1618" spans="2:13" ht="18.75" customHeight="1" x14ac:dyDescent="0.25">
      <c r="B1618" s="550"/>
      <c r="C1618" s="227" t="s">
        <v>633</v>
      </c>
      <c r="D1618" s="550" t="s">
        <v>634</v>
      </c>
      <c r="E1618" s="224" t="s">
        <v>631</v>
      </c>
      <c r="F1618" s="228">
        <f t="shared" si="77"/>
        <v>3.3000000000000002E-2</v>
      </c>
      <c r="G1618" s="229">
        <f>G1589</f>
        <v>115000</v>
      </c>
      <c r="H1618" s="230">
        <f>+G1618*F1618</f>
        <v>3795</v>
      </c>
      <c r="M1618" s="228">
        <v>3.3000000000000002E-2</v>
      </c>
    </row>
    <row r="1619" spans="2:13" ht="18.75" customHeight="1" x14ac:dyDescent="0.25">
      <c r="B1619" s="550"/>
      <c r="C1619" s="227" t="s">
        <v>600</v>
      </c>
      <c r="D1619" s="550" t="s">
        <v>635</v>
      </c>
      <c r="E1619" s="224" t="s">
        <v>631</v>
      </c>
      <c r="F1619" s="228">
        <f t="shared" si="77"/>
        <v>3.3000000000000002E-2</v>
      </c>
      <c r="G1619" s="229">
        <f>G1590</f>
        <v>140000</v>
      </c>
      <c r="H1619" s="230">
        <f>+G1619*F1619</f>
        <v>4620</v>
      </c>
      <c r="M1619" s="228">
        <v>3.3000000000000002E-2</v>
      </c>
    </row>
    <row r="1620" spans="2:13" ht="18.75" customHeight="1" x14ac:dyDescent="0.25">
      <c r="B1620" s="550"/>
      <c r="C1620" s="223"/>
      <c r="D1620" s="550"/>
      <c r="E1620" s="224"/>
      <c r="F1620" s="233" t="s">
        <v>636</v>
      </c>
      <c r="G1620" s="290"/>
      <c r="H1620" s="231">
        <f>SUM(H1616:H1619)</f>
        <v>107415</v>
      </c>
      <c r="M1620" s="233" t="s">
        <v>636</v>
      </c>
    </row>
    <row r="1621" spans="2:13" ht="18.75" customHeight="1" x14ac:dyDescent="0.25">
      <c r="B1621" s="550"/>
      <c r="C1621" s="223"/>
      <c r="D1621" s="550"/>
      <c r="E1621" s="224"/>
      <c r="F1621" s="233"/>
      <c r="G1621" s="290"/>
      <c r="H1621" s="231"/>
      <c r="M1621" s="233"/>
    </row>
    <row r="1622" spans="2:13" ht="18.75" customHeight="1" x14ac:dyDescent="0.25">
      <c r="B1622" s="550" t="s">
        <v>637</v>
      </c>
      <c r="C1622" s="223" t="s">
        <v>638</v>
      </c>
      <c r="D1622" s="550"/>
      <c r="E1622" s="224"/>
      <c r="F1622" s="225"/>
      <c r="G1622" s="290"/>
      <c r="H1622" s="226"/>
      <c r="M1622" s="225"/>
    </row>
    <row r="1623" spans="2:13" ht="18.75" customHeight="1" x14ac:dyDescent="0.25">
      <c r="B1623" s="550"/>
      <c r="C1623" s="223" t="s">
        <v>1486</v>
      </c>
      <c r="D1623" s="550"/>
      <c r="E1623" s="550" t="s">
        <v>52</v>
      </c>
      <c r="F1623" s="233">
        <v>0.04</v>
      </c>
      <c r="G1623" s="234">
        <f t="shared" ref="G1623:G1628" si="78">+G1594</f>
        <v>3900000</v>
      </c>
      <c r="H1623" s="230">
        <f t="shared" ref="H1623:H1628" si="79">+G1623*F1623</f>
        <v>156000</v>
      </c>
      <c r="M1623" s="233">
        <v>0.04</v>
      </c>
    </row>
    <row r="1624" spans="2:13" ht="18.75" customHeight="1" x14ac:dyDescent="0.25">
      <c r="B1624" s="550"/>
      <c r="C1624" s="223" t="s">
        <v>764</v>
      </c>
      <c r="D1624" s="550"/>
      <c r="E1624" s="550" t="s">
        <v>62</v>
      </c>
      <c r="F1624" s="233">
        <v>0.4</v>
      </c>
      <c r="G1624" s="234">
        <f t="shared" si="78"/>
        <v>25000</v>
      </c>
      <c r="H1624" s="230">
        <f t="shared" si="79"/>
        <v>10000</v>
      </c>
      <c r="M1624" s="233">
        <v>0.4</v>
      </c>
    </row>
    <row r="1625" spans="2:13" ht="18.75" customHeight="1" x14ac:dyDescent="0.25">
      <c r="B1625" s="550"/>
      <c r="C1625" s="223" t="s">
        <v>248</v>
      </c>
      <c r="D1625" s="550"/>
      <c r="E1625" s="550" t="s">
        <v>743</v>
      </c>
      <c r="F1625" s="233">
        <v>0.2</v>
      </c>
      <c r="G1625" s="234">
        <f t="shared" si="78"/>
        <v>23000</v>
      </c>
      <c r="H1625" s="230">
        <f t="shared" si="79"/>
        <v>4600</v>
      </c>
      <c r="M1625" s="233">
        <v>0.2</v>
      </c>
    </row>
    <row r="1626" spans="2:13" ht="18.75" customHeight="1" x14ac:dyDescent="0.25">
      <c r="B1626" s="550"/>
      <c r="C1626" s="223" t="s">
        <v>765</v>
      </c>
      <c r="D1626" s="550"/>
      <c r="E1626" s="550" t="s">
        <v>52</v>
      </c>
      <c r="F1626" s="233">
        <v>1.4999999999999999E-2</v>
      </c>
      <c r="G1626" s="234">
        <f t="shared" si="78"/>
        <v>4230000</v>
      </c>
      <c r="H1626" s="230">
        <f t="shared" si="79"/>
        <v>63450</v>
      </c>
      <c r="M1626" s="233">
        <v>1.4999999999999999E-2</v>
      </c>
    </row>
    <row r="1627" spans="2:13" ht="18.75" customHeight="1" x14ac:dyDescent="0.25">
      <c r="B1627" s="550"/>
      <c r="C1627" s="223" t="s">
        <v>766</v>
      </c>
      <c r="D1627" s="550"/>
      <c r="E1627" s="550" t="s">
        <v>18</v>
      </c>
      <c r="F1627" s="233">
        <v>0.35</v>
      </c>
      <c r="G1627" s="234">
        <f t="shared" si="78"/>
        <v>150000</v>
      </c>
      <c r="H1627" s="230">
        <f t="shared" si="79"/>
        <v>52500</v>
      </c>
      <c r="M1627" s="233">
        <v>0.35</v>
      </c>
    </row>
    <row r="1628" spans="2:13" ht="18.75" customHeight="1" x14ac:dyDescent="0.25">
      <c r="B1628" s="550"/>
      <c r="C1628" s="223" t="s">
        <v>1452</v>
      </c>
      <c r="D1628" s="550"/>
      <c r="E1628" s="550" t="s">
        <v>128</v>
      </c>
      <c r="F1628" s="233">
        <v>6</v>
      </c>
      <c r="G1628" s="234">
        <f t="shared" si="78"/>
        <v>34500</v>
      </c>
      <c r="H1628" s="230">
        <f t="shared" si="79"/>
        <v>207000</v>
      </c>
      <c r="M1628" s="233">
        <v>6</v>
      </c>
    </row>
    <row r="1629" spans="2:13" ht="18.75" customHeight="1" x14ac:dyDescent="0.25">
      <c r="B1629" s="550"/>
      <c r="C1629" s="223"/>
      <c r="D1629" s="550"/>
      <c r="E1629" s="224"/>
      <c r="F1629" s="237" t="s">
        <v>643</v>
      </c>
      <c r="G1629" s="290"/>
      <c r="H1629" s="231">
        <f>SUM(H1623:H1628)</f>
        <v>493550</v>
      </c>
      <c r="M1629" s="237" t="s">
        <v>643</v>
      </c>
    </row>
    <row r="1630" spans="2:13" ht="18.75" customHeight="1" x14ac:dyDescent="0.25">
      <c r="B1630" s="550"/>
      <c r="C1630" s="223"/>
      <c r="D1630" s="550"/>
      <c r="E1630" s="224"/>
      <c r="F1630" s="225"/>
      <c r="G1630" s="290"/>
      <c r="H1630" s="226"/>
      <c r="M1630" s="225"/>
    </row>
    <row r="1631" spans="2:13" ht="18.75" customHeight="1" x14ac:dyDescent="0.25">
      <c r="B1631" s="550" t="s">
        <v>644</v>
      </c>
      <c r="C1631" s="223" t="s">
        <v>645</v>
      </c>
      <c r="D1631" s="550"/>
      <c r="E1631" s="224"/>
      <c r="F1631" s="225"/>
      <c r="G1631" s="290"/>
      <c r="H1631" s="235"/>
      <c r="M1631" s="225"/>
    </row>
    <row r="1632" spans="2:13" ht="18.75" customHeight="1" x14ac:dyDescent="0.25">
      <c r="B1632" s="236"/>
      <c r="C1632" s="232"/>
      <c r="D1632" s="550"/>
      <c r="E1632" s="224"/>
      <c r="F1632" s="237" t="s">
        <v>646</v>
      </c>
      <c r="G1632" s="290"/>
      <c r="H1632" s="230">
        <f>SUM(H1631:H1631)</f>
        <v>0</v>
      </c>
      <c r="M1632" s="237" t="s">
        <v>646</v>
      </c>
    </row>
    <row r="1633" spans="2:13" ht="18.75" customHeight="1" x14ac:dyDescent="0.25">
      <c r="B1633" s="236"/>
      <c r="C1633" s="232"/>
      <c r="D1633" s="550"/>
      <c r="E1633" s="224"/>
      <c r="F1633" s="237"/>
      <c r="G1633" s="290"/>
      <c r="H1633" s="226"/>
      <c r="M1633" s="237"/>
    </row>
    <row r="1634" spans="2:13" ht="18.75" customHeight="1" x14ac:dyDescent="0.25">
      <c r="B1634" s="248"/>
      <c r="C1634" s="238"/>
      <c r="D1634" s="239"/>
      <c r="E1634" s="240"/>
      <c r="F1634" s="241"/>
      <c r="G1634" s="291"/>
      <c r="H1634" s="251"/>
      <c r="M1634" s="241"/>
    </row>
    <row r="1635" spans="2:13" ht="18.75" customHeight="1" x14ac:dyDescent="0.25">
      <c r="B1635" s="249" t="s">
        <v>647</v>
      </c>
      <c r="C1635" s="104" t="s">
        <v>648</v>
      </c>
      <c r="D1635" s="435"/>
      <c r="E1635" s="92"/>
      <c r="F1635" s="183"/>
      <c r="G1635" s="167"/>
      <c r="H1635" s="252">
        <f>+H1632+H1629+H1620</f>
        <v>600965</v>
      </c>
      <c r="M1635" s="183"/>
    </row>
    <row r="1636" spans="2:13" ht="18.75" customHeight="1" x14ac:dyDescent="0.25">
      <c r="B1636" s="249" t="s">
        <v>649</v>
      </c>
      <c r="C1636" s="242" t="s">
        <v>650</v>
      </c>
      <c r="D1636" s="435"/>
      <c r="E1636" s="92"/>
      <c r="F1636" s="184" t="str">
        <f>$J$5</f>
        <v>8,0 % x D</v>
      </c>
      <c r="G1636" s="167"/>
      <c r="H1636" s="253">
        <f>+H1635*$K$5</f>
        <v>48077.200000000004</v>
      </c>
      <c r="M1636" s="184" t="str">
        <f>$J$5</f>
        <v>8,0 % x D</v>
      </c>
    </row>
    <row r="1637" spans="2:13" ht="18.75" customHeight="1" x14ac:dyDescent="0.25">
      <c r="B1637" s="249" t="s">
        <v>651</v>
      </c>
      <c r="C1637" s="111" t="s">
        <v>652</v>
      </c>
      <c r="D1637" s="435"/>
      <c r="E1637" s="91"/>
      <c r="F1637" s="185"/>
      <c r="G1637" s="168"/>
      <c r="H1637" s="254">
        <f>ROUNDUP((H1636+H1635)/100,0)*100</f>
        <v>649100</v>
      </c>
      <c r="M1637" s="185"/>
    </row>
    <row r="1638" spans="2:13" ht="18.75" customHeight="1" x14ac:dyDescent="0.25">
      <c r="B1638" s="259"/>
      <c r="C1638" s="261"/>
      <c r="D1638" s="245"/>
      <c r="E1638" s="246"/>
      <c r="F1638" s="247"/>
      <c r="G1638" s="298"/>
      <c r="H1638" s="260"/>
      <c r="M1638" s="247"/>
    </row>
    <row r="1639" spans="2:13" ht="18.75" customHeight="1" x14ac:dyDescent="0.25">
      <c r="B1639" s="22"/>
      <c r="C1639" s="104"/>
      <c r="E1639" s="21"/>
      <c r="F1639" s="176"/>
      <c r="G1639" s="165"/>
      <c r="H1639" s="119"/>
      <c r="M1639" s="176"/>
    </row>
    <row r="1640" spans="2:13" ht="18.75" customHeight="1" x14ac:dyDescent="0.25">
      <c r="G1640" s="66"/>
      <c r="H1640" s="138"/>
    </row>
    <row r="1641" spans="2:13" ht="18.75" customHeight="1" x14ac:dyDescent="0.25">
      <c r="B1641" s="19">
        <f>B1611+1</f>
        <v>22</v>
      </c>
      <c r="C1641" s="93" t="s">
        <v>770</v>
      </c>
      <c r="D1641" s="19"/>
      <c r="E1641" s="21"/>
      <c r="F1641" s="176"/>
      <c r="G1641" s="165"/>
      <c r="H1641" s="119"/>
      <c r="M1641" s="176"/>
    </row>
    <row r="1642" spans="2:13" ht="18.75" customHeight="1" x14ac:dyDescent="0.25">
      <c r="B1642" s="618" t="s">
        <v>620</v>
      </c>
      <c r="C1642" s="620" t="s">
        <v>621</v>
      </c>
      <c r="D1642" s="618" t="s">
        <v>622</v>
      </c>
      <c r="E1642" s="618" t="s">
        <v>2</v>
      </c>
      <c r="F1642" s="615" t="s">
        <v>623</v>
      </c>
      <c r="G1642" s="289" t="s">
        <v>624</v>
      </c>
      <c r="H1642" s="256" t="s">
        <v>625</v>
      </c>
      <c r="M1642" s="615" t="s">
        <v>623</v>
      </c>
    </row>
    <row r="1643" spans="2:13" ht="18.75" customHeight="1" x14ac:dyDescent="0.25">
      <c r="B1643" s="619"/>
      <c r="C1643" s="621"/>
      <c r="D1643" s="619"/>
      <c r="E1643" s="619"/>
      <c r="F1643" s="616"/>
      <c r="G1643" s="289" t="s">
        <v>626</v>
      </c>
      <c r="H1643" s="256" t="s">
        <v>626</v>
      </c>
      <c r="M1643" s="616"/>
    </row>
    <row r="1644" spans="2:13" ht="18.75" customHeight="1" x14ac:dyDescent="0.25">
      <c r="B1644" s="221"/>
      <c r="C1644" s="222"/>
      <c r="D1644" s="221"/>
      <c r="E1644" s="550"/>
      <c r="F1644" s="555"/>
      <c r="G1644" s="551"/>
      <c r="H1644" s="220"/>
      <c r="M1644" s="590"/>
    </row>
    <row r="1645" spans="2:13" ht="18.75" customHeight="1" x14ac:dyDescent="0.25">
      <c r="B1645" s="550" t="s">
        <v>627</v>
      </c>
      <c r="C1645" s="223" t="s">
        <v>628</v>
      </c>
      <c r="D1645" s="550"/>
      <c r="E1645" s="224"/>
      <c r="F1645" s="225"/>
      <c r="G1645" s="290"/>
      <c r="H1645" s="226"/>
      <c r="M1645" s="225"/>
    </row>
    <row r="1646" spans="2:13" ht="18.75" customHeight="1" x14ac:dyDescent="0.25">
      <c r="B1646" s="550"/>
      <c r="C1646" s="227" t="s">
        <v>629</v>
      </c>
      <c r="D1646" s="550" t="s">
        <v>630</v>
      </c>
      <c r="E1646" s="224" t="s">
        <v>631</v>
      </c>
      <c r="F1646" s="228">
        <f t="shared" ref="F1646:F1649" si="80">$K$8*M1646</f>
        <v>0.66</v>
      </c>
      <c r="G1646" s="229">
        <f>G1616</f>
        <v>95000</v>
      </c>
      <c r="H1646" s="230">
        <f>+G1646*F1646</f>
        <v>62700</v>
      </c>
      <c r="M1646" s="228">
        <v>0.66</v>
      </c>
    </row>
    <row r="1647" spans="2:13" ht="18.75" customHeight="1" x14ac:dyDescent="0.25">
      <c r="B1647" s="550"/>
      <c r="C1647" s="227" t="s">
        <v>1508</v>
      </c>
      <c r="D1647" s="550" t="s">
        <v>632</v>
      </c>
      <c r="E1647" s="224" t="s">
        <v>631</v>
      </c>
      <c r="F1647" s="228">
        <f t="shared" si="80"/>
        <v>0.33</v>
      </c>
      <c r="G1647" s="229">
        <f>G1617</f>
        <v>110000</v>
      </c>
      <c r="H1647" s="230">
        <f>+G1647*F1647</f>
        <v>36300</v>
      </c>
      <c r="M1647" s="228">
        <v>0.33</v>
      </c>
    </row>
    <row r="1648" spans="2:13" ht="18.75" customHeight="1" x14ac:dyDescent="0.25">
      <c r="B1648" s="550"/>
      <c r="C1648" s="227" t="s">
        <v>633</v>
      </c>
      <c r="D1648" s="550" t="s">
        <v>634</v>
      </c>
      <c r="E1648" s="224" t="s">
        <v>631</v>
      </c>
      <c r="F1648" s="228">
        <f t="shared" si="80"/>
        <v>3.3000000000000002E-2</v>
      </c>
      <c r="G1648" s="229">
        <f>G1618</f>
        <v>115000</v>
      </c>
      <c r="H1648" s="230">
        <f>+G1648*F1648</f>
        <v>3795</v>
      </c>
      <c r="M1648" s="228">
        <v>3.3000000000000002E-2</v>
      </c>
    </row>
    <row r="1649" spans="2:13" ht="18.75" customHeight="1" x14ac:dyDescent="0.25">
      <c r="B1649" s="550"/>
      <c r="C1649" s="227" t="s">
        <v>600</v>
      </c>
      <c r="D1649" s="550" t="s">
        <v>635</v>
      </c>
      <c r="E1649" s="224" t="s">
        <v>631</v>
      </c>
      <c r="F1649" s="228">
        <f t="shared" si="80"/>
        <v>3.3000000000000002E-2</v>
      </c>
      <c r="G1649" s="229">
        <f>G1619</f>
        <v>140000</v>
      </c>
      <c r="H1649" s="230">
        <f>+G1649*F1649</f>
        <v>4620</v>
      </c>
      <c r="M1649" s="228">
        <v>3.3000000000000002E-2</v>
      </c>
    </row>
    <row r="1650" spans="2:13" ht="18.75" customHeight="1" x14ac:dyDescent="0.25">
      <c r="B1650" s="550"/>
      <c r="C1650" s="223"/>
      <c r="D1650" s="550"/>
      <c r="E1650" s="224"/>
      <c r="F1650" s="233" t="s">
        <v>636</v>
      </c>
      <c r="G1650" s="290"/>
      <c r="H1650" s="231">
        <f>SUM(H1646:H1649)</f>
        <v>107415</v>
      </c>
      <c r="M1650" s="233" t="s">
        <v>636</v>
      </c>
    </row>
    <row r="1651" spans="2:13" ht="18.75" customHeight="1" x14ac:dyDescent="0.25">
      <c r="B1651" s="550"/>
      <c r="C1651" s="223"/>
      <c r="D1651" s="550"/>
      <c r="E1651" s="224"/>
      <c r="F1651" s="233"/>
      <c r="G1651" s="290"/>
      <c r="H1651" s="231"/>
      <c r="M1651" s="233"/>
    </row>
    <row r="1652" spans="2:13" ht="18.75" customHeight="1" x14ac:dyDescent="0.25">
      <c r="B1652" s="550" t="s">
        <v>637</v>
      </c>
      <c r="C1652" s="223" t="s">
        <v>638</v>
      </c>
      <c r="D1652" s="550"/>
      <c r="E1652" s="224"/>
      <c r="F1652" s="225"/>
      <c r="G1652" s="290"/>
      <c r="H1652" s="226"/>
      <c r="M1652" s="225"/>
    </row>
    <row r="1653" spans="2:13" ht="18.75" customHeight="1" x14ac:dyDescent="0.25">
      <c r="B1653" s="550"/>
      <c r="C1653" s="223" t="s">
        <v>1236</v>
      </c>
      <c r="D1653" s="550"/>
      <c r="E1653" s="550" t="s">
        <v>52</v>
      </c>
      <c r="F1653" s="233">
        <v>0.03</v>
      </c>
      <c r="G1653" s="234">
        <f t="shared" ref="G1653:G1658" si="81">+G1623</f>
        <v>3900000</v>
      </c>
      <c r="H1653" s="230">
        <f t="shared" ref="H1653:H1659" si="82">+G1653*F1653</f>
        <v>117000</v>
      </c>
      <c r="M1653" s="233">
        <v>0.03</v>
      </c>
    </row>
    <row r="1654" spans="2:13" ht="18.75" customHeight="1" x14ac:dyDescent="0.25">
      <c r="B1654" s="550"/>
      <c r="C1654" s="223" t="s">
        <v>764</v>
      </c>
      <c r="D1654" s="550"/>
      <c r="E1654" s="550" t="s">
        <v>62</v>
      </c>
      <c r="F1654" s="233">
        <v>0.4</v>
      </c>
      <c r="G1654" s="234">
        <f t="shared" si="81"/>
        <v>25000</v>
      </c>
      <c r="H1654" s="230">
        <f t="shared" si="82"/>
        <v>10000</v>
      </c>
      <c r="M1654" s="233">
        <v>0.4</v>
      </c>
    </row>
    <row r="1655" spans="2:13" ht="18.75" customHeight="1" x14ac:dyDescent="0.25">
      <c r="B1655" s="550"/>
      <c r="C1655" s="223" t="s">
        <v>248</v>
      </c>
      <c r="D1655" s="550"/>
      <c r="E1655" s="550" t="s">
        <v>743</v>
      </c>
      <c r="F1655" s="233">
        <v>0.2</v>
      </c>
      <c r="G1655" s="234">
        <f t="shared" si="81"/>
        <v>23000</v>
      </c>
      <c r="H1655" s="230">
        <f t="shared" si="82"/>
        <v>4600</v>
      </c>
      <c r="M1655" s="233">
        <v>0.2</v>
      </c>
    </row>
    <row r="1656" spans="2:13" ht="18.75" customHeight="1" x14ac:dyDescent="0.25">
      <c r="B1656" s="550"/>
      <c r="C1656" s="223" t="s">
        <v>765</v>
      </c>
      <c r="D1656" s="550"/>
      <c r="E1656" s="550" t="s">
        <v>52</v>
      </c>
      <c r="F1656" s="233">
        <v>0.02</v>
      </c>
      <c r="G1656" s="234">
        <f t="shared" si="81"/>
        <v>4230000</v>
      </c>
      <c r="H1656" s="230">
        <f t="shared" si="82"/>
        <v>84600</v>
      </c>
      <c r="M1656" s="233">
        <v>0.02</v>
      </c>
    </row>
    <row r="1657" spans="2:13" ht="18.75" customHeight="1" x14ac:dyDescent="0.25">
      <c r="B1657" s="550"/>
      <c r="C1657" s="223" t="s">
        <v>766</v>
      </c>
      <c r="D1657" s="550"/>
      <c r="E1657" s="550" t="s">
        <v>18</v>
      </c>
      <c r="F1657" s="233">
        <v>0.35</v>
      </c>
      <c r="G1657" s="234">
        <f t="shared" si="81"/>
        <v>150000</v>
      </c>
      <c r="H1657" s="230">
        <f t="shared" si="82"/>
        <v>52500</v>
      </c>
      <c r="M1657" s="233">
        <v>0.35</v>
      </c>
    </row>
    <row r="1658" spans="2:13" ht="18.75" customHeight="1" x14ac:dyDescent="0.25">
      <c r="B1658" s="550"/>
      <c r="C1658" s="223" t="s">
        <v>1452</v>
      </c>
      <c r="D1658" s="550"/>
      <c r="E1658" s="550" t="s">
        <v>128</v>
      </c>
      <c r="F1658" s="233">
        <v>3</v>
      </c>
      <c r="G1658" s="234">
        <f t="shared" si="81"/>
        <v>34500</v>
      </c>
      <c r="H1658" s="230">
        <f t="shared" si="82"/>
        <v>103500</v>
      </c>
      <c r="M1658" s="233">
        <v>3</v>
      </c>
    </row>
    <row r="1659" spans="2:13" ht="18.75" customHeight="1" x14ac:dyDescent="0.25">
      <c r="B1659" s="550"/>
      <c r="C1659" s="223" t="s">
        <v>771</v>
      </c>
      <c r="D1659" s="550"/>
      <c r="E1659" s="550" t="s">
        <v>122</v>
      </c>
      <c r="F1659" s="233">
        <v>4</v>
      </c>
      <c r="G1659" s="339">
        <v>5000</v>
      </c>
      <c r="H1659" s="230">
        <f t="shared" si="82"/>
        <v>20000</v>
      </c>
      <c r="M1659" s="233">
        <v>4</v>
      </c>
    </row>
    <row r="1660" spans="2:13" ht="18.75" customHeight="1" x14ac:dyDescent="0.25">
      <c r="B1660" s="550"/>
      <c r="C1660" s="223"/>
      <c r="D1660" s="550"/>
      <c r="E1660" s="224"/>
      <c r="F1660" s="237" t="s">
        <v>643</v>
      </c>
      <c r="G1660" s="290"/>
      <c r="H1660" s="231">
        <f>SUM(H1653:H1659)</f>
        <v>392200</v>
      </c>
      <c r="M1660" s="237" t="s">
        <v>643</v>
      </c>
    </row>
    <row r="1661" spans="2:13" ht="18.75" customHeight="1" x14ac:dyDescent="0.25">
      <c r="B1661" s="550"/>
      <c r="C1661" s="223"/>
      <c r="D1661" s="550"/>
      <c r="E1661" s="224"/>
      <c r="F1661" s="225"/>
      <c r="G1661" s="290"/>
      <c r="H1661" s="226"/>
      <c r="M1661" s="225"/>
    </row>
    <row r="1662" spans="2:13" ht="18.75" customHeight="1" x14ac:dyDescent="0.25">
      <c r="B1662" s="550" t="s">
        <v>644</v>
      </c>
      <c r="C1662" s="223" t="s">
        <v>645</v>
      </c>
      <c r="D1662" s="550"/>
      <c r="E1662" s="224"/>
      <c r="F1662" s="225"/>
      <c r="G1662" s="290"/>
      <c r="H1662" s="235"/>
      <c r="M1662" s="225"/>
    </row>
    <row r="1663" spans="2:13" ht="18.75" customHeight="1" x14ac:dyDescent="0.25">
      <c r="B1663" s="236"/>
      <c r="C1663" s="232"/>
      <c r="D1663" s="550"/>
      <c r="E1663" s="224"/>
      <c r="F1663" s="237" t="s">
        <v>646</v>
      </c>
      <c r="G1663" s="290"/>
      <c r="H1663" s="230">
        <f>SUM(H1662:H1662)</f>
        <v>0</v>
      </c>
      <c r="M1663" s="237" t="s">
        <v>646</v>
      </c>
    </row>
    <row r="1664" spans="2:13" ht="18.75" customHeight="1" x14ac:dyDescent="0.25">
      <c r="B1664" s="236"/>
      <c r="C1664" s="232"/>
      <c r="D1664" s="550"/>
      <c r="E1664" s="224"/>
      <c r="F1664" s="237"/>
      <c r="G1664" s="290"/>
      <c r="H1664" s="226"/>
      <c r="M1664" s="237"/>
    </row>
    <row r="1665" spans="2:13" ht="18.75" customHeight="1" x14ac:dyDescent="0.25">
      <c r="B1665" s="248"/>
      <c r="C1665" s="238"/>
      <c r="D1665" s="239"/>
      <c r="E1665" s="240"/>
      <c r="F1665" s="241"/>
      <c r="G1665" s="291"/>
      <c r="H1665" s="251"/>
      <c r="M1665" s="241"/>
    </row>
    <row r="1666" spans="2:13" ht="18.75" customHeight="1" x14ac:dyDescent="0.25">
      <c r="B1666" s="249" t="s">
        <v>647</v>
      </c>
      <c r="C1666" s="104" t="s">
        <v>648</v>
      </c>
      <c r="D1666" s="435"/>
      <c r="E1666" s="92"/>
      <c r="F1666" s="183"/>
      <c r="G1666" s="167"/>
      <c r="H1666" s="252">
        <f>SUM(H1646:H1663)/2</f>
        <v>499615</v>
      </c>
      <c r="M1666" s="183"/>
    </row>
    <row r="1667" spans="2:13" ht="18.75" customHeight="1" x14ac:dyDescent="0.25">
      <c r="B1667" s="249" t="s">
        <v>649</v>
      </c>
      <c r="C1667" s="242" t="s">
        <v>650</v>
      </c>
      <c r="D1667" s="435"/>
      <c r="E1667" s="92"/>
      <c r="F1667" s="184" t="str">
        <f>$J$5</f>
        <v>8,0 % x D</v>
      </c>
      <c r="G1667" s="167"/>
      <c r="H1667" s="253">
        <f>+H1666*$K$5</f>
        <v>39969.200000000004</v>
      </c>
      <c r="M1667" s="184" t="str">
        <f>$J$5</f>
        <v>8,0 % x D</v>
      </c>
    </row>
    <row r="1668" spans="2:13" ht="18.75" customHeight="1" x14ac:dyDescent="0.25">
      <c r="B1668" s="249" t="s">
        <v>651</v>
      </c>
      <c r="C1668" s="111" t="s">
        <v>652</v>
      </c>
      <c r="D1668" s="435"/>
      <c r="E1668" s="91"/>
      <c r="F1668" s="185"/>
      <c r="G1668" s="168"/>
      <c r="H1668" s="254">
        <f>ROUNDUP((H1667+H1666)/100,0)*100</f>
        <v>539600</v>
      </c>
      <c r="M1668" s="185"/>
    </row>
    <row r="1669" spans="2:13" ht="18.75" customHeight="1" x14ac:dyDescent="0.25">
      <c r="B1669" s="259"/>
      <c r="C1669" s="261"/>
      <c r="D1669" s="245"/>
      <c r="E1669" s="246"/>
      <c r="F1669" s="247"/>
      <c r="G1669" s="298"/>
      <c r="H1669" s="260"/>
      <c r="M1669" s="247"/>
    </row>
    <row r="1670" spans="2:13" ht="18.75" customHeight="1" x14ac:dyDescent="0.25">
      <c r="G1670" s="66"/>
      <c r="H1670" s="138"/>
    </row>
    <row r="1671" spans="2:13" ht="18.75" customHeight="1" x14ac:dyDescent="0.25">
      <c r="B1671" s="19">
        <f>B1641+1</f>
        <v>23</v>
      </c>
      <c r="C1671" s="93" t="s">
        <v>772</v>
      </c>
      <c r="D1671" s="19"/>
      <c r="E1671" s="21"/>
      <c r="F1671" s="176"/>
      <c r="G1671" s="165"/>
      <c r="H1671" s="119"/>
      <c r="M1671" s="176"/>
    </row>
    <row r="1672" spans="2:13" ht="18.75" customHeight="1" x14ac:dyDescent="0.25">
      <c r="B1672" s="618" t="s">
        <v>620</v>
      </c>
      <c r="C1672" s="620" t="s">
        <v>621</v>
      </c>
      <c r="D1672" s="618" t="s">
        <v>622</v>
      </c>
      <c r="E1672" s="618" t="s">
        <v>2</v>
      </c>
      <c r="F1672" s="615" t="s">
        <v>623</v>
      </c>
      <c r="G1672" s="289" t="s">
        <v>624</v>
      </c>
      <c r="H1672" s="256" t="s">
        <v>625</v>
      </c>
      <c r="M1672" s="615" t="s">
        <v>623</v>
      </c>
    </row>
    <row r="1673" spans="2:13" ht="18.75" customHeight="1" x14ac:dyDescent="0.25">
      <c r="B1673" s="619"/>
      <c r="C1673" s="621"/>
      <c r="D1673" s="619"/>
      <c r="E1673" s="619"/>
      <c r="F1673" s="616"/>
      <c r="G1673" s="289" t="s">
        <v>626</v>
      </c>
      <c r="H1673" s="256" t="s">
        <v>626</v>
      </c>
      <c r="M1673" s="616"/>
    </row>
    <row r="1674" spans="2:13" ht="18.75" customHeight="1" x14ac:dyDescent="0.25">
      <c r="B1674" s="221"/>
      <c r="C1674" s="222"/>
      <c r="D1674" s="221"/>
      <c r="E1674" s="550"/>
      <c r="F1674" s="555"/>
      <c r="G1674" s="551"/>
      <c r="H1674" s="220"/>
      <c r="M1674" s="590"/>
    </row>
    <row r="1675" spans="2:13" ht="18.75" customHeight="1" x14ac:dyDescent="0.25">
      <c r="B1675" s="550" t="s">
        <v>627</v>
      </c>
      <c r="C1675" s="223" t="s">
        <v>628</v>
      </c>
      <c r="D1675" s="550"/>
      <c r="E1675" s="224"/>
      <c r="F1675" s="225"/>
      <c r="G1675" s="290"/>
      <c r="H1675" s="226"/>
      <c r="M1675" s="225"/>
    </row>
    <row r="1676" spans="2:13" ht="18.75" customHeight="1" x14ac:dyDescent="0.25">
      <c r="B1676" s="550"/>
      <c r="C1676" s="227" t="s">
        <v>629</v>
      </c>
      <c r="D1676" s="550" t="s">
        <v>630</v>
      </c>
      <c r="E1676" s="224" t="s">
        <v>631</v>
      </c>
      <c r="F1676" s="228">
        <f t="shared" ref="F1676:F1679" si="83">$K$8*M1676</f>
        <v>0.66</v>
      </c>
      <c r="G1676" s="229">
        <f>G1646</f>
        <v>95000</v>
      </c>
      <c r="H1676" s="230">
        <f>+G1676*F1676</f>
        <v>62700</v>
      </c>
      <c r="M1676" s="228">
        <v>0.66</v>
      </c>
    </row>
    <row r="1677" spans="2:13" ht="18.75" customHeight="1" x14ac:dyDescent="0.25">
      <c r="B1677" s="550"/>
      <c r="C1677" s="227" t="s">
        <v>1508</v>
      </c>
      <c r="D1677" s="550" t="s">
        <v>632</v>
      </c>
      <c r="E1677" s="224" t="s">
        <v>631</v>
      </c>
      <c r="F1677" s="228">
        <f t="shared" si="83"/>
        <v>0.33</v>
      </c>
      <c r="G1677" s="229">
        <f>G1647</f>
        <v>110000</v>
      </c>
      <c r="H1677" s="230">
        <f>+G1677*F1677</f>
        <v>36300</v>
      </c>
      <c r="M1677" s="228">
        <v>0.33</v>
      </c>
    </row>
    <row r="1678" spans="2:13" ht="18.75" customHeight="1" x14ac:dyDescent="0.25">
      <c r="B1678" s="550"/>
      <c r="C1678" s="227" t="s">
        <v>633</v>
      </c>
      <c r="D1678" s="550" t="s">
        <v>634</v>
      </c>
      <c r="E1678" s="224" t="s">
        <v>631</v>
      </c>
      <c r="F1678" s="228">
        <f t="shared" si="83"/>
        <v>3.3000000000000002E-2</v>
      </c>
      <c r="G1678" s="229">
        <f>G1648</f>
        <v>115000</v>
      </c>
      <c r="H1678" s="230">
        <f>+G1678*F1678</f>
        <v>3795</v>
      </c>
      <c r="M1678" s="228">
        <v>3.3000000000000002E-2</v>
      </c>
    </row>
    <row r="1679" spans="2:13" ht="18.75" customHeight="1" x14ac:dyDescent="0.25">
      <c r="B1679" s="550"/>
      <c r="C1679" s="227" t="s">
        <v>600</v>
      </c>
      <c r="D1679" s="550" t="s">
        <v>635</v>
      </c>
      <c r="E1679" s="224" t="s">
        <v>631</v>
      </c>
      <c r="F1679" s="228">
        <f t="shared" si="83"/>
        <v>3.3000000000000002E-2</v>
      </c>
      <c r="G1679" s="229">
        <f>G1649</f>
        <v>140000</v>
      </c>
      <c r="H1679" s="230">
        <f>+G1679*F1679</f>
        <v>4620</v>
      </c>
      <c r="M1679" s="228">
        <v>3.3000000000000002E-2</v>
      </c>
    </row>
    <row r="1680" spans="2:13" ht="18.75" customHeight="1" x14ac:dyDescent="0.25">
      <c r="B1680" s="550"/>
      <c r="C1680" s="223"/>
      <c r="D1680" s="550"/>
      <c r="E1680" s="224"/>
      <c r="F1680" s="233" t="s">
        <v>636</v>
      </c>
      <c r="G1680" s="290"/>
      <c r="H1680" s="231">
        <f>SUM(H1676:H1679)</f>
        <v>107415</v>
      </c>
      <c r="M1680" s="233" t="s">
        <v>636</v>
      </c>
    </row>
    <row r="1681" spans="2:13" ht="18.75" customHeight="1" x14ac:dyDescent="0.25">
      <c r="B1681" s="550"/>
      <c r="C1681" s="223"/>
      <c r="D1681" s="550"/>
      <c r="E1681" s="224"/>
      <c r="F1681" s="233"/>
      <c r="G1681" s="290"/>
      <c r="H1681" s="231"/>
      <c r="M1681" s="233"/>
    </row>
    <row r="1682" spans="2:13" ht="18.75" customHeight="1" x14ac:dyDescent="0.25">
      <c r="B1682" s="550" t="s">
        <v>637</v>
      </c>
      <c r="C1682" s="223" t="s">
        <v>638</v>
      </c>
      <c r="D1682" s="550"/>
      <c r="E1682" s="224"/>
      <c r="F1682" s="225"/>
      <c r="G1682" s="290"/>
      <c r="H1682" s="226"/>
      <c r="M1682" s="225"/>
    </row>
    <row r="1683" spans="2:13" ht="18.75" customHeight="1" x14ac:dyDescent="0.25">
      <c r="B1683" s="550"/>
      <c r="C1683" s="223" t="s">
        <v>1236</v>
      </c>
      <c r="D1683" s="550"/>
      <c r="E1683" s="550" t="s">
        <v>52</v>
      </c>
      <c r="F1683" s="233">
        <v>0.03</v>
      </c>
      <c r="G1683" s="234">
        <f t="shared" ref="G1683:G1688" si="84">+G1653</f>
        <v>3900000</v>
      </c>
      <c r="H1683" s="230">
        <f t="shared" ref="H1683:H1688" si="85">+G1683*F1683</f>
        <v>117000</v>
      </c>
      <c r="M1683" s="233">
        <v>0.03</v>
      </c>
    </row>
    <row r="1684" spans="2:13" ht="18.75" customHeight="1" x14ac:dyDescent="0.25">
      <c r="B1684" s="550"/>
      <c r="C1684" s="223" t="s">
        <v>764</v>
      </c>
      <c r="D1684" s="550"/>
      <c r="E1684" s="550" t="s">
        <v>62</v>
      </c>
      <c r="F1684" s="233">
        <v>0.4</v>
      </c>
      <c r="G1684" s="234">
        <f t="shared" si="84"/>
        <v>25000</v>
      </c>
      <c r="H1684" s="230">
        <f t="shared" si="85"/>
        <v>10000</v>
      </c>
      <c r="M1684" s="233">
        <v>0.4</v>
      </c>
    </row>
    <row r="1685" spans="2:13" ht="18.75" customHeight="1" x14ac:dyDescent="0.25">
      <c r="B1685" s="550"/>
      <c r="C1685" s="223" t="s">
        <v>248</v>
      </c>
      <c r="D1685" s="550"/>
      <c r="E1685" s="550" t="s">
        <v>743</v>
      </c>
      <c r="F1685" s="233">
        <v>0.15</v>
      </c>
      <c r="G1685" s="234">
        <f t="shared" si="84"/>
        <v>23000</v>
      </c>
      <c r="H1685" s="230">
        <f t="shared" si="85"/>
        <v>3450</v>
      </c>
      <c r="M1685" s="233">
        <v>0.15</v>
      </c>
    </row>
    <row r="1686" spans="2:13" ht="18.75" customHeight="1" x14ac:dyDescent="0.25">
      <c r="B1686" s="550"/>
      <c r="C1686" s="223" t="s">
        <v>773</v>
      </c>
      <c r="D1686" s="550"/>
      <c r="E1686" s="550" t="s">
        <v>52</v>
      </c>
      <c r="F1686" s="233">
        <v>1.4999999999999999E-2</v>
      </c>
      <c r="G1686" s="234">
        <f t="shared" si="84"/>
        <v>4230000</v>
      </c>
      <c r="H1686" s="230">
        <f t="shared" si="85"/>
        <v>63450</v>
      </c>
      <c r="M1686" s="233">
        <v>1.4999999999999999E-2</v>
      </c>
    </row>
    <row r="1687" spans="2:13" ht="18.75" customHeight="1" x14ac:dyDescent="0.25">
      <c r="B1687" s="550"/>
      <c r="C1687" s="223" t="s">
        <v>766</v>
      </c>
      <c r="D1687" s="550"/>
      <c r="E1687" s="550" t="s">
        <v>18</v>
      </c>
      <c r="F1687" s="233">
        <v>0.35</v>
      </c>
      <c r="G1687" s="234">
        <f t="shared" si="84"/>
        <v>150000</v>
      </c>
      <c r="H1687" s="230">
        <f t="shared" si="85"/>
        <v>52500</v>
      </c>
      <c r="M1687" s="233">
        <v>0.35</v>
      </c>
    </row>
    <row r="1688" spans="2:13" ht="18.75" customHeight="1" x14ac:dyDescent="0.25">
      <c r="B1688" s="550"/>
      <c r="C1688" s="223" t="s">
        <v>1452</v>
      </c>
      <c r="D1688" s="550"/>
      <c r="E1688" s="550" t="s">
        <v>128</v>
      </c>
      <c r="F1688" s="233">
        <v>2</v>
      </c>
      <c r="G1688" s="234">
        <f t="shared" si="84"/>
        <v>34500</v>
      </c>
      <c r="H1688" s="230">
        <f t="shared" si="85"/>
        <v>69000</v>
      </c>
      <c r="M1688" s="233">
        <v>2</v>
      </c>
    </row>
    <row r="1689" spans="2:13" ht="18.75" customHeight="1" x14ac:dyDescent="0.25">
      <c r="B1689" s="550"/>
      <c r="C1689" s="223"/>
      <c r="D1689" s="550"/>
      <c r="E1689" s="224"/>
      <c r="F1689" s="237" t="s">
        <v>643</v>
      </c>
      <c r="G1689" s="290"/>
      <c r="H1689" s="231">
        <f>SUM(H1683:H1688)</f>
        <v>315400</v>
      </c>
      <c r="M1689" s="237" t="s">
        <v>643</v>
      </c>
    </row>
    <row r="1690" spans="2:13" ht="18.75" customHeight="1" x14ac:dyDescent="0.25">
      <c r="B1690" s="550"/>
      <c r="C1690" s="223"/>
      <c r="D1690" s="550"/>
      <c r="E1690" s="224"/>
      <c r="F1690" s="225"/>
      <c r="G1690" s="290"/>
      <c r="H1690" s="226"/>
      <c r="M1690" s="225"/>
    </row>
    <row r="1691" spans="2:13" ht="18.75" customHeight="1" x14ac:dyDescent="0.25">
      <c r="B1691" s="550" t="s">
        <v>644</v>
      </c>
      <c r="C1691" s="223" t="s">
        <v>645</v>
      </c>
      <c r="D1691" s="550"/>
      <c r="E1691" s="224"/>
      <c r="F1691" s="225"/>
      <c r="G1691" s="290"/>
      <c r="H1691" s="235"/>
      <c r="M1691" s="225"/>
    </row>
    <row r="1692" spans="2:13" ht="18.75" customHeight="1" x14ac:dyDescent="0.25">
      <c r="B1692" s="236"/>
      <c r="C1692" s="232"/>
      <c r="D1692" s="550"/>
      <c r="E1692" s="224"/>
      <c r="F1692" s="237" t="s">
        <v>646</v>
      </c>
      <c r="G1692" s="290"/>
      <c r="H1692" s="230">
        <f>SUM(H1691:H1691)</f>
        <v>0</v>
      </c>
      <c r="M1692" s="237" t="s">
        <v>646</v>
      </c>
    </row>
    <row r="1693" spans="2:13" ht="18.75" customHeight="1" x14ac:dyDescent="0.25">
      <c r="B1693" s="236"/>
      <c r="C1693" s="232"/>
      <c r="D1693" s="550"/>
      <c r="E1693" s="224"/>
      <c r="F1693" s="237"/>
      <c r="G1693" s="290"/>
      <c r="H1693" s="226"/>
      <c r="M1693" s="237"/>
    </row>
    <row r="1694" spans="2:13" ht="18.75" customHeight="1" x14ac:dyDescent="0.25">
      <c r="B1694" s="248"/>
      <c r="C1694" s="238"/>
      <c r="D1694" s="239"/>
      <c r="E1694" s="240"/>
      <c r="F1694" s="241"/>
      <c r="G1694" s="291"/>
      <c r="H1694" s="251"/>
      <c r="M1694" s="241"/>
    </row>
    <row r="1695" spans="2:13" ht="18.75" customHeight="1" x14ac:dyDescent="0.25">
      <c r="B1695" s="249" t="s">
        <v>647</v>
      </c>
      <c r="C1695" s="104" t="s">
        <v>648</v>
      </c>
      <c r="D1695" s="435"/>
      <c r="E1695" s="92"/>
      <c r="F1695" s="183"/>
      <c r="G1695" s="167"/>
      <c r="H1695" s="252">
        <f>+H1692+H1689+H1680</f>
        <v>422815</v>
      </c>
      <c r="M1695" s="183"/>
    </row>
    <row r="1696" spans="2:13" ht="18.75" customHeight="1" x14ac:dyDescent="0.25">
      <c r="B1696" s="249" t="s">
        <v>649</v>
      </c>
      <c r="C1696" s="242" t="s">
        <v>650</v>
      </c>
      <c r="D1696" s="435"/>
      <c r="E1696" s="92"/>
      <c r="F1696" s="184" t="str">
        <f>$J$5</f>
        <v>8,0 % x D</v>
      </c>
      <c r="G1696" s="167"/>
      <c r="H1696" s="253">
        <f>+H1695*$K$5</f>
        <v>33825.199999999997</v>
      </c>
      <c r="M1696" s="184" t="str">
        <f>$J$5</f>
        <v>8,0 % x D</v>
      </c>
    </row>
    <row r="1697" spans="2:13" ht="18.75" customHeight="1" x14ac:dyDescent="0.25">
      <c r="B1697" s="249" t="s">
        <v>651</v>
      </c>
      <c r="C1697" s="111" t="s">
        <v>652</v>
      </c>
      <c r="D1697" s="435"/>
      <c r="E1697" s="91"/>
      <c r="F1697" s="185"/>
      <c r="G1697" s="168"/>
      <c r="H1697" s="254">
        <f>ROUNDUP((H1696+H1695)/100,0)*100</f>
        <v>456700</v>
      </c>
      <c r="M1697" s="185"/>
    </row>
    <row r="1698" spans="2:13" ht="18.75" customHeight="1" x14ac:dyDescent="0.25">
      <c r="B1698" s="259"/>
      <c r="C1698" s="261"/>
      <c r="D1698" s="245"/>
      <c r="E1698" s="246"/>
      <c r="F1698" s="247"/>
      <c r="G1698" s="298"/>
      <c r="H1698" s="260"/>
      <c r="M1698" s="247"/>
    </row>
    <row r="1699" spans="2:13" ht="18.75" customHeight="1" x14ac:dyDescent="0.25">
      <c r="B1699" s="22"/>
      <c r="C1699" s="104"/>
      <c r="E1699" s="21"/>
      <c r="F1699" s="176"/>
      <c r="G1699" s="165"/>
      <c r="H1699" s="119"/>
      <c r="M1699" s="176"/>
    </row>
    <row r="1700" spans="2:13" ht="18.75" customHeight="1" x14ac:dyDescent="0.25">
      <c r="B1700" s="19" t="s">
        <v>1726</v>
      </c>
      <c r="C1700" s="93" t="s">
        <v>1488</v>
      </c>
      <c r="D1700" s="19"/>
      <c r="E1700" s="21"/>
      <c r="F1700" s="176"/>
      <c r="G1700" s="165"/>
      <c r="H1700" s="119"/>
      <c r="M1700" s="176"/>
    </row>
    <row r="1701" spans="2:13" ht="18.75" customHeight="1" x14ac:dyDescent="0.25">
      <c r="B1701" s="19" t="s">
        <v>1727</v>
      </c>
      <c r="C1701" s="93" t="s">
        <v>1489</v>
      </c>
      <c r="D1701" s="19"/>
      <c r="E1701" s="21"/>
      <c r="F1701" s="176"/>
      <c r="G1701" s="165"/>
      <c r="H1701" s="119"/>
      <c r="M1701" s="176"/>
    </row>
    <row r="1702" spans="2:13" ht="18.75" customHeight="1" x14ac:dyDescent="0.25">
      <c r="B1702" s="618" t="s">
        <v>620</v>
      </c>
      <c r="C1702" s="620" t="s">
        <v>621</v>
      </c>
      <c r="D1702" s="618" t="s">
        <v>622</v>
      </c>
      <c r="E1702" s="618" t="s">
        <v>2</v>
      </c>
      <c r="F1702" s="615" t="s">
        <v>623</v>
      </c>
      <c r="G1702" s="289" t="s">
        <v>624</v>
      </c>
      <c r="H1702" s="256" t="s">
        <v>625</v>
      </c>
      <c r="M1702" s="615" t="s">
        <v>623</v>
      </c>
    </row>
    <row r="1703" spans="2:13" ht="18.75" customHeight="1" x14ac:dyDescent="0.25">
      <c r="B1703" s="619"/>
      <c r="C1703" s="621"/>
      <c r="D1703" s="619"/>
      <c r="E1703" s="619"/>
      <c r="F1703" s="616"/>
      <c r="G1703" s="289" t="s">
        <v>626</v>
      </c>
      <c r="H1703" s="256" t="s">
        <v>626</v>
      </c>
      <c r="M1703" s="616"/>
    </row>
    <row r="1704" spans="2:13" ht="18.75" customHeight="1" x14ac:dyDescent="0.25">
      <c r="B1704" s="221"/>
      <c r="C1704" s="222"/>
      <c r="D1704" s="221"/>
      <c r="E1704" s="550"/>
      <c r="F1704" s="555"/>
      <c r="G1704" s="551"/>
      <c r="H1704" s="220"/>
      <c r="M1704" s="590"/>
    </row>
    <row r="1705" spans="2:13" ht="18.75" customHeight="1" x14ac:dyDescent="0.25">
      <c r="B1705" s="550" t="s">
        <v>627</v>
      </c>
      <c r="C1705" s="223" t="s">
        <v>628</v>
      </c>
      <c r="D1705" s="550"/>
      <c r="E1705" s="224"/>
      <c r="F1705" s="225"/>
      <c r="G1705" s="290"/>
      <c r="H1705" s="226"/>
      <c r="M1705" s="225"/>
    </row>
    <row r="1706" spans="2:13" ht="18.75" customHeight="1" x14ac:dyDescent="0.25">
      <c r="B1706" s="550"/>
      <c r="C1706" s="227" t="s">
        <v>629</v>
      </c>
      <c r="D1706" s="550" t="s">
        <v>630</v>
      </c>
      <c r="E1706" s="224" t="s">
        <v>631</v>
      </c>
      <c r="F1706" s="228">
        <f t="shared" ref="F1706:F1709" si="86">$K$8*M1706</f>
        <v>1.65</v>
      </c>
      <c r="G1706" s="229">
        <f>G1676</f>
        <v>95000</v>
      </c>
      <c r="H1706" s="230">
        <f>+G1706*F1706</f>
        <v>156750</v>
      </c>
      <c r="M1706" s="414">
        <v>1.65</v>
      </c>
    </row>
    <row r="1707" spans="2:13" ht="18.75" customHeight="1" x14ac:dyDescent="0.25">
      <c r="B1707" s="550"/>
      <c r="C1707" s="227" t="s">
        <v>1508</v>
      </c>
      <c r="D1707" s="550" t="s">
        <v>632</v>
      </c>
      <c r="E1707" s="224" t="s">
        <v>631</v>
      </c>
      <c r="F1707" s="228">
        <f t="shared" si="86"/>
        <v>0.25</v>
      </c>
      <c r="G1707" s="229">
        <f>G1677</f>
        <v>110000</v>
      </c>
      <c r="H1707" s="230">
        <f>+G1707*F1707</f>
        <v>27500</v>
      </c>
      <c r="M1707" s="414">
        <v>0.25</v>
      </c>
    </row>
    <row r="1708" spans="2:13" ht="18.75" customHeight="1" x14ac:dyDescent="0.25">
      <c r="B1708" s="550"/>
      <c r="C1708" s="227" t="s">
        <v>633</v>
      </c>
      <c r="D1708" s="550" t="s">
        <v>634</v>
      </c>
      <c r="E1708" s="224" t="s">
        <v>631</v>
      </c>
      <c r="F1708" s="228">
        <f t="shared" si="86"/>
        <v>2.5000000000000001E-2</v>
      </c>
      <c r="G1708" s="229">
        <f>G1678</f>
        <v>115000</v>
      </c>
      <c r="H1708" s="230">
        <f>+G1708*F1708</f>
        <v>2875</v>
      </c>
      <c r="M1708" s="414">
        <v>2.5000000000000001E-2</v>
      </c>
    </row>
    <row r="1709" spans="2:13" ht="18.75" customHeight="1" x14ac:dyDescent="0.25">
      <c r="B1709" s="550"/>
      <c r="C1709" s="227" t="s">
        <v>600</v>
      </c>
      <c r="D1709" s="550" t="s">
        <v>635</v>
      </c>
      <c r="E1709" s="224" t="s">
        <v>631</v>
      </c>
      <c r="F1709" s="228">
        <f t="shared" si="86"/>
        <v>0.08</v>
      </c>
      <c r="G1709" s="229">
        <f>G1679</f>
        <v>140000</v>
      </c>
      <c r="H1709" s="230">
        <f>+G1709*F1709</f>
        <v>11200</v>
      </c>
      <c r="M1709" s="414">
        <v>0.08</v>
      </c>
    </row>
    <row r="1710" spans="2:13" ht="18.75" customHeight="1" x14ac:dyDescent="0.25">
      <c r="B1710" s="550"/>
      <c r="C1710" s="223"/>
      <c r="D1710" s="550"/>
      <c r="E1710" s="224"/>
      <c r="F1710" s="233" t="s">
        <v>636</v>
      </c>
      <c r="G1710" s="290"/>
      <c r="H1710" s="231">
        <f>SUM(H1706:H1709)</f>
        <v>198325</v>
      </c>
      <c r="M1710" s="233" t="s">
        <v>636</v>
      </c>
    </row>
    <row r="1711" spans="2:13" ht="18.75" customHeight="1" x14ac:dyDescent="0.25">
      <c r="B1711" s="550"/>
      <c r="C1711" s="223"/>
      <c r="D1711" s="550"/>
      <c r="E1711" s="224"/>
      <c r="F1711" s="233"/>
      <c r="G1711" s="290"/>
      <c r="H1711" s="231"/>
      <c r="M1711" s="233"/>
    </row>
    <row r="1712" spans="2:13" ht="18.75" customHeight="1" x14ac:dyDescent="0.25">
      <c r="B1712" s="550" t="s">
        <v>637</v>
      </c>
      <c r="C1712" s="223" t="s">
        <v>638</v>
      </c>
      <c r="D1712" s="550"/>
      <c r="E1712" s="224"/>
      <c r="F1712" s="225"/>
      <c r="G1712" s="290"/>
      <c r="H1712" s="226"/>
      <c r="M1712" s="225"/>
    </row>
    <row r="1713" spans="2:13" ht="18.75" customHeight="1" x14ac:dyDescent="0.25">
      <c r="B1713" s="550"/>
      <c r="C1713" s="223" t="s">
        <v>1480</v>
      </c>
      <c r="D1713" s="550"/>
      <c r="E1713" s="550" t="s">
        <v>62</v>
      </c>
      <c r="F1713" s="233">
        <v>218</v>
      </c>
      <c r="G1713" s="234">
        <f>G1411</f>
        <v>1700</v>
      </c>
      <c r="H1713" s="230">
        <f>+G1713*F1713</f>
        <v>370600</v>
      </c>
      <c r="M1713" s="233">
        <v>218</v>
      </c>
    </row>
    <row r="1714" spans="2:13" ht="18.75" customHeight="1" x14ac:dyDescent="0.25">
      <c r="B1714" s="550"/>
      <c r="C1714" s="223" t="s">
        <v>774</v>
      </c>
      <c r="D1714" s="550"/>
      <c r="E1714" s="550" t="s">
        <v>62</v>
      </c>
      <c r="F1714" s="233">
        <v>230.4</v>
      </c>
      <c r="G1714" s="234">
        <f>G1713</f>
        <v>1700</v>
      </c>
      <c r="H1714" s="230">
        <f>+G1714*F1714</f>
        <v>391680</v>
      </c>
      <c r="M1714" s="233">
        <v>230.4</v>
      </c>
    </row>
    <row r="1715" spans="2:13" ht="18.75" customHeight="1" x14ac:dyDescent="0.25">
      <c r="B1715" s="550"/>
      <c r="C1715" s="223" t="s">
        <v>713</v>
      </c>
      <c r="D1715" s="550"/>
      <c r="E1715" s="550" t="s">
        <v>52</v>
      </c>
      <c r="F1715" s="233">
        <v>0.52</v>
      </c>
      <c r="G1715" s="234">
        <f>G1412</f>
        <v>230000</v>
      </c>
      <c r="H1715" s="230">
        <f>+G1715*F1715</f>
        <v>119600</v>
      </c>
      <c r="M1715" s="233">
        <v>0.52</v>
      </c>
    </row>
    <row r="1716" spans="2:13" ht="18.75" customHeight="1" x14ac:dyDescent="0.25">
      <c r="B1716" s="550"/>
      <c r="C1716" s="223" t="s">
        <v>775</v>
      </c>
      <c r="D1716" s="550"/>
      <c r="E1716" s="550" t="s">
        <v>52</v>
      </c>
      <c r="F1716" s="233">
        <v>0.78</v>
      </c>
      <c r="G1716" s="234">
        <f>Bahan!D73</f>
        <v>335000</v>
      </c>
      <c r="H1716" s="230">
        <f>+G1716*F1716</f>
        <v>261300</v>
      </c>
      <c r="M1716" s="233">
        <v>0.78</v>
      </c>
    </row>
    <row r="1717" spans="2:13" ht="18.75" customHeight="1" x14ac:dyDescent="0.25">
      <c r="B1717" s="550"/>
      <c r="C1717" s="223"/>
      <c r="D1717" s="550"/>
      <c r="E1717" s="224"/>
      <c r="F1717" s="237" t="s">
        <v>643</v>
      </c>
      <c r="G1717" s="290"/>
      <c r="H1717" s="231">
        <f>H1713+H1715+H1716</f>
        <v>751500</v>
      </c>
      <c r="M1717" s="237" t="s">
        <v>643</v>
      </c>
    </row>
    <row r="1718" spans="2:13" ht="18.75" customHeight="1" x14ac:dyDescent="0.25">
      <c r="B1718" s="550"/>
      <c r="C1718" s="223"/>
      <c r="D1718" s="550"/>
      <c r="E1718" s="224"/>
      <c r="F1718" s="237" t="s">
        <v>643</v>
      </c>
      <c r="G1718" s="290"/>
      <c r="H1718" s="231">
        <f>H1714+H1715+H1716</f>
        <v>772580</v>
      </c>
      <c r="M1718" s="237" t="s">
        <v>643</v>
      </c>
    </row>
    <row r="1719" spans="2:13" ht="18.75" customHeight="1" x14ac:dyDescent="0.25">
      <c r="B1719" s="550"/>
      <c r="C1719" s="223"/>
      <c r="D1719" s="550"/>
      <c r="E1719" s="224"/>
      <c r="F1719" s="225"/>
      <c r="G1719" s="290"/>
      <c r="H1719" s="226"/>
      <c r="M1719" s="225"/>
    </row>
    <row r="1720" spans="2:13" ht="18.75" customHeight="1" x14ac:dyDescent="0.25">
      <c r="B1720" s="550" t="s">
        <v>644</v>
      </c>
      <c r="C1720" s="223" t="s">
        <v>645</v>
      </c>
      <c r="D1720" s="550"/>
      <c r="E1720" s="224"/>
      <c r="F1720" s="225"/>
      <c r="G1720" s="290"/>
      <c r="H1720" s="235"/>
      <c r="M1720" s="225"/>
    </row>
    <row r="1721" spans="2:13" ht="18.75" customHeight="1" x14ac:dyDescent="0.25">
      <c r="B1721" s="236"/>
      <c r="C1721" s="232"/>
      <c r="D1721" s="550"/>
      <c r="E1721" s="224"/>
      <c r="F1721" s="237" t="s">
        <v>646</v>
      </c>
      <c r="G1721" s="290"/>
      <c r="H1721" s="230">
        <f>SUM(H1720:H1720)</f>
        <v>0</v>
      </c>
      <c r="M1721" s="237" t="s">
        <v>646</v>
      </c>
    </row>
    <row r="1722" spans="2:13" ht="18.75" customHeight="1" x14ac:dyDescent="0.25">
      <c r="B1722" s="236"/>
      <c r="C1722" s="232"/>
      <c r="D1722" s="550"/>
      <c r="E1722" s="224"/>
      <c r="F1722" s="237"/>
      <c r="G1722" s="290"/>
      <c r="H1722" s="226"/>
      <c r="M1722" s="237"/>
    </row>
    <row r="1723" spans="2:13" ht="18.75" customHeight="1" x14ac:dyDescent="0.25">
      <c r="B1723" s="248"/>
      <c r="C1723" s="238"/>
      <c r="D1723" s="239"/>
      <c r="E1723" s="266"/>
      <c r="F1723" s="241"/>
      <c r="G1723" s="303"/>
      <c r="H1723" s="267"/>
      <c r="M1723" s="241"/>
    </row>
    <row r="1724" spans="2:13" ht="18.75" customHeight="1" x14ac:dyDescent="0.25">
      <c r="B1724" s="249" t="s">
        <v>647</v>
      </c>
      <c r="C1724" s="104" t="s">
        <v>776</v>
      </c>
      <c r="D1724" s="435"/>
      <c r="E1724" s="92"/>
      <c r="F1724" s="183"/>
      <c r="G1724" s="167"/>
      <c r="H1724" s="254">
        <f>H1710+H1717</f>
        <v>949825</v>
      </c>
      <c r="M1724" s="183"/>
    </row>
    <row r="1725" spans="2:13" ht="18.75" customHeight="1" x14ac:dyDescent="0.25">
      <c r="B1725" s="249" t="s">
        <v>649</v>
      </c>
      <c r="C1725" s="242" t="s">
        <v>650</v>
      </c>
      <c r="D1725" s="435"/>
      <c r="E1725" s="92"/>
      <c r="F1725" s="184" t="str">
        <f>$J$5</f>
        <v>8,0 % x D</v>
      </c>
      <c r="G1725" s="167"/>
      <c r="H1725" s="253">
        <f>+H1724*$K$5</f>
        <v>75986</v>
      </c>
      <c r="M1725" s="184" t="str">
        <f>$J$5</f>
        <v>8,0 % x D</v>
      </c>
    </row>
    <row r="1726" spans="2:13" ht="18.75" customHeight="1" x14ac:dyDescent="0.25">
      <c r="B1726" s="249" t="s">
        <v>651</v>
      </c>
      <c r="C1726" s="111" t="s">
        <v>652</v>
      </c>
      <c r="D1726" s="435"/>
      <c r="E1726" s="91"/>
      <c r="F1726" s="185"/>
      <c r="G1726" s="168"/>
      <c r="H1726" s="254">
        <f>ROUNDUP((H1725+H1724)/100,0)*100</f>
        <v>1025900</v>
      </c>
      <c r="M1726" s="185"/>
    </row>
    <row r="1727" spans="2:13" ht="18.75" customHeight="1" x14ac:dyDescent="0.25">
      <c r="B1727" s="249"/>
      <c r="C1727" s="111"/>
      <c r="D1727" s="435"/>
      <c r="E1727" s="91"/>
      <c r="F1727" s="185"/>
      <c r="G1727" s="168"/>
      <c r="H1727" s="254"/>
      <c r="M1727" s="185"/>
    </row>
    <row r="1728" spans="2:13" ht="18.75" customHeight="1" x14ac:dyDescent="0.25">
      <c r="B1728" s="249" t="s">
        <v>825</v>
      </c>
      <c r="C1728" s="104" t="s">
        <v>777</v>
      </c>
      <c r="D1728" s="435"/>
      <c r="E1728" s="92"/>
      <c r="F1728" s="183"/>
      <c r="G1728" s="167"/>
      <c r="H1728" s="254">
        <f>H1710+H1718</f>
        <v>970905</v>
      </c>
      <c r="M1728" s="183"/>
    </row>
    <row r="1729" spans="2:13" ht="18.75" customHeight="1" x14ac:dyDescent="0.25">
      <c r="B1729" s="249" t="s">
        <v>827</v>
      </c>
      <c r="C1729" s="242" t="s">
        <v>650</v>
      </c>
      <c r="D1729" s="435"/>
      <c r="E1729" s="92"/>
      <c r="F1729" s="184" t="str">
        <f>$J$5</f>
        <v>8,0 % x D</v>
      </c>
      <c r="G1729" s="167"/>
      <c r="H1729" s="253">
        <f>+H1728*$K$5</f>
        <v>77672.400000000009</v>
      </c>
      <c r="M1729" s="184" t="str">
        <f>$J$5</f>
        <v>8,0 % x D</v>
      </c>
    </row>
    <row r="1730" spans="2:13" ht="18.75" customHeight="1" x14ac:dyDescent="0.25">
      <c r="B1730" s="249" t="s">
        <v>617</v>
      </c>
      <c r="C1730" s="111" t="s">
        <v>1490</v>
      </c>
      <c r="D1730" s="435"/>
      <c r="E1730" s="91"/>
      <c r="F1730" s="185"/>
      <c r="G1730" s="168"/>
      <c r="H1730" s="254">
        <f>ROUNDUP((H1729+H1728)/100,0)*100</f>
        <v>1048600</v>
      </c>
      <c r="M1730" s="185"/>
    </row>
    <row r="1731" spans="2:13" ht="18.75" customHeight="1" x14ac:dyDescent="0.25">
      <c r="B1731" s="250"/>
      <c r="C1731" s="261"/>
      <c r="D1731" s="245"/>
      <c r="E1731" s="263"/>
      <c r="F1731" s="340"/>
      <c r="G1731" s="302"/>
      <c r="H1731" s="255"/>
      <c r="M1731" s="340"/>
    </row>
    <row r="1732" spans="2:13" ht="18.75" customHeight="1" x14ac:dyDescent="0.25">
      <c r="B1732" s="22"/>
      <c r="C1732" s="112"/>
      <c r="D1732" s="70"/>
      <c r="E1732" s="70"/>
      <c r="F1732" s="202"/>
      <c r="G1732" s="173"/>
      <c r="H1732" s="119"/>
      <c r="M1732" s="202"/>
    </row>
    <row r="1733" spans="2:13" ht="18.75" customHeight="1" x14ac:dyDescent="0.25">
      <c r="B1733" s="19">
        <v>25</v>
      </c>
      <c r="C1733" s="93" t="s">
        <v>778</v>
      </c>
      <c r="D1733" s="19"/>
      <c r="E1733" s="21"/>
      <c r="F1733" s="176"/>
      <c r="G1733" s="165"/>
      <c r="H1733" s="119"/>
      <c r="M1733" s="176"/>
    </row>
    <row r="1734" spans="2:13" ht="18.75" customHeight="1" x14ac:dyDescent="0.25">
      <c r="B1734" s="618" t="s">
        <v>620</v>
      </c>
      <c r="C1734" s="620" t="s">
        <v>621</v>
      </c>
      <c r="D1734" s="618" t="s">
        <v>622</v>
      </c>
      <c r="E1734" s="618" t="s">
        <v>2</v>
      </c>
      <c r="F1734" s="615" t="s">
        <v>623</v>
      </c>
      <c r="G1734" s="289" t="s">
        <v>624</v>
      </c>
      <c r="H1734" s="256" t="s">
        <v>625</v>
      </c>
      <c r="M1734" s="615" t="s">
        <v>623</v>
      </c>
    </row>
    <row r="1735" spans="2:13" ht="18.75" customHeight="1" x14ac:dyDescent="0.25">
      <c r="B1735" s="619"/>
      <c r="C1735" s="621"/>
      <c r="D1735" s="619"/>
      <c r="E1735" s="619"/>
      <c r="F1735" s="616"/>
      <c r="G1735" s="289" t="s">
        <v>626</v>
      </c>
      <c r="H1735" s="256" t="s">
        <v>626</v>
      </c>
      <c r="M1735" s="616"/>
    </row>
    <row r="1736" spans="2:13" ht="18.75" customHeight="1" x14ac:dyDescent="0.25">
      <c r="B1736" s="221"/>
      <c r="C1736" s="222"/>
      <c r="D1736" s="221"/>
      <c r="E1736" s="550"/>
      <c r="F1736" s="555"/>
      <c r="G1736" s="551"/>
      <c r="H1736" s="220"/>
      <c r="M1736" s="590"/>
    </row>
    <row r="1737" spans="2:13" ht="18.75" customHeight="1" x14ac:dyDescent="0.25">
      <c r="B1737" s="550" t="s">
        <v>627</v>
      </c>
      <c r="C1737" s="223" t="s">
        <v>628</v>
      </c>
      <c r="D1737" s="550"/>
      <c r="E1737" s="224"/>
      <c r="F1737" s="225"/>
      <c r="G1737" s="290"/>
      <c r="H1737" s="226"/>
      <c r="M1737" s="225"/>
    </row>
    <row r="1738" spans="2:13" ht="18.75" customHeight="1" x14ac:dyDescent="0.25">
      <c r="B1738" s="550"/>
      <c r="C1738" s="227" t="s">
        <v>629</v>
      </c>
      <c r="D1738" s="550" t="s">
        <v>630</v>
      </c>
      <c r="E1738" s="224" t="s">
        <v>631</v>
      </c>
      <c r="F1738" s="228">
        <f t="shared" ref="F1738:F1741" si="87">$K$8*M1738</f>
        <v>1.65</v>
      </c>
      <c r="G1738" s="229">
        <f>G1706</f>
        <v>95000</v>
      </c>
      <c r="H1738" s="230">
        <f>+G1738*F1738</f>
        <v>156750</v>
      </c>
      <c r="M1738" s="414">
        <v>1.65</v>
      </c>
    </row>
    <row r="1739" spans="2:13" ht="18.75" customHeight="1" x14ac:dyDescent="0.25">
      <c r="B1739" s="550"/>
      <c r="C1739" s="227" t="s">
        <v>1508</v>
      </c>
      <c r="D1739" s="550" t="s">
        <v>632</v>
      </c>
      <c r="E1739" s="224" t="s">
        <v>631</v>
      </c>
      <c r="F1739" s="228">
        <f t="shared" si="87"/>
        <v>0.25</v>
      </c>
      <c r="G1739" s="229">
        <f>G1707</f>
        <v>110000</v>
      </c>
      <c r="H1739" s="230">
        <f>+G1739*F1739</f>
        <v>27500</v>
      </c>
      <c r="M1739" s="414">
        <v>0.25</v>
      </c>
    </row>
    <row r="1740" spans="2:13" ht="18.75" customHeight="1" x14ac:dyDescent="0.25">
      <c r="B1740" s="550"/>
      <c r="C1740" s="227" t="s">
        <v>633</v>
      </c>
      <c r="D1740" s="550" t="s">
        <v>634</v>
      </c>
      <c r="E1740" s="224" t="s">
        <v>631</v>
      </c>
      <c r="F1740" s="228">
        <f t="shared" si="87"/>
        <v>2.5000000000000001E-2</v>
      </c>
      <c r="G1740" s="229">
        <f>G1708</f>
        <v>115000</v>
      </c>
      <c r="H1740" s="230">
        <f>+G1740*F1740</f>
        <v>2875</v>
      </c>
      <c r="M1740" s="414">
        <v>2.5000000000000001E-2</v>
      </c>
    </row>
    <row r="1741" spans="2:13" ht="18.75" customHeight="1" x14ac:dyDescent="0.25">
      <c r="B1741" s="550"/>
      <c r="C1741" s="227" t="s">
        <v>600</v>
      </c>
      <c r="D1741" s="550" t="s">
        <v>635</v>
      </c>
      <c r="E1741" s="224" t="s">
        <v>631</v>
      </c>
      <c r="F1741" s="228">
        <f t="shared" si="87"/>
        <v>0.08</v>
      </c>
      <c r="G1741" s="229">
        <f>G1709</f>
        <v>140000</v>
      </c>
      <c r="H1741" s="230">
        <f>+G1741*F1741</f>
        <v>11200</v>
      </c>
      <c r="M1741" s="414">
        <v>0.08</v>
      </c>
    </row>
    <row r="1742" spans="2:13" ht="18.75" customHeight="1" x14ac:dyDescent="0.25">
      <c r="B1742" s="550"/>
      <c r="C1742" s="223"/>
      <c r="D1742" s="550"/>
      <c r="E1742" s="224"/>
      <c r="F1742" s="233" t="s">
        <v>636</v>
      </c>
      <c r="G1742" s="290"/>
      <c r="H1742" s="231">
        <f>SUM(H1738:H1741)</f>
        <v>198325</v>
      </c>
      <c r="M1742" s="233" t="s">
        <v>636</v>
      </c>
    </row>
    <row r="1743" spans="2:13" ht="18.75" customHeight="1" x14ac:dyDescent="0.25">
      <c r="B1743" s="550"/>
      <c r="C1743" s="223"/>
      <c r="D1743" s="550"/>
      <c r="E1743" s="224"/>
      <c r="F1743" s="233"/>
      <c r="G1743" s="290"/>
      <c r="H1743" s="231"/>
      <c r="M1743" s="233"/>
    </row>
    <row r="1744" spans="2:13" ht="18.75" customHeight="1" x14ac:dyDescent="0.25">
      <c r="B1744" s="550" t="s">
        <v>637</v>
      </c>
      <c r="C1744" s="223" t="s">
        <v>638</v>
      </c>
      <c r="D1744" s="550"/>
      <c r="E1744" s="224"/>
      <c r="F1744" s="225"/>
      <c r="G1744" s="290"/>
      <c r="H1744" s="226"/>
      <c r="M1744" s="225"/>
    </row>
    <row r="1745" spans="2:13" ht="18.75" customHeight="1" x14ac:dyDescent="0.25">
      <c r="B1745" s="550"/>
      <c r="C1745" s="223" t="s">
        <v>708</v>
      </c>
      <c r="D1745" s="550"/>
      <c r="E1745" s="550" t="s">
        <v>62</v>
      </c>
      <c r="F1745" s="233">
        <v>386</v>
      </c>
      <c r="G1745" s="234">
        <f>G1713</f>
        <v>1700</v>
      </c>
      <c r="H1745" s="230">
        <f>+G1745*F1745</f>
        <v>656200</v>
      </c>
      <c r="M1745" s="233">
        <v>386</v>
      </c>
    </row>
    <row r="1746" spans="2:13" ht="18.75" customHeight="1" x14ac:dyDescent="0.25">
      <c r="B1746" s="550"/>
      <c r="C1746" s="223" t="s">
        <v>713</v>
      </c>
      <c r="D1746" s="550"/>
      <c r="E1746" s="550" t="s">
        <v>52</v>
      </c>
      <c r="F1746" s="233">
        <v>0.47</v>
      </c>
      <c r="G1746" s="234">
        <f>G1715</f>
        <v>230000</v>
      </c>
      <c r="H1746" s="230">
        <f>+G1746*F1746</f>
        <v>108100</v>
      </c>
      <c r="M1746" s="233">
        <v>0.47</v>
      </c>
    </row>
    <row r="1747" spans="2:13" ht="18.75" customHeight="1" x14ac:dyDescent="0.25">
      <c r="B1747" s="550"/>
      <c r="C1747" s="223" t="s">
        <v>775</v>
      </c>
      <c r="D1747" s="550"/>
      <c r="E1747" s="550" t="s">
        <v>52</v>
      </c>
      <c r="F1747" s="233">
        <v>0.78</v>
      </c>
      <c r="G1747" s="234">
        <f>G1716</f>
        <v>335000</v>
      </c>
      <c r="H1747" s="230">
        <f>+G1747*F1747</f>
        <v>261300</v>
      </c>
      <c r="M1747" s="233">
        <v>0.78</v>
      </c>
    </row>
    <row r="1748" spans="2:13" ht="18.75" customHeight="1" x14ac:dyDescent="0.25">
      <c r="B1748" s="550"/>
      <c r="C1748" s="223"/>
      <c r="D1748" s="550"/>
      <c r="E1748" s="224"/>
      <c r="F1748" s="237" t="s">
        <v>643</v>
      </c>
      <c r="G1748" s="290"/>
      <c r="H1748" s="231">
        <f>SUM(H1745:H1747)</f>
        <v>1025600</v>
      </c>
      <c r="M1748" s="237" t="s">
        <v>643</v>
      </c>
    </row>
    <row r="1749" spans="2:13" ht="18.75" customHeight="1" x14ac:dyDescent="0.25">
      <c r="B1749" s="550"/>
      <c r="C1749" s="223"/>
      <c r="D1749" s="550"/>
      <c r="E1749" s="224"/>
      <c r="F1749" s="225"/>
      <c r="G1749" s="290"/>
      <c r="H1749" s="226"/>
      <c r="M1749" s="225"/>
    </row>
    <row r="1750" spans="2:13" ht="18.75" customHeight="1" x14ac:dyDescent="0.25">
      <c r="B1750" s="550" t="s">
        <v>644</v>
      </c>
      <c r="C1750" s="223" t="s">
        <v>645</v>
      </c>
      <c r="D1750" s="550"/>
      <c r="E1750" s="224"/>
      <c r="F1750" s="225"/>
      <c r="G1750" s="290"/>
      <c r="H1750" s="235"/>
      <c r="M1750" s="225"/>
    </row>
    <row r="1751" spans="2:13" ht="18.75" customHeight="1" x14ac:dyDescent="0.25">
      <c r="B1751" s="236"/>
      <c r="C1751" s="232"/>
      <c r="D1751" s="550"/>
      <c r="E1751" s="224"/>
      <c r="F1751" s="237" t="s">
        <v>646</v>
      </c>
      <c r="G1751" s="290"/>
      <c r="H1751" s="230">
        <f>SUM(H1750:H1750)</f>
        <v>0</v>
      </c>
      <c r="M1751" s="237" t="s">
        <v>646</v>
      </c>
    </row>
    <row r="1752" spans="2:13" ht="18.75" customHeight="1" x14ac:dyDescent="0.25">
      <c r="B1752" s="236"/>
      <c r="C1752" s="232"/>
      <c r="D1752" s="550"/>
      <c r="E1752" s="224"/>
      <c r="F1752" s="237"/>
      <c r="G1752" s="290"/>
      <c r="H1752" s="230"/>
      <c r="M1752" s="237"/>
    </row>
    <row r="1753" spans="2:13" ht="18.75" customHeight="1" x14ac:dyDescent="0.25">
      <c r="B1753" s="248"/>
      <c r="C1753" s="238"/>
      <c r="D1753" s="239"/>
      <c r="E1753" s="266"/>
      <c r="F1753" s="241"/>
      <c r="G1753" s="303"/>
      <c r="H1753" s="267"/>
      <c r="M1753" s="241"/>
    </row>
    <row r="1754" spans="2:13" ht="18.75" customHeight="1" x14ac:dyDescent="0.25">
      <c r="B1754" s="249" t="s">
        <v>647</v>
      </c>
      <c r="C1754" s="104" t="s">
        <v>776</v>
      </c>
      <c r="D1754" s="435"/>
      <c r="E1754" s="92"/>
      <c r="F1754" s="183"/>
      <c r="G1754" s="167"/>
      <c r="H1754" s="254">
        <f>H1742+H1748</f>
        <v>1223925</v>
      </c>
      <c r="M1754" s="183"/>
    </row>
    <row r="1755" spans="2:13" ht="18.75" customHeight="1" x14ac:dyDescent="0.25">
      <c r="B1755" s="249" t="s">
        <v>649</v>
      </c>
      <c r="C1755" s="242" t="s">
        <v>650</v>
      </c>
      <c r="D1755" s="435"/>
      <c r="E1755" s="92"/>
      <c r="F1755" s="184" t="str">
        <f>$J$5</f>
        <v>8,0 % x D</v>
      </c>
      <c r="G1755" s="167"/>
      <c r="H1755" s="253">
        <f>+H1754*$K$5</f>
        <v>97914</v>
      </c>
      <c r="M1755" s="184" t="str">
        <f>$J$5</f>
        <v>8,0 % x D</v>
      </c>
    </row>
    <row r="1756" spans="2:13" ht="18.75" customHeight="1" x14ac:dyDescent="0.25">
      <c r="B1756" s="249" t="s">
        <v>651</v>
      </c>
      <c r="C1756" s="111" t="s">
        <v>652</v>
      </c>
      <c r="D1756" s="435"/>
      <c r="E1756" s="91"/>
      <c r="F1756" s="185"/>
      <c r="G1756" s="168"/>
      <c r="H1756" s="254">
        <f>ROUNDUP((H1755+H1754)/100,0)*100</f>
        <v>1321900</v>
      </c>
      <c r="M1756" s="185"/>
    </row>
    <row r="1757" spans="2:13" ht="18.75" customHeight="1" x14ac:dyDescent="0.25">
      <c r="B1757" s="250"/>
      <c r="C1757" s="261"/>
      <c r="D1757" s="245"/>
      <c r="E1757" s="263"/>
      <c r="F1757" s="340"/>
      <c r="G1757" s="302"/>
      <c r="H1757" s="255"/>
      <c r="M1757" s="340"/>
    </row>
    <row r="1758" spans="2:13" ht="18.75" customHeight="1" x14ac:dyDescent="0.25">
      <c r="B1758" s="22"/>
      <c r="C1758" s="104"/>
      <c r="E1758" s="21"/>
      <c r="F1758" s="176"/>
      <c r="G1758" s="165"/>
      <c r="H1758" s="119"/>
      <c r="M1758" s="176"/>
    </row>
    <row r="1759" spans="2:13" ht="18.75" customHeight="1" x14ac:dyDescent="0.25">
      <c r="B1759" s="19">
        <f>+B1733+1</f>
        <v>26</v>
      </c>
      <c r="C1759" s="93" t="s">
        <v>1785</v>
      </c>
      <c r="D1759" s="19"/>
      <c r="E1759" s="21"/>
      <c r="F1759" s="176"/>
      <c r="G1759" s="165"/>
      <c r="H1759" s="119"/>
      <c r="M1759" s="176"/>
    </row>
    <row r="1760" spans="2:13" ht="18.75" customHeight="1" x14ac:dyDescent="0.25">
      <c r="B1760" s="618" t="s">
        <v>620</v>
      </c>
      <c r="C1760" s="620" t="s">
        <v>621</v>
      </c>
      <c r="D1760" s="618" t="s">
        <v>622</v>
      </c>
      <c r="E1760" s="618" t="s">
        <v>2</v>
      </c>
      <c r="F1760" s="615" t="s">
        <v>623</v>
      </c>
      <c r="G1760" s="289" t="s">
        <v>624</v>
      </c>
      <c r="H1760" s="256" t="s">
        <v>625</v>
      </c>
      <c r="M1760" s="615" t="s">
        <v>623</v>
      </c>
    </row>
    <row r="1761" spans="2:13" ht="18.75" customHeight="1" x14ac:dyDescent="0.25">
      <c r="B1761" s="619"/>
      <c r="C1761" s="621"/>
      <c r="D1761" s="619"/>
      <c r="E1761" s="619"/>
      <c r="F1761" s="616"/>
      <c r="G1761" s="289" t="s">
        <v>626</v>
      </c>
      <c r="H1761" s="256" t="s">
        <v>626</v>
      </c>
      <c r="M1761" s="616"/>
    </row>
    <row r="1762" spans="2:13" ht="18.75" customHeight="1" x14ac:dyDescent="0.25">
      <c r="B1762" s="221"/>
      <c r="C1762" s="222"/>
      <c r="D1762" s="221"/>
      <c r="E1762" s="550"/>
      <c r="F1762" s="555"/>
      <c r="G1762" s="551"/>
      <c r="H1762" s="220"/>
      <c r="M1762" s="590"/>
    </row>
    <row r="1763" spans="2:13" ht="18.75" customHeight="1" x14ac:dyDescent="0.25">
      <c r="B1763" s="550" t="s">
        <v>627</v>
      </c>
      <c r="C1763" s="223" t="s">
        <v>628</v>
      </c>
      <c r="D1763" s="550"/>
      <c r="E1763" s="224"/>
      <c r="F1763" s="225"/>
      <c r="G1763" s="290"/>
      <c r="H1763" s="226"/>
      <c r="M1763" s="225"/>
    </row>
    <row r="1764" spans="2:13" ht="18.75" customHeight="1" x14ac:dyDescent="0.25">
      <c r="B1764" s="550"/>
      <c r="C1764" s="227" t="s">
        <v>629</v>
      </c>
      <c r="D1764" s="550" t="s">
        <v>630</v>
      </c>
      <c r="E1764" s="224" t="s">
        <v>631</v>
      </c>
      <c r="F1764" s="228">
        <f t="shared" ref="F1764:F1769" si="88">$K$8*M1764</f>
        <v>0.18</v>
      </c>
      <c r="G1764" s="229">
        <f>G1738</f>
        <v>95000</v>
      </c>
      <c r="H1764" s="230">
        <f t="shared" ref="H1764:H1769" si="89">+G1764*F1764</f>
        <v>17100</v>
      </c>
      <c r="M1764" s="414">
        <v>0.18</v>
      </c>
    </row>
    <row r="1765" spans="2:13" ht="18.75" customHeight="1" x14ac:dyDescent="0.25">
      <c r="B1765" s="550"/>
      <c r="C1765" s="227" t="s">
        <v>1508</v>
      </c>
      <c r="D1765" s="550" t="s">
        <v>632</v>
      </c>
      <c r="E1765" s="224" t="s">
        <v>631</v>
      </c>
      <c r="F1765" s="228">
        <f t="shared" si="88"/>
        <v>0.02</v>
      </c>
      <c r="G1765" s="229">
        <f>G1739</f>
        <v>110000</v>
      </c>
      <c r="H1765" s="230">
        <f t="shared" si="89"/>
        <v>2200</v>
      </c>
      <c r="M1765" s="414">
        <v>0.02</v>
      </c>
    </row>
    <row r="1766" spans="2:13" ht="18.75" customHeight="1" x14ac:dyDescent="0.25">
      <c r="B1766" s="550"/>
      <c r="C1766" s="227" t="s">
        <v>1508</v>
      </c>
      <c r="D1766" s="550" t="s">
        <v>632</v>
      </c>
      <c r="E1766" s="224" t="s">
        <v>631</v>
      </c>
      <c r="F1766" s="228">
        <f t="shared" si="88"/>
        <v>0.02</v>
      </c>
      <c r="G1766" s="229">
        <f>G1765</f>
        <v>110000</v>
      </c>
      <c r="H1766" s="230">
        <f t="shared" si="89"/>
        <v>2200</v>
      </c>
      <c r="M1766" s="414">
        <v>0.02</v>
      </c>
    </row>
    <row r="1767" spans="2:13" ht="18.75" customHeight="1" x14ac:dyDescent="0.25">
      <c r="B1767" s="550"/>
      <c r="C1767" s="227" t="s">
        <v>1508</v>
      </c>
      <c r="D1767" s="550" t="s">
        <v>632</v>
      </c>
      <c r="E1767" s="224" t="s">
        <v>631</v>
      </c>
      <c r="F1767" s="228">
        <f t="shared" si="88"/>
        <v>0.02</v>
      </c>
      <c r="G1767" s="229">
        <f>G1766</f>
        <v>110000</v>
      </c>
      <c r="H1767" s="230">
        <f t="shared" si="89"/>
        <v>2200</v>
      </c>
      <c r="M1767" s="414">
        <v>0.02</v>
      </c>
    </row>
    <row r="1768" spans="2:13" ht="18.75" customHeight="1" x14ac:dyDescent="0.25">
      <c r="B1768" s="550"/>
      <c r="C1768" s="227" t="s">
        <v>633</v>
      </c>
      <c r="D1768" s="550" t="s">
        <v>634</v>
      </c>
      <c r="E1768" s="224" t="s">
        <v>631</v>
      </c>
      <c r="F1768" s="228">
        <f t="shared" si="88"/>
        <v>6.0000000000000001E-3</v>
      </c>
      <c r="G1768" s="229">
        <f>G1740</f>
        <v>115000</v>
      </c>
      <c r="H1768" s="230">
        <f t="shared" si="89"/>
        <v>690</v>
      </c>
      <c r="M1768" s="414">
        <v>6.0000000000000001E-3</v>
      </c>
    </row>
    <row r="1769" spans="2:13" ht="18.75" customHeight="1" x14ac:dyDescent="0.25">
      <c r="B1769" s="550"/>
      <c r="C1769" s="227" t="s">
        <v>600</v>
      </c>
      <c r="D1769" s="550" t="s">
        <v>635</v>
      </c>
      <c r="E1769" s="224" t="s">
        <v>631</v>
      </c>
      <c r="F1769" s="228">
        <f t="shared" si="88"/>
        <v>8.9999999999999993E-3</v>
      </c>
      <c r="G1769" s="229">
        <f>G1741</f>
        <v>140000</v>
      </c>
      <c r="H1769" s="230">
        <f t="shared" si="89"/>
        <v>1260</v>
      </c>
      <c r="M1769" s="414">
        <v>8.9999999999999993E-3</v>
      </c>
    </row>
    <row r="1770" spans="2:13" ht="18.75" customHeight="1" x14ac:dyDescent="0.25">
      <c r="B1770" s="550"/>
      <c r="C1770" s="223"/>
      <c r="D1770" s="550"/>
      <c r="E1770" s="224"/>
      <c r="F1770" s="233" t="s">
        <v>636</v>
      </c>
      <c r="G1770" s="290"/>
      <c r="H1770" s="231">
        <f>SUM(H1764:H1769)</f>
        <v>25650</v>
      </c>
      <c r="M1770" s="233" t="s">
        <v>636</v>
      </c>
    </row>
    <row r="1771" spans="2:13" ht="18.75" customHeight="1" x14ac:dyDescent="0.25">
      <c r="B1771" s="550"/>
      <c r="C1771" s="223"/>
      <c r="D1771" s="550"/>
      <c r="E1771" s="224"/>
      <c r="F1771" s="233"/>
      <c r="G1771" s="290"/>
      <c r="H1771" s="231"/>
      <c r="M1771" s="233"/>
    </row>
    <row r="1772" spans="2:13" ht="18.75" customHeight="1" x14ac:dyDescent="0.25">
      <c r="B1772" s="550" t="s">
        <v>637</v>
      </c>
      <c r="C1772" s="223" t="s">
        <v>638</v>
      </c>
      <c r="D1772" s="550"/>
      <c r="E1772" s="224"/>
      <c r="F1772" s="225"/>
      <c r="G1772" s="290"/>
      <c r="H1772" s="226"/>
      <c r="M1772" s="225"/>
    </row>
    <row r="1773" spans="2:13" ht="18.75" customHeight="1" x14ac:dyDescent="0.25">
      <c r="B1773" s="550"/>
      <c r="C1773" s="223" t="s">
        <v>1236</v>
      </c>
      <c r="D1773" s="550"/>
      <c r="E1773" s="550" t="s">
        <v>52</v>
      </c>
      <c r="F1773" s="233">
        <v>2E-3</v>
      </c>
      <c r="G1773" s="234">
        <f>+G1683</f>
        <v>3900000</v>
      </c>
      <c r="H1773" s="230">
        <f t="shared" ref="H1773:H1780" si="90">+G1773*F1773</f>
        <v>7800</v>
      </c>
      <c r="M1773" s="233">
        <v>2E-3</v>
      </c>
    </row>
    <row r="1774" spans="2:13" ht="18.75" customHeight="1" x14ac:dyDescent="0.25">
      <c r="B1774" s="550"/>
      <c r="C1774" s="223" t="s">
        <v>764</v>
      </c>
      <c r="D1774" s="550"/>
      <c r="E1774" s="550" t="s">
        <v>62</v>
      </c>
      <c r="F1774" s="233">
        <v>0.01</v>
      </c>
      <c r="G1774" s="234">
        <f>+G1684</f>
        <v>25000</v>
      </c>
      <c r="H1774" s="230">
        <f t="shared" si="90"/>
        <v>250</v>
      </c>
      <c r="M1774" s="233">
        <v>0.01</v>
      </c>
    </row>
    <row r="1775" spans="2:13" ht="18.75" customHeight="1" x14ac:dyDescent="0.25">
      <c r="B1775" s="550"/>
      <c r="C1775" s="223" t="s">
        <v>248</v>
      </c>
      <c r="D1775" s="550"/>
      <c r="E1775" s="550" t="s">
        <v>743</v>
      </c>
      <c r="F1775" s="233"/>
      <c r="G1775" s="234">
        <f>+G1685</f>
        <v>23000</v>
      </c>
      <c r="H1775" s="230">
        <f t="shared" si="90"/>
        <v>0</v>
      </c>
      <c r="M1775" s="233"/>
    </row>
    <row r="1776" spans="2:13" ht="18.75" customHeight="1" x14ac:dyDescent="0.25">
      <c r="B1776" s="550"/>
      <c r="C1776" s="223" t="s">
        <v>779</v>
      </c>
      <c r="D1776" s="550"/>
      <c r="E1776" s="550" t="s">
        <v>62</v>
      </c>
      <c r="F1776" s="414">
        <v>3</v>
      </c>
      <c r="G1776" s="234">
        <f>Bahan!D133</f>
        <v>11000</v>
      </c>
      <c r="H1776" s="230">
        <f t="shared" si="90"/>
        <v>33000</v>
      </c>
      <c r="M1776" s="414">
        <v>3</v>
      </c>
    </row>
    <row r="1777" spans="2:13" ht="18.75" customHeight="1" x14ac:dyDescent="0.25">
      <c r="B1777" s="550"/>
      <c r="C1777" s="223" t="s">
        <v>716</v>
      </c>
      <c r="D1777" s="550"/>
      <c r="E1777" s="550" t="s">
        <v>62</v>
      </c>
      <c r="F1777" s="414">
        <v>0.45</v>
      </c>
      <c r="G1777" s="234">
        <f>G1809</f>
        <v>38000</v>
      </c>
      <c r="H1777" s="230">
        <f t="shared" si="90"/>
        <v>17100</v>
      </c>
      <c r="M1777" s="414">
        <v>0.45</v>
      </c>
    </row>
    <row r="1778" spans="2:13" ht="18.75" customHeight="1" x14ac:dyDescent="0.25">
      <c r="B1778" s="550"/>
      <c r="C1778" s="223" t="s">
        <v>708</v>
      </c>
      <c r="D1778" s="550"/>
      <c r="E1778" s="550" t="s">
        <v>62</v>
      </c>
      <c r="F1778" s="414">
        <v>4</v>
      </c>
      <c r="G1778" s="234">
        <f>G1745</f>
        <v>1700</v>
      </c>
      <c r="H1778" s="230">
        <f t="shared" si="90"/>
        <v>6800</v>
      </c>
      <c r="M1778" s="414">
        <v>4</v>
      </c>
    </row>
    <row r="1779" spans="2:13" ht="18.75" customHeight="1" x14ac:dyDescent="0.25">
      <c r="B1779" s="550"/>
      <c r="C1779" s="223" t="s">
        <v>662</v>
      </c>
      <c r="D1779" s="550"/>
      <c r="E1779" s="550" t="s">
        <v>52</v>
      </c>
      <c r="F1779" s="414">
        <v>6.0000000000000001E-3</v>
      </c>
      <c r="G1779" s="234">
        <f>G1746</f>
        <v>230000</v>
      </c>
      <c r="H1779" s="230">
        <f t="shared" si="90"/>
        <v>1380</v>
      </c>
      <c r="M1779" s="414">
        <v>6.0000000000000001E-3</v>
      </c>
    </row>
    <row r="1780" spans="2:13" ht="18.75" customHeight="1" x14ac:dyDescent="0.25">
      <c r="B1780" s="550"/>
      <c r="C1780" s="223" t="s">
        <v>780</v>
      </c>
      <c r="D1780" s="550"/>
      <c r="E1780" s="550" t="s">
        <v>52</v>
      </c>
      <c r="F1780" s="414">
        <v>8.9999999999999993E-3</v>
      </c>
      <c r="G1780" s="234">
        <f>Bahan!D73</f>
        <v>335000</v>
      </c>
      <c r="H1780" s="230">
        <f t="shared" si="90"/>
        <v>3014.9999999999995</v>
      </c>
      <c r="M1780" s="414">
        <v>8.9999999999999993E-3</v>
      </c>
    </row>
    <row r="1781" spans="2:13" ht="18.75" customHeight="1" x14ac:dyDescent="0.25">
      <c r="B1781" s="550"/>
      <c r="C1781" s="223"/>
      <c r="D1781" s="550"/>
      <c r="E1781" s="224"/>
      <c r="F1781" s="237" t="s">
        <v>643</v>
      </c>
      <c r="G1781" s="290"/>
      <c r="H1781" s="231">
        <f>SUM(H1773:H1780)</f>
        <v>69345</v>
      </c>
      <c r="M1781" s="237" t="s">
        <v>643</v>
      </c>
    </row>
    <row r="1782" spans="2:13" ht="18.75" customHeight="1" x14ac:dyDescent="0.25">
      <c r="B1782" s="550"/>
      <c r="C1782" s="223"/>
      <c r="D1782" s="550"/>
      <c r="E1782" s="224"/>
      <c r="F1782" s="225"/>
      <c r="G1782" s="290"/>
      <c r="H1782" s="226"/>
      <c r="M1782" s="225"/>
    </row>
    <row r="1783" spans="2:13" ht="18.75" customHeight="1" x14ac:dyDescent="0.25">
      <c r="B1783" s="550" t="s">
        <v>644</v>
      </c>
      <c r="C1783" s="223" t="s">
        <v>645</v>
      </c>
      <c r="D1783" s="550"/>
      <c r="E1783" s="224"/>
      <c r="F1783" s="225"/>
      <c r="G1783" s="290"/>
      <c r="H1783" s="235"/>
      <c r="M1783" s="225"/>
    </row>
    <row r="1784" spans="2:13" ht="18.75" customHeight="1" x14ac:dyDescent="0.25">
      <c r="B1784" s="236"/>
      <c r="C1784" s="232"/>
      <c r="D1784" s="550"/>
      <c r="E1784" s="224"/>
      <c r="F1784" s="237" t="s">
        <v>646</v>
      </c>
      <c r="G1784" s="290"/>
      <c r="H1784" s="230">
        <f>SUM(H1783:H1783)</f>
        <v>0</v>
      </c>
      <c r="M1784" s="237" t="s">
        <v>646</v>
      </c>
    </row>
    <row r="1785" spans="2:13" ht="18.75" customHeight="1" x14ac:dyDescent="0.25">
      <c r="B1785" s="236"/>
      <c r="C1785" s="232"/>
      <c r="D1785" s="550"/>
      <c r="E1785" s="224"/>
      <c r="F1785" s="237"/>
      <c r="G1785" s="290"/>
      <c r="H1785" s="230"/>
      <c r="M1785" s="237"/>
    </row>
    <row r="1786" spans="2:13" ht="18.75" customHeight="1" x14ac:dyDescent="0.25">
      <c r="B1786" s="248"/>
      <c r="C1786" s="238"/>
      <c r="D1786" s="239"/>
      <c r="E1786" s="266"/>
      <c r="F1786" s="241"/>
      <c r="G1786" s="303"/>
      <c r="H1786" s="267"/>
      <c r="M1786" s="241"/>
    </row>
    <row r="1787" spans="2:13" ht="18.75" customHeight="1" x14ac:dyDescent="0.25">
      <c r="B1787" s="249" t="s">
        <v>647</v>
      </c>
      <c r="C1787" s="104" t="s">
        <v>648</v>
      </c>
      <c r="D1787" s="435"/>
      <c r="E1787" s="92"/>
      <c r="F1787" s="183"/>
      <c r="G1787" s="167"/>
      <c r="H1787" s="254">
        <f>+H1784+H1781+H1770</f>
        <v>94995</v>
      </c>
      <c r="M1787" s="183"/>
    </row>
    <row r="1788" spans="2:13" ht="18.75" customHeight="1" x14ac:dyDescent="0.25">
      <c r="B1788" s="249" t="s">
        <v>649</v>
      </c>
      <c r="C1788" s="242" t="s">
        <v>650</v>
      </c>
      <c r="D1788" s="435"/>
      <c r="E1788" s="92"/>
      <c r="F1788" s="184" t="str">
        <f>$J$5</f>
        <v>8,0 % x D</v>
      </c>
      <c r="G1788" s="167"/>
      <c r="H1788" s="253">
        <f>+H1787*$K$5</f>
        <v>7599.6</v>
      </c>
      <c r="M1788" s="184" t="str">
        <f>$J$5</f>
        <v>8,0 % x D</v>
      </c>
    </row>
    <row r="1789" spans="2:13" ht="18.75" customHeight="1" x14ac:dyDescent="0.25">
      <c r="B1789" s="249" t="s">
        <v>651</v>
      </c>
      <c r="C1789" s="111" t="s">
        <v>652</v>
      </c>
      <c r="D1789" s="435"/>
      <c r="E1789" s="91"/>
      <c r="F1789" s="185"/>
      <c r="G1789" s="168"/>
      <c r="H1789" s="254">
        <f>ROUNDUP((H1788+H1787)/100,0)*100</f>
        <v>102600</v>
      </c>
      <c r="M1789" s="185"/>
    </row>
    <row r="1790" spans="2:13" ht="18.75" customHeight="1" x14ac:dyDescent="0.25">
      <c r="B1790" s="259"/>
      <c r="C1790" s="631"/>
      <c r="D1790" s="631"/>
      <c r="E1790" s="631"/>
      <c r="F1790" s="631"/>
      <c r="G1790" s="632"/>
      <c r="H1790" s="260"/>
      <c r="M1790" s="18"/>
    </row>
    <row r="1791" spans="2:13" ht="18.75" customHeight="1" x14ac:dyDescent="0.25">
      <c r="B1791" s="92"/>
      <c r="C1791" s="70"/>
      <c r="D1791" s="70"/>
      <c r="E1791" s="70"/>
      <c r="F1791" s="70"/>
      <c r="G1791" s="173"/>
      <c r="H1791" s="139"/>
      <c r="M1791" s="70"/>
    </row>
    <row r="1792" spans="2:13" ht="18.75" customHeight="1" x14ac:dyDescent="0.25">
      <c r="B1792" s="19">
        <f>B1759+1</f>
        <v>27</v>
      </c>
      <c r="C1792" s="93" t="s">
        <v>1786</v>
      </c>
      <c r="D1792" s="19"/>
      <c r="E1792" s="21"/>
      <c r="F1792" s="176"/>
      <c r="G1792" s="165"/>
      <c r="H1792" s="119"/>
      <c r="M1792" s="176"/>
    </row>
    <row r="1793" spans="2:13" ht="18.75" customHeight="1" x14ac:dyDescent="0.25">
      <c r="B1793" s="618" t="s">
        <v>620</v>
      </c>
      <c r="C1793" s="620" t="s">
        <v>621</v>
      </c>
      <c r="D1793" s="618" t="s">
        <v>622</v>
      </c>
      <c r="E1793" s="618" t="s">
        <v>2</v>
      </c>
      <c r="F1793" s="615" t="s">
        <v>623</v>
      </c>
      <c r="G1793" s="289" t="s">
        <v>624</v>
      </c>
      <c r="H1793" s="256" t="s">
        <v>625</v>
      </c>
      <c r="M1793" s="615" t="s">
        <v>623</v>
      </c>
    </row>
    <row r="1794" spans="2:13" ht="18.75" customHeight="1" x14ac:dyDescent="0.25">
      <c r="B1794" s="619"/>
      <c r="C1794" s="621"/>
      <c r="D1794" s="619"/>
      <c r="E1794" s="619"/>
      <c r="F1794" s="616"/>
      <c r="G1794" s="289" t="s">
        <v>626</v>
      </c>
      <c r="H1794" s="256" t="s">
        <v>626</v>
      </c>
      <c r="M1794" s="616"/>
    </row>
    <row r="1795" spans="2:13" ht="18.75" customHeight="1" x14ac:dyDescent="0.25">
      <c r="B1795" s="221"/>
      <c r="C1795" s="222"/>
      <c r="D1795" s="221"/>
      <c r="E1795" s="550"/>
      <c r="F1795" s="555"/>
      <c r="G1795" s="551"/>
      <c r="H1795" s="220"/>
      <c r="M1795" s="590"/>
    </row>
    <row r="1796" spans="2:13" ht="18.75" customHeight="1" x14ac:dyDescent="0.25">
      <c r="B1796" s="550" t="s">
        <v>627</v>
      </c>
      <c r="C1796" s="223" t="s">
        <v>628</v>
      </c>
      <c r="D1796" s="550"/>
      <c r="E1796" s="224"/>
      <c r="F1796" s="225"/>
      <c r="G1796" s="290"/>
      <c r="H1796" s="226"/>
      <c r="M1796" s="225"/>
    </row>
    <row r="1797" spans="2:13" ht="18.75" customHeight="1" x14ac:dyDescent="0.25">
      <c r="B1797" s="550"/>
      <c r="C1797" s="227" t="s">
        <v>629</v>
      </c>
      <c r="D1797" s="550" t="s">
        <v>630</v>
      </c>
      <c r="E1797" s="224" t="s">
        <v>631</v>
      </c>
      <c r="F1797" s="228">
        <f t="shared" ref="F1797:F1802" si="91">$K$8*M1797</f>
        <v>0.29699999999999999</v>
      </c>
      <c r="G1797" s="229">
        <f>G1764</f>
        <v>95000</v>
      </c>
      <c r="H1797" s="230">
        <f t="shared" ref="H1797:H1802" si="92">+G1797*F1797</f>
        <v>28215</v>
      </c>
      <c r="M1797" s="414">
        <v>0.29699999999999999</v>
      </c>
    </row>
    <row r="1798" spans="2:13" ht="18.75" customHeight="1" x14ac:dyDescent="0.25">
      <c r="B1798" s="550"/>
      <c r="C1798" s="227" t="s">
        <v>1508</v>
      </c>
      <c r="D1798" s="550" t="s">
        <v>632</v>
      </c>
      <c r="E1798" s="224" t="s">
        <v>631</v>
      </c>
      <c r="F1798" s="228">
        <f t="shared" si="91"/>
        <v>3.3000000000000002E-2</v>
      </c>
      <c r="G1798" s="229">
        <f t="shared" ref="G1798:G1802" si="93">G1765</f>
        <v>110000</v>
      </c>
      <c r="H1798" s="230">
        <f t="shared" si="92"/>
        <v>3630</v>
      </c>
      <c r="M1798" s="414">
        <v>3.3000000000000002E-2</v>
      </c>
    </row>
    <row r="1799" spans="2:13" ht="18.75" customHeight="1" x14ac:dyDescent="0.25">
      <c r="B1799" s="550"/>
      <c r="C1799" s="227" t="s">
        <v>1508</v>
      </c>
      <c r="D1799" s="550" t="s">
        <v>632</v>
      </c>
      <c r="E1799" s="224" t="s">
        <v>631</v>
      </c>
      <c r="F1799" s="228">
        <f t="shared" si="91"/>
        <v>3.3000000000000002E-2</v>
      </c>
      <c r="G1799" s="229">
        <f t="shared" si="93"/>
        <v>110000</v>
      </c>
      <c r="H1799" s="230">
        <f t="shared" si="92"/>
        <v>3630</v>
      </c>
      <c r="M1799" s="414">
        <v>3.3000000000000002E-2</v>
      </c>
    </row>
    <row r="1800" spans="2:13" ht="18.75" customHeight="1" x14ac:dyDescent="0.25">
      <c r="B1800" s="550"/>
      <c r="C1800" s="227" t="s">
        <v>1508</v>
      </c>
      <c r="D1800" s="550" t="s">
        <v>632</v>
      </c>
      <c r="E1800" s="224" t="s">
        <v>631</v>
      </c>
      <c r="F1800" s="228">
        <f t="shared" si="91"/>
        <v>3.3000000000000002E-2</v>
      </c>
      <c r="G1800" s="229">
        <f t="shared" si="93"/>
        <v>110000</v>
      </c>
      <c r="H1800" s="230">
        <f t="shared" si="92"/>
        <v>3630</v>
      </c>
      <c r="M1800" s="414">
        <v>3.3000000000000002E-2</v>
      </c>
    </row>
    <row r="1801" spans="2:13" ht="18.75" customHeight="1" x14ac:dyDescent="0.25">
      <c r="B1801" s="550"/>
      <c r="C1801" s="227" t="s">
        <v>633</v>
      </c>
      <c r="D1801" s="550" t="s">
        <v>634</v>
      </c>
      <c r="E1801" s="224" t="s">
        <v>631</v>
      </c>
      <c r="F1801" s="228">
        <f t="shared" si="91"/>
        <v>0.01</v>
      </c>
      <c r="G1801" s="229">
        <f t="shared" si="93"/>
        <v>115000</v>
      </c>
      <c r="H1801" s="230">
        <f t="shared" si="92"/>
        <v>1150</v>
      </c>
      <c r="M1801" s="414">
        <v>0.01</v>
      </c>
    </row>
    <row r="1802" spans="2:13" ht="18.75" customHeight="1" x14ac:dyDescent="0.25">
      <c r="B1802" s="550"/>
      <c r="C1802" s="227" t="s">
        <v>600</v>
      </c>
      <c r="D1802" s="550" t="s">
        <v>635</v>
      </c>
      <c r="E1802" s="224" t="s">
        <v>631</v>
      </c>
      <c r="F1802" s="228">
        <f t="shared" si="91"/>
        <v>1.4999999999999999E-2</v>
      </c>
      <c r="G1802" s="229">
        <f t="shared" si="93"/>
        <v>140000</v>
      </c>
      <c r="H1802" s="230">
        <f t="shared" si="92"/>
        <v>2100</v>
      </c>
      <c r="M1802" s="414">
        <v>1.4999999999999999E-2</v>
      </c>
    </row>
    <row r="1803" spans="2:13" ht="18.75" customHeight="1" x14ac:dyDescent="0.25">
      <c r="B1803" s="550"/>
      <c r="C1803" s="223"/>
      <c r="D1803" s="550"/>
      <c r="E1803" s="224"/>
      <c r="F1803" s="233" t="s">
        <v>636</v>
      </c>
      <c r="G1803" s="290"/>
      <c r="H1803" s="231">
        <f>SUM(H1797:H1802)</f>
        <v>42355</v>
      </c>
      <c r="M1803" s="233" t="s">
        <v>636</v>
      </c>
    </row>
    <row r="1804" spans="2:13" ht="18.75" customHeight="1" x14ac:dyDescent="0.25">
      <c r="B1804" s="550" t="s">
        <v>637</v>
      </c>
      <c r="C1804" s="223" t="s">
        <v>638</v>
      </c>
      <c r="D1804" s="550"/>
      <c r="E1804" s="224"/>
      <c r="F1804" s="225"/>
      <c r="G1804" s="290"/>
      <c r="H1804" s="226"/>
      <c r="M1804" s="225"/>
    </row>
    <row r="1805" spans="2:13" ht="18.75" customHeight="1" x14ac:dyDescent="0.25">
      <c r="B1805" s="550"/>
      <c r="C1805" s="223" t="s">
        <v>1236</v>
      </c>
      <c r="D1805" s="550"/>
      <c r="E1805" s="550" t="s">
        <v>52</v>
      </c>
      <c r="F1805" s="414">
        <v>3.0000000000000001E-3</v>
      </c>
      <c r="G1805" s="234">
        <f>G1773</f>
        <v>3900000</v>
      </c>
      <c r="H1805" s="230">
        <f t="shared" ref="H1805:H1812" si="94">+G1805*F1805</f>
        <v>11700</v>
      </c>
      <c r="M1805" s="414">
        <v>3.0000000000000001E-3</v>
      </c>
    </row>
    <row r="1806" spans="2:13" ht="18.75" customHeight="1" x14ac:dyDescent="0.25">
      <c r="B1806" s="550"/>
      <c r="C1806" s="223" t="s">
        <v>764</v>
      </c>
      <c r="D1806" s="550"/>
      <c r="E1806" s="550" t="s">
        <v>62</v>
      </c>
      <c r="F1806" s="414">
        <v>0.02</v>
      </c>
      <c r="G1806" s="234">
        <f>G1774</f>
        <v>25000</v>
      </c>
      <c r="H1806" s="230">
        <f t="shared" si="94"/>
        <v>500</v>
      </c>
      <c r="M1806" s="414">
        <v>0.02</v>
      </c>
    </row>
    <row r="1807" spans="2:13" ht="18.75" customHeight="1" x14ac:dyDescent="0.25">
      <c r="B1807" s="550"/>
      <c r="C1807" s="223" t="s">
        <v>248</v>
      </c>
      <c r="D1807" s="550"/>
      <c r="E1807" s="550" t="s">
        <v>743</v>
      </c>
      <c r="F1807" s="233"/>
      <c r="G1807" s="234">
        <f>G1775</f>
        <v>23000</v>
      </c>
      <c r="H1807" s="230">
        <f t="shared" si="94"/>
        <v>0</v>
      </c>
      <c r="M1807" s="233"/>
    </row>
    <row r="1808" spans="2:13" ht="18.75" customHeight="1" x14ac:dyDescent="0.25">
      <c r="B1808" s="550"/>
      <c r="C1808" s="223" t="s">
        <v>779</v>
      </c>
      <c r="D1808" s="550"/>
      <c r="E1808" s="550" t="s">
        <v>62</v>
      </c>
      <c r="F1808" s="414">
        <v>3.6</v>
      </c>
      <c r="G1808" s="234">
        <f>G1776</f>
        <v>11000</v>
      </c>
      <c r="H1808" s="230">
        <f t="shared" si="94"/>
        <v>39600</v>
      </c>
      <c r="M1808" s="414">
        <v>3.6</v>
      </c>
    </row>
    <row r="1809" spans="2:13" ht="18.75" customHeight="1" x14ac:dyDescent="0.25">
      <c r="B1809" s="550"/>
      <c r="C1809" s="223" t="s">
        <v>142</v>
      </c>
      <c r="D1809" s="550"/>
      <c r="E1809" s="550" t="s">
        <v>62</v>
      </c>
      <c r="F1809" s="414">
        <v>7.4999999999999997E-2</v>
      </c>
      <c r="G1809" s="234">
        <f>+Bahan!D154</f>
        <v>38000</v>
      </c>
      <c r="H1809" s="230">
        <f t="shared" si="94"/>
        <v>2850</v>
      </c>
      <c r="M1809" s="414">
        <v>7.4999999999999997E-2</v>
      </c>
    </row>
    <row r="1810" spans="2:13" ht="18.75" customHeight="1" x14ac:dyDescent="0.25">
      <c r="B1810" s="550"/>
      <c r="C1810" s="223" t="s">
        <v>708</v>
      </c>
      <c r="D1810" s="550"/>
      <c r="E1810" s="550" t="s">
        <v>62</v>
      </c>
      <c r="F1810" s="414">
        <v>5.5</v>
      </c>
      <c r="G1810" s="234">
        <f>G1778</f>
        <v>1700</v>
      </c>
      <c r="H1810" s="230">
        <f t="shared" si="94"/>
        <v>9350</v>
      </c>
      <c r="M1810" s="414">
        <v>5.5</v>
      </c>
    </row>
    <row r="1811" spans="2:13" ht="18.75" customHeight="1" x14ac:dyDescent="0.25">
      <c r="B1811" s="550"/>
      <c r="C1811" s="223" t="s">
        <v>662</v>
      </c>
      <c r="D1811" s="550"/>
      <c r="E1811" s="550" t="s">
        <v>52</v>
      </c>
      <c r="F1811" s="414">
        <v>8.9999999999999993E-3</v>
      </c>
      <c r="G1811" s="234">
        <f>G1779</f>
        <v>230000</v>
      </c>
      <c r="H1811" s="230">
        <f t="shared" si="94"/>
        <v>2070</v>
      </c>
      <c r="M1811" s="414">
        <v>8.9999999999999993E-3</v>
      </c>
    </row>
    <row r="1812" spans="2:13" ht="18.75" customHeight="1" x14ac:dyDescent="0.25">
      <c r="B1812" s="550"/>
      <c r="C1812" s="223" t="s">
        <v>714</v>
      </c>
      <c r="D1812" s="550"/>
      <c r="E1812" s="550" t="s">
        <v>52</v>
      </c>
      <c r="F1812" s="414">
        <v>1.4999999999999999E-2</v>
      </c>
      <c r="G1812" s="234">
        <f>G1780</f>
        <v>335000</v>
      </c>
      <c r="H1812" s="230">
        <f t="shared" si="94"/>
        <v>5025</v>
      </c>
      <c r="M1812" s="414">
        <v>1.4999999999999999E-2</v>
      </c>
    </row>
    <row r="1813" spans="2:13" ht="18.75" customHeight="1" x14ac:dyDescent="0.25">
      <c r="B1813" s="550"/>
      <c r="C1813" s="223"/>
      <c r="D1813" s="550"/>
      <c r="E1813" s="224"/>
      <c r="F1813" s="237" t="s">
        <v>643</v>
      </c>
      <c r="G1813" s="290"/>
      <c r="H1813" s="231">
        <f>SUM(H1805:H1812)</f>
        <v>71095</v>
      </c>
      <c r="M1813" s="237" t="s">
        <v>643</v>
      </c>
    </row>
    <row r="1814" spans="2:13" ht="18.75" customHeight="1" x14ac:dyDescent="0.25">
      <c r="B1814" s="550"/>
      <c r="C1814" s="223"/>
      <c r="D1814" s="550"/>
      <c r="E1814" s="224"/>
      <c r="F1814" s="237"/>
      <c r="G1814" s="290"/>
      <c r="H1814" s="231"/>
      <c r="M1814" s="237"/>
    </row>
    <row r="1815" spans="2:13" ht="18.75" customHeight="1" x14ac:dyDescent="0.25">
      <c r="B1815" s="550" t="s">
        <v>644</v>
      </c>
      <c r="C1815" s="223" t="s">
        <v>645</v>
      </c>
      <c r="D1815" s="550"/>
      <c r="E1815" s="224"/>
      <c r="F1815" s="225"/>
      <c r="G1815" s="290"/>
      <c r="H1815" s="235"/>
      <c r="M1815" s="225"/>
    </row>
    <row r="1816" spans="2:13" ht="18.75" customHeight="1" x14ac:dyDescent="0.25">
      <c r="B1816" s="236"/>
      <c r="C1816" s="232"/>
      <c r="D1816" s="550"/>
      <c r="E1816" s="224"/>
      <c r="F1816" s="237" t="s">
        <v>646</v>
      </c>
      <c r="G1816" s="290"/>
      <c r="H1816" s="230">
        <f>SUM(H1815:H1815)</f>
        <v>0</v>
      </c>
      <c r="M1816" s="237" t="s">
        <v>646</v>
      </c>
    </row>
    <row r="1817" spans="2:13" ht="18.75" customHeight="1" x14ac:dyDescent="0.25">
      <c r="B1817" s="236"/>
      <c r="C1817" s="232"/>
      <c r="D1817" s="550"/>
      <c r="E1817" s="224"/>
      <c r="F1817" s="237"/>
      <c r="G1817" s="290"/>
      <c r="H1817" s="230"/>
      <c r="M1817" s="237"/>
    </row>
    <row r="1818" spans="2:13" ht="18.75" customHeight="1" x14ac:dyDescent="0.25">
      <c r="B1818" s="248"/>
      <c r="C1818" s="238"/>
      <c r="D1818" s="239"/>
      <c r="E1818" s="266"/>
      <c r="F1818" s="241"/>
      <c r="G1818" s="303"/>
      <c r="H1818" s="276"/>
      <c r="M1818" s="241"/>
    </row>
    <row r="1819" spans="2:13" ht="18.75" customHeight="1" x14ac:dyDescent="0.25">
      <c r="B1819" s="249" t="s">
        <v>647</v>
      </c>
      <c r="C1819" s="104" t="s">
        <v>648</v>
      </c>
      <c r="D1819" s="435"/>
      <c r="E1819" s="92"/>
      <c r="F1819" s="183"/>
      <c r="G1819" s="167"/>
      <c r="H1819" s="252">
        <f>+H1816+H1813+H1803</f>
        <v>113450</v>
      </c>
      <c r="M1819" s="183"/>
    </row>
    <row r="1820" spans="2:13" ht="18.75" customHeight="1" x14ac:dyDescent="0.25">
      <c r="B1820" s="249" t="s">
        <v>649</v>
      </c>
      <c r="C1820" s="242" t="s">
        <v>650</v>
      </c>
      <c r="D1820" s="435"/>
      <c r="E1820" s="92"/>
      <c r="F1820" s="184" t="str">
        <f>$J$5</f>
        <v>8,0 % x D</v>
      </c>
      <c r="G1820" s="167"/>
      <c r="H1820" s="253">
        <f>+H1819*$K$5</f>
        <v>9076</v>
      </c>
      <c r="M1820" s="184" t="str">
        <f>$J$5</f>
        <v>8,0 % x D</v>
      </c>
    </row>
    <row r="1821" spans="2:13" ht="18.75" customHeight="1" x14ac:dyDescent="0.25">
      <c r="B1821" s="249" t="s">
        <v>651</v>
      </c>
      <c r="C1821" s="111" t="s">
        <v>652</v>
      </c>
      <c r="D1821" s="435"/>
      <c r="E1821" s="91"/>
      <c r="F1821" s="185"/>
      <c r="G1821" s="168"/>
      <c r="H1821" s="254">
        <f>ROUNDUP((H1820+H1819)/100,0)*100</f>
        <v>122600</v>
      </c>
      <c r="M1821" s="185"/>
    </row>
    <row r="1822" spans="2:13" ht="18.75" customHeight="1" x14ac:dyDescent="0.25">
      <c r="B1822" s="259"/>
      <c r="C1822" s="261"/>
      <c r="D1822" s="245"/>
      <c r="E1822" s="245"/>
      <c r="F1822" s="282"/>
      <c r="G1822" s="297"/>
      <c r="H1822" s="260"/>
      <c r="M1822" s="282"/>
    </row>
    <row r="1823" spans="2:13" ht="18.75" customHeight="1" x14ac:dyDescent="0.25">
      <c r="B1823" s="92"/>
      <c r="C1823" s="104"/>
      <c r="D1823" s="435"/>
      <c r="E1823" s="435"/>
      <c r="F1823" s="212"/>
      <c r="G1823" s="294"/>
      <c r="H1823" s="139"/>
      <c r="M1823" s="212"/>
    </row>
    <row r="1824" spans="2:13" ht="18.75" customHeight="1" x14ac:dyDescent="0.25">
      <c r="B1824" s="19">
        <f>B1792+1</f>
        <v>28</v>
      </c>
      <c r="C1824" s="93" t="s">
        <v>782</v>
      </c>
      <c r="D1824" s="19"/>
      <c r="E1824" s="65"/>
      <c r="F1824" s="176"/>
      <c r="G1824" s="165"/>
      <c r="H1824" s="119"/>
      <c r="M1824" s="176"/>
    </row>
    <row r="1825" spans="2:13" ht="18.75" customHeight="1" x14ac:dyDescent="0.25">
      <c r="B1825" s="618" t="s">
        <v>620</v>
      </c>
      <c r="C1825" s="620" t="s">
        <v>621</v>
      </c>
      <c r="D1825" s="618" t="s">
        <v>622</v>
      </c>
      <c r="E1825" s="618" t="s">
        <v>2</v>
      </c>
      <c r="F1825" s="615" t="s">
        <v>623</v>
      </c>
      <c r="G1825" s="289" t="s">
        <v>624</v>
      </c>
      <c r="H1825" s="256" t="s">
        <v>625</v>
      </c>
      <c r="M1825" s="615" t="s">
        <v>623</v>
      </c>
    </row>
    <row r="1826" spans="2:13" ht="18.75" customHeight="1" x14ac:dyDescent="0.25">
      <c r="B1826" s="619"/>
      <c r="C1826" s="621"/>
      <c r="D1826" s="619"/>
      <c r="E1826" s="619"/>
      <c r="F1826" s="616"/>
      <c r="G1826" s="289" t="s">
        <v>626</v>
      </c>
      <c r="H1826" s="256" t="s">
        <v>626</v>
      </c>
      <c r="M1826" s="616"/>
    </row>
    <row r="1827" spans="2:13" ht="18.75" customHeight="1" x14ac:dyDescent="0.25">
      <c r="B1827" s="221"/>
      <c r="C1827" s="222"/>
      <c r="D1827" s="221"/>
      <c r="E1827" s="550"/>
      <c r="F1827" s="555"/>
      <c r="G1827" s="551"/>
      <c r="H1827" s="220"/>
      <c r="M1827" s="590"/>
    </row>
    <row r="1828" spans="2:13" ht="18.75" customHeight="1" x14ac:dyDescent="0.25">
      <c r="B1828" s="550" t="s">
        <v>627</v>
      </c>
      <c r="C1828" s="223" t="s">
        <v>628</v>
      </c>
      <c r="D1828" s="550"/>
      <c r="E1828" s="224"/>
      <c r="F1828" s="225"/>
      <c r="G1828" s="290"/>
      <c r="H1828" s="226"/>
      <c r="M1828" s="225"/>
    </row>
    <row r="1829" spans="2:13" ht="18.75" customHeight="1" x14ac:dyDescent="0.25">
      <c r="B1829" s="550"/>
      <c r="C1829" s="227" t="s">
        <v>629</v>
      </c>
      <c r="D1829" s="550" t="s">
        <v>630</v>
      </c>
      <c r="E1829" s="224" t="s">
        <v>631</v>
      </c>
      <c r="F1829" s="228">
        <f t="shared" ref="F1829:F1831" si="95">$K$8*M1829</f>
        <v>0.17</v>
      </c>
      <c r="G1829" s="229">
        <f>G1797</f>
        <v>95000</v>
      </c>
      <c r="H1829" s="230">
        <f>+G1829*F1829</f>
        <v>16150.000000000002</v>
      </c>
      <c r="M1829" s="228">
        <v>0.17</v>
      </c>
    </row>
    <row r="1830" spans="2:13" ht="18.75" customHeight="1" x14ac:dyDescent="0.25">
      <c r="B1830" s="550"/>
      <c r="C1830" s="227" t="s">
        <v>1508</v>
      </c>
      <c r="D1830" s="550" t="s">
        <v>632</v>
      </c>
      <c r="E1830" s="224" t="s">
        <v>631</v>
      </c>
      <c r="F1830" s="228">
        <f t="shared" si="95"/>
        <v>0.1026</v>
      </c>
      <c r="G1830" s="229">
        <f>G1799</f>
        <v>110000</v>
      </c>
      <c r="H1830" s="230">
        <f>+G1830*F1830</f>
        <v>11286</v>
      </c>
      <c r="M1830" s="228">
        <v>0.1026</v>
      </c>
    </row>
    <row r="1831" spans="2:13" ht="18.75" customHeight="1" x14ac:dyDescent="0.25">
      <c r="B1831" s="550"/>
      <c r="C1831" s="227" t="s">
        <v>600</v>
      </c>
      <c r="D1831" s="550" t="s">
        <v>635</v>
      </c>
      <c r="E1831" s="224" t="s">
        <v>631</v>
      </c>
      <c r="F1831" s="228">
        <f t="shared" si="95"/>
        <v>2.5600000000000001E-2</v>
      </c>
      <c r="G1831" s="229">
        <f>G1802</f>
        <v>140000</v>
      </c>
      <c r="H1831" s="230">
        <f>+G1831*F1831</f>
        <v>3584</v>
      </c>
      <c r="M1831" s="228">
        <v>2.5600000000000001E-2</v>
      </c>
    </row>
    <row r="1832" spans="2:13" ht="18.75" customHeight="1" x14ac:dyDescent="0.25">
      <c r="B1832" s="550"/>
      <c r="C1832" s="223"/>
      <c r="D1832" s="550"/>
      <c r="E1832" s="224"/>
      <c r="F1832" s="233" t="s">
        <v>636</v>
      </c>
      <c r="G1832" s="290"/>
      <c r="H1832" s="231">
        <f>SUM(H1829:H1831)</f>
        <v>31020</v>
      </c>
      <c r="M1832" s="233" t="s">
        <v>636</v>
      </c>
    </row>
    <row r="1833" spans="2:13" ht="18.75" customHeight="1" x14ac:dyDescent="0.25">
      <c r="B1833" s="550" t="s">
        <v>637</v>
      </c>
      <c r="C1833" s="223" t="s">
        <v>638</v>
      </c>
      <c r="D1833" s="550"/>
      <c r="E1833" s="224"/>
      <c r="F1833" s="225"/>
      <c r="G1833" s="290"/>
      <c r="H1833" s="226"/>
      <c r="M1833" s="225"/>
    </row>
    <row r="1834" spans="2:13" ht="18.75" customHeight="1" x14ac:dyDescent="0.25">
      <c r="B1834" s="550"/>
      <c r="C1834" s="223" t="s">
        <v>783</v>
      </c>
      <c r="D1834" s="550"/>
      <c r="E1834" s="550" t="s">
        <v>784</v>
      </c>
      <c r="F1834" s="233">
        <v>0.25</v>
      </c>
      <c r="G1834" s="234">
        <f>+G1716</f>
        <v>335000</v>
      </c>
      <c r="H1834" s="230">
        <f>+G1834*F1834</f>
        <v>83750</v>
      </c>
      <c r="M1834" s="233">
        <v>0.25</v>
      </c>
    </row>
    <row r="1835" spans="2:13" ht="18.75" customHeight="1" x14ac:dyDescent="0.25">
      <c r="B1835" s="550"/>
      <c r="C1835" s="223" t="s">
        <v>785</v>
      </c>
      <c r="D1835" s="550"/>
      <c r="E1835" s="550" t="s">
        <v>52</v>
      </c>
      <c r="F1835" s="233">
        <v>0.01</v>
      </c>
      <c r="G1835" s="234">
        <f>Bahan!D273</f>
        <v>43000</v>
      </c>
      <c r="H1835" s="230">
        <f>+G1835*F1835</f>
        <v>430</v>
      </c>
      <c r="M1835" s="233">
        <v>0.01</v>
      </c>
    </row>
    <row r="1836" spans="2:13" ht="18.75" customHeight="1" x14ac:dyDescent="0.25">
      <c r="B1836" s="550"/>
      <c r="C1836" s="223" t="s">
        <v>786</v>
      </c>
      <c r="D1836" s="550"/>
      <c r="E1836" s="550" t="s">
        <v>5</v>
      </c>
      <c r="F1836" s="233">
        <v>0.5</v>
      </c>
      <c r="G1836" s="234">
        <f>+G1774</f>
        <v>25000</v>
      </c>
      <c r="H1836" s="230">
        <f>+G1836*F1836</f>
        <v>12500</v>
      </c>
      <c r="M1836" s="233">
        <v>0.5</v>
      </c>
    </row>
    <row r="1837" spans="2:13" ht="18.75" customHeight="1" x14ac:dyDescent="0.25">
      <c r="B1837" s="550"/>
      <c r="C1837" s="223"/>
      <c r="D1837" s="550"/>
      <c r="E1837" s="224"/>
      <c r="F1837" s="237" t="s">
        <v>643</v>
      </c>
      <c r="G1837" s="290"/>
      <c r="H1837" s="231">
        <f>SUM(H1834:H1836)</f>
        <v>96680</v>
      </c>
      <c r="M1837" s="237" t="s">
        <v>643</v>
      </c>
    </row>
    <row r="1838" spans="2:13" ht="18.75" customHeight="1" x14ac:dyDescent="0.25">
      <c r="B1838" s="550"/>
      <c r="C1838" s="223"/>
      <c r="D1838" s="550"/>
      <c r="E1838" s="224"/>
      <c r="F1838" s="237"/>
      <c r="G1838" s="290"/>
      <c r="H1838" s="231"/>
      <c r="M1838" s="237"/>
    </row>
    <row r="1839" spans="2:13" ht="18.75" customHeight="1" x14ac:dyDescent="0.25">
      <c r="B1839" s="550" t="s">
        <v>644</v>
      </c>
      <c r="C1839" s="223" t="s">
        <v>645</v>
      </c>
      <c r="D1839" s="550"/>
      <c r="E1839" s="224"/>
      <c r="F1839" s="225"/>
      <c r="G1839" s="290"/>
      <c r="H1839" s="235"/>
      <c r="M1839" s="225"/>
    </row>
    <row r="1840" spans="2:13" ht="18.75" customHeight="1" x14ac:dyDescent="0.25">
      <c r="B1840" s="236"/>
      <c r="C1840" s="232"/>
      <c r="D1840" s="550"/>
      <c r="E1840" s="224"/>
      <c r="F1840" s="237" t="s">
        <v>646</v>
      </c>
      <c r="G1840" s="290"/>
      <c r="H1840" s="230">
        <f>SUM(H1839:H1839)</f>
        <v>0</v>
      </c>
      <c r="M1840" s="237" t="s">
        <v>646</v>
      </c>
    </row>
    <row r="1841" spans="2:13" ht="18.75" customHeight="1" x14ac:dyDescent="0.25">
      <c r="B1841" s="236"/>
      <c r="C1841" s="232"/>
      <c r="D1841" s="550"/>
      <c r="E1841" s="224"/>
      <c r="F1841" s="237"/>
      <c r="G1841" s="290"/>
      <c r="H1841" s="230"/>
      <c r="M1841" s="237"/>
    </row>
    <row r="1842" spans="2:13" ht="18.75" customHeight="1" x14ac:dyDescent="0.25">
      <c r="B1842" s="248"/>
      <c r="C1842" s="238"/>
      <c r="D1842" s="239"/>
      <c r="E1842" s="266"/>
      <c r="F1842" s="241"/>
      <c r="G1842" s="303"/>
      <c r="H1842" s="276"/>
      <c r="M1842" s="241"/>
    </row>
    <row r="1843" spans="2:13" ht="18.75" customHeight="1" x14ac:dyDescent="0.25">
      <c r="B1843" s="249" t="s">
        <v>647</v>
      </c>
      <c r="C1843" s="104" t="s">
        <v>648</v>
      </c>
      <c r="D1843" s="435"/>
      <c r="E1843" s="92"/>
      <c r="F1843" s="183"/>
      <c r="G1843" s="167"/>
      <c r="H1843" s="252">
        <f>+H1840+H1837+H1832</f>
        <v>127700</v>
      </c>
      <c r="M1843" s="183"/>
    </row>
    <row r="1844" spans="2:13" ht="18.75" customHeight="1" x14ac:dyDescent="0.25">
      <c r="B1844" s="249" t="s">
        <v>649</v>
      </c>
      <c r="C1844" s="242" t="s">
        <v>650</v>
      </c>
      <c r="D1844" s="435"/>
      <c r="E1844" s="92"/>
      <c r="F1844" s="184" t="str">
        <f>$J$5</f>
        <v>8,0 % x D</v>
      </c>
      <c r="G1844" s="167"/>
      <c r="H1844" s="253">
        <f>+H1843*$K$5</f>
        <v>10216</v>
      </c>
      <c r="M1844" s="184" t="str">
        <f>$J$5</f>
        <v>8,0 % x D</v>
      </c>
    </row>
    <row r="1845" spans="2:13" ht="18.75" customHeight="1" x14ac:dyDescent="0.25">
      <c r="B1845" s="249" t="s">
        <v>651</v>
      </c>
      <c r="C1845" s="111" t="s">
        <v>652</v>
      </c>
      <c r="D1845" s="435"/>
      <c r="E1845" s="91"/>
      <c r="F1845" s="185"/>
      <c r="G1845" s="168"/>
      <c r="H1845" s="254">
        <f>ROUNDUP((H1844+H1843)/100,0)*100</f>
        <v>138000</v>
      </c>
      <c r="M1845" s="185"/>
    </row>
    <row r="1846" spans="2:13" ht="18.75" customHeight="1" x14ac:dyDescent="0.25">
      <c r="B1846" s="259"/>
      <c r="C1846" s="261"/>
      <c r="D1846" s="245"/>
      <c r="E1846" s="246"/>
      <c r="F1846" s="247"/>
      <c r="G1846" s="298"/>
      <c r="H1846" s="260"/>
      <c r="M1846" s="247"/>
    </row>
    <row r="1847" spans="2:13" ht="18.75" customHeight="1" x14ac:dyDescent="0.25">
      <c r="B1847" s="92"/>
      <c r="C1847" s="104"/>
      <c r="D1847" s="435"/>
      <c r="E1847" s="91"/>
      <c r="F1847" s="185"/>
      <c r="G1847" s="168"/>
      <c r="H1847" s="139"/>
      <c r="M1847" s="185"/>
    </row>
    <row r="1848" spans="2:13" ht="18.75" customHeight="1" x14ac:dyDescent="0.25">
      <c r="B1848" s="19">
        <f>B1824+1</f>
        <v>29</v>
      </c>
      <c r="C1848" s="93" t="s">
        <v>787</v>
      </c>
      <c r="D1848" s="19"/>
      <c r="E1848" s="21"/>
      <c r="F1848" s="176"/>
      <c r="G1848" s="165"/>
      <c r="H1848" s="119"/>
      <c r="M1848" s="176"/>
    </row>
    <row r="1849" spans="2:13" ht="18.75" customHeight="1" x14ac:dyDescent="0.25">
      <c r="B1849" s="618" t="s">
        <v>620</v>
      </c>
      <c r="C1849" s="620" t="s">
        <v>621</v>
      </c>
      <c r="D1849" s="618" t="s">
        <v>622</v>
      </c>
      <c r="E1849" s="618" t="s">
        <v>2</v>
      </c>
      <c r="F1849" s="615" t="s">
        <v>623</v>
      </c>
      <c r="G1849" s="289" t="s">
        <v>624</v>
      </c>
      <c r="H1849" s="256" t="s">
        <v>625</v>
      </c>
      <c r="M1849" s="615" t="s">
        <v>623</v>
      </c>
    </row>
    <row r="1850" spans="2:13" ht="18.75" customHeight="1" x14ac:dyDescent="0.25">
      <c r="B1850" s="619"/>
      <c r="C1850" s="621"/>
      <c r="D1850" s="619"/>
      <c r="E1850" s="619"/>
      <c r="F1850" s="616"/>
      <c r="G1850" s="289" t="s">
        <v>626</v>
      </c>
      <c r="H1850" s="256" t="s">
        <v>626</v>
      </c>
      <c r="M1850" s="616"/>
    </row>
    <row r="1851" spans="2:13" ht="18.75" customHeight="1" x14ac:dyDescent="0.25">
      <c r="B1851" s="221"/>
      <c r="C1851" s="222"/>
      <c r="D1851" s="221"/>
      <c r="E1851" s="550"/>
      <c r="F1851" s="555"/>
      <c r="G1851" s="551"/>
      <c r="H1851" s="220"/>
      <c r="M1851" s="590"/>
    </row>
    <row r="1852" spans="2:13" ht="18.75" customHeight="1" x14ac:dyDescent="0.25">
      <c r="B1852" s="550" t="s">
        <v>627</v>
      </c>
      <c r="C1852" s="223" t="s">
        <v>628</v>
      </c>
      <c r="D1852" s="550"/>
      <c r="E1852" s="224"/>
      <c r="F1852" s="225"/>
      <c r="G1852" s="290"/>
      <c r="H1852" s="226"/>
      <c r="M1852" s="225"/>
    </row>
    <row r="1853" spans="2:13" ht="18.75" customHeight="1" x14ac:dyDescent="0.25">
      <c r="B1853" s="550"/>
      <c r="C1853" s="223"/>
      <c r="D1853" s="550"/>
      <c r="E1853" s="224"/>
      <c r="F1853" s="233" t="s">
        <v>636</v>
      </c>
      <c r="G1853" s="290"/>
      <c r="H1853" s="230"/>
      <c r="M1853" s="233" t="s">
        <v>636</v>
      </c>
    </row>
    <row r="1854" spans="2:13" ht="18.75" customHeight="1" x14ac:dyDescent="0.25">
      <c r="B1854" s="550" t="s">
        <v>637</v>
      </c>
      <c r="C1854" s="223" t="s">
        <v>638</v>
      </c>
      <c r="D1854" s="550"/>
      <c r="E1854" s="224"/>
      <c r="F1854" s="225"/>
      <c r="G1854" s="290"/>
      <c r="H1854" s="226"/>
      <c r="M1854" s="225"/>
    </row>
    <row r="1855" spans="2:13" ht="18.75" customHeight="1" x14ac:dyDescent="0.25">
      <c r="B1855" s="550"/>
      <c r="C1855" s="223" t="s">
        <v>790</v>
      </c>
      <c r="D1855" s="550"/>
      <c r="E1855" s="550" t="s">
        <v>5</v>
      </c>
      <c r="F1855" s="233">
        <v>150</v>
      </c>
      <c r="G1855" s="234">
        <f>MAX(Bahan!D133:D134)</f>
        <v>11000</v>
      </c>
      <c r="H1855" s="230">
        <f>+G1855*F1855</f>
        <v>1650000</v>
      </c>
      <c r="M1855" s="233">
        <v>150</v>
      </c>
    </row>
    <row r="1856" spans="2:13" ht="18.75" customHeight="1" x14ac:dyDescent="0.25">
      <c r="B1856" s="550"/>
      <c r="C1856" s="223" t="s">
        <v>791</v>
      </c>
      <c r="D1856" s="550"/>
      <c r="E1856" s="550" t="s">
        <v>52</v>
      </c>
      <c r="F1856" s="233">
        <v>1</v>
      </c>
      <c r="G1856" s="234">
        <f>+H1343</f>
        <v>1372000</v>
      </c>
      <c r="H1856" s="230">
        <f>+G1856*F1856</f>
        <v>1372000</v>
      </c>
      <c r="M1856" s="233">
        <v>1</v>
      </c>
    </row>
    <row r="1857" spans="2:13" ht="18.75" customHeight="1" x14ac:dyDescent="0.25">
      <c r="B1857" s="550"/>
      <c r="C1857" s="223"/>
      <c r="D1857" s="550"/>
      <c r="E1857" s="224"/>
      <c r="F1857" s="237" t="s">
        <v>643</v>
      </c>
      <c r="G1857" s="290"/>
      <c r="H1857" s="231">
        <f>SUM(H1855:H1856)</f>
        <v>3022000</v>
      </c>
      <c r="M1857" s="237" t="s">
        <v>643</v>
      </c>
    </row>
    <row r="1858" spans="2:13" ht="18.75" customHeight="1" x14ac:dyDescent="0.25">
      <c r="B1858" s="550"/>
      <c r="C1858" s="223"/>
      <c r="D1858" s="550"/>
      <c r="E1858" s="224"/>
      <c r="F1858" s="237"/>
      <c r="G1858" s="290"/>
      <c r="H1858" s="231"/>
      <c r="M1858" s="237"/>
    </row>
    <row r="1859" spans="2:13" ht="18.75" customHeight="1" x14ac:dyDescent="0.25">
      <c r="B1859" s="550" t="s">
        <v>644</v>
      </c>
      <c r="C1859" s="223" t="s">
        <v>645</v>
      </c>
      <c r="D1859" s="550"/>
      <c r="E1859" s="224"/>
      <c r="F1859" s="225"/>
      <c r="G1859" s="290"/>
      <c r="H1859" s="235"/>
      <c r="M1859" s="225"/>
    </row>
    <row r="1860" spans="2:13" ht="18.75" customHeight="1" x14ac:dyDescent="0.25">
      <c r="B1860" s="236"/>
      <c r="C1860" s="232"/>
      <c r="D1860" s="550"/>
      <c r="E1860" s="224"/>
      <c r="F1860" s="237" t="s">
        <v>646</v>
      </c>
      <c r="G1860" s="290"/>
      <c r="H1860" s="230">
        <f>SUM(H1859:H1859)</f>
        <v>0</v>
      </c>
      <c r="M1860" s="237" t="s">
        <v>646</v>
      </c>
    </row>
    <row r="1861" spans="2:13" ht="18.75" customHeight="1" x14ac:dyDescent="0.25">
      <c r="B1861" s="236"/>
      <c r="C1861" s="232"/>
      <c r="D1861" s="550"/>
      <c r="E1861" s="224"/>
      <c r="F1861" s="237"/>
      <c r="G1861" s="290"/>
      <c r="H1861" s="230"/>
      <c r="M1861" s="237"/>
    </row>
    <row r="1862" spans="2:13" ht="18.75" customHeight="1" x14ac:dyDescent="0.25">
      <c r="B1862" s="248"/>
      <c r="C1862" s="238"/>
      <c r="D1862" s="239"/>
      <c r="E1862" s="266"/>
      <c r="F1862" s="241"/>
      <c r="G1862" s="303"/>
      <c r="H1862" s="276"/>
      <c r="M1862" s="241"/>
    </row>
    <row r="1863" spans="2:13" ht="18.75" customHeight="1" x14ac:dyDescent="0.25">
      <c r="B1863" s="249" t="s">
        <v>647</v>
      </c>
      <c r="C1863" s="104" t="s">
        <v>648</v>
      </c>
      <c r="D1863" s="435"/>
      <c r="E1863" s="92"/>
      <c r="F1863" s="183"/>
      <c r="G1863" s="167"/>
      <c r="H1863" s="252">
        <f>+H1860+H1857+H1853</f>
        <v>3022000</v>
      </c>
      <c r="M1863" s="183"/>
    </row>
    <row r="1864" spans="2:13" ht="18.75" customHeight="1" x14ac:dyDescent="0.25">
      <c r="B1864" s="249" t="s">
        <v>649</v>
      </c>
      <c r="C1864" s="242" t="s">
        <v>650</v>
      </c>
      <c r="D1864" s="435"/>
      <c r="E1864" s="92"/>
      <c r="F1864" s="184" t="str">
        <f>$J$5</f>
        <v>8,0 % x D</v>
      </c>
      <c r="G1864" s="167"/>
      <c r="H1864" s="253">
        <f>+H1863*$K$5</f>
        <v>241760</v>
      </c>
      <c r="M1864" s="184" t="str">
        <f>$J$5</f>
        <v>8,0 % x D</v>
      </c>
    </row>
    <row r="1865" spans="2:13" ht="18.75" customHeight="1" x14ac:dyDescent="0.25">
      <c r="B1865" s="249" t="s">
        <v>651</v>
      </c>
      <c r="C1865" s="111" t="s">
        <v>652</v>
      </c>
      <c r="D1865" s="435"/>
      <c r="E1865" s="91"/>
      <c r="F1865" s="185"/>
      <c r="G1865" s="168"/>
      <c r="H1865" s="254">
        <f>ROUNDUP((H1864+H1863)/100,0)*100</f>
        <v>3263800</v>
      </c>
      <c r="M1865" s="185"/>
    </row>
    <row r="1866" spans="2:13" ht="18.75" customHeight="1" x14ac:dyDescent="0.25">
      <c r="B1866" s="259"/>
      <c r="C1866" s="261"/>
      <c r="D1866" s="245"/>
      <c r="E1866" s="246"/>
      <c r="F1866" s="247"/>
      <c r="G1866" s="298"/>
      <c r="H1866" s="260"/>
      <c r="M1866" s="247"/>
    </row>
    <row r="1867" spans="2:13" ht="18.75" customHeight="1" x14ac:dyDescent="0.25">
      <c r="B1867" s="22"/>
      <c r="C1867" s="104"/>
      <c r="E1867" s="21"/>
      <c r="F1867" s="176"/>
      <c r="G1867" s="165"/>
      <c r="H1867" s="119"/>
      <c r="M1867" s="176"/>
    </row>
    <row r="1868" spans="2:13" ht="18.75" customHeight="1" x14ac:dyDescent="0.25">
      <c r="B1868" s="19">
        <f>+B1848+1</f>
        <v>30</v>
      </c>
      <c r="C1868" s="93" t="s">
        <v>792</v>
      </c>
      <c r="D1868" s="19"/>
      <c r="E1868" s="21"/>
      <c r="F1868" s="176"/>
      <c r="G1868" s="165"/>
      <c r="H1868" s="119"/>
      <c r="M1868" s="176"/>
    </row>
    <row r="1869" spans="2:13" ht="18.75" customHeight="1" x14ac:dyDescent="0.25">
      <c r="B1869" s="618" t="s">
        <v>620</v>
      </c>
      <c r="C1869" s="620" t="s">
        <v>621</v>
      </c>
      <c r="D1869" s="618" t="s">
        <v>622</v>
      </c>
      <c r="E1869" s="618" t="s">
        <v>2</v>
      </c>
      <c r="F1869" s="615" t="s">
        <v>623</v>
      </c>
      <c r="G1869" s="289" t="s">
        <v>624</v>
      </c>
      <c r="H1869" s="256" t="s">
        <v>625</v>
      </c>
      <c r="M1869" s="615" t="s">
        <v>623</v>
      </c>
    </row>
    <row r="1870" spans="2:13" ht="18.75" customHeight="1" x14ac:dyDescent="0.25">
      <c r="B1870" s="619"/>
      <c r="C1870" s="621"/>
      <c r="D1870" s="619"/>
      <c r="E1870" s="619"/>
      <c r="F1870" s="616"/>
      <c r="G1870" s="289" t="s">
        <v>626</v>
      </c>
      <c r="H1870" s="256" t="s">
        <v>626</v>
      </c>
      <c r="M1870" s="616"/>
    </row>
    <row r="1871" spans="2:13" ht="18.75" customHeight="1" x14ac:dyDescent="0.25">
      <c r="B1871" s="221"/>
      <c r="C1871" s="222"/>
      <c r="D1871" s="221"/>
      <c r="E1871" s="550"/>
      <c r="F1871" s="555"/>
      <c r="G1871" s="551"/>
      <c r="H1871" s="220"/>
      <c r="M1871" s="590"/>
    </row>
    <row r="1872" spans="2:13" ht="18.75" customHeight="1" x14ac:dyDescent="0.25">
      <c r="B1872" s="550" t="s">
        <v>627</v>
      </c>
      <c r="C1872" s="223" t="s">
        <v>628</v>
      </c>
      <c r="D1872" s="550"/>
      <c r="E1872" s="224"/>
      <c r="F1872" s="225"/>
      <c r="G1872" s="290"/>
      <c r="H1872" s="226"/>
      <c r="M1872" s="225"/>
    </row>
    <row r="1873" spans="2:13" ht="18.75" customHeight="1" x14ac:dyDescent="0.25">
      <c r="B1873" s="550"/>
      <c r="C1873" s="223"/>
      <c r="D1873" s="550"/>
      <c r="E1873" s="224"/>
      <c r="F1873" s="233" t="s">
        <v>636</v>
      </c>
      <c r="G1873" s="290"/>
      <c r="H1873" s="230"/>
      <c r="M1873" s="233" t="s">
        <v>636</v>
      </c>
    </row>
    <row r="1874" spans="2:13" ht="18.75" customHeight="1" x14ac:dyDescent="0.25">
      <c r="B1874" s="550"/>
      <c r="C1874" s="223"/>
      <c r="D1874" s="550"/>
      <c r="E1874" s="224"/>
      <c r="F1874" s="233"/>
      <c r="G1874" s="290"/>
      <c r="H1874" s="230"/>
      <c r="M1874" s="233"/>
    </row>
    <row r="1875" spans="2:13" ht="18.75" customHeight="1" x14ac:dyDescent="0.25">
      <c r="B1875" s="550" t="s">
        <v>637</v>
      </c>
      <c r="C1875" s="223" t="s">
        <v>638</v>
      </c>
      <c r="D1875" s="550"/>
      <c r="E1875" s="224"/>
      <c r="F1875" s="225"/>
      <c r="G1875" s="290"/>
      <c r="H1875" s="226"/>
      <c r="M1875" s="225"/>
    </row>
    <row r="1876" spans="2:13" ht="18.75" customHeight="1" x14ac:dyDescent="0.25">
      <c r="B1876" s="550"/>
      <c r="C1876" s="223" t="s">
        <v>793</v>
      </c>
      <c r="D1876" s="550"/>
      <c r="E1876" s="550" t="s">
        <v>58</v>
      </c>
      <c r="F1876" s="341">
        <v>5</v>
      </c>
      <c r="G1876" s="234">
        <f>H1524</f>
        <v>270500</v>
      </c>
      <c r="H1876" s="230">
        <f>F1876*G1876</f>
        <v>1352500</v>
      </c>
      <c r="M1876" s="341">
        <v>5</v>
      </c>
    </row>
    <row r="1877" spans="2:13" ht="18.75" customHeight="1" x14ac:dyDescent="0.25">
      <c r="B1877" s="550"/>
      <c r="C1877" s="223" t="s">
        <v>790</v>
      </c>
      <c r="D1877" s="550"/>
      <c r="E1877" s="550" t="s">
        <v>5</v>
      </c>
      <c r="F1877" s="233">
        <v>125</v>
      </c>
      <c r="G1877" s="234">
        <f>G1855</f>
        <v>11000</v>
      </c>
      <c r="H1877" s="230">
        <f>+G1877*F1877</f>
        <v>1375000</v>
      </c>
      <c r="M1877" s="233">
        <v>125</v>
      </c>
    </row>
    <row r="1878" spans="2:13" ht="18.75" customHeight="1" x14ac:dyDescent="0.25">
      <c r="B1878" s="550"/>
      <c r="C1878" s="223" t="s">
        <v>794</v>
      </c>
      <c r="D1878" s="550"/>
      <c r="E1878" s="550" t="s">
        <v>5</v>
      </c>
      <c r="F1878" s="233"/>
      <c r="G1878" s="234">
        <f>G1659</f>
        <v>5000</v>
      </c>
      <c r="H1878" s="230">
        <f>+G1878*F1878</f>
        <v>0</v>
      </c>
      <c r="M1878" s="233"/>
    </row>
    <row r="1879" spans="2:13" ht="18.75" customHeight="1" x14ac:dyDescent="0.25">
      <c r="B1879" s="550"/>
      <c r="C1879" s="223" t="s">
        <v>795</v>
      </c>
      <c r="D1879" s="550"/>
      <c r="E1879" s="550" t="s">
        <v>52</v>
      </c>
      <c r="F1879" s="233">
        <v>1</v>
      </c>
      <c r="G1879" s="234">
        <f>H1099</f>
        <v>1093700</v>
      </c>
      <c r="H1879" s="230">
        <f>+G1879*F1879</f>
        <v>1093700</v>
      </c>
      <c r="M1879" s="233">
        <v>1</v>
      </c>
    </row>
    <row r="1880" spans="2:13" ht="18.75" customHeight="1" x14ac:dyDescent="0.25">
      <c r="B1880" s="550"/>
      <c r="C1880" s="223" t="s">
        <v>796</v>
      </c>
      <c r="D1880" s="550"/>
      <c r="E1880" s="550" t="s">
        <v>52</v>
      </c>
      <c r="F1880" s="233">
        <v>1</v>
      </c>
      <c r="G1880" s="234">
        <f>H1125</f>
        <v>1143400</v>
      </c>
      <c r="H1880" s="230">
        <f t="shared" ref="H1880:H1889" si="96">+G1880*F1880</f>
        <v>1143400</v>
      </c>
      <c r="M1880" s="233">
        <v>1</v>
      </c>
    </row>
    <row r="1881" spans="2:13" ht="18.75" customHeight="1" x14ac:dyDescent="0.25">
      <c r="B1881" s="550"/>
      <c r="C1881" s="223" t="s">
        <v>797</v>
      </c>
      <c r="D1881" s="550"/>
      <c r="E1881" s="550" t="s">
        <v>52</v>
      </c>
      <c r="F1881" s="233">
        <v>1</v>
      </c>
      <c r="G1881" s="234">
        <f>H1151</f>
        <v>1182000</v>
      </c>
      <c r="H1881" s="230">
        <f t="shared" si="96"/>
        <v>1182000</v>
      </c>
      <c r="M1881" s="233">
        <v>1</v>
      </c>
    </row>
    <row r="1882" spans="2:13" ht="18.75" customHeight="1" x14ac:dyDescent="0.25">
      <c r="B1882" s="550"/>
      <c r="C1882" s="223" t="s">
        <v>798</v>
      </c>
      <c r="D1882" s="550"/>
      <c r="E1882" s="550" t="s">
        <v>52</v>
      </c>
      <c r="F1882" s="233">
        <v>1</v>
      </c>
      <c r="G1882" s="234">
        <f>H1207</f>
        <v>1228100</v>
      </c>
      <c r="H1882" s="230">
        <f t="shared" si="96"/>
        <v>1228100</v>
      </c>
      <c r="M1882" s="233">
        <v>1</v>
      </c>
    </row>
    <row r="1883" spans="2:13" ht="18.75" customHeight="1" x14ac:dyDescent="0.25">
      <c r="B1883" s="550"/>
      <c r="C1883" s="223" t="s">
        <v>799</v>
      </c>
      <c r="D1883" s="550"/>
      <c r="E1883" s="550" t="s">
        <v>52</v>
      </c>
      <c r="F1883" s="233">
        <v>1</v>
      </c>
      <c r="G1883" s="234">
        <f>H1234</f>
        <v>1271300</v>
      </c>
      <c r="H1883" s="230">
        <f t="shared" si="96"/>
        <v>1271300</v>
      </c>
      <c r="M1883" s="233">
        <v>1</v>
      </c>
    </row>
    <row r="1884" spans="2:13" ht="18.75" customHeight="1" x14ac:dyDescent="0.25">
      <c r="B1884" s="550"/>
      <c r="C1884" s="223" t="s">
        <v>800</v>
      </c>
      <c r="D1884" s="550"/>
      <c r="E1884" s="550" t="s">
        <v>52</v>
      </c>
      <c r="F1884" s="233">
        <v>1</v>
      </c>
      <c r="G1884" s="234">
        <f>H1262</f>
        <v>1304800</v>
      </c>
      <c r="H1884" s="230">
        <f t="shared" si="96"/>
        <v>1304800</v>
      </c>
      <c r="M1884" s="233">
        <v>1</v>
      </c>
    </row>
    <row r="1885" spans="2:13" ht="18.75" customHeight="1" x14ac:dyDescent="0.25">
      <c r="B1885" s="550"/>
      <c r="C1885" s="223" t="s">
        <v>801</v>
      </c>
      <c r="D1885" s="550"/>
      <c r="E1885" s="550" t="s">
        <v>52</v>
      </c>
      <c r="F1885" s="233">
        <v>1</v>
      </c>
      <c r="G1885" s="234">
        <f>H1289</f>
        <v>1325500</v>
      </c>
      <c r="H1885" s="230">
        <f t="shared" si="96"/>
        <v>1325500</v>
      </c>
      <c r="M1885" s="233">
        <v>1</v>
      </c>
    </row>
    <row r="1886" spans="2:13" ht="18.75" customHeight="1" x14ac:dyDescent="0.25">
      <c r="B1886" s="550"/>
      <c r="C1886" s="223" t="s">
        <v>802</v>
      </c>
      <c r="D1886" s="550"/>
      <c r="E1886" s="550" t="s">
        <v>52</v>
      </c>
      <c r="F1886" s="233">
        <v>1</v>
      </c>
      <c r="G1886" s="234">
        <f>H1316</f>
        <v>1361000</v>
      </c>
      <c r="H1886" s="230">
        <f t="shared" si="96"/>
        <v>1361000</v>
      </c>
      <c r="M1886" s="233">
        <v>1</v>
      </c>
    </row>
    <row r="1887" spans="2:13" ht="18.75" customHeight="1" x14ac:dyDescent="0.25">
      <c r="B1887" s="550"/>
      <c r="C1887" s="223" t="s">
        <v>791</v>
      </c>
      <c r="D1887" s="550"/>
      <c r="E1887" s="550" t="s">
        <v>52</v>
      </c>
      <c r="F1887" s="233">
        <v>1</v>
      </c>
      <c r="G1887" s="234">
        <f>H1343</f>
        <v>1372000</v>
      </c>
      <c r="H1887" s="230">
        <f t="shared" si="96"/>
        <v>1372000</v>
      </c>
      <c r="M1887" s="233">
        <v>1</v>
      </c>
    </row>
    <row r="1888" spans="2:13" ht="18.75" customHeight="1" x14ac:dyDescent="0.25">
      <c r="B1888" s="550"/>
      <c r="C1888" s="223" t="s">
        <v>803</v>
      </c>
      <c r="D1888" s="550"/>
      <c r="E1888" s="550" t="s">
        <v>52</v>
      </c>
      <c r="F1888" s="233">
        <v>1</v>
      </c>
      <c r="G1888" s="234">
        <f>H1370</f>
        <v>1473000</v>
      </c>
      <c r="H1888" s="230">
        <f t="shared" si="96"/>
        <v>1473000</v>
      </c>
      <c r="M1888" s="233">
        <v>1</v>
      </c>
    </row>
    <row r="1889" spans="2:13" ht="18.75" customHeight="1" x14ac:dyDescent="0.25">
      <c r="B1889" s="550"/>
      <c r="C1889" s="223" t="s">
        <v>804</v>
      </c>
      <c r="D1889" s="550"/>
      <c r="E1889" s="550" t="s">
        <v>52</v>
      </c>
      <c r="F1889" s="233">
        <v>1</v>
      </c>
      <c r="G1889" s="234">
        <f>H1396</f>
        <v>1487400</v>
      </c>
      <c r="H1889" s="230">
        <f t="shared" si="96"/>
        <v>1487400</v>
      </c>
      <c r="M1889" s="233">
        <v>1</v>
      </c>
    </row>
    <row r="1890" spans="2:13" ht="18.75" customHeight="1" x14ac:dyDescent="0.25">
      <c r="B1890" s="550"/>
      <c r="C1890" s="223"/>
      <c r="D1890" s="550"/>
      <c r="E1890" s="550"/>
      <c r="F1890" s="233"/>
      <c r="G1890" s="287"/>
      <c r="H1890" s="230"/>
      <c r="M1890" s="233"/>
    </row>
    <row r="1891" spans="2:13" ht="18.75" customHeight="1" x14ac:dyDescent="0.25">
      <c r="B1891" s="550" t="s">
        <v>644</v>
      </c>
      <c r="C1891" s="223" t="s">
        <v>645</v>
      </c>
      <c r="D1891" s="550"/>
      <c r="E1891" s="224"/>
      <c r="F1891" s="225"/>
      <c r="G1891" s="290"/>
      <c r="H1891" s="235"/>
      <c r="M1891" s="225"/>
    </row>
    <row r="1892" spans="2:13" ht="18.75" customHeight="1" x14ac:dyDescent="0.25">
      <c r="B1892" s="236"/>
      <c r="C1892" s="232"/>
      <c r="D1892" s="550"/>
      <c r="E1892" s="224"/>
      <c r="F1892" s="237" t="s">
        <v>646</v>
      </c>
      <c r="G1892" s="290"/>
      <c r="H1892" s="230">
        <f>SUM(H1891:H1891)</f>
        <v>0</v>
      </c>
      <c r="M1892" s="237" t="s">
        <v>646</v>
      </c>
    </row>
    <row r="1893" spans="2:13" ht="18.75" customHeight="1" x14ac:dyDescent="0.25">
      <c r="B1893" s="236"/>
      <c r="C1893" s="232"/>
      <c r="D1893" s="550"/>
      <c r="E1893" s="224"/>
      <c r="F1893" s="237"/>
      <c r="G1893" s="290"/>
      <c r="H1893" s="226"/>
      <c r="M1893" s="237"/>
    </row>
    <row r="1894" spans="2:13" ht="18.75" customHeight="1" x14ac:dyDescent="0.25">
      <c r="B1894" s="248"/>
      <c r="C1894" s="238"/>
      <c r="D1894" s="239"/>
      <c r="E1894" s="266"/>
      <c r="F1894" s="241"/>
      <c r="G1894" s="303"/>
      <c r="H1894" s="267"/>
      <c r="M1894" s="241"/>
    </row>
    <row r="1895" spans="2:13" ht="18.75" customHeight="1" x14ac:dyDescent="0.25">
      <c r="B1895" s="249"/>
      <c r="C1895" s="104" t="s">
        <v>648</v>
      </c>
      <c r="D1895" s="435"/>
      <c r="E1895" s="92"/>
      <c r="F1895" s="183"/>
      <c r="G1895" s="167"/>
      <c r="H1895" s="252"/>
      <c r="M1895" s="183"/>
    </row>
    <row r="1896" spans="2:13" ht="18.75" customHeight="1" x14ac:dyDescent="0.25">
      <c r="B1896" s="249" t="s">
        <v>647</v>
      </c>
      <c r="C1896" s="111" t="s">
        <v>1492</v>
      </c>
      <c r="D1896" s="435"/>
      <c r="E1896" s="91"/>
      <c r="F1896" s="185"/>
      <c r="G1896" s="168"/>
      <c r="H1896" s="254">
        <f>H1876+H1877+H1879</f>
        <v>3821200</v>
      </c>
      <c r="M1896" s="185"/>
    </row>
    <row r="1897" spans="2:13" ht="18.75" customHeight="1" x14ac:dyDescent="0.25">
      <c r="B1897" s="249" t="s">
        <v>649</v>
      </c>
      <c r="C1897" s="111" t="s">
        <v>805</v>
      </c>
      <c r="D1897" s="435"/>
      <c r="E1897" s="91"/>
      <c r="F1897" s="185"/>
      <c r="G1897" s="168"/>
      <c r="H1897" s="254">
        <f>H1876+H1877+H1880</f>
        <v>3870900</v>
      </c>
      <c r="M1897" s="185"/>
    </row>
    <row r="1898" spans="2:13" ht="18.75" customHeight="1" x14ac:dyDescent="0.25">
      <c r="B1898" s="249" t="s">
        <v>651</v>
      </c>
      <c r="C1898" s="111" t="s">
        <v>806</v>
      </c>
      <c r="D1898" s="435"/>
      <c r="E1898" s="91"/>
      <c r="F1898" s="185"/>
      <c r="G1898" s="168"/>
      <c r="H1898" s="254">
        <f>H1876+H1877+H1881</f>
        <v>3909500</v>
      </c>
      <c r="M1898" s="185"/>
    </row>
    <row r="1899" spans="2:13" ht="18.75" customHeight="1" x14ac:dyDescent="0.25">
      <c r="B1899" s="249" t="s">
        <v>807</v>
      </c>
      <c r="C1899" s="111" t="s">
        <v>808</v>
      </c>
      <c r="D1899" s="435"/>
      <c r="E1899" s="91"/>
      <c r="F1899" s="185"/>
      <c r="G1899" s="168"/>
      <c r="H1899" s="254">
        <f>H1876+H1877+H1882</f>
        <v>3955600</v>
      </c>
      <c r="M1899" s="185"/>
    </row>
    <row r="1900" spans="2:13" ht="18.75" customHeight="1" x14ac:dyDescent="0.25">
      <c r="B1900" s="249" t="s">
        <v>809</v>
      </c>
      <c r="C1900" s="111" t="s">
        <v>810</v>
      </c>
      <c r="D1900" s="435"/>
      <c r="E1900" s="91"/>
      <c r="F1900" s="185"/>
      <c r="G1900" s="168"/>
      <c r="H1900" s="254">
        <f>H1876+H1877+H1883</f>
        <v>3998800</v>
      </c>
      <c r="M1900" s="185"/>
    </row>
    <row r="1901" spans="2:13" ht="18.75" customHeight="1" x14ac:dyDescent="0.25">
      <c r="B1901" s="249" t="s">
        <v>617</v>
      </c>
      <c r="C1901" s="111" t="s">
        <v>811</v>
      </c>
      <c r="D1901" s="435"/>
      <c r="E1901" s="91"/>
      <c r="F1901" s="185"/>
      <c r="G1901" s="168"/>
      <c r="H1901" s="254">
        <f>H1876+H1877+H1884</f>
        <v>4032300</v>
      </c>
      <c r="M1901" s="185"/>
    </row>
    <row r="1902" spans="2:13" ht="18.75" customHeight="1" x14ac:dyDescent="0.25">
      <c r="B1902" s="249" t="s">
        <v>812</v>
      </c>
      <c r="C1902" s="111" t="s">
        <v>813</v>
      </c>
      <c r="D1902" s="435"/>
      <c r="E1902" s="91"/>
      <c r="F1902" s="185"/>
      <c r="G1902" s="168"/>
      <c r="H1902" s="254">
        <f>H1876+H1877+H1885</f>
        <v>4053000</v>
      </c>
      <c r="M1902" s="185"/>
    </row>
    <row r="1903" spans="2:13" ht="18.75" customHeight="1" x14ac:dyDescent="0.25">
      <c r="B1903" s="249" t="s">
        <v>814</v>
      </c>
      <c r="C1903" s="111" t="s">
        <v>815</v>
      </c>
      <c r="D1903" s="435"/>
      <c r="E1903" s="91"/>
      <c r="F1903" s="185" t="s">
        <v>566</v>
      </c>
      <c r="G1903" s="168"/>
      <c r="H1903" s="254">
        <f>H1876+H1877+H1886</f>
        <v>4088500</v>
      </c>
      <c r="M1903" s="185" t="s">
        <v>566</v>
      </c>
    </row>
    <row r="1904" spans="2:13" ht="18.75" customHeight="1" x14ac:dyDescent="0.25">
      <c r="B1904" s="249" t="s">
        <v>816</v>
      </c>
      <c r="C1904" s="111" t="s">
        <v>817</v>
      </c>
      <c r="D1904" s="435"/>
      <c r="E1904" s="91"/>
      <c r="F1904" s="185"/>
      <c r="G1904" s="168"/>
      <c r="H1904" s="254">
        <f>H1876+H1877+H1887</f>
        <v>4099500</v>
      </c>
      <c r="M1904" s="185"/>
    </row>
    <row r="1905" spans="2:13" ht="18.75" customHeight="1" x14ac:dyDescent="0.25">
      <c r="B1905" s="249" t="s">
        <v>818</v>
      </c>
      <c r="C1905" s="111" t="s">
        <v>819</v>
      </c>
      <c r="D1905" s="435"/>
      <c r="E1905" s="91"/>
      <c r="F1905" s="185"/>
      <c r="G1905" s="168"/>
      <c r="H1905" s="254">
        <f>H1876+H1877+H1888</f>
        <v>4200500</v>
      </c>
      <c r="M1905" s="185"/>
    </row>
    <row r="1906" spans="2:13" ht="18.75" customHeight="1" x14ac:dyDescent="0.25">
      <c r="B1906" s="249" t="s">
        <v>820</v>
      </c>
      <c r="C1906" s="111" t="s">
        <v>821</v>
      </c>
      <c r="D1906" s="435"/>
      <c r="E1906" s="91"/>
      <c r="F1906" s="185"/>
      <c r="G1906" s="168"/>
      <c r="H1906" s="254">
        <f>H1876+H1877+H1889</f>
        <v>4214900</v>
      </c>
      <c r="M1906" s="185"/>
    </row>
    <row r="1907" spans="2:13" ht="18.75" customHeight="1" x14ac:dyDescent="0.25">
      <c r="B1907" s="259"/>
      <c r="C1907" s="261"/>
      <c r="D1907" s="245"/>
      <c r="E1907" s="246"/>
      <c r="F1907" s="247"/>
      <c r="G1907" s="298"/>
      <c r="H1907" s="260"/>
      <c r="M1907" s="247"/>
    </row>
    <row r="1908" spans="2:13" ht="18.75" customHeight="1" x14ac:dyDescent="0.25">
      <c r="B1908" s="22"/>
      <c r="C1908" s="104"/>
      <c r="E1908" s="21"/>
      <c r="F1908" s="176"/>
      <c r="G1908" s="165"/>
      <c r="H1908" s="119"/>
      <c r="M1908" s="176"/>
    </row>
    <row r="1909" spans="2:13" ht="18.75" customHeight="1" x14ac:dyDescent="0.25">
      <c r="B1909" s="19">
        <f>+B1868+1</f>
        <v>31</v>
      </c>
      <c r="C1909" s="93" t="s">
        <v>822</v>
      </c>
      <c r="D1909" s="19"/>
      <c r="E1909" s="21"/>
      <c r="F1909" s="176"/>
      <c r="G1909" s="165"/>
      <c r="H1909" s="119"/>
      <c r="M1909" s="176"/>
    </row>
    <row r="1910" spans="2:13" ht="18.75" customHeight="1" x14ac:dyDescent="0.25">
      <c r="B1910" s="618" t="s">
        <v>620</v>
      </c>
      <c r="C1910" s="620" t="s">
        <v>621</v>
      </c>
      <c r="D1910" s="618" t="s">
        <v>622</v>
      </c>
      <c r="E1910" s="618" t="s">
        <v>2</v>
      </c>
      <c r="F1910" s="615" t="s">
        <v>623</v>
      </c>
      <c r="G1910" s="289" t="s">
        <v>624</v>
      </c>
      <c r="H1910" s="256" t="s">
        <v>625</v>
      </c>
      <c r="M1910" s="615" t="s">
        <v>623</v>
      </c>
    </row>
    <row r="1911" spans="2:13" ht="18.75" customHeight="1" x14ac:dyDescent="0.25">
      <c r="B1911" s="619"/>
      <c r="C1911" s="621"/>
      <c r="D1911" s="619"/>
      <c r="E1911" s="619"/>
      <c r="F1911" s="616"/>
      <c r="G1911" s="289" t="s">
        <v>626</v>
      </c>
      <c r="H1911" s="256" t="s">
        <v>626</v>
      </c>
      <c r="M1911" s="616"/>
    </row>
    <row r="1912" spans="2:13" ht="18.75" customHeight="1" x14ac:dyDescent="0.25">
      <c r="B1912" s="221"/>
      <c r="C1912" s="222"/>
      <c r="D1912" s="221"/>
      <c r="E1912" s="550"/>
      <c r="F1912" s="555"/>
      <c r="G1912" s="551"/>
      <c r="H1912" s="220"/>
      <c r="M1912" s="590"/>
    </row>
    <row r="1913" spans="2:13" ht="18.75" customHeight="1" x14ac:dyDescent="0.25">
      <c r="B1913" s="550" t="s">
        <v>627</v>
      </c>
      <c r="C1913" s="223" t="s">
        <v>628</v>
      </c>
      <c r="D1913" s="550"/>
      <c r="E1913" s="224"/>
      <c r="F1913" s="225"/>
      <c r="G1913" s="290"/>
      <c r="H1913" s="226"/>
      <c r="M1913" s="225"/>
    </row>
    <row r="1914" spans="2:13" ht="18.75" customHeight="1" x14ac:dyDescent="0.25">
      <c r="B1914" s="550"/>
      <c r="C1914" s="223"/>
      <c r="D1914" s="550"/>
      <c r="E1914" s="224"/>
      <c r="F1914" s="233" t="s">
        <v>636</v>
      </c>
      <c r="G1914" s="290"/>
      <c r="H1914" s="230"/>
      <c r="M1914" s="233" t="s">
        <v>636</v>
      </c>
    </row>
    <row r="1915" spans="2:13" ht="18.75" customHeight="1" x14ac:dyDescent="0.25">
      <c r="B1915" s="550"/>
      <c r="C1915" s="223"/>
      <c r="D1915" s="550"/>
      <c r="E1915" s="224"/>
      <c r="F1915" s="233"/>
      <c r="G1915" s="290"/>
      <c r="H1915" s="230"/>
      <c r="M1915" s="233"/>
    </row>
    <row r="1916" spans="2:13" ht="18.75" customHeight="1" x14ac:dyDescent="0.25">
      <c r="B1916" s="550" t="s">
        <v>637</v>
      </c>
      <c r="C1916" s="223" t="s">
        <v>638</v>
      </c>
      <c r="D1916" s="550"/>
      <c r="E1916" s="224"/>
      <c r="F1916" s="225"/>
      <c r="G1916" s="290"/>
      <c r="H1916" s="226"/>
      <c r="M1916" s="225"/>
    </row>
    <row r="1917" spans="2:13" ht="18.75" customHeight="1" x14ac:dyDescent="0.25">
      <c r="B1917" s="550"/>
      <c r="C1917" s="223" t="s">
        <v>793</v>
      </c>
      <c r="D1917" s="550"/>
      <c r="E1917" s="550" t="s">
        <v>58</v>
      </c>
      <c r="F1917" s="341">
        <v>8</v>
      </c>
      <c r="G1917" s="234">
        <f>+H1668</f>
        <v>539600</v>
      </c>
      <c r="H1917" s="230">
        <f>+G1917*F1917</f>
        <v>4316800</v>
      </c>
      <c r="M1917" s="341">
        <v>8</v>
      </c>
    </row>
    <row r="1918" spans="2:13" ht="18.75" customHeight="1" x14ac:dyDescent="0.25">
      <c r="B1918" s="550"/>
      <c r="C1918" s="223" t="s">
        <v>790</v>
      </c>
      <c r="D1918" s="550"/>
      <c r="E1918" s="550" t="s">
        <v>5</v>
      </c>
      <c r="F1918" s="233">
        <v>150</v>
      </c>
      <c r="G1918" s="234">
        <f>+G1877</f>
        <v>11000</v>
      </c>
      <c r="H1918" s="230">
        <f>+G1918*F1918</f>
        <v>1650000</v>
      </c>
      <c r="M1918" s="233">
        <v>150</v>
      </c>
    </row>
    <row r="1919" spans="2:13" ht="18.75" customHeight="1" x14ac:dyDescent="0.25">
      <c r="B1919" s="550"/>
      <c r="C1919" s="223" t="str">
        <f>C1878</f>
        <v>Penempatan besi</v>
      </c>
      <c r="D1919" s="550"/>
      <c r="E1919" s="550" t="s">
        <v>5</v>
      </c>
      <c r="F1919" s="233"/>
      <c r="G1919" s="234">
        <f t="shared" ref="G1919:G1930" si="97">G1878</f>
        <v>5000</v>
      </c>
      <c r="H1919" s="230">
        <f>+G1919*F1919</f>
        <v>0</v>
      </c>
      <c r="M1919" s="233"/>
    </row>
    <row r="1920" spans="2:13" ht="18.75" customHeight="1" x14ac:dyDescent="0.25">
      <c r="B1920" s="550"/>
      <c r="C1920" s="223" t="s">
        <v>795</v>
      </c>
      <c r="D1920" s="550"/>
      <c r="E1920" s="550" t="s">
        <v>52</v>
      </c>
      <c r="F1920" s="233">
        <v>1</v>
      </c>
      <c r="G1920" s="234">
        <f t="shared" si="97"/>
        <v>1093700</v>
      </c>
      <c r="H1920" s="230">
        <f>+G1920*F1920</f>
        <v>1093700</v>
      </c>
      <c r="M1920" s="233">
        <v>1</v>
      </c>
    </row>
    <row r="1921" spans="2:13" ht="18.75" customHeight="1" x14ac:dyDescent="0.25">
      <c r="B1921" s="550"/>
      <c r="C1921" s="223" t="s">
        <v>796</v>
      </c>
      <c r="D1921" s="550"/>
      <c r="E1921" s="550" t="s">
        <v>52</v>
      </c>
      <c r="F1921" s="233">
        <v>1</v>
      </c>
      <c r="G1921" s="234">
        <f t="shared" si="97"/>
        <v>1143400</v>
      </c>
      <c r="H1921" s="230">
        <f t="shared" ref="H1921:H1930" si="98">+G1921*F1921</f>
        <v>1143400</v>
      </c>
      <c r="M1921" s="233">
        <v>1</v>
      </c>
    </row>
    <row r="1922" spans="2:13" ht="18.75" customHeight="1" x14ac:dyDescent="0.25">
      <c r="B1922" s="550"/>
      <c r="C1922" s="223" t="s">
        <v>797</v>
      </c>
      <c r="D1922" s="550"/>
      <c r="E1922" s="550" t="s">
        <v>52</v>
      </c>
      <c r="F1922" s="233">
        <v>1</v>
      </c>
      <c r="G1922" s="234">
        <f t="shared" si="97"/>
        <v>1182000</v>
      </c>
      <c r="H1922" s="230">
        <f t="shared" si="98"/>
        <v>1182000</v>
      </c>
      <c r="M1922" s="233">
        <v>1</v>
      </c>
    </row>
    <row r="1923" spans="2:13" ht="18.75" customHeight="1" x14ac:dyDescent="0.25">
      <c r="B1923" s="550"/>
      <c r="C1923" s="223" t="s">
        <v>798</v>
      </c>
      <c r="D1923" s="550"/>
      <c r="E1923" s="550" t="s">
        <v>52</v>
      </c>
      <c r="F1923" s="233">
        <v>1</v>
      </c>
      <c r="G1923" s="234">
        <f t="shared" si="97"/>
        <v>1228100</v>
      </c>
      <c r="H1923" s="230">
        <f t="shared" si="98"/>
        <v>1228100</v>
      </c>
      <c r="M1923" s="233">
        <v>1</v>
      </c>
    </row>
    <row r="1924" spans="2:13" ht="18.75" customHeight="1" x14ac:dyDescent="0.25">
      <c r="B1924" s="550"/>
      <c r="C1924" s="223" t="s">
        <v>799</v>
      </c>
      <c r="D1924" s="550"/>
      <c r="E1924" s="550" t="s">
        <v>52</v>
      </c>
      <c r="F1924" s="233">
        <v>1</v>
      </c>
      <c r="G1924" s="234">
        <f t="shared" si="97"/>
        <v>1271300</v>
      </c>
      <c r="H1924" s="230">
        <f t="shared" si="98"/>
        <v>1271300</v>
      </c>
      <c r="M1924" s="233">
        <v>1</v>
      </c>
    </row>
    <row r="1925" spans="2:13" ht="18.75" customHeight="1" x14ac:dyDescent="0.25">
      <c r="B1925" s="550"/>
      <c r="C1925" s="223" t="s">
        <v>800</v>
      </c>
      <c r="D1925" s="550"/>
      <c r="E1925" s="550" t="s">
        <v>52</v>
      </c>
      <c r="F1925" s="233">
        <v>1</v>
      </c>
      <c r="G1925" s="234">
        <f t="shared" si="97"/>
        <v>1304800</v>
      </c>
      <c r="H1925" s="230">
        <f t="shared" si="98"/>
        <v>1304800</v>
      </c>
      <c r="M1925" s="233">
        <v>1</v>
      </c>
    </row>
    <row r="1926" spans="2:13" ht="18.75" customHeight="1" x14ac:dyDescent="0.25">
      <c r="B1926" s="550"/>
      <c r="C1926" s="223" t="s">
        <v>801</v>
      </c>
      <c r="D1926" s="550"/>
      <c r="E1926" s="550" t="s">
        <v>52</v>
      </c>
      <c r="F1926" s="233">
        <v>1</v>
      </c>
      <c r="G1926" s="234">
        <f t="shared" si="97"/>
        <v>1325500</v>
      </c>
      <c r="H1926" s="230">
        <f t="shared" si="98"/>
        <v>1325500</v>
      </c>
      <c r="M1926" s="233">
        <v>1</v>
      </c>
    </row>
    <row r="1927" spans="2:13" ht="18.75" customHeight="1" x14ac:dyDescent="0.25">
      <c r="B1927" s="550"/>
      <c r="C1927" s="223" t="s">
        <v>802</v>
      </c>
      <c r="D1927" s="550"/>
      <c r="E1927" s="550" t="s">
        <v>52</v>
      </c>
      <c r="F1927" s="233">
        <v>1</v>
      </c>
      <c r="G1927" s="234">
        <f t="shared" si="97"/>
        <v>1361000</v>
      </c>
      <c r="H1927" s="230">
        <f t="shared" si="98"/>
        <v>1361000</v>
      </c>
      <c r="M1927" s="233">
        <v>1</v>
      </c>
    </row>
    <row r="1928" spans="2:13" ht="18.75" customHeight="1" x14ac:dyDescent="0.25">
      <c r="B1928" s="550"/>
      <c r="C1928" s="223" t="s">
        <v>791</v>
      </c>
      <c r="D1928" s="550"/>
      <c r="E1928" s="550" t="s">
        <v>52</v>
      </c>
      <c r="F1928" s="233">
        <v>1</v>
      </c>
      <c r="G1928" s="234">
        <f t="shared" si="97"/>
        <v>1372000</v>
      </c>
      <c r="H1928" s="230">
        <f t="shared" si="98"/>
        <v>1372000</v>
      </c>
      <c r="M1928" s="233">
        <v>1</v>
      </c>
    </row>
    <row r="1929" spans="2:13" ht="18.75" customHeight="1" x14ac:dyDescent="0.25">
      <c r="B1929" s="550"/>
      <c r="C1929" s="223" t="s">
        <v>803</v>
      </c>
      <c r="D1929" s="550"/>
      <c r="E1929" s="550" t="s">
        <v>52</v>
      </c>
      <c r="F1929" s="233">
        <v>1</v>
      </c>
      <c r="G1929" s="234">
        <f t="shared" si="97"/>
        <v>1473000</v>
      </c>
      <c r="H1929" s="230">
        <f t="shared" si="98"/>
        <v>1473000</v>
      </c>
      <c r="M1929" s="233">
        <v>1</v>
      </c>
    </row>
    <row r="1930" spans="2:13" ht="18.75" customHeight="1" x14ac:dyDescent="0.25">
      <c r="B1930" s="550"/>
      <c r="C1930" s="223" t="s">
        <v>804</v>
      </c>
      <c r="D1930" s="550"/>
      <c r="E1930" s="550" t="s">
        <v>52</v>
      </c>
      <c r="F1930" s="233">
        <v>1</v>
      </c>
      <c r="G1930" s="234">
        <f t="shared" si="97"/>
        <v>1487400</v>
      </c>
      <c r="H1930" s="230">
        <f t="shared" si="98"/>
        <v>1487400</v>
      </c>
      <c r="M1930" s="233">
        <v>1</v>
      </c>
    </row>
    <row r="1931" spans="2:13" ht="18.75" customHeight="1" x14ac:dyDescent="0.25">
      <c r="B1931" s="550"/>
      <c r="C1931" s="223"/>
      <c r="D1931" s="550"/>
      <c r="E1931" s="224"/>
      <c r="F1931" s="225"/>
      <c r="G1931" s="290"/>
      <c r="H1931" s="226"/>
      <c r="M1931" s="225"/>
    </row>
    <row r="1932" spans="2:13" ht="18.75" customHeight="1" x14ac:dyDescent="0.25">
      <c r="B1932" s="550" t="s">
        <v>644</v>
      </c>
      <c r="C1932" s="223" t="s">
        <v>645</v>
      </c>
      <c r="D1932" s="550"/>
      <c r="E1932" s="224"/>
      <c r="F1932" s="225"/>
      <c r="G1932" s="290"/>
      <c r="H1932" s="235"/>
      <c r="M1932" s="225"/>
    </row>
    <row r="1933" spans="2:13" ht="18.75" customHeight="1" x14ac:dyDescent="0.25">
      <c r="B1933" s="236"/>
      <c r="C1933" s="232"/>
      <c r="D1933" s="550"/>
      <c r="E1933" s="224"/>
      <c r="F1933" s="237" t="s">
        <v>646</v>
      </c>
      <c r="G1933" s="290"/>
      <c r="H1933" s="230">
        <f>SUM(H1932:H1932)</f>
        <v>0</v>
      </c>
      <c r="M1933" s="237" t="s">
        <v>646</v>
      </c>
    </row>
    <row r="1934" spans="2:13" ht="18.75" customHeight="1" x14ac:dyDescent="0.25">
      <c r="B1934" s="236"/>
      <c r="C1934" s="232"/>
      <c r="D1934" s="550"/>
      <c r="E1934" s="224"/>
      <c r="F1934" s="237"/>
      <c r="G1934" s="290"/>
      <c r="H1934" s="226"/>
      <c r="M1934" s="237"/>
    </row>
    <row r="1935" spans="2:13" ht="18.75" customHeight="1" x14ac:dyDescent="0.25">
      <c r="B1935" s="248"/>
      <c r="C1935" s="238"/>
      <c r="D1935" s="239"/>
      <c r="E1935" s="266"/>
      <c r="F1935" s="241"/>
      <c r="G1935" s="303"/>
      <c r="H1935" s="267"/>
      <c r="M1935" s="241"/>
    </row>
    <row r="1936" spans="2:13" ht="18.75" customHeight="1" x14ac:dyDescent="0.25">
      <c r="B1936" s="249"/>
      <c r="C1936" s="104" t="s">
        <v>648</v>
      </c>
      <c r="D1936" s="435"/>
      <c r="E1936" s="92"/>
      <c r="F1936" s="183"/>
      <c r="G1936" s="167"/>
      <c r="H1936" s="252"/>
      <c r="M1936" s="183"/>
    </row>
    <row r="1937" spans="2:13" ht="18.75" customHeight="1" x14ac:dyDescent="0.25">
      <c r="B1937" s="249" t="s">
        <v>647</v>
      </c>
      <c r="C1937" s="111" t="s">
        <v>1491</v>
      </c>
      <c r="D1937" s="435"/>
      <c r="E1937" s="92"/>
      <c r="F1937" s="184"/>
      <c r="G1937" s="167"/>
      <c r="H1937" s="343">
        <f>H1917+H1918+H1920</f>
        <v>7060500</v>
      </c>
      <c r="M1937" s="184"/>
    </row>
    <row r="1938" spans="2:13" ht="18.75" customHeight="1" x14ac:dyDescent="0.25">
      <c r="B1938" s="249" t="s">
        <v>649</v>
      </c>
      <c r="C1938" s="111" t="s">
        <v>823</v>
      </c>
      <c r="D1938" s="435"/>
      <c r="E1938" s="91"/>
      <c r="F1938" s="185"/>
      <c r="G1938" s="168"/>
      <c r="H1938" s="343">
        <f>H1917+H1918+H1921</f>
        <v>7110200</v>
      </c>
      <c r="M1938" s="185"/>
    </row>
    <row r="1939" spans="2:13" ht="18.75" customHeight="1" x14ac:dyDescent="0.25">
      <c r="B1939" s="249" t="s">
        <v>651</v>
      </c>
      <c r="C1939" s="111" t="s">
        <v>824</v>
      </c>
      <c r="D1939" s="435"/>
      <c r="E1939" s="91"/>
      <c r="F1939" s="185"/>
      <c r="G1939" s="168"/>
      <c r="H1939" s="343">
        <f>H1917+H1918+H1922</f>
        <v>7148800</v>
      </c>
      <c r="M1939" s="185"/>
    </row>
    <row r="1940" spans="2:13" ht="18.75" customHeight="1" x14ac:dyDescent="0.25">
      <c r="B1940" s="249" t="s">
        <v>825</v>
      </c>
      <c r="C1940" s="111" t="s">
        <v>826</v>
      </c>
      <c r="D1940" s="435"/>
      <c r="E1940" s="91"/>
      <c r="F1940" s="185"/>
      <c r="G1940" s="168"/>
      <c r="H1940" s="343">
        <f>H1917+H1918+H1923</f>
        <v>7194900</v>
      </c>
      <c r="M1940" s="185"/>
    </row>
    <row r="1941" spans="2:13" ht="18.75" customHeight="1" x14ac:dyDescent="0.25">
      <c r="B1941" s="249" t="s">
        <v>827</v>
      </c>
      <c r="C1941" s="111" t="s">
        <v>828</v>
      </c>
      <c r="D1941" s="435"/>
      <c r="E1941" s="91"/>
      <c r="F1941" s="185"/>
      <c r="G1941" s="168"/>
      <c r="H1941" s="343">
        <f>H1917+H1918+H1924</f>
        <v>7238100</v>
      </c>
      <c r="M1941" s="185"/>
    </row>
    <row r="1942" spans="2:13" ht="18.75" customHeight="1" x14ac:dyDescent="0.25">
      <c r="B1942" s="249" t="s">
        <v>617</v>
      </c>
      <c r="C1942" s="111" t="s">
        <v>829</v>
      </c>
      <c r="D1942" s="435"/>
      <c r="E1942" s="91"/>
      <c r="F1942" s="185"/>
      <c r="G1942" s="168"/>
      <c r="H1942" s="343">
        <f>H1917+H1918+H1925</f>
        <v>7271600</v>
      </c>
      <c r="M1942" s="185"/>
    </row>
    <row r="1943" spans="2:13" ht="18.75" customHeight="1" x14ac:dyDescent="0.25">
      <c r="B1943" s="249" t="s">
        <v>812</v>
      </c>
      <c r="C1943" s="111" t="s">
        <v>830</v>
      </c>
      <c r="D1943" s="435"/>
      <c r="E1943" s="91"/>
      <c r="F1943" s="185"/>
      <c r="G1943" s="168"/>
      <c r="H1943" s="343">
        <f>H1917+H1918+H1926</f>
        <v>7292300</v>
      </c>
      <c r="M1943" s="185"/>
    </row>
    <row r="1944" spans="2:13" ht="18.75" customHeight="1" x14ac:dyDescent="0.25">
      <c r="B1944" s="249" t="s">
        <v>814</v>
      </c>
      <c r="C1944" s="111" t="s">
        <v>831</v>
      </c>
      <c r="D1944" s="435"/>
      <c r="E1944" s="91"/>
      <c r="F1944" s="185"/>
      <c r="G1944" s="168"/>
      <c r="H1944" s="343">
        <f>H1917+H1918+H1927</f>
        <v>7327800</v>
      </c>
      <c r="M1944" s="185"/>
    </row>
    <row r="1945" spans="2:13" ht="18.75" customHeight="1" x14ac:dyDescent="0.25">
      <c r="B1945" s="249" t="s">
        <v>816</v>
      </c>
      <c r="C1945" s="111" t="s">
        <v>832</v>
      </c>
      <c r="D1945" s="435"/>
      <c r="E1945" s="91"/>
      <c r="F1945" s="185"/>
      <c r="G1945" s="168"/>
      <c r="H1945" s="343">
        <f>H1917+H1918+H1928</f>
        <v>7338800</v>
      </c>
      <c r="M1945" s="185"/>
    </row>
    <row r="1946" spans="2:13" ht="18.75" customHeight="1" x14ac:dyDescent="0.25">
      <c r="B1946" s="249" t="s">
        <v>818</v>
      </c>
      <c r="C1946" s="111" t="s">
        <v>833</v>
      </c>
      <c r="D1946" s="435"/>
      <c r="E1946" s="91"/>
      <c r="F1946" s="185"/>
      <c r="G1946" s="168"/>
      <c r="H1946" s="343">
        <f>H1917+H1918+H1929</f>
        <v>7439800</v>
      </c>
      <c r="M1946" s="185"/>
    </row>
    <row r="1947" spans="2:13" ht="18.75" customHeight="1" x14ac:dyDescent="0.25">
      <c r="B1947" s="249" t="s">
        <v>820</v>
      </c>
      <c r="C1947" s="111" t="s">
        <v>834</v>
      </c>
      <c r="D1947" s="435"/>
      <c r="E1947" s="91"/>
      <c r="F1947" s="185"/>
      <c r="G1947" s="168"/>
      <c r="H1947" s="343">
        <f>H1917+H1918+H1930</f>
        <v>7454200</v>
      </c>
      <c r="M1947" s="185"/>
    </row>
    <row r="1948" spans="2:13" ht="18.75" customHeight="1" x14ac:dyDescent="0.25">
      <c r="B1948" s="344"/>
      <c r="C1948" s="342"/>
      <c r="D1948" s="335"/>
      <c r="E1948" s="246"/>
      <c r="F1948" s="247"/>
      <c r="G1948" s="298"/>
      <c r="H1948" s="260"/>
      <c r="M1948" s="247"/>
    </row>
    <row r="1949" spans="2:13" ht="18.75" customHeight="1" x14ac:dyDescent="0.25">
      <c r="B1949" s="22"/>
      <c r="C1949" s="104"/>
      <c r="E1949" s="21"/>
      <c r="F1949" s="176"/>
      <c r="G1949" s="165"/>
      <c r="H1949" s="119"/>
      <c r="M1949" s="176"/>
    </row>
    <row r="1950" spans="2:13" ht="18.75" customHeight="1" x14ac:dyDescent="0.25">
      <c r="B1950" s="19">
        <f>+B1909+1</f>
        <v>32</v>
      </c>
      <c r="C1950" s="93" t="s">
        <v>835</v>
      </c>
      <c r="D1950" s="19"/>
      <c r="E1950" s="21"/>
      <c r="F1950" s="176"/>
      <c r="G1950" s="165"/>
      <c r="H1950" s="119"/>
      <c r="M1950" s="176"/>
    </row>
    <row r="1951" spans="2:13" ht="18.75" customHeight="1" x14ac:dyDescent="0.25">
      <c r="B1951" s="618" t="s">
        <v>620</v>
      </c>
      <c r="C1951" s="620" t="s">
        <v>621</v>
      </c>
      <c r="D1951" s="618" t="s">
        <v>622</v>
      </c>
      <c r="E1951" s="618" t="s">
        <v>2</v>
      </c>
      <c r="F1951" s="615" t="s">
        <v>623</v>
      </c>
      <c r="G1951" s="289" t="s">
        <v>624</v>
      </c>
      <c r="H1951" s="256" t="s">
        <v>625</v>
      </c>
      <c r="M1951" s="615" t="s">
        <v>623</v>
      </c>
    </row>
    <row r="1952" spans="2:13" ht="18.75" customHeight="1" x14ac:dyDescent="0.25">
      <c r="B1952" s="619"/>
      <c r="C1952" s="621"/>
      <c r="D1952" s="619"/>
      <c r="E1952" s="619"/>
      <c r="F1952" s="616"/>
      <c r="G1952" s="289" t="s">
        <v>626</v>
      </c>
      <c r="H1952" s="256" t="s">
        <v>626</v>
      </c>
      <c r="M1952" s="616"/>
    </row>
    <row r="1953" spans="2:13" ht="18.75" customHeight="1" x14ac:dyDescent="0.25">
      <c r="B1953" s="221"/>
      <c r="C1953" s="222"/>
      <c r="D1953" s="221"/>
      <c r="E1953" s="550"/>
      <c r="F1953" s="555"/>
      <c r="G1953" s="551"/>
      <c r="H1953" s="220"/>
      <c r="M1953" s="590"/>
    </row>
    <row r="1954" spans="2:13" ht="18.75" customHeight="1" x14ac:dyDescent="0.25">
      <c r="B1954" s="550" t="s">
        <v>627</v>
      </c>
      <c r="C1954" s="223" t="s">
        <v>628</v>
      </c>
      <c r="D1954" s="550"/>
      <c r="E1954" s="224"/>
      <c r="F1954" s="225"/>
      <c r="G1954" s="290"/>
      <c r="H1954" s="226"/>
      <c r="M1954" s="225"/>
    </row>
    <row r="1955" spans="2:13" ht="18.75" customHeight="1" x14ac:dyDescent="0.25">
      <c r="B1955" s="550"/>
      <c r="C1955" s="223"/>
      <c r="D1955" s="550"/>
      <c r="E1955" s="224"/>
      <c r="F1955" s="233" t="s">
        <v>636</v>
      </c>
      <c r="G1955" s="290"/>
      <c r="H1955" s="230"/>
      <c r="M1955" s="233" t="s">
        <v>636</v>
      </c>
    </row>
    <row r="1956" spans="2:13" ht="18.75" customHeight="1" x14ac:dyDescent="0.25">
      <c r="B1956" s="550"/>
      <c r="C1956" s="223"/>
      <c r="D1956" s="550"/>
      <c r="E1956" s="224"/>
      <c r="F1956" s="233"/>
      <c r="G1956" s="290"/>
      <c r="H1956" s="230"/>
      <c r="M1956" s="233"/>
    </row>
    <row r="1957" spans="2:13" ht="18.75" customHeight="1" x14ac:dyDescent="0.25">
      <c r="B1957" s="550" t="s">
        <v>637</v>
      </c>
      <c r="C1957" s="223" t="s">
        <v>638</v>
      </c>
      <c r="D1957" s="550"/>
      <c r="E1957" s="224"/>
      <c r="F1957" s="225"/>
      <c r="G1957" s="290"/>
      <c r="H1957" s="226"/>
      <c r="M1957" s="225"/>
    </row>
    <row r="1958" spans="2:13" ht="18.75" customHeight="1" x14ac:dyDescent="0.25">
      <c r="B1958" s="550"/>
      <c r="C1958" s="223" t="s">
        <v>793</v>
      </c>
      <c r="D1958" s="550"/>
      <c r="E1958" s="550" t="s">
        <v>58</v>
      </c>
      <c r="F1958" s="341">
        <v>6</v>
      </c>
      <c r="G1958" s="234">
        <f>H1550</f>
        <v>291600</v>
      </c>
      <c r="H1958" s="230">
        <f>+G1958*F1958</f>
        <v>1749600</v>
      </c>
      <c r="M1958" s="341">
        <v>6</v>
      </c>
    </row>
    <row r="1959" spans="2:13" ht="18.75" customHeight="1" x14ac:dyDescent="0.25">
      <c r="B1959" s="550"/>
      <c r="C1959" s="223" t="s">
        <v>790</v>
      </c>
      <c r="D1959" s="550"/>
      <c r="E1959" s="550" t="s">
        <v>5</v>
      </c>
      <c r="F1959" s="233">
        <v>150</v>
      </c>
      <c r="G1959" s="234">
        <f>+G1918</f>
        <v>11000</v>
      </c>
      <c r="H1959" s="230">
        <f>+G1959*F1959</f>
        <v>1650000</v>
      </c>
      <c r="M1959" s="233">
        <v>150</v>
      </c>
    </row>
    <row r="1960" spans="2:13" ht="18.75" customHeight="1" x14ac:dyDescent="0.25">
      <c r="B1960" s="550"/>
      <c r="C1960" s="223" t="str">
        <f>C1919</f>
        <v>Penempatan besi</v>
      </c>
      <c r="D1960" s="550"/>
      <c r="E1960" s="550" t="s">
        <v>5</v>
      </c>
      <c r="F1960" s="233"/>
      <c r="G1960" s="234">
        <f t="shared" ref="G1960:G1971" si="99">G1919</f>
        <v>5000</v>
      </c>
      <c r="H1960" s="230">
        <f>+G1960*F1960</f>
        <v>0</v>
      </c>
      <c r="M1960" s="233"/>
    </row>
    <row r="1961" spans="2:13" ht="18.75" customHeight="1" x14ac:dyDescent="0.25">
      <c r="B1961" s="550"/>
      <c r="C1961" s="223" t="s">
        <v>795</v>
      </c>
      <c r="D1961" s="550"/>
      <c r="E1961" s="550" t="s">
        <v>52</v>
      </c>
      <c r="F1961" s="233">
        <v>1</v>
      </c>
      <c r="G1961" s="234">
        <f t="shared" si="99"/>
        <v>1093700</v>
      </c>
      <c r="H1961" s="230">
        <f>+G1961*F1961</f>
        <v>1093700</v>
      </c>
      <c r="M1961" s="233">
        <v>1</v>
      </c>
    </row>
    <row r="1962" spans="2:13" ht="18.75" customHeight="1" x14ac:dyDescent="0.25">
      <c r="B1962" s="550"/>
      <c r="C1962" s="223" t="s">
        <v>796</v>
      </c>
      <c r="D1962" s="550"/>
      <c r="E1962" s="550" t="s">
        <v>52</v>
      </c>
      <c r="F1962" s="233">
        <v>1</v>
      </c>
      <c r="G1962" s="234">
        <f t="shared" si="99"/>
        <v>1143400</v>
      </c>
      <c r="H1962" s="230">
        <f t="shared" ref="H1962:H1971" si="100">+G1962*F1962</f>
        <v>1143400</v>
      </c>
      <c r="M1962" s="233">
        <v>1</v>
      </c>
    </row>
    <row r="1963" spans="2:13" ht="18.75" customHeight="1" x14ac:dyDescent="0.25">
      <c r="B1963" s="550"/>
      <c r="C1963" s="223" t="s">
        <v>797</v>
      </c>
      <c r="D1963" s="550"/>
      <c r="E1963" s="550" t="s">
        <v>52</v>
      </c>
      <c r="F1963" s="233">
        <v>1</v>
      </c>
      <c r="G1963" s="234">
        <f t="shared" si="99"/>
        <v>1182000</v>
      </c>
      <c r="H1963" s="230">
        <f t="shared" si="100"/>
        <v>1182000</v>
      </c>
      <c r="M1963" s="233">
        <v>1</v>
      </c>
    </row>
    <row r="1964" spans="2:13" ht="18.75" customHeight="1" x14ac:dyDescent="0.25">
      <c r="B1964" s="550"/>
      <c r="C1964" s="223" t="s">
        <v>798</v>
      </c>
      <c r="D1964" s="550"/>
      <c r="E1964" s="550" t="s">
        <v>52</v>
      </c>
      <c r="F1964" s="233">
        <v>1</v>
      </c>
      <c r="G1964" s="234">
        <f t="shared" si="99"/>
        <v>1228100</v>
      </c>
      <c r="H1964" s="230">
        <f t="shared" si="100"/>
        <v>1228100</v>
      </c>
      <c r="M1964" s="233">
        <v>1</v>
      </c>
    </row>
    <row r="1965" spans="2:13" ht="18.75" customHeight="1" x14ac:dyDescent="0.25">
      <c r="B1965" s="550"/>
      <c r="C1965" s="223" t="s">
        <v>799</v>
      </c>
      <c r="D1965" s="550"/>
      <c r="E1965" s="550" t="s">
        <v>52</v>
      </c>
      <c r="F1965" s="233">
        <v>1</v>
      </c>
      <c r="G1965" s="234">
        <f t="shared" si="99"/>
        <v>1271300</v>
      </c>
      <c r="H1965" s="230">
        <f t="shared" si="100"/>
        <v>1271300</v>
      </c>
      <c r="M1965" s="233">
        <v>1</v>
      </c>
    </row>
    <row r="1966" spans="2:13" ht="18.75" customHeight="1" x14ac:dyDescent="0.25">
      <c r="B1966" s="550"/>
      <c r="C1966" s="223" t="s">
        <v>800</v>
      </c>
      <c r="D1966" s="550"/>
      <c r="E1966" s="550" t="s">
        <v>52</v>
      </c>
      <c r="F1966" s="233">
        <v>1</v>
      </c>
      <c r="G1966" s="234">
        <f t="shared" si="99"/>
        <v>1304800</v>
      </c>
      <c r="H1966" s="230">
        <f t="shared" si="100"/>
        <v>1304800</v>
      </c>
      <c r="M1966" s="233">
        <v>1</v>
      </c>
    </row>
    <row r="1967" spans="2:13" ht="18.75" customHeight="1" x14ac:dyDescent="0.25">
      <c r="B1967" s="550"/>
      <c r="C1967" s="223" t="s">
        <v>801</v>
      </c>
      <c r="D1967" s="550"/>
      <c r="E1967" s="550" t="s">
        <v>52</v>
      </c>
      <c r="F1967" s="233">
        <v>1</v>
      </c>
      <c r="G1967" s="234">
        <f t="shared" si="99"/>
        <v>1325500</v>
      </c>
      <c r="H1967" s="230">
        <f t="shared" si="100"/>
        <v>1325500</v>
      </c>
      <c r="M1967" s="233">
        <v>1</v>
      </c>
    </row>
    <row r="1968" spans="2:13" ht="18.75" customHeight="1" x14ac:dyDescent="0.25">
      <c r="B1968" s="550"/>
      <c r="C1968" s="223" t="s">
        <v>802</v>
      </c>
      <c r="D1968" s="550"/>
      <c r="E1968" s="550" t="s">
        <v>52</v>
      </c>
      <c r="F1968" s="233">
        <v>1</v>
      </c>
      <c r="G1968" s="234">
        <f t="shared" si="99"/>
        <v>1361000</v>
      </c>
      <c r="H1968" s="230">
        <f t="shared" si="100"/>
        <v>1361000</v>
      </c>
      <c r="M1968" s="233">
        <v>1</v>
      </c>
    </row>
    <row r="1969" spans="2:13" ht="18.75" customHeight="1" x14ac:dyDescent="0.25">
      <c r="B1969" s="550"/>
      <c r="C1969" s="223" t="s">
        <v>791</v>
      </c>
      <c r="D1969" s="550"/>
      <c r="E1969" s="550" t="s">
        <v>52</v>
      </c>
      <c r="F1969" s="233">
        <v>1</v>
      </c>
      <c r="G1969" s="234">
        <f t="shared" si="99"/>
        <v>1372000</v>
      </c>
      <c r="H1969" s="230">
        <f t="shared" si="100"/>
        <v>1372000</v>
      </c>
      <c r="M1969" s="233">
        <v>1</v>
      </c>
    </row>
    <row r="1970" spans="2:13" ht="18.75" customHeight="1" x14ac:dyDescent="0.25">
      <c r="B1970" s="550"/>
      <c r="C1970" s="223" t="s">
        <v>803</v>
      </c>
      <c r="D1970" s="550"/>
      <c r="E1970" s="550" t="s">
        <v>52</v>
      </c>
      <c r="F1970" s="233">
        <v>1</v>
      </c>
      <c r="G1970" s="234">
        <f t="shared" si="99"/>
        <v>1473000</v>
      </c>
      <c r="H1970" s="230">
        <f t="shared" si="100"/>
        <v>1473000</v>
      </c>
      <c r="M1970" s="233">
        <v>1</v>
      </c>
    </row>
    <row r="1971" spans="2:13" ht="18.75" customHeight="1" x14ac:dyDescent="0.25">
      <c r="B1971" s="550"/>
      <c r="C1971" s="223" t="s">
        <v>804</v>
      </c>
      <c r="D1971" s="550"/>
      <c r="E1971" s="550" t="s">
        <v>52</v>
      </c>
      <c r="F1971" s="233">
        <v>1</v>
      </c>
      <c r="G1971" s="234">
        <f t="shared" si="99"/>
        <v>1487400</v>
      </c>
      <c r="H1971" s="230">
        <f t="shared" si="100"/>
        <v>1487400</v>
      </c>
      <c r="M1971" s="233">
        <v>1</v>
      </c>
    </row>
    <row r="1972" spans="2:13" ht="18.75" customHeight="1" x14ac:dyDescent="0.25">
      <c r="B1972" s="550"/>
      <c r="C1972" s="223"/>
      <c r="D1972" s="550"/>
      <c r="E1972" s="224"/>
      <c r="F1972" s="225"/>
      <c r="G1972" s="290"/>
      <c r="H1972" s="226"/>
      <c r="M1972" s="225"/>
    </row>
    <row r="1973" spans="2:13" ht="18.75" customHeight="1" x14ac:dyDescent="0.25">
      <c r="B1973" s="550" t="s">
        <v>644</v>
      </c>
      <c r="C1973" s="223" t="s">
        <v>645</v>
      </c>
      <c r="D1973" s="550"/>
      <c r="E1973" s="224"/>
      <c r="F1973" s="225"/>
      <c r="G1973" s="290"/>
      <c r="H1973" s="235"/>
      <c r="M1973" s="225"/>
    </row>
    <row r="1974" spans="2:13" ht="18.75" customHeight="1" x14ac:dyDescent="0.25">
      <c r="B1974" s="236"/>
      <c r="C1974" s="232"/>
      <c r="D1974" s="550"/>
      <c r="E1974" s="224"/>
      <c r="F1974" s="237" t="s">
        <v>646</v>
      </c>
      <c r="G1974" s="290"/>
      <c r="H1974" s="230">
        <f>SUM(H1973:H1973)</f>
        <v>0</v>
      </c>
      <c r="M1974" s="237" t="s">
        <v>646</v>
      </c>
    </row>
    <row r="1975" spans="2:13" ht="18.75" customHeight="1" x14ac:dyDescent="0.25">
      <c r="B1975" s="236"/>
      <c r="C1975" s="232"/>
      <c r="D1975" s="550"/>
      <c r="E1975" s="224"/>
      <c r="F1975" s="237"/>
      <c r="G1975" s="290"/>
      <c r="H1975" s="226"/>
      <c r="M1975" s="237"/>
    </row>
    <row r="1976" spans="2:13" ht="18.75" customHeight="1" x14ac:dyDescent="0.25">
      <c r="B1976" s="248"/>
      <c r="C1976" s="238"/>
      <c r="D1976" s="239"/>
      <c r="E1976" s="266"/>
      <c r="F1976" s="241"/>
      <c r="G1976" s="303"/>
      <c r="H1976" s="267"/>
      <c r="M1976" s="241"/>
    </row>
    <row r="1977" spans="2:13" ht="18.75" customHeight="1" x14ac:dyDescent="0.25">
      <c r="B1977" s="249"/>
      <c r="C1977" s="104" t="s">
        <v>648</v>
      </c>
      <c r="D1977" s="435"/>
      <c r="E1977" s="92"/>
      <c r="F1977" s="183"/>
      <c r="G1977" s="167"/>
      <c r="H1977" s="252"/>
      <c r="M1977" s="183"/>
    </row>
    <row r="1978" spans="2:13" ht="18.75" customHeight="1" x14ac:dyDescent="0.25">
      <c r="B1978" s="249" t="s">
        <v>647</v>
      </c>
      <c r="C1978" s="111" t="s">
        <v>1491</v>
      </c>
      <c r="D1978" s="435"/>
      <c r="E1978" s="92"/>
      <c r="F1978" s="184"/>
      <c r="G1978" s="167"/>
      <c r="H1978" s="343">
        <f>H1958+H1959+H1961</f>
        <v>4493300</v>
      </c>
      <c r="M1978" s="184"/>
    </row>
    <row r="1979" spans="2:13" ht="18.75" customHeight="1" x14ac:dyDescent="0.25">
      <c r="B1979" s="249" t="s">
        <v>781</v>
      </c>
      <c r="C1979" s="111" t="s">
        <v>823</v>
      </c>
      <c r="D1979" s="435"/>
      <c r="E1979" s="91"/>
      <c r="F1979" s="185"/>
      <c r="G1979" s="168"/>
      <c r="H1979" s="254">
        <f>H1958+H1959+H1962</f>
        <v>4543000</v>
      </c>
      <c r="M1979" s="185"/>
    </row>
    <row r="1980" spans="2:13" ht="18.75" customHeight="1" x14ac:dyDescent="0.25">
      <c r="B1980" s="249" t="s">
        <v>651</v>
      </c>
      <c r="C1980" s="111" t="s">
        <v>824</v>
      </c>
      <c r="D1980" s="435"/>
      <c r="E1980" s="91"/>
      <c r="F1980" s="185"/>
      <c r="G1980" s="168"/>
      <c r="H1980" s="254">
        <f>H1958+H1959+H1963</f>
        <v>4581600</v>
      </c>
      <c r="M1980" s="185"/>
    </row>
    <row r="1981" spans="2:13" ht="18.75" customHeight="1" x14ac:dyDescent="0.25">
      <c r="B1981" s="249" t="s">
        <v>825</v>
      </c>
      <c r="C1981" s="111" t="s">
        <v>826</v>
      </c>
      <c r="D1981" s="435"/>
      <c r="E1981" s="91"/>
      <c r="F1981" s="185"/>
      <c r="G1981" s="168"/>
      <c r="H1981" s="254">
        <f>H1958+H1959+H1964</f>
        <v>4627700</v>
      </c>
      <c r="M1981" s="185"/>
    </row>
    <row r="1982" spans="2:13" ht="18.75" customHeight="1" x14ac:dyDescent="0.25">
      <c r="B1982" s="249" t="s">
        <v>827</v>
      </c>
      <c r="C1982" s="111" t="s">
        <v>828</v>
      </c>
      <c r="D1982" s="435"/>
      <c r="E1982" s="91"/>
      <c r="F1982" s="185"/>
      <c r="G1982" s="168"/>
      <c r="H1982" s="254">
        <f>H1958+H1959+H1965</f>
        <v>4670900</v>
      </c>
      <c r="M1982" s="185"/>
    </row>
    <row r="1983" spans="2:13" ht="18.75" customHeight="1" x14ac:dyDescent="0.25">
      <c r="B1983" s="249" t="s">
        <v>617</v>
      </c>
      <c r="C1983" s="111" t="s">
        <v>829</v>
      </c>
      <c r="D1983" s="435"/>
      <c r="E1983" s="91"/>
      <c r="F1983" s="185"/>
      <c r="G1983" s="168"/>
      <c r="H1983" s="254">
        <f>H1958+H1959+H1966</f>
        <v>4704400</v>
      </c>
      <c r="M1983" s="185"/>
    </row>
    <row r="1984" spans="2:13" ht="18.75" customHeight="1" x14ac:dyDescent="0.25">
      <c r="B1984" s="249" t="s">
        <v>812</v>
      </c>
      <c r="C1984" s="111" t="s">
        <v>830</v>
      </c>
      <c r="D1984" s="435"/>
      <c r="E1984" s="91"/>
      <c r="F1984" s="185"/>
      <c r="G1984" s="168"/>
      <c r="H1984" s="254">
        <f>H1958+H1959+H1967</f>
        <v>4725100</v>
      </c>
      <c r="M1984" s="185"/>
    </row>
    <row r="1985" spans="2:13" ht="18.75" customHeight="1" x14ac:dyDescent="0.25">
      <c r="B1985" s="249" t="s">
        <v>814</v>
      </c>
      <c r="C1985" s="111" t="s">
        <v>831</v>
      </c>
      <c r="D1985" s="435"/>
      <c r="E1985" s="91"/>
      <c r="F1985" s="185"/>
      <c r="G1985" s="168"/>
      <c r="H1985" s="254">
        <f>H1958+H1959+H1968</f>
        <v>4760600</v>
      </c>
      <c r="M1985" s="185"/>
    </row>
    <row r="1986" spans="2:13" ht="18.75" customHeight="1" x14ac:dyDescent="0.25">
      <c r="B1986" s="249" t="s">
        <v>816</v>
      </c>
      <c r="C1986" s="111" t="s">
        <v>832</v>
      </c>
      <c r="D1986" s="435"/>
      <c r="E1986" s="91"/>
      <c r="F1986" s="185"/>
      <c r="G1986" s="168"/>
      <c r="H1986" s="254">
        <f>H1958+H1959+H1969</f>
        <v>4771600</v>
      </c>
      <c r="M1986" s="185"/>
    </row>
    <row r="1987" spans="2:13" ht="18.75" customHeight="1" x14ac:dyDescent="0.25">
      <c r="B1987" s="249" t="s">
        <v>818</v>
      </c>
      <c r="C1987" s="111" t="s">
        <v>833</v>
      </c>
      <c r="D1987" s="435"/>
      <c r="E1987" s="91"/>
      <c r="F1987" s="185"/>
      <c r="G1987" s="168"/>
      <c r="H1987" s="254">
        <f>H1958+H1959+H1970</f>
        <v>4872600</v>
      </c>
      <c r="M1987" s="185"/>
    </row>
    <row r="1988" spans="2:13" ht="18.75" customHeight="1" x14ac:dyDescent="0.25">
      <c r="B1988" s="249" t="s">
        <v>820</v>
      </c>
      <c r="C1988" s="111" t="s">
        <v>834</v>
      </c>
      <c r="D1988" s="435"/>
      <c r="E1988" s="91"/>
      <c r="F1988" s="185"/>
      <c r="G1988" s="168"/>
      <c r="H1988" s="254">
        <f>H1958+H1959+H1971</f>
        <v>4887000</v>
      </c>
      <c r="M1988" s="185"/>
    </row>
    <row r="1989" spans="2:13" ht="18.75" customHeight="1" x14ac:dyDescent="0.25">
      <c r="B1989" s="259"/>
      <c r="C1989" s="261"/>
      <c r="D1989" s="245"/>
      <c r="E1989" s="246"/>
      <c r="F1989" s="247"/>
      <c r="G1989" s="298"/>
      <c r="H1989" s="260"/>
      <c r="M1989" s="247"/>
    </row>
    <row r="1990" spans="2:13" ht="18.75" customHeight="1" x14ac:dyDescent="0.25">
      <c r="B1990" s="22"/>
      <c r="C1990" s="104"/>
      <c r="E1990" s="21"/>
      <c r="F1990" s="176"/>
      <c r="G1990" s="165"/>
      <c r="H1990" s="119"/>
      <c r="M1990" s="176"/>
    </row>
    <row r="1991" spans="2:13" ht="18.75" customHeight="1" x14ac:dyDescent="0.25">
      <c r="B1991" s="19">
        <f>+B1950+1</f>
        <v>33</v>
      </c>
      <c r="C1991" s="93" t="s">
        <v>836</v>
      </c>
      <c r="D1991" s="19"/>
      <c r="E1991" s="21"/>
      <c r="F1991" s="176"/>
      <c r="G1991" s="165"/>
      <c r="H1991" s="119"/>
      <c r="M1991" s="176"/>
    </row>
    <row r="1992" spans="2:13" ht="18.75" customHeight="1" x14ac:dyDescent="0.25">
      <c r="B1992" s="618" t="s">
        <v>620</v>
      </c>
      <c r="C1992" s="620" t="s">
        <v>621</v>
      </c>
      <c r="D1992" s="618" t="s">
        <v>622</v>
      </c>
      <c r="E1992" s="618" t="s">
        <v>2</v>
      </c>
      <c r="F1992" s="615" t="s">
        <v>623</v>
      </c>
      <c r="G1992" s="289" t="s">
        <v>624</v>
      </c>
      <c r="H1992" s="256" t="s">
        <v>625</v>
      </c>
      <c r="M1992" s="615" t="s">
        <v>623</v>
      </c>
    </row>
    <row r="1993" spans="2:13" ht="18.75" customHeight="1" x14ac:dyDescent="0.25">
      <c r="B1993" s="619"/>
      <c r="C1993" s="621"/>
      <c r="D1993" s="619"/>
      <c r="E1993" s="619"/>
      <c r="F1993" s="616"/>
      <c r="G1993" s="289" t="s">
        <v>626</v>
      </c>
      <c r="H1993" s="256" t="s">
        <v>626</v>
      </c>
      <c r="M1993" s="616"/>
    </row>
    <row r="1994" spans="2:13" ht="18.75" customHeight="1" x14ac:dyDescent="0.25">
      <c r="B1994" s="221"/>
      <c r="C1994" s="222"/>
      <c r="D1994" s="221"/>
      <c r="E1994" s="550"/>
      <c r="F1994" s="555"/>
      <c r="G1994" s="551"/>
      <c r="H1994" s="220"/>
      <c r="M1994" s="590"/>
    </row>
    <row r="1995" spans="2:13" ht="18.75" customHeight="1" x14ac:dyDescent="0.25">
      <c r="B1995" s="550" t="s">
        <v>627</v>
      </c>
      <c r="C1995" s="223" t="s">
        <v>628</v>
      </c>
      <c r="D1995" s="550"/>
      <c r="E1995" s="224"/>
      <c r="F1995" s="225"/>
      <c r="G1995" s="290"/>
      <c r="H1995" s="226"/>
      <c r="M1995" s="225"/>
    </row>
    <row r="1996" spans="2:13" ht="18.75" customHeight="1" x14ac:dyDescent="0.25">
      <c r="B1996" s="550"/>
      <c r="C1996" s="223"/>
      <c r="D1996" s="550"/>
      <c r="E1996" s="224"/>
      <c r="F1996" s="233" t="s">
        <v>636</v>
      </c>
      <c r="G1996" s="290"/>
      <c r="H1996" s="230"/>
      <c r="M1996" s="233" t="s">
        <v>636</v>
      </c>
    </row>
    <row r="1997" spans="2:13" ht="18.75" customHeight="1" x14ac:dyDescent="0.25">
      <c r="B1997" s="550"/>
      <c r="C1997" s="223"/>
      <c r="D1997" s="550"/>
      <c r="E1997" s="224"/>
      <c r="F1997" s="233"/>
      <c r="G1997" s="290"/>
      <c r="H1997" s="230"/>
      <c r="M1997" s="233"/>
    </row>
    <row r="1998" spans="2:13" ht="18.75" customHeight="1" x14ac:dyDescent="0.25">
      <c r="B1998" s="550" t="s">
        <v>637</v>
      </c>
      <c r="C1998" s="223" t="s">
        <v>638</v>
      </c>
      <c r="D1998" s="550"/>
      <c r="E1998" s="224"/>
      <c r="F1998" s="225"/>
      <c r="G1998" s="290"/>
      <c r="H1998" s="226"/>
      <c r="M1998" s="225"/>
    </row>
    <row r="1999" spans="2:13" ht="18.75" customHeight="1" x14ac:dyDescent="0.25">
      <c r="B1999" s="550"/>
      <c r="C1999" s="223" t="s">
        <v>793</v>
      </c>
      <c r="D1999" s="550"/>
      <c r="E1999" s="550" t="s">
        <v>58</v>
      </c>
      <c r="F1999" s="341">
        <v>6.7879740000000002</v>
      </c>
      <c r="G1999" s="234">
        <f>+H1637</f>
        <v>649100</v>
      </c>
      <c r="H1999" s="230">
        <f>ROUNDUP((+G1999*F1999)/100,0)*100</f>
        <v>4406100</v>
      </c>
      <c r="M1999" s="341">
        <v>6.7879740000000002</v>
      </c>
    </row>
    <row r="2000" spans="2:13" ht="18.75" customHeight="1" x14ac:dyDescent="0.25">
      <c r="B2000" s="550"/>
      <c r="C2000" s="223" t="s">
        <v>837</v>
      </c>
      <c r="D2000" s="550"/>
      <c r="E2000" s="550" t="s">
        <v>58</v>
      </c>
      <c r="F2000" s="341">
        <v>1</v>
      </c>
      <c r="G2000" s="234">
        <f>+H284</f>
        <v>409700</v>
      </c>
      <c r="H2000" s="230">
        <f>+G2000*F2000</f>
        <v>409700</v>
      </c>
      <c r="M2000" s="341">
        <v>1</v>
      </c>
    </row>
    <row r="2001" spans="2:13" ht="18.75" customHeight="1" x14ac:dyDescent="0.25">
      <c r="B2001" s="550"/>
      <c r="C2001" s="223" t="s">
        <v>790</v>
      </c>
      <c r="D2001" s="550"/>
      <c r="E2001" s="550" t="s">
        <v>5</v>
      </c>
      <c r="F2001" s="233">
        <v>110</v>
      </c>
      <c r="G2001" s="234">
        <f>+G1959</f>
        <v>11000</v>
      </c>
      <c r="H2001" s="230">
        <f>+G2001*F2001</f>
        <v>1210000</v>
      </c>
      <c r="M2001" s="233">
        <v>110</v>
      </c>
    </row>
    <row r="2002" spans="2:13" ht="18.75" customHeight="1" x14ac:dyDescent="0.25">
      <c r="B2002" s="550"/>
      <c r="C2002" s="223" t="str">
        <f>C1960</f>
        <v>Penempatan besi</v>
      </c>
      <c r="D2002" s="550"/>
      <c r="E2002" s="550" t="s">
        <v>5</v>
      </c>
      <c r="F2002" s="233"/>
      <c r="G2002" s="234">
        <f t="shared" ref="G2002:G2013" si="101">G1960</f>
        <v>5000</v>
      </c>
      <c r="H2002" s="230">
        <f>+G2002*F2002</f>
        <v>0</v>
      </c>
      <c r="M2002" s="233"/>
    </row>
    <row r="2003" spans="2:13" ht="18.75" customHeight="1" x14ac:dyDescent="0.25">
      <c r="B2003" s="550"/>
      <c r="C2003" s="223" t="s">
        <v>795</v>
      </c>
      <c r="D2003" s="550"/>
      <c r="E2003" s="550" t="s">
        <v>52</v>
      </c>
      <c r="F2003" s="233">
        <v>1</v>
      </c>
      <c r="G2003" s="234">
        <f t="shared" si="101"/>
        <v>1093700</v>
      </c>
      <c r="H2003" s="230">
        <f>+G2003*F2003</f>
        <v>1093700</v>
      </c>
      <c r="M2003" s="233">
        <v>1</v>
      </c>
    </row>
    <row r="2004" spans="2:13" ht="18.75" customHeight="1" x14ac:dyDescent="0.25">
      <c r="B2004" s="550"/>
      <c r="C2004" s="223" t="s">
        <v>796</v>
      </c>
      <c r="D2004" s="550"/>
      <c r="E2004" s="550" t="s">
        <v>52</v>
      </c>
      <c r="F2004" s="233">
        <v>1</v>
      </c>
      <c r="G2004" s="234">
        <f t="shared" si="101"/>
        <v>1143400</v>
      </c>
      <c r="H2004" s="230">
        <f t="shared" ref="H2004:H2013" si="102">+G2004*F2004</f>
        <v>1143400</v>
      </c>
      <c r="M2004" s="233">
        <v>1</v>
      </c>
    </row>
    <row r="2005" spans="2:13" ht="18.75" customHeight="1" x14ac:dyDescent="0.25">
      <c r="B2005" s="550"/>
      <c r="C2005" s="223" t="s">
        <v>797</v>
      </c>
      <c r="D2005" s="550"/>
      <c r="E2005" s="550" t="s">
        <v>52</v>
      </c>
      <c r="F2005" s="233">
        <v>1</v>
      </c>
      <c r="G2005" s="234">
        <f t="shared" si="101"/>
        <v>1182000</v>
      </c>
      <c r="H2005" s="230">
        <f t="shared" si="102"/>
        <v>1182000</v>
      </c>
      <c r="M2005" s="233">
        <v>1</v>
      </c>
    </row>
    <row r="2006" spans="2:13" ht="18.75" customHeight="1" x14ac:dyDescent="0.25">
      <c r="B2006" s="550"/>
      <c r="C2006" s="223" t="s">
        <v>798</v>
      </c>
      <c r="D2006" s="550"/>
      <c r="E2006" s="550" t="s">
        <v>52</v>
      </c>
      <c r="F2006" s="233">
        <v>1</v>
      </c>
      <c r="G2006" s="234">
        <f t="shared" si="101"/>
        <v>1228100</v>
      </c>
      <c r="H2006" s="230">
        <f t="shared" si="102"/>
        <v>1228100</v>
      </c>
      <c r="M2006" s="233">
        <v>1</v>
      </c>
    </row>
    <row r="2007" spans="2:13" ht="18.75" customHeight="1" x14ac:dyDescent="0.25">
      <c r="B2007" s="550"/>
      <c r="C2007" s="223" t="s">
        <v>799</v>
      </c>
      <c r="D2007" s="550"/>
      <c r="E2007" s="550" t="s">
        <v>52</v>
      </c>
      <c r="F2007" s="233">
        <v>1</v>
      </c>
      <c r="G2007" s="234">
        <f t="shared" si="101"/>
        <v>1271300</v>
      </c>
      <c r="H2007" s="230">
        <f t="shared" si="102"/>
        <v>1271300</v>
      </c>
      <c r="M2007" s="233">
        <v>1</v>
      </c>
    </row>
    <row r="2008" spans="2:13" ht="18.75" customHeight="1" x14ac:dyDescent="0.25">
      <c r="B2008" s="550"/>
      <c r="C2008" s="223" t="s">
        <v>800</v>
      </c>
      <c r="D2008" s="550"/>
      <c r="E2008" s="550" t="s">
        <v>52</v>
      </c>
      <c r="F2008" s="233">
        <v>1</v>
      </c>
      <c r="G2008" s="234">
        <f t="shared" si="101"/>
        <v>1304800</v>
      </c>
      <c r="H2008" s="230">
        <f t="shared" si="102"/>
        <v>1304800</v>
      </c>
      <c r="M2008" s="233">
        <v>1</v>
      </c>
    </row>
    <row r="2009" spans="2:13" ht="18.75" customHeight="1" x14ac:dyDescent="0.25">
      <c r="B2009" s="550"/>
      <c r="C2009" s="223" t="s">
        <v>801</v>
      </c>
      <c r="D2009" s="550"/>
      <c r="E2009" s="550" t="s">
        <v>52</v>
      </c>
      <c r="F2009" s="233">
        <v>1</v>
      </c>
      <c r="G2009" s="234">
        <f t="shared" si="101"/>
        <v>1325500</v>
      </c>
      <c r="H2009" s="230">
        <f t="shared" si="102"/>
        <v>1325500</v>
      </c>
      <c r="M2009" s="233">
        <v>1</v>
      </c>
    </row>
    <row r="2010" spans="2:13" ht="18.75" customHeight="1" x14ac:dyDescent="0.25">
      <c r="B2010" s="550"/>
      <c r="C2010" s="223" t="s">
        <v>802</v>
      </c>
      <c r="D2010" s="550"/>
      <c r="E2010" s="550" t="s">
        <v>52</v>
      </c>
      <c r="F2010" s="233">
        <v>1</v>
      </c>
      <c r="G2010" s="234">
        <f t="shared" si="101"/>
        <v>1361000</v>
      </c>
      <c r="H2010" s="230">
        <f t="shared" si="102"/>
        <v>1361000</v>
      </c>
      <c r="M2010" s="233">
        <v>1</v>
      </c>
    </row>
    <row r="2011" spans="2:13" ht="18.75" customHeight="1" x14ac:dyDescent="0.25">
      <c r="B2011" s="550"/>
      <c r="C2011" s="223" t="s">
        <v>791</v>
      </c>
      <c r="D2011" s="550"/>
      <c r="E2011" s="550" t="s">
        <v>52</v>
      </c>
      <c r="F2011" s="233">
        <v>1</v>
      </c>
      <c r="G2011" s="234">
        <f t="shared" si="101"/>
        <v>1372000</v>
      </c>
      <c r="H2011" s="230">
        <f t="shared" si="102"/>
        <v>1372000</v>
      </c>
      <c r="M2011" s="233">
        <v>1</v>
      </c>
    </row>
    <row r="2012" spans="2:13" ht="18.75" customHeight="1" x14ac:dyDescent="0.25">
      <c r="B2012" s="550"/>
      <c r="C2012" s="223" t="s">
        <v>803</v>
      </c>
      <c r="D2012" s="550"/>
      <c r="E2012" s="550" t="s">
        <v>52</v>
      </c>
      <c r="F2012" s="233">
        <v>1</v>
      </c>
      <c r="G2012" s="234">
        <f t="shared" si="101"/>
        <v>1473000</v>
      </c>
      <c r="H2012" s="230">
        <f t="shared" si="102"/>
        <v>1473000</v>
      </c>
      <c r="M2012" s="233">
        <v>1</v>
      </c>
    </row>
    <row r="2013" spans="2:13" ht="18.75" customHeight="1" x14ac:dyDescent="0.25">
      <c r="B2013" s="550"/>
      <c r="C2013" s="223" t="s">
        <v>804</v>
      </c>
      <c r="D2013" s="550"/>
      <c r="E2013" s="550" t="s">
        <v>52</v>
      </c>
      <c r="F2013" s="233">
        <v>1</v>
      </c>
      <c r="G2013" s="234">
        <f t="shared" si="101"/>
        <v>1487400</v>
      </c>
      <c r="H2013" s="230">
        <f t="shared" si="102"/>
        <v>1487400</v>
      </c>
      <c r="M2013" s="233">
        <v>1</v>
      </c>
    </row>
    <row r="2014" spans="2:13" ht="18.75" customHeight="1" x14ac:dyDescent="0.25">
      <c r="B2014" s="550"/>
      <c r="C2014" s="223"/>
      <c r="D2014" s="550"/>
      <c r="E2014" s="224"/>
      <c r="F2014" s="225"/>
      <c r="G2014" s="290"/>
      <c r="H2014" s="226"/>
      <c r="M2014" s="225"/>
    </row>
    <row r="2015" spans="2:13" ht="18.75" customHeight="1" x14ac:dyDescent="0.25">
      <c r="B2015" s="550" t="s">
        <v>644</v>
      </c>
      <c r="C2015" s="223" t="s">
        <v>645</v>
      </c>
      <c r="D2015" s="550"/>
      <c r="E2015" s="224"/>
      <c r="F2015" s="225"/>
      <c r="G2015" s="290"/>
      <c r="H2015" s="235"/>
      <c r="M2015" s="225"/>
    </row>
    <row r="2016" spans="2:13" ht="18.75" customHeight="1" x14ac:dyDescent="0.25">
      <c r="B2016" s="236"/>
      <c r="C2016" s="232"/>
      <c r="D2016" s="550"/>
      <c r="E2016" s="224"/>
      <c r="F2016" s="237" t="s">
        <v>646</v>
      </c>
      <c r="G2016" s="290"/>
      <c r="H2016" s="230">
        <f>SUM(H2015:H2015)</f>
        <v>0</v>
      </c>
      <c r="M2016" s="237" t="s">
        <v>646</v>
      </c>
    </row>
    <row r="2017" spans="2:13" ht="18.75" customHeight="1" x14ac:dyDescent="0.25">
      <c r="B2017" s="236"/>
      <c r="C2017" s="232"/>
      <c r="D2017" s="550"/>
      <c r="E2017" s="224"/>
      <c r="F2017" s="237"/>
      <c r="G2017" s="290"/>
      <c r="H2017" s="226"/>
      <c r="M2017" s="237"/>
    </row>
    <row r="2018" spans="2:13" ht="18.75" customHeight="1" x14ac:dyDescent="0.25">
      <c r="B2018" s="248"/>
      <c r="C2018" s="238"/>
      <c r="D2018" s="239"/>
      <c r="E2018" s="240"/>
      <c r="F2018" s="241"/>
      <c r="G2018" s="291"/>
      <c r="H2018" s="251"/>
      <c r="M2018" s="241"/>
    </row>
    <row r="2019" spans="2:13" ht="18.75" customHeight="1" x14ac:dyDescent="0.25">
      <c r="B2019" s="249"/>
      <c r="C2019" s="104" t="s">
        <v>648</v>
      </c>
      <c r="D2019" s="435"/>
      <c r="E2019" s="92"/>
      <c r="F2019" s="183"/>
      <c r="G2019" s="167"/>
      <c r="H2019" s="252"/>
      <c r="M2019" s="183"/>
    </row>
    <row r="2020" spans="2:13" ht="18.75" customHeight="1" x14ac:dyDescent="0.25">
      <c r="B2020" s="249" t="s">
        <v>647</v>
      </c>
      <c r="C2020" s="111" t="s">
        <v>838</v>
      </c>
      <c r="D2020" s="435"/>
      <c r="E2020" s="92"/>
      <c r="F2020" s="184"/>
      <c r="G2020" s="167"/>
      <c r="H2020" s="343">
        <f>H1999+H2000+H2001+H2003</f>
        <v>7119500</v>
      </c>
      <c r="M2020" s="184"/>
    </row>
    <row r="2021" spans="2:13" ht="18.75" customHeight="1" x14ac:dyDescent="0.25">
      <c r="B2021" s="249" t="s">
        <v>781</v>
      </c>
      <c r="C2021" s="111" t="s">
        <v>839</v>
      </c>
      <c r="D2021" s="435"/>
      <c r="E2021" s="91"/>
      <c r="F2021" s="185"/>
      <c r="G2021" s="168"/>
      <c r="H2021" s="254">
        <f>H1999+H2000+H2001+H2004</f>
        <v>7169200</v>
      </c>
      <c r="M2021" s="185"/>
    </row>
    <row r="2022" spans="2:13" ht="18.75" customHeight="1" x14ac:dyDescent="0.25">
      <c r="B2022" s="249" t="s">
        <v>651</v>
      </c>
      <c r="C2022" s="111" t="s">
        <v>840</v>
      </c>
      <c r="D2022" s="435"/>
      <c r="E2022" s="91"/>
      <c r="F2022" s="185"/>
      <c r="G2022" s="168"/>
      <c r="H2022" s="254">
        <f>H1999+H2000+H2001+H2005</f>
        <v>7207800</v>
      </c>
      <c r="M2022" s="185"/>
    </row>
    <row r="2023" spans="2:13" ht="18.75" customHeight="1" x14ac:dyDescent="0.25">
      <c r="B2023" s="249" t="s">
        <v>825</v>
      </c>
      <c r="C2023" s="111" t="s">
        <v>841</v>
      </c>
      <c r="D2023" s="435"/>
      <c r="E2023" s="91"/>
      <c r="F2023" s="185"/>
      <c r="G2023" s="168"/>
      <c r="H2023" s="254">
        <f>H1999+H2000+H2001+H2006</f>
        <v>7253900</v>
      </c>
      <c r="M2023" s="185"/>
    </row>
    <row r="2024" spans="2:13" ht="18.75" customHeight="1" x14ac:dyDescent="0.25">
      <c r="B2024" s="249" t="s">
        <v>827</v>
      </c>
      <c r="C2024" s="111" t="s">
        <v>842</v>
      </c>
      <c r="D2024" s="435"/>
      <c r="E2024" s="91"/>
      <c r="F2024" s="185"/>
      <c r="G2024" s="168"/>
      <c r="H2024" s="254">
        <f>H1999+H2000+H2001+H2007</f>
        <v>7297100</v>
      </c>
      <c r="M2024" s="185"/>
    </row>
    <row r="2025" spans="2:13" ht="18.75" customHeight="1" x14ac:dyDescent="0.25">
      <c r="B2025" s="249" t="s">
        <v>617</v>
      </c>
      <c r="C2025" s="111" t="s">
        <v>843</v>
      </c>
      <c r="D2025" s="435"/>
      <c r="E2025" s="91"/>
      <c r="F2025" s="185"/>
      <c r="G2025" s="168"/>
      <c r="H2025" s="254">
        <f>H1999+H2000+H2001+H2008</f>
        <v>7330600</v>
      </c>
      <c r="M2025" s="185"/>
    </row>
    <row r="2026" spans="2:13" ht="18.75" customHeight="1" x14ac:dyDescent="0.25">
      <c r="B2026" s="249" t="s">
        <v>812</v>
      </c>
      <c r="C2026" s="111" t="s">
        <v>844</v>
      </c>
      <c r="D2026" s="435"/>
      <c r="E2026" s="91"/>
      <c r="F2026" s="185"/>
      <c r="G2026" s="168"/>
      <c r="H2026" s="254">
        <f>H1999+H2000+H2001+H2009</f>
        <v>7351300</v>
      </c>
      <c r="M2026" s="185"/>
    </row>
    <row r="2027" spans="2:13" ht="18.75" customHeight="1" x14ac:dyDescent="0.25">
      <c r="B2027" s="249" t="s">
        <v>814</v>
      </c>
      <c r="C2027" s="111" t="s">
        <v>845</v>
      </c>
      <c r="D2027" s="435"/>
      <c r="E2027" s="91"/>
      <c r="F2027" s="185"/>
      <c r="G2027" s="168"/>
      <c r="H2027" s="254">
        <f>H1999+H2000+H2001+H2010</f>
        <v>7386800</v>
      </c>
      <c r="M2027" s="185"/>
    </row>
    <row r="2028" spans="2:13" ht="18.75" customHeight="1" x14ac:dyDescent="0.25">
      <c r="B2028" s="249" t="s">
        <v>816</v>
      </c>
      <c r="C2028" s="111" t="s">
        <v>846</v>
      </c>
      <c r="D2028" s="435"/>
      <c r="E2028" s="91"/>
      <c r="F2028" s="185"/>
      <c r="G2028" s="168"/>
      <c r="H2028" s="254">
        <f>H1999+H2000+H2001+H2011</f>
        <v>7397800</v>
      </c>
      <c r="M2028" s="185"/>
    </row>
    <row r="2029" spans="2:13" ht="18.75" customHeight="1" x14ac:dyDescent="0.25">
      <c r="B2029" s="249" t="s">
        <v>818</v>
      </c>
      <c r="C2029" s="111" t="s">
        <v>847</v>
      </c>
      <c r="D2029" s="435"/>
      <c r="E2029" s="91"/>
      <c r="F2029" s="185"/>
      <c r="G2029" s="168"/>
      <c r="H2029" s="254">
        <f>H1999+H2000+H2001+H2012</f>
        <v>7498800</v>
      </c>
      <c r="M2029" s="185"/>
    </row>
    <row r="2030" spans="2:13" ht="18.75" customHeight="1" x14ac:dyDescent="0.25">
      <c r="B2030" s="249" t="s">
        <v>820</v>
      </c>
      <c r="C2030" s="111" t="s">
        <v>848</v>
      </c>
      <c r="D2030" s="435"/>
      <c r="E2030" s="91"/>
      <c r="F2030" s="185"/>
      <c r="G2030" s="168"/>
      <c r="H2030" s="254">
        <f>H1999+H2000+H2001+H2013</f>
        <v>7513200</v>
      </c>
      <c r="M2030" s="185"/>
    </row>
    <row r="2031" spans="2:13" ht="18.75" customHeight="1" x14ac:dyDescent="0.25">
      <c r="B2031" s="250"/>
      <c r="C2031" s="279"/>
      <c r="D2031" s="245"/>
      <c r="E2031" s="246"/>
      <c r="F2031" s="247"/>
      <c r="G2031" s="298"/>
      <c r="H2031" s="260"/>
      <c r="M2031" s="247"/>
    </row>
    <row r="2032" spans="2:13" ht="18.75" customHeight="1" x14ac:dyDescent="0.25">
      <c r="B2032" s="22"/>
      <c r="C2032" s="104"/>
      <c r="E2032" s="21"/>
      <c r="F2032" s="176"/>
      <c r="G2032" s="165"/>
      <c r="H2032" s="119"/>
      <c r="M2032" s="176"/>
    </row>
    <row r="2033" spans="2:13" ht="18.75" customHeight="1" x14ac:dyDescent="0.25">
      <c r="B2033" s="19">
        <f>+B1991+1</f>
        <v>34</v>
      </c>
      <c r="C2033" s="93" t="s">
        <v>849</v>
      </c>
      <c r="D2033" s="19"/>
      <c r="E2033" s="21"/>
      <c r="F2033" s="176"/>
      <c r="G2033" s="165"/>
      <c r="H2033" s="119"/>
      <c r="M2033" s="176"/>
    </row>
    <row r="2034" spans="2:13" ht="18.75" customHeight="1" x14ac:dyDescent="0.25">
      <c r="B2034" s="618" t="s">
        <v>620</v>
      </c>
      <c r="C2034" s="620" t="s">
        <v>621</v>
      </c>
      <c r="D2034" s="618" t="s">
        <v>622</v>
      </c>
      <c r="E2034" s="618" t="s">
        <v>2</v>
      </c>
      <c r="F2034" s="615" t="s">
        <v>623</v>
      </c>
      <c r="G2034" s="289" t="s">
        <v>624</v>
      </c>
      <c r="H2034" s="256" t="s">
        <v>625</v>
      </c>
      <c r="M2034" s="615" t="s">
        <v>623</v>
      </c>
    </row>
    <row r="2035" spans="2:13" ht="18.75" customHeight="1" x14ac:dyDescent="0.25">
      <c r="B2035" s="619"/>
      <c r="C2035" s="621"/>
      <c r="D2035" s="619"/>
      <c r="E2035" s="619"/>
      <c r="F2035" s="616"/>
      <c r="G2035" s="289" t="s">
        <v>626</v>
      </c>
      <c r="H2035" s="256" t="s">
        <v>626</v>
      </c>
      <c r="M2035" s="616"/>
    </row>
    <row r="2036" spans="2:13" ht="18.75" customHeight="1" x14ac:dyDescent="0.25">
      <c r="B2036" s="221"/>
      <c r="C2036" s="222"/>
      <c r="D2036" s="221"/>
      <c r="E2036" s="550"/>
      <c r="F2036" s="555"/>
      <c r="G2036" s="551"/>
      <c r="H2036" s="220"/>
      <c r="M2036" s="590"/>
    </row>
    <row r="2037" spans="2:13" ht="18.75" customHeight="1" x14ac:dyDescent="0.25">
      <c r="B2037" s="550" t="s">
        <v>627</v>
      </c>
      <c r="C2037" s="223" t="s">
        <v>628</v>
      </c>
      <c r="D2037" s="550"/>
      <c r="E2037" s="224"/>
      <c r="F2037" s="225"/>
      <c r="G2037" s="290"/>
      <c r="H2037" s="226"/>
      <c r="M2037" s="225"/>
    </row>
    <row r="2038" spans="2:13" ht="18.75" customHeight="1" x14ac:dyDescent="0.25">
      <c r="B2038" s="550"/>
      <c r="C2038" s="223"/>
      <c r="D2038" s="550"/>
      <c r="E2038" s="224"/>
      <c r="F2038" s="233" t="s">
        <v>636</v>
      </c>
      <c r="G2038" s="290"/>
      <c r="H2038" s="230"/>
      <c r="M2038" s="233" t="s">
        <v>636</v>
      </c>
    </row>
    <row r="2039" spans="2:13" ht="18.75" customHeight="1" x14ac:dyDescent="0.25">
      <c r="B2039" s="550"/>
      <c r="C2039" s="223"/>
      <c r="D2039" s="550"/>
      <c r="E2039" s="224"/>
      <c r="F2039" s="233"/>
      <c r="G2039" s="290"/>
      <c r="H2039" s="230"/>
      <c r="M2039" s="233"/>
    </row>
    <row r="2040" spans="2:13" ht="18.75" customHeight="1" x14ac:dyDescent="0.25">
      <c r="B2040" s="550" t="s">
        <v>637</v>
      </c>
      <c r="C2040" s="223" t="s">
        <v>638</v>
      </c>
      <c r="D2040" s="550"/>
      <c r="E2040" s="224"/>
      <c r="F2040" s="225"/>
      <c r="G2040" s="290"/>
      <c r="H2040" s="226"/>
      <c r="M2040" s="225"/>
    </row>
    <row r="2041" spans="2:13" ht="18.75" customHeight="1" x14ac:dyDescent="0.25">
      <c r="B2041" s="550"/>
      <c r="C2041" s="223" t="s">
        <v>793</v>
      </c>
      <c r="D2041" s="550"/>
      <c r="E2041" s="550" t="s">
        <v>58</v>
      </c>
      <c r="F2041" s="341">
        <v>10</v>
      </c>
      <c r="G2041" s="234">
        <f>+H1579</f>
        <v>500100</v>
      </c>
      <c r="H2041" s="230">
        <f>+G2041*F2041</f>
        <v>5001000</v>
      </c>
      <c r="M2041" s="341">
        <v>10</v>
      </c>
    </row>
    <row r="2042" spans="2:13" ht="18.75" customHeight="1" x14ac:dyDescent="0.25">
      <c r="B2042" s="550"/>
      <c r="C2042" s="223" t="s">
        <v>790</v>
      </c>
      <c r="D2042" s="550"/>
      <c r="E2042" s="550" t="s">
        <v>5</v>
      </c>
      <c r="F2042" s="233">
        <v>175</v>
      </c>
      <c r="G2042" s="234">
        <f>+G2001</f>
        <v>11000</v>
      </c>
      <c r="H2042" s="230">
        <f>+G2042*F2042</f>
        <v>1925000</v>
      </c>
      <c r="M2042" s="233">
        <v>175</v>
      </c>
    </row>
    <row r="2043" spans="2:13" ht="18.75" customHeight="1" x14ac:dyDescent="0.25">
      <c r="B2043" s="550"/>
      <c r="C2043" s="223" t="str">
        <f>C2002</f>
        <v>Penempatan besi</v>
      </c>
      <c r="D2043" s="550"/>
      <c r="E2043" s="550" t="s">
        <v>5</v>
      </c>
      <c r="F2043" s="233"/>
      <c r="G2043" s="234">
        <f t="shared" ref="G2043:G2054" si="103">G2002</f>
        <v>5000</v>
      </c>
      <c r="H2043" s="230">
        <f>+G2043*F2043</f>
        <v>0</v>
      </c>
      <c r="M2043" s="233"/>
    </row>
    <row r="2044" spans="2:13" ht="18.75" customHeight="1" x14ac:dyDescent="0.25">
      <c r="B2044" s="550"/>
      <c r="C2044" s="223" t="s">
        <v>795</v>
      </c>
      <c r="D2044" s="550"/>
      <c r="E2044" s="550" t="s">
        <v>52</v>
      </c>
      <c r="F2044" s="233">
        <v>1</v>
      </c>
      <c r="G2044" s="234">
        <f t="shared" si="103"/>
        <v>1093700</v>
      </c>
      <c r="H2044" s="230">
        <f>+G2044*F2044</f>
        <v>1093700</v>
      </c>
      <c r="M2044" s="233">
        <v>1</v>
      </c>
    </row>
    <row r="2045" spans="2:13" ht="18.75" customHeight="1" x14ac:dyDescent="0.25">
      <c r="B2045" s="550"/>
      <c r="C2045" s="223" t="s">
        <v>796</v>
      </c>
      <c r="D2045" s="550"/>
      <c r="E2045" s="550" t="s">
        <v>52</v>
      </c>
      <c r="F2045" s="233">
        <v>1</v>
      </c>
      <c r="G2045" s="234">
        <f t="shared" si="103"/>
        <v>1143400</v>
      </c>
      <c r="H2045" s="230">
        <f t="shared" ref="H2045:H2054" si="104">+G2045*F2045</f>
        <v>1143400</v>
      </c>
      <c r="M2045" s="233">
        <v>1</v>
      </c>
    </row>
    <row r="2046" spans="2:13" ht="18.75" customHeight="1" x14ac:dyDescent="0.25">
      <c r="B2046" s="550"/>
      <c r="C2046" s="223" t="s">
        <v>797</v>
      </c>
      <c r="D2046" s="550"/>
      <c r="E2046" s="550" t="s">
        <v>52</v>
      </c>
      <c r="F2046" s="233">
        <v>1</v>
      </c>
      <c r="G2046" s="234">
        <f t="shared" si="103"/>
        <v>1182000</v>
      </c>
      <c r="H2046" s="230">
        <f t="shared" si="104"/>
        <v>1182000</v>
      </c>
      <c r="M2046" s="233">
        <v>1</v>
      </c>
    </row>
    <row r="2047" spans="2:13" ht="18.75" customHeight="1" x14ac:dyDescent="0.25">
      <c r="B2047" s="550"/>
      <c r="C2047" s="223" t="s">
        <v>798</v>
      </c>
      <c r="D2047" s="550"/>
      <c r="E2047" s="550" t="s">
        <v>52</v>
      </c>
      <c r="F2047" s="233">
        <v>1</v>
      </c>
      <c r="G2047" s="234">
        <f t="shared" si="103"/>
        <v>1228100</v>
      </c>
      <c r="H2047" s="230">
        <f t="shared" si="104"/>
        <v>1228100</v>
      </c>
      <c r="M2047" s="233">
        <v>1</v>
      </c>
    </row>
    <row r="2048" spans="2:13" ht="18.75" customHeight="1" x14ac:dyDescent="0.25">
      <c r="B2048" s="550"/>
      <c r="C2048" s="223" t="s">
        <v>799</v>
      </c>
      <c r="D2048" s="550"/>
      <c r="E2048" s="550" t="s">
        <v>52</v>
      </c>
      <c r="F2048" s="233">
        <v>1</v>
      </c>
      <c r="G2048" s="234">
        <f t="shared" si="103"/>
        <v>1271300</v>
      </c>
      <c r="H2048" s="230">
        <f t="shared" si="104"/>
        <v>1271300</v>
      </c>
      <c r="M2048" s="233">
        <v>1</v>
      </c>
    </row>
    <row r="2049" spans="2:13" ht="18.75" customHeight="1" x14ac:dyDescent="0.25">
      <c r="B2049" s="550"/>
      <c r="C2049" s="223" t="s">
        <v>800</v>
      </c>
      <c r="D2049" s="550"/>
      <c r="E2049" s="550" t="s">
        <v>52</v>
      </c>
      <c r="F2049" s="233">
        <v>1</v>
      </c>
      <c r="G2049" s="234">
        <f t="shared" si="103"/>
        <v>1304800</v>
      </c>
      <c r="H2049" s="230">
        <f t="shared" si="104"/>
        <v>1304800</v>
      </c>
      <c r="M2049" s="233">
        <v>1</v>
      </c>
    </row>
    <row r="2050" spans="2:13" ht="18.75" customHeight="1" x14ac:dyDescent="0.25">
      <c r="B2050" s="550"/>
      <c r="C2050" s="223" t="s">
        <v>801</v>
      </c>
      <c r="D2050" s="550"/>
      <c r="E2050" s="550" t="s">
        <v>52</v>
      </c>
      <c r="F2050" s="233">
        <v>1</v>
      </c>
      <c r="G2050" s="234">
        <f t="shared" si="103"/>
        <v>1325500</v>
      </c>
      <c r="H2050" s="230">
        <f t="shared" si="104"/>
        <v>1325500</v>
      </c>
      <c r="M2050" s="233">
        <v>1</v>
      </c>
    </row>
    <row r="2051" spans="2:13" ht="18.75" customHeight="1" x14ac:dyDescent="0.25">
      <c r="B2051" s="550"/>
      <c r="C2051" s="223" t="s">
        <v>802</v>
      </c>
      <c r="D2051" s="550"/>
      <c r="E2051" s="550" t="s">
        <v>52</v>
      </c>
      <c r="F2051" s="233">
        <v>1</v>
      </c>
      <c r="G2051" s="234">
        <f t="shared" si="103"/>
        <v>1361000</v>
      </c>
      <c r="H2051" s="230">
        <f t="shared" si="104"/>
        <v>1361000</v>
      </c>
      <c r="M2051" s="233">
        <v>1</v>
      </c>
    </row>
    <row r="2052" spans="2:13" ht="18.75" customHeight="1" x14ac:dyDescent="0.25">
      <c r="B2052" s="550"/>
      <c r="C2052" s="223" t="s">
        <v>791</v>
      </c>
      <c r="D2052" s="550"/>
      <c r="E2052" s="550" t="s">
        <v>52</v>
      </c>
      <c r="F2052" s="233">
        <v>1</v>
      </c>
      <c r="G2052" s="234">
        <f t="shared" si="103"/>
        <v>1372000</v>
      </c>
      <c r="H2052" s="230">
        <f t="shared" si="104"/>
        <v>1372000</v>
      </c>
      <c r="M2052" s="233">
        <v>1</v>
      </c>
    </row>
    <row r="2053" spans="2:13" ht="18.75" customHeight="1" x14ac:dyDescent="0.25">
      <c r="B2053" s="550"/>
      <c r="C2053" s="223" t="s">
        <v>803</v>
      </c>
      <c r="D2053" s="550"/>
      <c r="E2053" s="550" t="s">
        <v>52</v>
      </c>
      <c r="F2053" s="233">
        <v>1</v>
      </c>
      <c r="G2053" s="234">
        <f t="shared" si="103"/>
        <v>1473000</v>
      </c>
      <c r="H2053" s="230">
        <f t="shared" si="104"/>
        <v>1473000</v>
      </c>
      <c r="M2053" s="233">
        <v>1</v>
      </c>
    </row>
    <row r="2054" spans="2:13" ht="18.75" customHeight="1" x14ac:dyDescent="0.25">
      <c r="B2054" s="550"/>
      <c r="C2054" s="223" t="s">
        <v>804</v>
      </c>
      <c r="D2054" s="550"/>
      <c r="E2054" s="550" t="s">
        <v>52</v>
      </c>
      <c r="F2054" s="233">
        <v>1</v>
      </c>
      <c r="G2054" s="234">
        <f t="shared" si="103"/>
        <v>1487400</v>
      </c>
      <c r="H2054" s="230">
        <f t="shared" si="104"/>
        <v>1487400</v>
      </c>
      <c r="M2054" s="233">
        <v>1</v>
      </c>
    </row>
    <row r="2055" spans="2:13" ht="18.75" customHeight="1" x14ac:dyDescent="0.25">
      <c r="B2055" s="550"/>
      <c r="C2055" s="223"/>
      <c r="D2055" s="550"/>
      <c r="E2055" s="224"/>
      <c r="F2055" s="225"/>
      <c r="G2055" s="290"/>
      <c r="H2055" s="226"/>
      <c r="M2055" s="225"/>
    </row>
    <row r="2056" spans="2:13" ht="18.75" customHeight="1" x14ac:dyDescent="0.25">
      <c r="B2056" s="550" t="s">
        <v>644</v>
      </c>
      <c r="C2056" s="223" t="s">
        <v>645</v>
      </c>
      <c r="D2056" s="550"/>
      <c r="E2056" s="224"/>
      <c r="F2056" s="225"/>
      <c r="G2056" s="290"/>
      <c r="H2056" s="235"/>
      <c r="M2056" s="225"/>
    </row>
    <row r="2057" spans="2:13" ht="18.75" customHeight="1" x14ac:dyDescent="0.25">
      <c r="B2057" s="236"/>
      <c r="C2057" s="232"/>
      <c r="D2057" s="550"/>
      <c r="E2057" s="224"/>
      <c r="F2057" s="237" t="s">
        <v>646</v>
      </c>
      <c r="G2057" s="290"/>
      <c r="H2057" s="230">
        <f>SUM(H2056:H2056)</f>
        <v>0</v>
      </c>
      <c r="M2057" s="237" t="s">
        <v>646</v>
      </c>
    </row>
    <row r="2058" spans="2:13" ht="18.75" customHeight="1" x14ac:dyDescent="0.25">
      <c r="B2058" s="236"/>
      <c r="C2058" s="232"/>
      <c r="D2058" s="550"/>
      <c r="E2058" s="224"/>
      <c r="F2058" s="237"/>
      <c r="G2058" s="290"/>
      <c r="H2058" s="226"/>
      <c r="M2058" s="237"/>
    </row>
    <row r="2059" spans="2:13" ht="18.75" customHeight="1" x14ac:dyDescent="0.25">
      <c r="B2059" s="248"/>
      <c r="C2059" s="238"/>
      <c r="D2059" s="239"/>
      <c r="E2059" s="240"/>
      <c r="F2059" s="241"/>
      <c r="G2059" s="291"/>
      <c r="H2059" s="251"/>
      <c r="M2059" s="241"/>
    </row>
    <row r="2060" spans="2:13" ht="18.75" customHeight="1" x14ac:dyDescent="0.25">
      <c r="B2060" s="249"/>
      <c r="C2060" s="104" t="s">
        <v>648</v>
      </c>
      <c r="D2060" s="435"/>
      <c r="E2060" s="92"/>
      <c r="F2060" s="183"/>
      <c r="G2060" s="167"/>
      <c r="H2060" s="252"/>
      <c r="M2060" s="183"/>
    </row>
    <row r="2061" spans="2:13" ht="18.75" customHeight="1" x14ac:dyDescent="0.25">
      <c r="B2061" s="249" t="s">
        <v>647</v>
      </c>
      <c r="C2061" s="111" t="s">
        <v>850</v>
      </c>
      <c r="D2061" s="435"/>
      <c r="E2061" s="92"/>
      <c r="F2061" s="184"/>
      <c r="G2061" s="167"/>
      <c r="H2061" s="343">
        <f>H2041+H2042+H2044</f>
        <v>8019700</v>
      </c>
      <c r="M2061" s="184"/>
    </row>
    <row r="2062" spans="2:13" ht="18.75" customHeight="1" x14ac:dyDescent="0.25">
      <c r="B2062" s="249" t="s">
        <v>781</v>
      </c>
      <c r="C2062" s="111" t="s">
        <v>851</v>
      </c>
      <c r="D2062" s="435"/>
      <c r="E2062" s="92"/>
      <c r="F2062" s="184"/>
      <c r="G2062" s="167"/>
      <c r="H2062" s="343">
        <f>H2041+H2042+H2045</f>
        <v>8069400</v>
      </c>
      <c r="M2062" s="184"/>
    </row>
    <row r="2063" spans="2:13" ht="18.75" customHeight="1" x14ac:dyDescent="0.25">
      <c r="B2063" s="249" t="s">
        <v>651</v>
      </c>
      <c r="C2063" s="111" t="s">
        <v>852</v>
      </c>
      <c r="D2063" s="435"/>
      <c r="E2063" s="92"/>
      <c r="F2063" s="184"/>
      <c r="G2063" s="167"/>
      <c r="H2063" s="343">
        <f>H2041+H2042+H2046</f>
        <v>8108000</v>
      </c>
      <c r="M2063" s="184"/>
    </row>
    <row r="2064" spans="2:13" ht="18.75" customHeight="1" x14ac:dyDescent="0.25">
      <c r="B2064" s="249" t="s">
        <v>825</v>
      </c>
      <c r="C2064" s="111" t="s">
        <v>853</v>
      </c>
      <c r="D2064" s="435"/>
      <c r="E2064" s="92"/>
      <c r="F2064" s="184"/>
      <c r="G2064" s="167"/>
      <c r="H2064" s="343">
        <f>H2041+H2042+H2047</f>
        <v>8154100</v>
      </c>
      <c r="M2064" s="184"/>
    </row>
    <row r="2065" spans="2:13" ht="18.75" customHeight="1" x14ac:dyDescent="0.25">
      <c r="B2065" s="249" t="s">
        <v>827</v>
      </c>
      <c r="C2065" s="111" t="s">
        <v>854</v>
      </c>
      <c r="D2065" s="435"/>
      <c r="E2065" s="92"/>
      <c r="F2065" s="184"/>
      <c r="G2065" s="167"/>
      <c r="H2065" s="343">
        <f>H2041+H2042+H2048</f>
        <v>8197300</v>
      </c>
      <c r="M2065" s="184"/>
    </row>
    <row r="2066" spans="2:13" ht="18.75" customHeight="1" x14ac:dyDescent="0.25">
      <c r="B2066" s="249" t="s">
        <v>617</v>
      </c>
      <c r="C2066" s="111" t="s">
        <v>855</v>
      </c>
      <c r="D2066" s="435"/>
      <c r="E2066" s="92"/>
      <c r="F2066" s="184"/>
      <c r="G2066" s="167"/>
      <c r="H2066" s="343">
        <f>H2041+H2042+H2049</f>
        <v>8230800</v>
      </c>
      <c r="M2066" s="184"/>
    </row>
    <row r="2067" spans="2:13" ht="18.75" customHeight="1" x14ac:dyDescent="0.25">
      <c r="B2067" s="249" t="s">
        <v>812</v>
      </c>
      <c r="C2067" s="111" t="s">
        <v>856</v>
      </c>
      <c r="D2067" s="435"/>
      <c r="E2067" s="92"/>
      <c r="F2067" s="184"/>
      <c r="G2067" s="167"/>
      <c r="H2067" s="343">
        <f>H2041+H2042+H2050</f>
        <v>8251500</v>
      </c>
      <c r="M2067" s="184"/>
    </row>
    <row r="2068" spans="2:13" ht="18.75" customHeight="1" x14ac:dyDescent="0.25">
      <c r="B2068" s="249" t="s">
        <v>814</v>
      </c>
      <c r="C2068" s="111" t="s">
        <v>857</v>
      </c>
      <c r="D2068" s="435"/>
      <c r="E2068" s="92"/>
      <c r="F2068" s="184"/>
      <c r="G2068" s="167"/>
      <c r="H2068" s="343">
        <f>H2041+H2042+H2051</f>
        <v>8287000</v>
      </c>
      <c r="M2068" s="184"/>
    </row>
    <row r="2069" spans="2:13" ht="18.75" customHeight="1" x14ac:dyDescent="0.25">
      <c r="B2069" s="249" t="s">
        <v>816</v>
      </c>
      <c r="C2069" s="111" t="s">
        <v>858</v>
      </c>
      <c r="D2069" s="435"/>
      <c r="E2069" s="92"/>
      <c r="F2069" s="184"/>
      <c r="G2069" s="167"/>
      <c r="H2069" s="343">
        <f>H2041+H2042+H2052</f>
        <v>8298000</v>
      </c>
      <c r="M2069" s="184"/>
    </row>
    <row r="2070" spans="2:13" ht="18.75" customHeight="1" x14ac:dyDescent="0.25">
      <c r="B2070" s="249" t="s">
        <v>818</v>
      </c>
      <c r="C2070" s="111" t="s">
        <v>859</v>
      </c>
      <c r="D2070" s="435"/>
      <c r="E2070" s="92"/>
      <c r="F2070" s="184"/>
      <c r="G2070" s="167"/>
      <c r="H2070" s="343">
        <f>H2041+H2042+H2053</f>
        <v>8399000</v>
      </c>
      <c r="M2070" s="184"/>
    </row>
    <row r="2071" spans="2:13" ht="18.75" customHeight="1" x14ac:dyDescent="0.25">
      <c r="B2071" s="249" t="s">
        <v>820</v>
      </c>
      <c r="C2071" s="111" t="s">
        <v>860</v>
      </c>
      <c r="D2071" s="435"/>
      <c r="E2071" s="92"/>
      <c r="F2071" s="184"/>
      <c r="G2071" s="167"/>
      <c r="H2071" s="343">
        <f>H2041+H2042+H2054</f>
        <v>8413400</v>
      </c>
      <c r="M2071" s="184"/>
    </row>
    <row r="2072" spans="2:13" ht="18.75" customHeight="1" x14ac:dyDescent="0.25">
      <c r="B2072" s="259"/>
      <c r="C2072" s="261"/>
      <c r="D2072" s="245"/>
      <c r="E2072" s="246"/>
      <c r="F2072" s="247"/>
      <c r="G2072" s="298"/>
      <c r="H2072" s="260"/>
      <c r="M2072" s="247"/>
    </row>
    <row r="2073" spans="2:13" ht="18.75" customHeight="1" x14ac:dyDescent="0.25">
      <c r="B2073" s="22"/>
      <c r="C2073" s="104"/>
      <c r="E2073" s="21"/>
      <c r="F2073" s="176"/>
      <c r="G2073" s="165"/>
      <c r="H2073" s="119"/>
      <c r="M2073" s="176"/>
    </row>
    <row r="2074" spans="2:13" ht="18.75" customHeight="1" x14ac:dyDescent="0.25">
      <c r="B2074" s="19">
        <f>+B2033+1</f>
        <v>35</v>
      </c>
      <c r="C2074" s="93" t="s">
        <v>861</v>
      </c>
      <c r="D2074" s="19"/>
      <c r="E2074" s="21"/>
      <c r="F2074" s="176"/>
      <c r="G2074" s="165"/>
      <c r="H2074" s="119"/>
      <c r="M2074" s="176"/>
    </row>
    <row r="2075" spans="2:13" ht="18.75" customHeight="1" x14ac:dyDescent="0.25">
      <c r="B2075" s="618" t="s">
        <v>620</v>
      </c>
      <c r="C2075" s="620" t="s">
        <v>621</v>
      </c>
      <c r="D2075" s="618" t="s">
        <v>622</v>
      </c>
      <c r="E2075" s="618" t="s">
        <v>2</v>
      </c>
      <c r="F2075" s="615" t="s">
        <v>623</v>
      </c>
      <c r="G2075" s="289" t="s">
        <v>624</v>
      </c>
      <c r="H2075" s="256" t="s">
        <v>625</v>
      </c>
      <c r="M2075" s="615" t="s">
        <v>623</v>
      </c>
    </row>
    <row r="2076" spans="2:13" ht="18.75" customHeight="1" x14ac:dyDescent="0.25">
      <c r="B2076" s="619"/>
      <c r="C2076" s="621"/>
      <c r="D2076" s="619"/>
      <c r="E2076" s="619"/>
      <c r="F2076" s="616"/>
      <c r="G2076" s="289" t="s">
        <v>626</v>
      </c>
      <c r="H2076" s="256" t="s">
        <v>626</v>
      </c>
      <c r="M2076" s="616"/>
    </row>
    <row r="2077" spans="2:13" ht="18.75" customHeight="1" x14ac:dyDescent="0.25">
      <c r="B2077" s="23"/>
      <c r="C2077" s="95"/>
      <c r="D2077" s="24"/>
      <c r="E2077" s="25"/>
      <c r="F2077" s="177"/>
      <c r="G2077" s="166"/>
      <c r="H2077" s="120"/>
      <c r="M2077" s="177"/>
    </row>
    <row r="2078" spans="2:13" ht="18.75" customHeight="1" x14ac:dyDescent="0.25">
      <c r="B2078" s="26" t="s">
        <v>627</v>
      </c>
      <c r="C2078" s="89" t="s">
        <v>628</v>
      </c>
      <c r="D2078" s="27"/>
      <c r="E2078" s="28"/>
      <c r="F2078" s="178"/>
      <c r="G2078" s="72"/>
      <c r="H2078" s="121"/>
      <c r="M2078" s="178"/>
    </row>
    <row r="2079" spans="2:13" ht="18.75" customHeight="1" x14ac:dyDescent="0.25">
      <c r="B2079" s="26"/>
      <c r="C2079" s="89"/>
      <c r="D2079" s="27"/>
      <c r="E2079" s="28"/>
      <c r="F2079" s="33" t="s">
        <v>636</v>
      </c>
      <c r="G2079" s="72"/>
      <c r="H2079" s="122"/>
      <c r="M2079" s="33" t="s">
        <v>636</v>
      </c>
    </row>
    <row r="2080" spans="2:13" ht="18.75" customHeight="1" x14ac:dyDescent="0.25">
      <c r="B2080" s="26"/>
      <c r="C2080" s="89"/>
      <c r="D2080" s="27"/>
      <c r="E2080" s="28"/>
      <c r="F2080" s="33"/>
      <c r="G2080" s="72"/>
      <c r="H2080" s="122"/>
      <c r="M2080" s="33"/>
    </row>
    <row r="2081" spans="2:13" ht="18.75" customHeight="1" x14ac:dyDescent="0.25">
      <c r="B2081" s="26" t="s">
        <v>637</v>
      </c>
      <c r="C2081" s="89" t="s">
        <v>638</v>
      </c>
      <c r="D2081" s="27"/>
      <c r="E2081" s="28"/>
      <c r="F2081" s="178"/>
      <c r="G2081" s="72"/>
      <c r="H2081" s="121"/>
      <c r="M2081" s="178"/>
    </row>
    <row r="2082" spans="2:13" ht="18.75" customHeight="1" x14ac:dyDescent="0.25">
      <c r="B2082" s="26"/>
      <c r="C2082" s="89" t="s">
        <v>793</v>
      </c>
      <c r="D2082" s="27"/>
      <c r="E2082" s="27" t="s">
        <v>58</v>
      </c>
      <c r="F2082" s="203">
        <v>7.8789899999999999</v>
      </c>
      <c r="G2082" s="328">
        <f>+H1608</f>
        <v>513800</v>
      </c>
      <c r="H2082" s="122">
        <f>ROUNDUP((+G2082*F2082)/100,0)*100</f>
        <v>4048300</v>
      </c>
      <c r="M2082" s="203">
        <v>7.8789899999999999</v>
      </c>
    </row>
    <row r="2083" spans="2:13" ht="18.75" customHeight="1" x14ac:dyDescent="0.25">
      <c r="B2083" s="26"/>
      <c r="C2083" s="89" t="str">
        <f>C2000</f>
        <v>Pekerjaan Steger / bambu</v>
      </c>
      <c r="D2083" s="27"/>
      <c r="E2083" s="27" t="s">
        <v>58</v>
      </c>
      <c r="F2083" s="203">
        <v>0.45</v>
      </c>
      <c r="G2083" s="328">
        <f>G2000</f>
        <v>409700</v>
      </c>
      <c r="H2083" s="122">
        <f>ROUNDUP((+G2083*F2083)/100,0)*100</f>
        <v>184400</v>
      </c>
      <c r="M2083" s="203">
        <v>0.45</v>
      </c>
    </row>
    <row r="2084" spans="2:13" ht="18.75" customHeight="1" x14ac:dyDescent="0.25">
      <c r="B2084" s="26"/>
      <c r="C2084" s="89" t="s">
        <v>790</v>
      </c>
      <c r="D2084" s="27"/>
      <c r="E2084" s="27" t="s">
        <v>5</v>
      </c>
      <c r="F2084" s="33">
        <v>200</v>
      </c>
      <c r="G2084" s="328">
        <f>+G2042</f>
        <v>11000</v>
      </c>
      <c r="H2084" s="122">
        <f>+G2084*F2084</f>
        <v>2200000</v>
      </c>
      <c r="M2084" s="33">
        <v>200</v>
      </c>
    </row>
    <row r="2085" spans="2:13" ht="18.75" customHeight="1" x14ac:dyDescent="0.25">
      <c r="B2085" s="26"/>
      <c r="C2085" s="89" t="str">
        <f>C2043</f>
        <v>Penempatan besi</v>
      </c>
      <c r="D2085" s="27"/>
      <c r="E2085" s="27" t="s">
        <v>5</v>
      </c>
      <c r="F2085" s="33"/>
      <c r="G2085" s="328">
        <f t="shared" ref="G2085:G2096" si="105">G2043</f>
        <v>5000</v>
      </c>
      <c r="H2085" s="122">
        <f>+G2085*F2085</f>
        <v>0</v>
      </c>
      <c r="M2085" s="33"/>
    </row>
    <row r="2086" spans="2:13" ht="18.75" customHeight="1" x14ac:dyDescent="0.25">
      <c r="B2086" s="26"/>
      <c r="C2086" s="89" t="s">
        <v>795</v>
      </c>
      <c r="D2086" s="27"/>
      <c r="E2086" s="27" t="s">
        <v>52</v>
      </c>
      <c r="F2086" s="33">
        <v>1</v>
      </c>
      <c r="G2086" s="328">
        <f t="shared" si="105"/>
        <v>1093700</v>
      </c>
      <c r="H2086" s="122">
        <f>+G2086*F2086</f>
        <v>1093700</v>
      </c>
      <c r="M2086" s="33">
        <v>1</v>
      </c>
    </row>
    <row r="2087" spans="2:13" ht="18.75" customHeight="1" x14ac:dyDescent="0.25">
      <c r="B2087" s="26"/>
      <c r="C2087" s="89" t="s">
        <v>796</v>
      </c>
      <c r="D2087" s="27"/>
      <c r="E2087" s="27" t="s">
        <v>52</v>
      </c>
      <c r="F2087" s="33">
        <v>1</v>
      </c>
      <c r="G2087" s="328">
        <f t="shared" si="105"/>
        <v>1143400</v>
      </c>
      <c r="H2087" s="122">
        <f t="shared" ref="H2087:H2096" si="106">+G2087*F2087</f>
        <v>1143400</v>
      </c>
      <c r="M2087" s="33">
        <v>1</v>
      </c>
    </row>
    <row r="2088" spans="2:13" ht="18.75" customHeight="1" x14ac:dyDescent="0.25">
      <c r="B2088" s="26"/>
      <c r="C2088" s="89" t="s">
        <v>797</v>
      </c>
      <c r="D2088" s="27"/>
      <c r="E2088" s="27" t="s">
        <v>52</v>
      </c>
      <c r="F2088" s="33">
        <v>1</v>
      </c>
      <c r="G2088" s="328">
        <f t="shared" si="105"/>
        <v>1182000</v>
      </c>
      <c r="H2088" s="122">
        <f t="shared" si="106"/>
        <v>1182000</v>
      </c>
      <c r="M2088" s="33">
        <v>1</v>
      </c>
    </row>
    <row r="2089" spans="2:13" ht="18.75" customHeight="1" x14ac:dyDescent="0.25">
      <c r="B2089" s="26"/>
      <c r="C2089" s="89" t="s">
        <v>798</v>
      </c>
      <c r="D2089" s="27"/>
      <c r="E2089" s="27" t="s">
        <v>52</v>
      </c>
      <c r="F2089" s="33">
        <v>1</v>
      </c>
      <c r="G2089" s="328">
        <f t="shared" si="105"/>
        <v>1228100</v>
      </c>
      <c r="H2089" s="122">
        <f t="shared" si="106"/>
        <v>1228100</v>
      </c>
      <c r="M2089" s="33">
        <v>1</v>
      </c>
    </row>
    <row r="2090" spans="2:13" ht="18.75" customHeight="1" x14ac:dyDescent="0.25">
      <c r="B2090" s="26"/>
      <c r="C2090" s="89" t="s">
        <v>799</v>
      </c>
      <c r="D2090" s="27"/>
      <c r="E2090" s="27" t="s">
        <v>52</v>
      </c>
      <c r="F2090" s="33">
        <v>1</v>
      </c>
      <c r="G2090" s="328">
        <f t="shared" si="105"/>
        <v>1271300</v>
      </c>
      <c r="H2090" s="122">
        <f t="shared" si="106"/>
        <v>1271300</v>
      </c>
      <c r="M2090" s="33">
        <v>1</v>
      </c>
    </row>
    <row r="2091" spans="2:13" ht="18.75" customHeight="1" x14ac:dyDescent="0.25">
      <c r="B2091" s="26"/>
      <c r="C2091" s="89" t="s">
        <v>800</v>
      </c>
      <c r="D2091" s="27"/>
      <c r="E2091" s="27" t="s">
        <v>52</v>
      </c>
      <c r="F2091" s="33">
        <v>1</v>
      </c>
      <c r="G2091" s="328">
        <f t="shared" si="105"/>
        <v>1304800</v>
      </c>
      <c r="H2091" s="122">
        <f t="shared" si="106"/>
        <v>1304800</v>
      </c>
      <c r="M2091" s="33">
        <v>1</v>
      </c>
    </row>
    <row r="2092" spans="2:13" ht="18.75" customHeight="1" x14ac:dyDescent="0.25">
      <c r="B2092" s="26"/>
      <c r="C2092" s="89" t="s">
        <v>801</v>
      </c>
      <c r="D2092" s="27"/>
      <c r="E2092" s="27" t="s">
        <v>52</v>
      </c>
      <c r="F2092" s="33">
        <v>1</v>
      </c>
      <c r="G2092" s="328">
        <f t="shared" si="105"/>
        <v>1325500</v>
      </c>
      <c r="H2092" s="122">
        <f t="shared" si="106"/>
        <v>1325500</v>
      </c>
      <c r="M2092" s="33">
        <v>1</v>
      </c>
    </row>
    <row r="2093" spans="2:13" ht="18.75" customHeight="1" x14ac:dyDescent="0.25">
      <c r="B2093" s="26"/>
      <c r="C2093" s="89" t="s">
        <v>802</v>
      </c>
      <c r="D2093" s="27"/>
      <c r="E2093" s="27" t="s">
        <v>52</v>
      </c>
      <c r="F2093" s="33">
        <v>1</v>
      </c>
      <c r="G2093" s="328">
        <f t="shared" si="105"/>
        <v>1361000</v>
      </c>
      <c r="H2093" s="122">
        <f t="shared" si="106"/>
        <v>1361000</v>
      </c>
      <c r="M2093" s="33">
        <v>1</v>
      </c>
    </row>
    <row r="2094" spans="2:13" ht="18.75" customHeight="1" x14ac:dyDescent="0.25">
      <c r="B2094" s="26"/>
      <c r="C2094" s="89" t="s">
        <v>791</v>
      </c>
      <c r="D2094" s="27"/>
      <c r="E2094" s="27" t="s">
        <v>52</v>
      </c>
      <c r="F2094" s="33">
        <v>1</v>
      </c>
      <c r="G2094" s="328">
        <f t="shared" si="105"/>
        <v>1372000</v>
      </c>
      <c r="H2094" s="122">
        <f t="shared" si="106"/>
        <v>1372000</v>
      </c>
      <c r="M2094" s="33">
        <v>1</v>
      </c>
    </row>
    <row r="2095" spans="2:13" ht="18.75" customHeight="1" x14ac:dyDescent="0.25">
      <c r="B2095" s="26"/>
      <c r="C2095" s="89" t="s">
        <v>803</v>
      </c>
      <c r="D2095" s="27"/>
      <c r="E2095" s="27" t="s">
        <v>52</v>
      </c>
      <c r="F2095" s="33">
        <v>1</v>
      </c>
      <c r="G2095" s="328">
        <f t="shared" si="105"/>
        <v>1473000</v>
      </c>
      <c r="H2095" s="122">
        <f t="shared" si="106"/>
        <v>1473000</v>
      </c>
      <c r="M2095" s="33">
        <v>1</v>
      </c>
    </row>
    <row r="2096" spans="2:13" ht="18.75" customHeight="1" x14ac:dyDescent="0.25">
      <c r="B2096" s="26"/>
      <c r="C2096" s="89" t="s">
        <v>804</v>
      </c>
      <c r="D2096" s="27"/>
      <c r="E2096" s="27" t="s">
        <v>52</v>
      </c>
      <c r="F2096" s="33">
        <v>1</v>
      </c>
      <c r="G2096" s="328">
        <f t="shared" si="105"/>
        <v>1487400</v>
      </c>
      <c r="H2096" s="122">
        <f t="shared" si="106"/>
        <v>1487400</v>
      </c>
      <c r="M2096" s="33">
        <v>1</v>
      </c>
    </row>
    <row r="2097" spans="2:13" ht="18.75" customHeight="1" x14ac:dyDescent="0.25">
      <c r="B2097" s="26"/>
      <c r="C2097" s="89"/>
      <c r="D2097" s="27"/>
      <c r="E2097" s="28"/>
      <c r="F2097" s="178"/>
      <c r="G2097" s="72"/>
      <c r="H2097" s="121"/>
      <c r="M2097" s="178"/>
    </row>
    <row r="2098" spans="2:13" ht="18.75" customHeight="1" x14ac:dyDescent="0.25">
      <c r="B2098" s="26" t="s">
        <v>644</v>
      </c>
      <c r="C2098" s="89" t="s">
        <v>645</v>
      </c>
      <c r="D2098" s="27"/>
      <c r="E2098" s="28"/>
      <c r="F2098" s="178"/>
      <c r="G2098" s="72"/>
      <c r="H2098" s="126"/>
      <c r="M2098" s="178"/>
    </row>
    <row r="2099" spans="2:13" ht="18.75" customHeight="1" x14ac:dyDescent="0.25">
      <c r="B2099" s="35"/>
      <c r="C2099" s="97"/>
      <c r="D2099" s="27"/>
      <c r="E2099" s="28"/>
      <c r="F2099" s="187" t="s">
        <v>646</v>
      </c>
      <c r="G2099" s="72"/>
      <c r="H2099" s="122">
        <f>SUM(H2098:H2098)</f>
        <v>0</v>
      </c>
      <c r="M2099" s="187" t="s">
        <v>646</v>
      </c>
    </row>
    <row r="2100" spans="2:13" ht="18.75" customHeight="1" x14ac:dyDescent="0.25">
      <c r="B2100" s="37"/>
      <c r="C2100" s="98"/>
      <c r="D2100" s="39"/>
      <c r="E2100" s="40"/>
      <c r="F2100" s="188"/>
      <c r="G2100" s="67"/>
      <c r="H2100" s="135"/>
      <c r="M2100" s="188"/>
    </row>
    <row r="2101" spans="2:13" ht="18.75" customHeight="1" x14ac:dyDescent="0.25">
      <c r="B2101" s="50"/>
      <c r="C2101" s="100"/>
      <c r="E2101" s="22"/>
      <c r="F2101" s="189"/>
      <c r="G2101" s="308"/>
      <c r="H2101" s="131"/>
      <c r="M2101" s="189"/>
    </row>
    <row r="2102" spans="2:13" ht="18.75" customHeight="1" x14ac:dyDescent="0.25">
      <c r="B2102" s="46"/>
      <c r="C2102" s="101" t="s">
        <v>648</v>
      </c>
      <c r="E2102" s="22"/>
      <c r="F2102" s="189"/>
      <c r="G2102" s="308"/>
      <c r="H2102" s="131"/>
      <c r="M2102" s="189"/>
    </row>
    <row r="2103" spans="2:13" ht="18.75" customHeight="1" x14ac:dyDescent="0.25">
      <c r="B2103" s="46" t="s">
        <v>647</v>
      </c>
      <c r="C2103" s="102" t="s">
        <v>862</v>
      </c>
      <c r="E2103" s="22"/>
      <c r="F2103" s="190"/>
      <c r="G2103" s="308"/>
      <c r="H2103" s="140">
        <f>H2082+H2083+H2084+H2086</f>
        <v>7526400</v>
      </c>
      <c r="M2103" s="190"/>
    </row>
    <row r="2104" spans="2:13" ht="18.75" customHeight="1" x14ac:dyDescent="0.25">
      <c r="B2104" s="46" t="s">
        <v>781</v>
      </c>
      <c r="C2104" s="102" t="s">
        <v>863</v>
      </c>
      <c r="E2104" s="22"/>
      <c r="F2104" s="190"/>
      <c r="G2104" s="308"/>
      <c r="H2104" s="140">
        <f>H2082+H2083+H2084+H2087</f>
        <v>7576100</v>
      </c>
      <c r="M2104" s="190"/>
    </row>
    <row r="2105" spans="2:13" ht="18.75" customHeight="1" x14ac:dyDescent="0.25">
      <c r="B2105" s="46" t="s">
        <v>651</v>
      </c>
      <c r="C2105" s="102" t="s">
        <v>864</v>
      </c>
      <c r="E2105" s="22"/>
      <c r="F2105" s="190"/>
      <c r="G2105" s="308"/>
      <c r="H2105" s="140">
        <f>H2082+H2083+H2084+H2088</f>
        <v>7614700</v>
      </c>
      <c r="M2105" s="190"/>
    </row>
    <row r="2106" spans="2:13" ht="18.75" customHeight="1" x14ac:dyDescent="0.25">
      <c r="B2106" s="46" t="s">
        <v>825</v>
      </c>
      <c r="C2106" s="102" t="s">
        <v>865</v>
      </c>
      <c r="E2106" s="22"/>
      <c r="F2106" s="190"/>
      <c r="G2106" s="308"/>
      <c r="H2106" s="140">
        <f>H2082+H2083+H2084+H2089</f>
        <v>7660800</v>
      </c>
      <c r="M2106" s="190"/>
    </row>
    <row r="2107" spans="2:13" ht="18.75" customHeight="1" x14ac:dyDescent="0.25">
      <c r="B2107" s="46" t="s">
        <v>827</v>
      </c>
      <c r="C2107" s="102" t="s">
        <v>866</v>
      </c>
      <c r="E2107" s="22"/>
      <c r="F2107" s="190"/>
      <c r="G2107" s="308"/>
      <c r="H2107" s="140">
        <f>H2082+H2083+H2084+H2090</f>
        <v>7704000</v>
      </c>
      <c r="M2107" s="190"/>
    </row>
    <row r="2108" spans="2:13" ht="18.75" customHeight="1" x14ac:dyDescent="0.25">
      <c r="B2108" s="46" t="s">
        <v>617</v>
      </c>
      <c r="C2108" s="102" t="s">
        <v>867</v>
      </c>
      <c r="E2108" s="22"/>
      <c r="F2108" s="190"/>
      <c r="G2108" s="308"/>
      <c r="H2108" s="140">
        <f>H2082+H2083+H2084+H2091</f>
        <v>7737500</v>
      </c>
      <c r="M2108" s="190"/>
    </row>
    <row r="2109" spans="2:13" ht="18.75" customHeight="1" x14ac:dyDescent="0.25">
      <c r="B2109" s="46" t="s">
        <v>812</v>
      </c>
      <c r="C2109" s="102" t="s">
        <v>868</v>
      </c>
      <c r="E2109" s="22"/>
      <c r="F2109" s="190"/>
      <c r="G2109" s="308"/>
      <c r="H2109" s="140">
        <f>H2082+H2083+H2084+H2092</f>
        <v>7758200</v>
      </c>
      <c r="M2109" s="190"/>
    </row>
    <row r="2110" spans="2:13" ht="18.75" customHeight="1" x14ac:dyDescent="0.25">
      <c r="B2110" s="46" t="s">
        <v>814</v>
      </c>
      <c r="C2110" s="102" t="s">
        <v>869</v>
      </c>
      <c r="E2110" s="22"/>
      <c r="F2110" s="190"/>
      <c r="G2110" s="308"/>
      <c r="H2110" s="140">
        <f>H2082+H2083+H2084+H2093</f>
        <v>7793700</v>
      </c>
      <c r="M2110" s="190"/>
    </row>
    <row r="2111" spans="2:13" ht="18.75" customHeight="1" x14ac:dyDescent="0.25">
      <c r="B2111" s="46" t="s">
        <v>816</v>
      </c>
      <c r="C2111" s="102" t="s">
        <v>870</v>
      </c>
      <c r="E2111" s="22"/>
      <c r="F2111" s="190"/>
      <c r="G2111" s="308"/>
      <c r="H2111" s="140">
        <f>H2082+H2083+H2084+H2094</f>
        <v>7804700</v>
      </c>
      <c r="M2111" s="190"/>
    </row>
    <row r="2112" spans="2:13" ht="18.75" customHeight="1" x14ac:dyDescent="0.25">
      <c r="B2112" s="46" t="s">
        <v>818</v>
      </c>
      <c r="C2112" s="102" t="s">
        <v>871</v>
      </c>
      <c r="E2112" s="22"/>
      <c r="F2112" s="190"/>
      <c r="G2112" s="308"/>
      <c r="H2112" s="140">
        <f>H2082+H2083+H2084+H2095</f>
        <v>7905700</v>
      </c>
      <c r="M2112" s="190"/>
    </row>
    <row r="2113" spans="2:13" ht="18.75" customHeight="1" x14ac:dyDescent="0.25">
      <c r="B2113" s="46" t="s">
        <v>820</v>
      </c>
      <c r="C2113" s="102" t="s">
        <v>872</v>
      </c>
      <c r="E2113" s="22"/>
      <c r="F2113" s="190"/>
      <c r="G2113" s="308"/>
      <c r="H2113" s="140">
        <f>H2082+H2083+H2084+H2096</f>
        <v>7920100</v>
      </c>
      <c r="M2113" s="190"/>
    </row>
    <row r="2114" spans="2:13" ht="18.75" customHeight="1" thickBot="1" x14ac:dyDescent="0.3">
      <c r="B2114" s="47"/>
      <c r="C2114" s="103"/>
      <c r="D2114" s="48"/>
      <c r="E2114" s="49"/>
      <c r="F2114" s="186"/>
      <c r="G2114" s="309"/>
      <c r="H2114" s="136"/>
      <c r="M2114" s="186"/>
    </row>
    <row r="2115" spans="2:13" ht="18.75" customHeight="1" x14ac:dyDescent="0.25">
      <c r="B2115" s="22"/>
      <c r="C2115" s="104"/>
      <c r="E2115" s="21"/>
      <c r="F2115" s="176"/>
      <c r="G2115" s="165"/>
      <c r="H2115" s="119"/>
      <c r="M2115" s="176"/>
    </row>
    <row r="2116" spans="2:13" ht="18.75" customHeight="1" x14ac:dyDescent="0.25">
      <c r="B2116" s="19">
        <f>+B2074+1</f>
        <v>36</v>
      </c>
      <c r="C2116" s="93" t="s">
        <v>873</v>
      </c>
      <c r="D2116" s="19"/>
      <c r="E2116" s="21"/>
      <c r="F2116" s="176"/>
      <c r="G2116" s="165"/>
      <c r="H2116" s="119"/>
      <c r="M2116" s="176"/>
    </row>
    <row r="2117" spans="2:13" ht="18.75" customHeight="1" x14ac:dyDescent="0.25">
      <c r="B2117" s="618" t="s">
        <v>620</v>
      </c>
      <c r="C2117" s="620" t="s">
        <v>621</v>
      </c>
      <c r="D2117" s="618" t="s">
        <v>622</v>
      </c>
      <c r="E2117" s="618" t="s">
        <v>2</v>
      </c>
      <c r="F2117" s="615" t="s">
        <v>623</v>
      </c>
      <c r="G2117" s="289" t="s">
        <v>624</v>
      </c>
      <c r="H2117" s="256" t="s">
        <v>625</v>
      </c>
      <c r="M2117" s="615" t="s">
        <v>623</v>
      </c>
    </row>
    <row r="2118" spans="2:13" ht="18.75" customHeight="1" x14ac:dyDescent="0.25">
      <c r="B2118" s="619"/>
      <c r="C2118" s="621"/>
      <c r="D2118" s="619"/>
      <c r="E2118" s="619"/>
      <c r="F2118" s="616"/>
      <c r="G2118" s="289" t="s">
        <v>626</v>
      </c>
      <c r="H2118" s="256" t="s">
        <v>626</v>
      </c>
      <c r="M2118" s="616"/>
    </row>
    <row r="2119" spans="2:13" ht="18.75" customHeight="1" x14ac:dyDescent="0.25">
      <c r="B2119" s="221"/>
      <c r="C2119" s="222"/>
      <c r="D2119" s="221"/>
      <c r="E2119" s="550"/>
      <c r="F2119" s="555"/>
      <c r="G2119" s="551"/>
      <c r="H2119" s="220"/>
      <c r="M2119" s="590"/>
    </row>
    <row r="2120" spans="2:13" ht="18.75" customHeight="1" x14ac:dyDescent="0.25">
      <c r="B2120" s="550" t="s">
        <v>627</v>
      </c>
      <c r="C2120" s="223" t="s">
        <v>628</v>
      </c>
      <c r="D2120" s="550"/>
      <c r="E2120" s="224"/>
      <c r="F2120" s="225"/>
      <c r="G2120" s="290"/>
      <c r="H2120" s="226"/>
      <c r="M2120" s="225"/>
    </row>
    <row r="2121" spans="2:13" ht="18.75" customHeight="1" x14ac:dyDescent="0.25">
      <c r="B2121" s="550"/>
      <c r="C2121" s="223"/>
      <c r="D2121" s="550"/>
      <c r="E2121" s="224"/>
      <c r="F2121" s="233" t="s">
        <v>636</v>
      </c>
      <c r="G2121" s="290"/>
      <c r="H2121" s="230"/>
      <c r="M2121" s="233" t="s">
        <v>636</v>
      </c>
    </row>
    <row r="2122" spans="2:13" ht="18.75" customHeight="1" x14ac:dyDescent="0.25">
      <c r="B2122" s="550"/>
      <c r="C2122" s="223"/>
      <c r="D2122" s="550"/>
      <c r="E2122" s="224"/>
      <c r="F2122" s="233"/>
      <c r="G2122" s="290"/>
      <c r="H2122" s="230"/>
      <c r="M2122" s="233"/>
    </row>
    <row r="2123" spans="2:13" ht="18.75" customHeight="1" x14ac:dyDescent="0.25">
      <c r="B2123" s="550" t="s">
        <v>637</v>
      </c>
      <c r="C2123" s="223" t="s">
        <v>638</v>
      </c>
      <c r="D2123" s="550"/>
      <c r="E2123" s="224"/>
      <c r="F2123" s="225"/>
      <c r="G2123" s="290"/>
      <c r="H2123" s="226"/>
      <c r="M2123" s="225"/>
    </row>
    <row r="2124" spans="2:13" ht="18.75" customHeight="1" x14ac:dyDescent="0.25">
      <c r="B2124" s="550"/>
      <c r="C2124" s="223" t="s">
        <v>788</v>
      </c>
      <c r="D2124" s="550"/>
      <c r="E2124" s="550" t="s">
        <v>58</v>
      </c>
      <c r="F2124" s="341">
        <v>7</v>
      </c>
      <c r="G2124" s="234">
        <f>+H1697</f>
        <v>456700</v>
      </c>
      <c r="H2124" s="230">
        <f>+G2124*F2124</f>
        <v>3196900</v>
      </c>
      <c r="M2124" s="341">
        <v>7</v>
      </c>
    </row>
    <row r="2125" spans="2:13" ht="18.75" customHeight="1" x14ac:dyDescent="0.25">
      <c r="B2125" s="550"/>
      <c r="C2125" s="223" t="s">
        <v>790</v>
      </c>
      <c r="D2125" s="550"/>
      <c r="E2125" s="550" t="s">
        <v>5</v>
      </c>
      <c r="F2125" s="233">
        <v>110</v>
      </c>
      <c r="G2125" s="234">
        <f>+G2084</f>
        <v>11000</v>
      </c>
      <c r="H2125" s="230">
        <f>+G2125*F2125</f>
        <v>1210000</v>
      </c>
      <c r="M2125" s="233">
        <v>110</v>
      </c>
    </row>
    <row r="2126" spans="2:13" ht="18.75" customHeight="1" x14ac:dyDescent="0.25">
      <c r="B2126" s="550"/>
      <c r="C2126" s="223" t="str">
        <f>C2085</f>
        <v>Penempatan besi</v>
      </c>
      <c r="D2126" s="550"/>
      <c r="E2126" s="550" t="s">
        <v>5</v>
      </c>
      <c r="F2126" s="233"/>
      <c r="G2126" s="234">
        <f t="shared" ref="G2126:G2137" si="107">G2085</f>
        <v>5000</v>
      </c>
      <c r="H2126" s="230">
        <f>+G2126*F2126</f>
        <v>0</v>
      </c>
      <c r="M2126" s="233"/>
    </row>
    <row r="2127" spans="2:13" ht="18.75" customHeight="1" x14ac:dyDescent="0.25">
      <c r="B2127" s="550"/>
      <c r="C2127" s="223" t="s">
        <v>795</v>
      </c>
      <c r="D2127" s="550"/>
      <c r="E2127" s="550" t="s">
        <v>52</v>
      </c>
      <c r="F2127" s="233">
        <v>1</v>
      </c>
      <c r="G2127" s="234">
        <f t="shared" si="107"/>
        <v>1093700</v>
      </c>
      <c r="H2127" s="230">
        <f>+G2127*F2127</f>
        <v>1093700</v>
      </c>
      <c r="M2127" s="233">
        <v>1</v>
      </c>
    </row>
    <row r="2128" spans="2:13" ht="18.75" customHeight="1" x14ac:dyDescent="0.25">
      <c r="B2128" s="550"/>
      <c r="C2128" s="223" t="s">
        <v>796</v>
      </c>
      <c r="D2128" s="550"/>
      <c r="E2128" s="550" t="s">
        <v>52</v>
      </c>
      <c r="F2128" s="233">
        <v>1</v>
      </c>
      <c r="G2128" s="234">
        <f t="shared" si="107"/>
        <v>1143400</v>
      </c>
      <c r="H2128" s="230">
        <f t="shared" ref="H2128:H2137" si="108">+G2128*F2128</f>
        <v>1143400</v>
      </c>
      <c r="M2128" s="233">
        <v>1</v>
      </c>
    </row>
    <row r="2129" spans="2:13" ht="18.75" customHeight="1" x14ac:dyDescent="0.25">
      <c r="B2129" s="550"/>
      <c r="C2129" s="223" t="s">
        <v>797</v>
      </c>
      <c r="D2129" s="550"/>
      <c r="E2129" s="550" t="s">
        <v>52</v>
      </c>
      <c r="F2129" s="233">
        <v>1</v>
      </c>
      <c r="G2129" s="234">
        <f t="shared" si="107"/>
        <v>1182000</v>
      </c>
      <c r="H2129" s="230">
        <f t="shared" si="108"/>
        <v>1182000</v>
      </c>
      <c r="M2129" s="233">
        <v>1</v>
      </c>
    </row>
    <row r="2130" spans="2:13" ht="18.75" customHeight="1" x14ac:dyDescent="0.25">
      <c r="B2130" s="550"/>
      <c r="C2130" s="223" t="s">
        <v>798</v>
      </c>
      <c r="D2130" s="550"/>
      <c r="E2130" s="550" t="s">
        <v>52</v>
      </c>
      <c r="F2130" s="233">
        <v>1</v>
      </c>
      <c r="G2130" s="234">
        <f t="shared" si="107"/>
        <v>1228100</v>
      </c>
      <c r="H2130" s="230">
        <f t="shared" si="108"/>
        <v>1228100</v>
      </c>
      <c r="M2130" s="233">
        <v>1</v>
      </c>
    </row>
    <row r="2131" spans="2:13" ht="18.75" customHeight="1" x14ac:dyDescent="0.25">
      <c r="B2131" s="550"/>
      <c r="C2131" s="223" t="s">
        <v>799</v>
      </c>
      <c r="D2131" s="550"/>
      <c r="E2131" s="550" t="s">
        <v>52</v>
      </c>
      <c r="F2131" s="233">
        <v>1</v>
      </c>
      <c r="G2131" s="234">
        <f t="shared" si="107"/>
        <v>1271300</v>
      </c>
      <c r="H2131" s="230">
        <f t="shared" si="108"/>
        <v>1271300</v>
      </c>
      <c r="M2131" s="233">
        <v>1</v>
      </c>
    </row>
    <row r="2132" spans="2:13" ht="18.75" customHeight="1" x14ac:dyDescent="0.25">
      <c r="B2132" s="550"/>
      <c r="C2132" s="223" t="s">
        <v>800</v>
      </c>
      <c r="D2132" s="550"/>
      <c r="E2132" s="550" t="s">
        <v>52</v>
      </c>
      <c r="F2132" s="233">
        <v>1</v>
      </c>
      <c r="G2132" s="234">
        <f t="shared" si="107"/>
        <v>1304800</v>
      </c>
      <c r="H2132" s="230">
        <f t="shared" si="108"/>
        <v>1304800</v>
      </c>
      <c r="M2132" s="233">
        <v>1</v>
      </c>
    </row>
    <row r="2133" spans="2:13" ht="18.75" customHeight="1" x14ac:dyDescent="0.25">
      <c r="B2133" s="550"/>
      <c r="C2133" s="223" t="s">
        <v>801</v>
      </c>
      <c r="D2133" s="550"/>
      <c r="E2133" s="550" t="s">
        <v>52</v>
      </c>
      <c r="F2133" s="233">
        <v>1</v>
      </c>
      <c r="G2133" s="234">
        <f t="shared" si="107"/>
        <v>1325500</v>
      </c>
      <c r="H2133" s="230">
        <f t="shared" si="108"/>
        <v>1325500</v>
      </c>
      <c r="M2133" s="233">
        <v>1</v>
      </c>
    </row>
    <row r="2134" spans="2:13" ht="18.75" customHeight="1" x14ac:dyDescent="0.25">
      <c r="B2134" s="550"/>
      <c r="C2134" s="223" t="s">
        <v>802</v>
      </c>
      <c r="D2134" s="550"/>
      <c r="E2134" s="550" t="s">
        <v>52</v>
      </c>
      <c r="F2134" s="233">
        <v>1</v>
      </c>
      <c r="G2134" s="234">
        <f t="shared" si="107"/>
        <v>1361000</v>
      </c>
      <c r="H2134" s="230">
        <f t="shared" si="108"/>
        <v>1361000</v>
      </c>
      <c r="M2134" s="233">
        <v>1</v>
      </c>
    </row>
    <row r="2135" spans="2:13" ht="18.75" customHeight="1" x14ac:dyDescent="0.25">
      <c r="B2135" s="550"/>
      <c r="C2135" s="223" t="s">
        <v>791</v>
      </c>
      <c r="D2135" s="550"/>
      <c r="E2135" s="550" t="s">
        <v>52</v>
      </c>
      <c r="F2135" s="233">
        <v>1</v>
      </c>
      <c r="G2135" s="234">
        <f t="shared" si="107"/>
        <v>1372000</v>
      </c>
      <c r="H2135" s="230">
        <f t="shared" si="108"/>
        <v>1372000</v>
      </c>
      <c r="M2135" s="233">
        <v>1</v>
      </c>
    </row>
    <row r="2136" spans="2:13" ht="18.75" customHeight="1" x14ac:dyDescent="0.25">
      <c r="B2136" s="550"/>
      <c r="C2136" s="223" t="s">
        <v>803</v>
      </c>
      <c r="D2136" s="550"/>
      <c r="E2136" s="550" t="s">
        <v>52</v>
      </c>
      <c r="F2136" s="233">
        <v>1</v>
      </c>
      <c r="G2136" s="234">
        <f t="shared" si="107"/>
        <v>1473000</v>
      </c>
      <c r="H2136" s="230">
        <f t="shared" si="108"/>
        <v>1473000</v>
      </c>
      <c r="M2136" s="233">
        <v>1</v>
      </c>
    </row>
    <row r="2137" spans="2:13" ht="18.75" customHeight="1" x14ac:dyDescent="0.25">
      <c r="B2137" s="550"/>
      <c r="C2137" s="223" t="s">
        <v>804</v>
      </c>
      <c r="D2137" s="550"/>
      <c r="E2137" s="550" t="s">
        <v>52</v>
      </c>
      <c r="F2137" s="233">
        <v>1</v>
      </c>
      <c r="G2137" s="234">
        <f t="shared" si="107"/>
        <v>1487400</v>
      </c>
      <c r="H2137" s="230">
        <f t="shared" si="108"/>
        <v>1487400</v>
      </c>
      <c r="M2137" s="233">
        <v>1</v>
      </c>
    </row>
    <row r="2138" spans="2:13" ht="18.75" customHeight="1" x14ac:dyDescent="0.25">
      <c r="B2138" s="550"/>
      <c r="C2138" s="223"/>
      <c r="D2138" s="550"/>
      <c r="E2138" s="224"/>
      <c r="F2138" s="225"/>
      <c r="G2138" s="290"/>
      <c r="H2138" s="226"/>
      <c r="M2138" s="225"/>
    </row>
    <row r="2139" spans="2:13" ht="18.75" customHeight="1" x14ac:dyDescent="0.25">
      <c r="B2139" s="550" t="s">
        <v>644</v>
      </c>
      <c r="C2139" s="223" t="s">
        <v>645</v>
      </c>
      <c r="D2139" s="550"/>
      <c r="E2139" s="224"/>
      <c r="F2139" s="225"/>
      <c r="G2139" s="290"/>
      <c r="H2139" s="235"/>
      <c r="M2139" s="225"/>
    </row>
    <row r="2140" spans="2:13" ht="18.75" customHeight="1" x14ac:dyDescent="0.25">
      <c r="B2140" s="236"/>
      <c r="C2140" s="232"/>
      <c r="D2140" s="550"/>
      <c r="E2140" s="224"/>
      <c r="F2140" s="237" t="s">
        <v>646</v>
      </c>
      <c r="G2140" s="290"/>
      <c r="H2140" s="230">
        <f>SUM(H2139:H2139)</f>
        <v>0</v>
      </c>
      <c r="M2140" s="237" t="s">
        <v>646</v>
      </c>
    </row>
    <row r="2141" spans="2:13" ht="18.75" customHeight="1" x14ac:dyDescent="0.25">
      <c r="B2141" s="236"/>
      <c r="C2141" s="232"/>
      <c r="D2141" s="550"/>
      <c r="E2141" s="224"/>
      <c r="F2141" s="237"/>
      <c r="G2141" s="290"/>
      <c r="H2141" s="226"/>
      <c r="M2141" s="237"/>
    </row>
    <row r="2142" spans="2:13" ht="18.75" customHeight="1" x14ac:dyDescent="0.25">
      <c r="B2142" s="248"/>
      <c r="C2142" s="238"/>
      <c r="D2142" s="239"/>
      <c r="E2142" s="266"/>
      <c r="F2142" s="241"/>
      <c r="G2142" s="303"/>
      <c r="H2142" s="267"/>
      <c r="M2142" s="241"/>
    </row>
    <row r="2143" spans="2:13" ht="18.75" customHeight="1" x14ac:dyDescent="0.25">
      <c r="B2143" s="249"/>
      <c r="C2143" s="104" t="s">
        <v>648</v>
      </c>
      <c r="D2143" s="435"/>
      <c r="E2143" s="92"/>
      <c r="F2143" s="183"/>
      <c r="G2143" s="167"/>
      <c r="H2143" s="252"/>
      <c r="M2143" s="183"/>
    </row>
    <row r="2144" spans="2:13" ht="18.75" customHeight="1" x14ac:dyDescent="0.25">
      <c r="B2144" s="249" t="s">
        <v>647</v>
      </c>
      <c r="C2144" s="111" t="s">
        <v>838</v>
      </c>
      <c r="D2144" s="435"/>
      <c r="E2144" s="92"/>
      <c r="F2144" s="184"/>
      <c r="G2144" s="167"/>
      <c r="H2144" s="343">
        <f>H2124+H2125+H2127</f>
        <v>5500600</v>
      </c>
      <c r="M2144" s="184"/>
    </row>
    <row r="2145" spans="1:13" ht="18.75" customHeight="1" x14ac:dyDescent="0.25">
      <c r="B2145" s="249" t="s">
        <v>781</v>
      </c>
      <c r="C2145" s="111" t="s">
        <v>839</v>
      </c>
      <c r="D2145" s="435"/>
      <c r="E2145" s="91"/>
      <c r="F2145" s="185"/>
      <c r="G2145" s="168"/>
      <c r="H2145" s="254">
        <f>H2124+H2125+H2128</f>
        <v>5550300</v>
      </c>
      <c r="M2145" s="185"/>
    </row>
    <row r="2146" spans="1:13" ht="18.75" customHeight="1" x14ac:dyDescent="0.25">
      <c r="B2146" s="249" t="s">
        <v>651</v>
      </c>
      <c r="C2146" s="111" t="s">
        <v>840</v>
      </c>
      <c r="D2146" s="435"/>
      <c r="E2146" s="91"/>
      <c r="F2146" s="185"/>
      <c r="G2146" s="168"/>
      <c r="H2146" s="254">
        <f>H2124+H2125+H2129</f>
        <v>5588900</v>
      </c>
      <c r="M2146" s="185"/>
    </row>
    <row r="2147" spans="1:13" ht="18.75" customHeight="1" x14ac:dyDescent="0.25">
      <c r="B2147" s="249" t="s">
        <v>825</v>
      </c>
      <c r="C2147" s="111" t="s">
        <v>841</v>
      </c>
      <c r="D2147" s="435"/>
      <c r="E2147" s="91"/>
      <c r="F2147" s="185"/>
      <c r="G2147" s="168"/>
      <c r="H2147" s="254">
        <f>H2124+H2125+H2130</f>
        <v>5635000</v>
      </c>
      <c r="M2147" s="185"/>
    </row>
    <row r="2148" spans="1:13" ht="18.75" customHeight="1" x14ac:dyDescent="0.25">
      <c r="B2148" s="249" t="s">
        <v>827</v>
      </c>
      <c r="C2148" s="111" t="s">
        <v>842</v>
      </c>
      <c r="D2148" s="435"/>
      <c r="E2148" s="91"/>
      <c r="F2148" s="185"/>
      <c r="G2148" s="168"/>
      <c r="H2148" s="254">
        <f>H2124+H2125+H2131</f>
        <v>5678200</v>
      </c>
      <c r="M2148" s="185"/>
    </row>
    <row r="2149" spans="1:13" ht="18.75" customHeight="1" x14ac:dyDescent="0.25">
      <c r="B2149" s="249" t="s">
        <v>617</v>
      </c>
      <c r="C2149" s="111" t="s">
        <v>843</v>
      </c>
      <c r="D2149" s="435"/>
      <c r="E2149" s="91"/>
      <c r="F2149" s="185"/>
      <c r="G2149" s="168"/>
      <c r="H2149" s="254">
        <f>H2124+H2125+H2132</f>
        <v>5711700</v>
      </c>
      <c r="M2149" s="185"/>
    </row>
    <row r="2150" spans="1:13" ht="18.75" customHeight="1" x14ac:dyDescent="0.25">
      <c r="B2150" s="249" t="s">
        <v>812</v>
      </c>
      <c r="C2150" s="111" t="s">
        <v>844</v>
      </c>
      <c r="D2150" s="435"/>
      <c r="E2150" s="91"/>
      <c r="F2150" s="185"/>
      <c r="G2150" s="168"/>
      <c r="H2150" s="254">
        <f>H2124+H2125+H2133</f>
        <v>5732400</v>
      </c>
      <c r="M2150" s="185"/>
    </row>
    <row r="2151" spans="1:13" ht="18.75" customHeight="1" x14ac:dyDescent="0.25">
      <c r="B2151" s="249" t="s">
        <v>814</v>
      </c>
      <c r="C2151" s="111" t="s">
        <v>845</v>
      </c>
      <c r="D2151" s="435"/>
      <c r="E2151" s="91"/>
      <c r="F2151" s="185"/>
      <c r="G2151" s="168"/>
      <c r="H2151" s="254">
        <f>H2124+H2125+H2134</f>
        <v>5767900</v>
      </c>
      <c r="M2151" s="185"/>
    </row>
    <row r="2152" spans="1:13" ht="18.75" customHeight="1" x14ac:dyDescent="0.25">
      <c r="B2152" s="249" t="s">
        <v>816</v>
      </c>
      <c r="C2152" s="111" t="s">
        <v>846</v>
      </c>
      <c r="D2152" s="435"/>
      <c r="E2152" s="91"/>
      <c r="F2152" s="185"/>
      <c r="G2152" s="168"/>
      <c r="H2152" s="254">
        <f>H2124+H2125+H2135</f>
        <v>5778900</v>
      </c>
      <c r="M2152" s="185"/>
    </row>
    <row r="2153" spans="1:13" ht="18.75" customHeight="1" x14ac:dyDescent="0.25">
      <c r="B2153" s="249" t="s">
        <v>818</v>
      </c>
      <c r="C2153" s="111" t="s">
        <v>847</v>
      </c>
      <c r="D2153" s="435"/>
      <c r="E2153" s="91"/>
      <c r="F2153" s="185"/>
      <c r="G2153" s="168"/>
      <c r="H2153" s="254">
        <f>H2124+H2125+H2136</f>
        <v>5879900</v>
      </c>
      <c r="M2153" s="185"/>
    </row>
    <row r="2154" spans="1:13" ht="18.75" customHeight="1" x14ac:dyDescent="0.25">
      <c r="B2154" s="249" t="s">
        <v>820</v>
      </c>
      <c r="C2154" s="111" t="s">
        <v>848</v>
      </c>
      <c r="D2154" s="435"/>
      <c r="E2154" s="91"/>
      <c r="F2154" s="185"/>
      <c r="G2154" s="168"/>
      <c r="H2154" s="254">
        <f>H2124+H2125+H2137</f>
        <v>5894300</v>
      </c>
      <c r="M2154" s="185"/>
    </row>
    <row r="2155" spans="1:13" ht="18.75" customHeight="1" x14ac:dyDescent="0.25">
      <c r="B2155" s="259"/>
      <c r="C2155" s="261"/>
      <c r="D2155" s="245"/>
      <c r="E2155" s="246"/>
      <c r="F2155" s="247"/>
      <c r="G2155" s="298"/>
      <c r="H2155" s="260"/>
      <c r="M2155" s="247"/>
    </row>
    <row r="2156" spans="1:13" ht="18.75" customHeight="1" x14ac:dyDescent="0.25">
      <c r="B2156" s="22"/>
      <c r="C2156" s="104"/>
      <c r="E2156" s="21"/>
      <c r="F2156" s="176"/>
      <c r="G2156" s="165"/>
      <c r="H2156" s="119"/>
      <c r="M2156" s="176"/>
    </row>
    <row r="2157" spans="1:13" ht="18.75" customHeight="1" x14ac:dyDescent="0.25">
      <c r="A2157" s="388" t="s">
        <v>1494</v>
      </c>
      <c r="B2157" s="389" t="s">
        <v>875</v>
      </c>
      <c r="C2157" s="390"/>
      <c r="D2157" s="391"/>
      <c r="E2157" s="392"/>
      <c r="F2157" s="393"/>
      <c r="G2157" s="394"/>
      <c r="H2157" s="391"/>
      <c r="M2157" s="393"/>
    </row>
    <row r="2158" spans="1:13" ht="18.75" customHeight="1" x14ac:dyDescent="0.25">
      <c r="B2158" s="19"/>
      <c r="C2158" s="93"/>
      <c r="G2158" s="66"/>
      <c r="H2158" s="138"/>
    </row>
    <row r="2159" spans="1:13" ht="18.75" customHeight="1" x14ac:dyDescent="0.25">
      <c r="B2159" s="19">
        <v>1</v>
      </c>
      <c r="C2159" s="93" t="s">
        <v>876</v>
      </c>
      <c r="D2159" s="19"/>
      <c r="E2159" s="21"/>
      <c r="F2159" s="176"/>
      <c r="G2159" s="165"/>
      <c r="H2159" s="119"/>
      <c r="M2159" s="176"/>
    </row>
    <row r="2160" spans="1:13" ht="18.75" customHeight="1" x14ac:dyDescent="0.25">
      <c r="B2160" s="618" t="s">
        <v>620</v>
      </c>
      <c r="C2160" s="620" t="s">
        <v>621</v>
      </c>
      <c r="D2160" s="618" t="s">
        <v>622</v>
      </c>
      <c r="E2160" s="618" t="s">
        <v>2</v>
      </c>
      <c r="F2160" s="615" t="s">
        <v>623</v>
      </c>
      <c r="G2160" s="289" t="s">
        <v>624</v>
      </c>
      <c r="H2160" s="256" t="s">
        <v>625</v>
      </c>
      <c r="M2160" s="615" t="s">
        <v>623</v>
      </c>
    </row>
    <row r="2161" spans="2:13" ht="18.75" customHeight="1" x14ac:dyDescent="0.25">
      <c r="B2161" s="619"/>
      <c r="C2161" s="621"/>
      <c r="D2161" s="619"/>
      <c r="E2161" s="619"/>
      <c r="F2161" s="616"/>
      <c r="G2161" s="289" t="s">
        <v>626</v>
      </c>
      <c r="H2161" s="256" t="s">
        <v>626</v>
      </c>
      <c r="M2161" s="616"/>
    </row>
    <row r="2162" spans="2:13" ht="18.75" customHeight="1" x14ac:dyDescent="0.25">
      <c r="B2162" s="221"/>
      <c r="C2162" s="222"/>
      <c r="D2162" s="221"/>
      <c r="E2162" s="550"/>
      <c r="F2162" s="555"/>
      <c r="G2162" s="551"/>
      <c r="H2162" s="220"/>
      <c r="M2162" s="590"/>
    </row>
    <row r="2163" spans="2:13" ht="18.75" customHeight="1" x14ac:dyDescent="0.25">
      <c r="B2163" s="550" t="s">
        <v>627</v>
      </c>
      <c r="C2163" s="223" t="s">
        <v>628</v>
      </c>
      <c r="D2163" s="550"/>
      <c r="E2163" s="224"/>
      <c r="F2163" s="225"/>
      <c r="G2163" s="290"/>
      <c r="H2163" s="226"/>
      <c r="M2163" s="225"/>
    </row>
    <row r="2164" spans="2:13" ht="18.75" customHeight="1" x14ac:dyDescent="0.25">
      <c r="B2164" s="550"/>
      <c r="C2164" s="227" t="s">
        <v>629</v>
      </c>
      <c r="D2164" s="550" t="s">
        <v>630</v>
      </c>
      <c r="E2164" s="224" t="s">
        <v>631</v>
      </c>
      <c r="F2164" s="228">
        <f t="shared" ref="F2164:F2167" si="109">$K$8*M2164</f>
        <v>7.4999999999999997E-2</v>
      </c>
      <c r="G2164" s="229">
        <f>Upah!E16</f>
        <v>95000</v>
      </c>
      <c r="H2164" s="230">
        <f>+G2164*F2164</f>
        <v>7125</v>
      </c>
      <c r="M2164" s="228">
        <v>7.4999999999999997E-2</v>
      </c>
    </row>
    <row r="2165" spans="2:13" ht="18.75" customHeight="1" x14ac:dyDescent="0.25">
      <c r="B2165" s="550"/>
      <c r="C2165" s="227" t="s">
        <v>1504</v>
      </c>
      <c r="D2165" s="550" t="s">
        <v>634</v>
      </c>
      <c r="E2165" s="224" t="s">
        <v>631</v>
      </c>
      <c r="F2165" s="228">
        <f t="shared" si="109"/>
        <v>7.4999999999999997E-2</v>
      </c>
      <c r="G2165" s="229">
        <f>Upah!E18</f>
        <v>110000</v>
      </c>
      <c r="H2165" s="230">
        <f>+G2165*F2165</f>
        <v>8250</v>
      </c>
      <c r="M2165" s="228">
        <v>7.4999999999999997E-2</v>
      </c>
    </row>
    <row r="2166" spans="2:13" ht="18.75" customHeight="1" x14ac:dyDescent="0.25">
      <c r="B2166" s="550"/>
      <c r="C2166" s="227" t="s">
        <v>633</v>
      </c>
      <c r="D2166" s="550" t="s">
        <v>634</v>
      </c>
      <c r="E2166" s="224" t="s">
        <v>631</v>
      </c>
      <c r="F2166" s="228">
        <f t="shared" si="109"/>
        <v>6.0000000000000001E-3</v>
      </c>
      <c r="G2166" s="229">
        <f>Upah!E11</f>
        <v>115000</v>
      </c>
      <c r="H2166" s="230">
        <f>+G2166*F2166</f>
        <v>690</v>
      </c>
      <c r="M2166" s="228">
        <v>6.0000000000000001E-3</v>
      </c>
    </row>
    <row r="2167" spans="2:13" ht="18.75" customHeight="1" x14ac:dyDescent="0.25">
      <c r="B2167" s="550"/>
      <c r="C2167" s="227" t="s">
        <v>600</v>
      </c>
      <c r="D2167" s="550" t="s">
        <v>635</v>
      </c>
      <c r="E2167" s="224" t="s">
        <v>631</v>
      </c>
      <c r="F2167" s="228">
        <f t="shared" si="109"/>
        <v>3.0000000000000001E-3</v>
      </c>
      <c r="G2167" s="229">
        <f>Upah!E9</f>
        <v>140000</v>
      </c>
      <c r="H2167" s="230">
        <f>+G2167*F2167</f>
        <v>420</v>
      </c>
      <c r="M2167" s="228">
        <v>3.0000000000000001E-3</v>
      </c>
    </row>
    <row r="2168" spans="2:13" ht="18.75" customHeight="1" x14ac:dyDescent="0.25">
      <c r="B2168" s="550"/>
      <c r="C2168" s="223"/>
      <c r="D2168" s="550"/>
      <c r="E2168" s="224"/>
      <c r="F2168" s="233" t="s">
        <v>636</v>
      </c>
      <c r="G2168" s="290"/>
      <c r="H2168" s="231">
        <f>SUM(H2165:H2167)</f>
        <v>9360</v>
      </c>
      <c r="M2168" s="233" t="s">
        <v>636</v>
      </c>
    </row>
    <row r="2169" spans="2:13" ht="18.75" customHeight="1" x14ac:dyDescent="0.25">
      <c r="B2169" s="550"/>
      <c r="C2169" s="223"/>
      <c r="D2169" s="550"/>
      <c r="E2169" s="224"/>
      <c r="F2169" s="233"/>
      <c r="G2169" s="290"/>
      <c r="H2169" s="231"/>
      <c r="M2169" s="233"/>
    </row>
    <row r="2170" spans="2:13" ht="18.75" customHeight="1" x14ac:dyDescent="0.25">
      <c r="B2170" s="550" t="s">
        <v>637</v>
      </c>
      <c r="C2170" s="223" t="s">
        <v>638</v>
      </c>
      <c r="D2170" s="550"/>
      <c r="E2170" s="224"/>
      <c r="F2170" s="225"/>
      <c r="G2170" s="290"/>
      <c r="H2170" s="226"/>
      <c r="M2170" s="225"/>
    </row>
    <row r="2171" spans="2:13" ht="18.75" customHeight="1" x14ac:dyDescent="0.25">
      <c r="B2171" s="550"/>
      <c r="C2171" s="223" t="s">
        <v>877</v>
      </c>
      <c r="D2171" s="550"/>
      <c r="E2171" s="224" t="s">
        <v>5</v>
      </c>
      <c r="F2171" s="228">
        <v>1.05</v>
      </c>
      <c r="G2171" s="229">
        <f>Bahan!D136</f>
        <v>36400</v>
      </c>
      <c r="H2171" s="230">
        <f>F2171*G2171</f>
        <v>38220</v>
      </c>
      <c r="M2171" s="228">
        <v>1.05</v>
      </c>
    </row>
    <row r="2172" spans="2:13" ht="18.75" customHeight="1" x14ac:dyDescent="0.25">
      <c r="B2172" s="550"/>
      <c r="C2172" s="223"/>
      <c r="D2172" s="550"/>
      <c r="E2172" s="224"/>
      <c r="F2172" s="237" t="s">
        <v>643</v>
      </c>
      <c r="G2172" s="290"/>
      <c r="H2172" s="231">
        <f>SUM(H2171)</f>
        <v>38220</v>
      </c>
      <c r="M2172" s="237" t="s">
        <v>643</v>
      </c>
    </row>
    <row r="2173" spans="2:13" ht="18.75" customHeight="1" x14ac:dyDescent="0.25">
      <c r="B2173" s="550"/>
      <c r="C2173" s="223"/>
      <c r="D2173" s="550"/>
      <c r="E2173" s="224"/>
      <c r="F2173" s="225"/>
      <c r="G2173" s="290"/>
      <c r="H2173" s="226"/>
      <c r="M2173" s="225"/>
    </row>
    <row r="2174" spans="2:13" ht="18.75" customHeight="1" x14ac:dyDescent="0.25">
      <c r="B2174" s="550" t="s">
        <v>644</v>
      </c>
      <c r="C2174" s="223" t="s">
        <v>645</v>
      </c>
      <c r="D2174" s="550"/>
      <c r="E2174" s="224"/>
      <c r="F2174" s="225"/>
      <c r="G2174" s="290"/>
      <c r="H2174" s="235"/>
      <c r="M2174" s="225"/>
    </row>
    <row r="2175" spans="2:13" ht="18.75" customHeight="1" x14ac:dyDescent="0.25">
      <c r="B2175" s="236"/>
      <c r="C2175" s="232"/>
      <c r="D2175" s="550"/>
      <c r="E2175" s="224"/>
      <c r="F2175" s="237" t="s">
        <v>646</v>
      </c>
      <c r="G2175" s="290"/>
      <c r="H2175" s="230"/>
      <c r="M2175" s="237" t="s">
        <v>646</v>
      </c>
    </row>
    <row r="2176" spans="2:13" ht="18.75" customHeight="1" x14ac:dyDescent="0.25">
      <c r="B2176" s="236"/>
      <c r="C2176" s="232"/>
      <c r="D2176" s="550"/>
      <c r="E2176" s="224"/>
      <c r="F2176" s="237"/>
      <c r="G2176" s="290"/>
      <c r="H2176" s="226"/>
      <c r="M2176" s="237"/>
    </row>
    <row r="2177" spans="2:13" ht="18.75" customHeight="1" x14ac:dyDescent="0.25">
      <c r="B2177" s="248"/>
      <c r="C2177" s="238"/>
      <c r="D2177" s="239"/>
      <c r="E2177" s="240"/>
      <c r="F2177" s="241"/>
      <c r="G2177" s="291"/>
      <c r="H2177" s="251"/>
      <c r="M2177" s="241"/>
    </row>
    <row r="2178" spans="2:13" ht="18.75" customHeight="1" x14ac:dyDescent="0.25">
      <c r="B2178" s="249" t="s">
        <v>647</v>
      </c>
      <c r="C2178" s="104" t="s">
        <v>648</v>
      </c>
      <c r="D2178" s="435"/>
      <c r="E2178" s="92"/>
      <c r="F2178" s="183"/>
      <c r="G2178" s="167"/>
      <c r="H2178" s="252">
        <f>+H2175+H2172+H2168</f>
        <v>47580</v>
      </c>
      <c r="M2178" s="183"/>
    </row>
    <row r="2179" spans="2:13" ht="18.75" customHeight="1" x14ac:dyDescent="0.25">
      <c r="B2179" s="249" t="s">
        <v>649</v>
      </c>
      <c r="C2179" s="242" t="s">
        <v>650</v>
      </c>
      <c r="D2179" s="435"/>
      <c r="E2179" s="92"/>
      <c r="F2179" s="184" t="str">
        <f>$J$5</f>
        <v>8,0 % x D</v>
      </c>
      <c r="G2179" s="167"/>
      <c r="H2179" s="253">
        <f>+H2178*$K$5</f>
        <v>3806.4</v>
      </c>
      <c r="M2179" s="184" t="str">
        <f>$J$5</f>
        <v>8,0 % x D</v>
      </c>
    </row>
    <row r="2180" spans="2:13" ht="18.75" customHeight="1" x14ac:dyDescent="0.25">
      <c r="B2180" s="249" t="s">
        <v>651</v>
      </c>
      <c r="C2180" s="111" t="s">
        <v>652</v>
      </c>
      <c r="D2180" s="435"/>
      <c r="E2180" s="91"/>
      <c r="F2180" s="185"/>
      <c r="G2180" s="168"/>
      <c r="H2180" s="254">
        <f>ROUNDUP((H2179+H2178)/100,0)*100</f>
        <v>51400</v>
      </c>
      <c r="M2180" s="185"/>
    </row>
    <row r="2181" spans="2:13" ht="18.75" customHeight="1" x14ac:dyDescent="0.25">
      <c r="B2181" s="259"/>
      <c r="C2181" s="261"/>
      <c r="D2181" s="245"/>
      <c r="E2181" s="246"/>
      <c r="F2181" s="247"/>
      <c r="G2181" s="298"/>
      <c r="H2181" s="260"/>
      <c r="M2181" s="247"/>
    </row>
    <row r="2182" spans="2:13" ht="18.75" customHeight="1" x14ac:dyDescent="0.25">
      <c r="B2182" s="92"/>
      <c r="C2182" s="104"/>
      <c r="D2182" s="435"/>
      <c r="E2182" s="91"/>
      <c r="F2182" s="185"/>
      <c r="G2182" s="168"/>
      <c r="H2182" s="139"/>
      <c r="M2182" s="185"/>
    </row>
    <row r="2183" spans="2:13" ht="18.75" customHeight="1" x14ac:dyDescent="0.25">
      <c r="B2183" s="19" t="s">
        <v>1498</v>
      </c>
      <c r="C2183" s="93" t="s">
        <v>1495</v>
      </c>
      <c r="D2183" s="19"/>
      <c r="E2183" s="21"/>
      <c r="F2183" s="176"/>
      <c r="G2183" s="165"/>
      <c r="H2183" s="139"/>
      <c r="M2183" s="176"/>
    </row>
    <row r="2184" spans="2:13" ht="18.75" customHeight="1" x14ac:dyDescent="0.25">
      <c r="B2184" s="19" t="s">
        <v>1499</v>
      </c>
      <c r="C2184" s="93" t="s">
        <v>1496</v>
      </c>
      <c r="D2184" s="19"/>
      <c r="E2184" s="21"/>
      <c r="F2184" s="176"/>
      <c r="G2184" s="165"/>
      <c r="H2184" s="139"/>
      <c r="M2184" s="176"/>
    </row>
    <row r="2185" spans="2:13" ht="18.75" customHeight="1" x14ac:dyDescent="0.25">
      <c r="B2185" s="19" t="s">
        <v>1500</v>
      </c>
      <c r="C2185" s="93" t="s">
        <v>1497</v>
      </c>
      <c r="D2185" s="19"/>
      <c r="E2185" s="21"/>
      <c r="F2185" s="176"/>
      <c r="G2185" s="165"/>
      <c r="H2185" s="139"/>
      <c r="M2185" s="176"/>
    </row>
    <row r="2186" spans="2:13" ht="18.75" customHeight="1" x14ac:dyDescent="0.25">
      <c r="B2186" s="19" t="s">
        <v>1501</v>
      </c>
      <c r="C2186" s="93" t="s">
        <v>1497</v>
      </c>
      <c r="D2186" s="19"/>
      <c r="E2186" s="21"/>
      <c r="F2186" s="176"/>
      <c r="G2186" s="165"/>
      <c r="H2186" s="139"/>
      <c r="M2186" s="176"/>
    </row>
    <row r="2187" spans="2:13" ht="18.75" customHeight="1" x14ac:dyDescent="0.25">
      <c r="B2187" s="618" t="s">
        <v>620</v>
      </c>
      <c r="C2187" s="620" t="s">
        <v>621</v>
      </c>
      <c r="D2187" s="618" t="s">
        <v>622</v>
      </c>
      <c r="E2187" s="618" t="s">
        <v>2</v>
      </c>
      <c r="F2187" s="615" t="s">
        <v>623</v>
      </c>
      <c r="G2187" s="289" t="s">
        <v>624</v>
      </c>
      <c r="H2187" s="256" t="s">
        <v>625</v>
      </c>
      <c r="M2187" s="615" t="s">
        <v>623</v>
      </c>
    </row>
    <row r="2188" spans="2:13" ht="18.75" customHeight="1" x14ac:dyDescent="0.25">
      <c r="B2188" s="619"/>
      <c r="C2188" s="621"/>
      <c r="D2188" s="619"/>
      <c r="E2188" s="619"/>
      <c r="F2188" s="616"/>
      <c r="G2188" s="289" t="s">
        <v>626</v>
      </c>
      <c r="H2188" s="256" t="s">
        <v>626</v>
      </c>
      <c r="M2188" s="616"/>
    </row>
    <row r="2189" spans="2:13" ht="18.75" customHeight="1" x14ac:dyDescent="0.25">
      <c r="B2189" s="221"/>
      <c r="C2189" s="222"/>
      <c r="D2189" s="221"/>
      <c r="E2189" s="550"/>
      <c r="F2189" s="555"/>
      <c r="G2189" s="551"/>
      <c r="H2189" s="220"/>
      <c r="M2189" s="590"/>
    </row>
    <row r="2190" spans="2:13" ht="18.75" customHeight="1" x14ac:dyDescent="0.25">
      <c r="B2190" s="550" t="s">
        <v>627</v>
      </c>
      <c r="C2190" s="223" t="s">
        <v>628</v>
      </c>
      <c r="D2190" s="550"/>
      <c r="E2190" s="224"/>
      <c r="F2190" s="225"/>
      <c r="G2190" s="290"/>
      <c r="H2190" s="226"/>
      <c r="M2190" s="225"/>
    </row>
    <row r="2191" spans="2:13" ht="18.75" customHeight="1" x14ac:dyDescent="0.25">
      <c r="B2191" s="550"/>
      <c r="C2191" s="227" t="s">
        <v>629</v>
      </c>
      <c r="D2191" s="550" t="s">
        <v>630</v>
      </c>
      <c r="E2191" s="224" t="s">
        <v>631</v>
      </c>
      <c r="F2191" s="228">
        <f t="shared" ref="F2191:F2194" si="110">$K$8*M2191</f>
        <v>7.4999999999999997E-2</v>
      </c>
      <c r="G2191" s="229">
        <f>G2164</f>
        <v>95000</v>
      </c>
      <c r="H2191" s="230">
        <f>+G2191*F2191</f>
        <v>7125</v>
      </c>
      <c r="M2191" s="228">
        <v>7.4999999999999997E-2</v>
      </c>
    </row>
    <row r="2192" spans="2:13" ht="18.75" customHeight="1" x14ac:dyDescent="0.25">
      <c r="B2192" s="550"/>
      <c r="C2192" s="227" t="s">
        <v>1504</v>
      </c>
      <c r="D2192" s="550" t="s">
        <v>634</v>
      </c>
      <c r="E2192" s="224" t="s">
        <v>631</v>
      </c>
      <c r="F2192" s="228">
        <f t="shared" si="110"/>
        <v>7.4999999999999997E-2</v>
      </c>
      <c r="G2192" s="229">
        <f>G2165</f>
        <v>110000</v>
      </c>
      <c r="H2192" s="230">
        <f>+G2192*F2192</f>
        <v>8250</v>
      </c>
      <c r="M2192" s="228">
        <v>7.4999999999999997E-2</v>
      </c>
    </row>
    <row r="2193" spans="2:13" ht="18.75" customHeight="1" x14ac:dyDescent="0.25">
      <c r="B2193" s="550"/>
      <c r="C2193" s="227" t="s">
        <v>633</v>
      </c>
      <c r="D2193" s="550" t="s">
        <v>634</v>
      </c>
      <c r="E2193" s="224" t="s">
        <v>631</v>
      </c>
      <c r="F2193" s="228">
        <f t="shared" si="110"/>
        <v>6.0000000000000001E-3</v>
      </c>
      <c r="G2193" s="229">
        <f>G2166</f>
        <v>115000</v>
      </c>
      <c r="H2193" s="230">
        <f>+G2193*F2193</f>
        <v>690</v>
      </c>
      <c r="M2193" s="228">
        <v>6.0000000000000001E-3</v>
      </c>
    </row>
    <row r="2194" spans="2:13" ht="18.75" customHeight="1" x14ac:dyDescent="0.25">
      <c r="B2194" s="550"/>
      <c r="C2194" s="227" t="s">
        <v>600</v>
      </c>
      <c r="D2194" s="550" t="s">
        <v>635</v>
      </c>
      <c r="E2194" s="224" t="s">
        <v>631</v>
      </c>
      <c r="F2194" s="228">
        <f t="shared" si="110"/>
        <v>3.0000000000000001E-3</v>
      </c>
      <c r="G2194" s="229">
        <f>G2167</f>
        <v>140000</v>
      </c>
      <c r="H2194" s="230">
        <f>+G2194*F2194</f>
        <v>420</v>
      </c>
      <c r="M2194" s="228">
        <v>3.0000000000000001E-3</v>
      </c>
    </row>
    <row r="2195" spans="2:13" ht="18.75" customHeight="1" x14ac:dyDescent="0.25">
      <c r="B2195" s="550"/>
      <c r="C2195" s="223"/>
      <c r="D2195" s="550"/>
      <c r="E2195" s="224"/>
      <c r="F2195" s="233" t="s">
        <v>636</v>
      </c>
      <c r="G2195" s="290"/>
      <c r="H2195" s="231">
        <f>SUM(H2191:H2194)</f>
        <v>16485</v>
      </c>
      <c r="M2195" s="233" t="s">
        <v>636</v>
      </c>
    </row>
    <row r="2196" spans="2:13" ht="18.75" customHeight="1" x14ac:dyDescent="0.25">
      <c r="B2196" s="550" t="s">
        <v>637</v>
      </c>
      <c r="C2196" s="223" t="s">
        <v>638</v>
      </c>
      <c r="D2196" s="550"/>
      <c r="E2196" s="224"/>
      <c r="F2196" s="225"/>
      <c r="G2196" s="290"/>
      <c r="H2196" s="226"/>
      <c r="M2196" s="225"/>
    </row>
    <row r="2197" spans="2:13" ht="18.75" customHeight="1" x14ac:dyDescent="0.25">
      <c r="B2197" s="550"/>
      <c r="C2197" s="223" t="s">
        <v>878</v>
      </c>
      <c r="D2197" s="550"/>
      <c r="E2197" s="224" t="s">
        <v>5</v>
      </c>
      <c r="F2197" s="228">
        <v>1.1499999999999999</v>
      </c>
      <c r="G2197" s="229">
        <f>Bahan!D138</f>
        <v>13000</v>
      </c>
      <c r="H2197" s="230">
        <f>+G2197*F2197</f>
        <v>14949.999999999998</v>
      </c>
      <c r="M2197" s="228">
        <v>1.1499999999999999</v>
      </c>
    </row>
    <row r="2198" spans="2:13" ht="18.75" customHeight="1" x14ac:dyDescent="0.25">
      <c r="B2198" s="550"/>
      <c r="C2198" s="223" t="s">
        <v>879</v>
      </c>
      <c r="D2198" s="550"/>
      <c r="E2198" s="224" t="s">
        <v>5</v>
      </c>
      <c r="F2198" s="228">
        <v>1.1499999999999999</v>
      </c>
      <c r="G2198" s="229">
        <f>Bahan!D137</f>
        <v>12000</v>
      </c>
      <c r="H2198" s="230">
        <f>+G2198*F2198</f>
        <v>13799.999999999998</v>
      </c>
      <c r="M2198" s="228">
        <v>1.1499999999999999</v>
      </c>
    </row>
    <row r="2199" spans="2:13" ht="18.75" customHeight="1" x14ac:dyDescent="0.25">
      <c r="B2199" s="550"/>
      <c r="C2199" s="223" t="s">
        <v>880</v>
      </c>
      <c r="D2199" s="550"/>
      <c r="E2199" s="224" t="s">
        <v>5</v>
      </c>
      <c r="F2199" s="228">
        <v>1.1499999999999999</v>
      </c>
      <c r="G2199" s="229">
        <f>Bahan!D139</f>
        <v>11000</v>
      </c>
      <c r="H2199" s="230">
        <f>+G2199*F2199</f>
        <v>12649.999999999998</v>
      </c>
      <c r="M2199" s="228">
        <v>1.1499999999999999</v>
      </c>
    </row>
    <row r="2200" spans="2:13" ht="18.75" customHeight="1" x14ac:dyDescent="0.25">
      <c r="B2200" s="550"/>
      <c r="C2200" s="223" t="s">
        <v>881</v>
      </c>
      <c r="D2200" s="550"/>
      <c r="E2200" s="224" t="s">
        <v>5</v>
      </c>
      <c r="F2200" s="228">
        <v>1.1499999999999999</v>
      </c>
      <c r="G2200" s="229">
        <f>Bahan!D140</f>
        <v>10500</v>
      </c>
      <c r="H2200" s="230">
        <f>+G2200*F2200</f>
        <v>12074.999999999998</v>
      </c>
      <c r="M2200" s="228">
        <v>1.1499999999999999</v>
      </c>
    </row>
    <row r="2201" spans="2:13" ht="18.75" customHeight="1" x14ac:dyDescent="0.25">
      <c r="B2201" s="550"/>
      <c r="C2201" s="223" t="s">
        <v>882</v>
      </c>
      <c r="D2201" s="550"/>
      <c r="E2201" s="224" t="s">
        <v>5</v>
      </c>
      <c r="F2201" s="228">
        <v>0.18</v>
      </c>
      <c r="G2201" s="229">
        <f>Bahan!D188</f>
        <v>40000</v>
      </c>
      <c r="H2201" s="230">
        <f>+G2201*F2201</f>
        <v>7200</v>
      </c>
      <c r="M2201" s="228">
        <v>0.18</v>
      </c>
    </row>
    <row r="2202" spans="2:13" ht="18.75" customHeight="1" x14ac:dyDescent="0.25">
      <c r="B2202" s="550"/>
      <c r="C2202" s="223"/>
      <c r="D2202" s="550"/>
      <c r="E2202" s="224"/>
      <c r="F2202" s="237" t="s">
        <v>643</v>
      </c>
      <c r="G2202" s="290"/>
      <c r="H2202" s="231">
        <f>H2197+H2201</f>
        <v>22150</v>
      </c>
      <c r="M2202" s="237" t="s">
        <v>643</v>
      </c>
    </row>
    <row r="2203" spans="2:13" ht="18.75" customHeight="1" x14ac:dyDescent="0.25">
      <c r="B2203" s="550"/>
      <c r="C2203" s="223"/>
      <c r="D2203" s="550"/>
      <c r="E2203" s="224"/>
      <c r="F2203" s="237" t="s">
        <v>643</v>
      </c>
      <c r="G2203" s="290"/>
      <c r="H2203" s="231">
        <f>H2198+H2201</f>
        <v>21000</v>
      </c>
      <c r="M2203" s="237" t="s">
        <v>643</v>
      </c>
    </row>
    <row r="2204" spans="2:13" ht="18.75" customHeight="1" x14ac:dyDescent="0.25">
      <c r="B2204" s="550"/>
      <c r="C2204" s="223"/>
      <c r="D2204" s="550"/>
      <c r="E2204" s="224"/>
      <c r="F2204" s="237" t="s">
        <v>643</v>
      </c>
      <c r="G2204" s="290"/>
      <c r="H2204" s="231">
        <f>H2199+H2201</f>
        <v>19850</v>
      </c>
      <c r="M2204" s="237" t="s">
        <v>643</v>
      </c>
    </row>
    <row r="2205" spans="2:13" ht="18.75" customHeight="1" x14ac:dyDescent="0.25">
      <c r="B2205" s="550"/>
      <c r="C2205" s="223"/>
      <c r="D2205" s="550"/>
      <c r="E2205" s="224"/>
      <c r="F2205" s="237" t="s">
        <v>643</v>
      </c>
      <c r="G2205" s="290"/>
      <c r="H2205" s="231">
        <f>H2200+H2201</f>
        <v>19275</v>
      </c>
      <c r="M2205" s="237" t="s">
        <v>643</v>
      </c>
    </row>
    <row r="2206" spans="2:13" ht="18.75" customHeight="1" x14ac:dyDescent="0.25">
      <c r="B2206" s="550"/>
      <c r="C2206" s="223"/>
      <c r="D2206" s="550"/>
      <c r="E2206" s="224"/>
      <c r="F2206" s="225"/>
      <c r="G2206" s="290"/>
      <c r="H2206" s="226"/>
      <c r="M2206" s="225"/>
    </row>
    <row r="2207" spans="2:13" ht="18.75" customHeight="1" x14ac:dyDescent="0.25">
      <c r="B2207" s="550" t="s">
        <v>644</v>
      </c>
      <c r="C2207" s="223" t="s">
        <v>645</v>
      </c>
      <c r="D2207" s="550"/>
      <c r="E2207" s="224"/>
      <c r="F2207" s="225"/>
      <c r="G2207" s="290"/>
      <c r="H2207" s="235"/>
      <c r="M2207" s="225"/>
    </row>
    <row r="2208" spans="2:13" ht="18.75" customHeight="1" x14ac:dyDescent="0.25">
      <c r="B2208" s="236"/>
      <c r="C2208" s="232"/>
      <c r="D2208" s="550"/>
      <c r="E2208" s="224"/>
      <c r="F2208" s="237" t="s">
        <v>646</v>
      </c>
      <c r="G2208" s="290"/>
      <c r="H2208" s="230"/>
      <c r="M2208" s="237" t="s">
        <v>646</v>
      </c>
    </row>
    <row r="2209" spans="2:13" ht="18.75" customHeight="1" x14ac:dyDescent="0.25">
      <c r="B2209" s="236"/>
      <c r="C2209" s="232"/>
      <c r="D2209" s="550"/>
      <c r="E2209" s="224"/>
      <c r="F2209" s="237"/>
      <c r="G2209" s="290"/>
      <c r="H2209" s="226"/>
      <c r="M2209" s="237"/>
    </row>
    <row r="2210" spans="2:13" ht="18.75" customHeight="1" x14ac:dyDescent="0.25">
      <c r="B2210" s="248"/>
      <c r="C2210" s="238"/>
      <c r="D2210" s="239"/>
      <c r="E2210" s="266"/>
      <c r="F2210" s="241"/>
      <c r="G2210" s="303"/>
      <c r="H2210" s="267"/>
      <c r="M2210" s="241"/>
    </row>
    <row r="2211" spans="2:13" ht="18.75" customHeight="1" x14ac:dyDescent="0.25">
      <c r="B2211" s="249" t="s">
        <v>647</v>
      </c>
      <c r="C2211" s="104" t="s">
        <v>648</v>
      </c>
      <c r="D2211" s="435"/>
      <c r="E2211" s="92"/>
      <c r="F2211" s="183"/>
      <c r="G2211" s="167"/>
      <c r="H2211" s="252">
        <f>H2195+H2202</f>
        <v>38635</v>
      </c>
      <c r="M2211" s="183"/>
    </row>
    <row r="2212" spans="2:13" ht="18.75" customHeight="1" x14ac:dyDescent="0.25">
      <c r="B2212" s="249" t="s">
        <v>649</v>
      </c>
      <c r="C2212" s="104" t="s">
        <v>648</v>
      </c>
      <c r="D2212" s="435"/>
      <c r="E2212" s="92"/>
      <c r="F2212" s="183"/>
      <c r="G2212" s="167"/>
      <c r="H2212" s="252">
        <f>H2195+H2203</f>
        <v>37485</v>
      </c>
      <c r="M2212" s="183"/>
    </row>
    <row r="2213" spans="2:13" ht="18.75" customHeight="1" x14ac:dyDescent="0.25">
      <c r="B2213" s="249" t="s">
        <v>651</v>
      </c>
      <c r="C2213" s="104" t="s">
        <v>648</v>
      </c>
      <c r="D2213" s="435"/>
      <c r="E2213" s="92"/>
      <c r="F2213" s="183"/>
      <c r="G2213" s="167"/>
      <c r="H2213" s="252">
        <f>H2195+H2204</f>
        <v>36335</v>
      </c>
      <c r="M2213" s="183"/>
    </row>
    <row r="2214" spans="2:13" ht="18.75" customHeight="1" x14ac:dyDescent="0.25">
      <c r="B2214" s="249" t="s">
        <v>825</v>
      </c>
      <c r="C2214" s="104" t="s">
        <v>648</v>
      </c>
      <c r="D2214" s="435"/>
      <c r="E2214" s="92"/>
      <c r="F2214" s="183"/>
      <c r="G2214" s="167"/>
      <c r="H2214" s="252">
        <f>H2195+H2205</f>
        <v>35760</v>
      </c>
      <c r="M2214" s="183"/>
    </row>
    <row r="2215" spans="2:13" ht="18.75" customHeight="1" x14ac:dyDescent="0.25">
      <c r="B2215" s="249" t="s">
        <v>814</v>
      </c>
      <c r="C2215" s="104" t="s">
        <v>650</v>
      </c>
      <c r="D2215" s="435"/>
      <c r="E2215" s="92"/>
      <c r="F2215" s="184" t="str">
        <f t="shared" ref="F2215:F2218" si="111">$J$5</f>
        <v>8,0 % x D</v>
      </c>
      <c r="G2215" s="167"/>
      <c r="H2215" s="253">
        <f>H2211*$K$2801</f>
        <v>3090.8</v>
      </c>
      <c r="M2215" s="184" t="str">
        <f t="shared" ref="M2215:M2218" si="112">$J$5</f>
        <v>8,0 % x D</v>
      </c>
    </row>
    <row r="2216" spans="2:13" ht="18.75" customHeight="1" x14ac:dyDescent="0.25">
      <c r="B2216" s="249" t="s">
        <v>816</v>
      </c>
      <c r="C2216" s="104" t="s">
        <v>650</v>
      </c>
      <c r="D2216" s="435"/>
      <c r="E2216" s="92"/>
      <c r="F2216" s="184" t="str">
        <f t="shared" si="111"/>
        <v>8,0 % x D</v>
      </c>
      <c r="G2216" s="167"/>
      <c r="H2216" s="253">
        <f>H2212*$K$2801</f>
        <v>2998.8</v>
      </c>
      <c r="M2216" s="184" t="str">
        <f t="shared" si="112"/>
        <v>8,0 % x D</v>
      </c>
    </row>
    <row r="2217" spans="2:13" ht="18.75" customHeight="1" x14ac:dyDescent="0.25">
      <c r="B2217" s="249" t="s">
        <v>818</v>
      </c>
      <c r="C2217" s="104" t="s">
        <v>650</v>
      </c>
      <c r="D2217" s="435"/>
      <c r="E2217" s="92"/>
      <c r="F2217" s="184" t="str">
        <f t="shared" si="111"/>
        <v>8,0 % x D</v>
      </c>
      <c r="G2217" s="167"/>
      <c r="H2217" s="253">
        <f>H2213*$K$2801</f>
        <v>2906.8</v>
      </c>
      <c r="M2217" s="184" t="str">
        <f t="shared" si="112"/>
        <v>8,0 % x D</v>
      </c>
    </row>
    <row r="2218" spans="2:13" ht="18.75" customHeight="1" x14ac:dyDescent="0.25">
      <c r="B2218" s="249" t="s">
        <v>820</v>
      </c>
      <c r="C2218" s="104" t="s">
        <v>650</v>
      </c>
      <c r="D2218" s="435"/>
      <c r="E2218" s="92"/>
      <c r="F2218" s="184" t="str">
        <f t="shared" si="111"/>
        <v>8,0 % x D</v>
      </c>
      <c r="G2218" s="167"/>
      <c r="H2218" s="253">
        <f>H2214*$K$2801</f>
        <v>2860.8</v>
      </c>
      <c r="M2218" s="184" t="str">
        <f t="shared" si="112"/>
        <v>8,0 % x D</v>
      </c>
    </row>
    <row r="2219" spans="2:13" ht="18.75" customHeight="1" x14ac:dyDescent="0.25">
      <c r="B2219" s="249" t="s">
        <v>883</v>
      </c>
      <c r="C2219" s="111" t="s">
        <v>884</v>
      </c>
      <c r="D2219" s="435"/>
      <c r="E2219" s="92"/>
      <c r="F2219" s="184"/>
      <c r="G2219" s="167"/>
      <c r="H2219" s="343">
        <f>ROUNDUP((H2211+H2215)/100,0)*100</f>
        <v>41800</v>
      </c>
      <c r="M2219" s="184"/>
    </row>
    <row r="2220" spans="2:13" ht="18.75" customHeight="1" x14ac:dyDescent="0.25">
      <c r="B2220" s="249" t="s">
        <v>885</v>
      </c>
      <c r="C2220" s="111" t="s">
        <v>886</v>
      </c>
      <c r="D2220" s="435"/>
      <c r="E2220" s="92"/>
      <c r="F2220" s="184"/>
      <c r="G2220" s="167"/>
      <c r="H2220" s="343">
        <f t="shared" ref="H2220:H2222" si="113">ROUNDUP((H2212+H2216)/100,0)*100</f>
        <v>40500</v>
      </c>
      <c r="M2220" s="184"/>
    </row>
    <row r="2221" spans="2:13" ht="18.75" customHeight="1" x14ac:dyDescent="0.25">
      <c r="B2221" s="249" t="s">
        <v>825</v>
      </c>
      <c r="C2221" s="111" t="s">
        <v>887</v>
      </c>
      <c r="D2221" s="435"/>
      <c r="E2221" s="92"/>
      <c r="F2221" s="184"/>
      <c r="G2221" s="167"/>
      <c r="H2221" s="343">
        <f t="shared" si="113"/>
        <v>39300</v>
      </c>
      <c r="M2221" s="184"/>
    </row>
    <row r="2222" spans="2:13" ht="18.75" customHeight="1" x14ac:dyDescent="0.25">
      <c r="B2222" s="249" t="s">
        <v>827</v>
      </c>
      <c r="C2222" s="111" t="s">
        <v>888</v>
      </c>
      <c r="D2222" s="435"/>
      <c r="E2222" s="91"/>
      <c r="F2222" s="185"/>
      <c r="G2222" s="168"/>
      <c r="H2222" s="343">
        <f t="shared" si="113"/>
        <v>38700</v>
      </c>
      <c r="M2222" s="185"/>
    </row>
    <row r="2223" spans="2:13" ht="18.75" customHeight="1" x14ac:dyDescent="0.25">
      <c r="B2223" s="250"/>
      <c r="C2223" s="279"/>
      <c r="D2223" s="245"/>
      <c r="E2223" s="246"/>
      <c r="F2223" s="247"/>
      <c r="G2223" s="298"/>
      <c r="H2223" s="345"/>
      <c r="M2223" s="247"/>
    </row>
    <row r="2224" spans="2:13" ht="18.75" customHeight="1" x14ac:dyDescent="0.25">
      <c r="C2224" s="111"/>
      <c r="E2224" s="21"/>
      <c r="F2224" s="176"/>
      <c r="G2224" s="165"/>
      <c r="H2224" s="211"/>
      <c r="M2224" s="176"/>
    </row>
    <row r="2225" spans="2:13" ht="18.75" customHeight="1" x14ac:dyDescent="0.25">
      <c r="B2225" s="19">
        <f>B2159+2</f>
        <v>3</v>
      </c>
      <c r="C2225" s="93" t="s">
        <v>889</v>
      </c>
      <c r="D2225" s="19"/>
      <c r="E2225" s="21"/>
      <c r="F2225" s="176"/>
      <c r="G2225" s="165"/>
      <c r="H2225" s="119"/>
      <c r="M2225" s="176"/>
    </row>
    <row r="2226" spans="2:13" ht="18.75" customHeight="1" x14ac:dyDescent="0.25">
      <c r="B2226" s="618" t="s">
        <v>620</v>
      </c>
      <c r="C2226" s="620" t="s">
        <v>621</v>
      </c>
      <c r="D2226" s="618" t="s">
        <v>622</v>
      </c>
      <c r="E2226" s="618" t="s">
        <v>2</v>
      </c>
      <c r="F2226" s="615" t="s">
        <v>623</v>
      </c>
      <c r="G2226" s="289" t="s">
        <v>624</v>
      </c>
      <c r="H2226" s="256" t="s">
        <v>625</v>
      </c>
      <c r="M2226" s="615" t="s">
        <v>623</v>
      </c>
    </row>
    <row r="2227" spans="2:13" ht="18.75" customHeight="1" x14ac:dyDescent="0.25">
      <c r="B2227" s="619"/>
      <c r="C2227" s="621"/>
      <c r="D2227" s="619"/>
      <c r="E2227" s="619"/>
      <c r="F2227" s="616"/>
      <c r="G2227" s="289" t="s">
        <v>626</v>
      </c>
      <c r="H2227" s="256" t="s">
        <v>626</v>
      </c>
      <c r="M2227" s="616"/>
    </row>
    <row r="2228" spans="2:13" ht="18.75" customHeight="1" x14ac:dyDescent="0.25">
      <c r="B2228" s="221"/>
      <c r="C2228" s="222"/>
      <c r="D2228" s="221"/>
      <c r="E2228" s="550"/>
      <c r="F2228" s="555"/>
      <c r="G2228" s="551"/>
      <c r="H2228" s="220"/>
      <c r="M2228" s="590"/>
    </row>
    <row r="2229" spans="2:13" ht="18.75" customHeight="1" x14ac:dyDescent="0.25">
      <c r="B2229" s="550" t="s">
        <v>627</v>
      </c>
      <c r="C2229" s="223" t="s">
        <v>628</v>
      </c>
      <c r="D2229" s="550"/>
      <c r="E2229" s="224"/>
      <c r="F2229" s="225"/>
      <c r="G2229" s="290"/>
      <c r="H2229" s="226"/>
      <c r="M2229" s="225"/>
    </row>
    <row r="2230" spans="2:13" ht="18.75" customHeight="1" x14ac:dyDescent="0.25">
      <c r="B2230" s="550"/>
      <c r="C2230" s="227" t="s">
        <v>629</v>
      </c>
      <c r="D2230" s="550" t="s">
        <v>630</v>
      </c>
      <c r="E2230" s="224" t="s">
        <v>631</v>
      </c>
      <c r="F2230" s="228">
        <f t="shared" ref="F2230:F2233" si="114">$K$8*M2230</f>
        <v>0.1</v>
      </c>
      <c r="G2230" s="229">
        <f>G2191</f>
        <v>95000</v>
      </c>
      <c r="H2230" s="230">
        <f>+G2230*F2230</f>
        <v>9500</v>
      </c>
      <c r="M2230" s="228">
        <v>0.1</v>
      </c>
    </row>
    <row r="2231" spans="2:13" ht="18.75" customHeight="1" x14ac:dyDescent="0.25">
      <c r="B2231" s="550"/>
      <c r="C2231" s="227" t="s">
        <v>1504</v>
      </c>
      <c r="D2231" s="550" t="s">
        <v>634</v>
      </c>
      <c r="E2231" s="224" t="s">
        <v>631</v>
      </c>
      <c r="F2231" s="228">
        <f t="shared" si="114"/>
        <v>0.1</v>
      </c>
      <c r="G2231" s="229">
        <f>G2192</f>
        <v>110000</v>
      </c>
      <c r="H2231" s="230">
        <f>+G2231*F2231</f>
        <v>11000</v>
      </c>
      <c r="M2231" s="228">
        <v>0.1</v>
      </c>
    </row>
    <row r="2232" spans="2:13" ht="18.75" customHeight="1" x14ac:dyDescent="0.25">
      <c r="B2232" s="550"/>
      <c r="C2232" s="227" t="s">
        <v>633</v>
      </c>
      <c r="D2232" s="550" t="s">
        <v>634</v>
      </c>
      <c r="E2232" s="224" t="s">
        <v>631</v>
      </c>
      <c r="F2232" s="228">
        <f t="shared" si="114"/>
        <v>1E-3</v>
      </c>
      <c r="G2232" s="229">
        <f>G2193</f>
        <v>115000</v>
      </c>
      <c r="H2232" s="230">
        <f>+G2232*F2232</f>
        <v>115</v>
      </c>
      <c r="M2232" s="228">
        <v>1E-3</v>
      </c>
    </row>
    <row r="2233" spans="2:13" ht="18.75" customHeight="1" x14ac:dyDescent="0.25">
      <c r="B2233" s="550"/>
      <c r="C2233" s="227" t="s">
        <v>600</v>
      </c>
      <c r="D2233" s="550" t="s">
        <v>635</v>
      </c>
      <c r="E2233" s="224" t="s">
        <v>631</v>
      </c>
      <c r="F2233" s="228">
        <f t="shared" si="114"/>
        <v>5.0000000000000001E-3</v>
      </c>
      <c r="G2233" s="229">
        <f>G2194</f>
        <v>140000</v>
      </c>
      <c r="H2233" s="230">
        <f>+G2233*F2233</f>
        <v>700</v>
      </c>
      <c r="M2233" s="228">
        <v>5.0000000000000001E-3</v>
      </c>
    </row>
    <row r="2234" spans="2:13" ht="18.75" customHeight="1" x14ac:dyDescent="0.25">
      <c r="B2234" s="550"/>
      <c r="C2234" s="223"/>
      <c r="D2234" s="550"/>
      <c r="E2234" s="224"/>
      <c r="F2234" s="233" t="s">
        <v>636</v>
      </c>
      <c r="G2234" s="290"/>
      <c r="H2234" s="231">
        <f>SUM(H2231:H2233)</f>
        <v>11815</v>
      </c>
      <c r="M2234" s="233" t="s">
        <v>636</v>
      </c>
    </row>
    <row r="2235" spans="2:13" ht="18.75" customHeight="1" x14ac:dyDescent="0.25">
      <c r="B2235" s="550"/>
      <c r="C2235" s="223"/>
      <c r="D2235" s="550"/>
      <c r="E2235" s="224"/>
      <c r="F2235" s="233"/>
      <c r="G2235" s="290"/>
      <c r="H2235" s="231"/>
      <c r="M2235" s="233"/>
    </row>
    <row r="2236" spans="2:13" ht="18.75" customHeight="1" x14ac:dyDescent="0.25">
      <c r="B2236" s="550" t="s">
        <v>637</v>
      </c>
      <c r="C2236" s="223" t="s">
        <v>638</v>
      </c>
      <c r="D2236" s="550"/>
      <c r="E2236" s="224"/>
      <c r="F2236" s="225"/>
      <c r="G2236" s="290"/>
      <c r="H2236" s="226"/>
      <c r="M2236" s="225"/>
    </row>
    <row r="2237" spans="2:13" ht="18.75" customHeight="1" x14ac:dyDescent="0.25">
      <c r="B2237" s="550"/>
      <c r="C2237" s="223" t="s">
        <v>890</v>
      </c>
      <c r="D2237" s="550"/>
      <c r="E2237" s="224" t="s">
        <v>743</v>
      </c>
      <c r="F2237" s="228">
        <v>1</v>
      </c>
      <c r="G2237" s="229">
        <f>Bahan!D10</f>
        <v>12000</v>
      </c>
      <c r="H2237" s="230">
        <f>+G2237*F2237</f>
        <v>12000</v>
      </c>
      <c r="M2237" s="228">
        <v>1</v>
      </c>
    </row>
    <row r="2238" spans="2:13" ht="18.75" customHeight="1" x14ac:dyDescent="0.25">
      <c r="B2238" s="550"/>
      <c r="C2238" s="223" t="s">
        <v>891</v>
      </c>
      <c r="D2238" s="550"/>
      <c r="E2238" s="224" t="s">
        <v>743</v>
      </c>
      <c r="F2238" s="228">
        <v>0.1</v>
      </c>
      <c r="G2238" s="234">
        <f>Bahan!D9</f>
        <v>38000</v>
      </c>
      <c r="H2238" s="230">
        <f>+G2238*F2238</f>
        <v>3800</v>
      </c>
      <c r="M2238" s="228">
        <v>0.1</v>
      </c>
    </row>
    <row r="2239" spans="2:13" ht="18.75" customHeight="1" x14ac:dyDescent="0.25">
      <c r="B2239" s="550"/>
      <c r="C2239" s="223"/>
      <c r="D2239" s="550"/>
      <c r="E2239" s="224"/>
      <c r="F2239" s="346" t="s">
        <v>643</v>
      </c>
      <c r="G2239" s="347"/>
      <c r="H2239" s="231">
        <f>SUM(H2237)</f>
        <v>12000</v>
      </c>
      <c r="M2239" s="346" t="s">
        <v>643</v>
      </c>
    </row>
    <row r="2240" spans="2:13" ht="18.75" customHeight="1" x14ac:dyDescent="0.25">
      <c r="B2240" s="550"/>
      <c r="C2240" s="223"/>
      <c r="D2240" s="550"/>
      <c r="E2240" s="224"/>
      <c r="F2240" s="225"/>
      <c r="G2240" s="290"/>
      <c r="H2240" s="226"/>
      <c r="M2240" s="225"/>
    </row>
    <row r="2241" spans="2:13" ht="18.75" customHeight="1" x14ac:dyDescent="0.25">
      <c r="B2241" s="550" t="s">
        <v>644</v>
      </c>
      <c r="C2241" s="223" t="s">
        <v>645</v>
      </c>
      <c r="D2241" s="550"/>
      <c r="E2241" s="224"/>
      <c r="F2241" s="225"/>
      <c r="G2241" s="290"/>
      <c r="H2241" s="235"/>
      <c r="M2241" s="225"/>
    </row>
    <row r="2242" spans="2:13" ht="18.75" customHeight="1" x14ac:dyDescent="0.25">
      <c r="B2242" s="550"/>
      <c r="C2242" s="223" t="s">
        <v>892</v>
      </c>
      <c r="D2242" s="550"/>
      <c r="E2242" s="224" t="s">
        <v>608</v>
      </c>
      <c r="F2242" s="228">
        <v>0.8</v>
      </c>
      <c r="G2242" s="229">
        <f>Upah!E19</f>
        <v>83000</v>
      </c>
      <c r="H2242" s="230">
        <f>+G2242*F2242</f>
        <v>66400</v>
      </c>
      <c r="M2242" s="228">
        <v>0.8</v>
      </c>
    </row>
    <row r="2243" spans="2:13" ht="18.75" customHeight="1" x14ac:dyDescent="0.25">
      <c r="B2243" s="236"/>
      <c r="C2243" s="232"/>
      <c r="D2243" s="550"/>
      <c r="E2243" s="224"/>
      <c r="F2243" s="237" t="s">
        <v>646</v>
      </c>
      <c r="G2243" s="290"/>
      <c r="H2243" s="231">
        <f>SUM(H2242)</f>
        <v>66400</v>
      </c>
      <c r="M2243" s="237" t="s">
        <v>646</v>
      </c>
    </row>
    <row r="2244" spans="2:13" ht="18.75" customHeight="1" x14ac:dyDescent="0.25">
      <c r="B2244" s="236"/>
      <c r="C2244" s="232"/>
      <c r="D2244" s="550"/>
      <c r="E2244" s="224"/>
      <c r="F2244" s="237"/>
      <c r="G2244" s="290"/>
      <c r="H2244" s="226"/>
      <c r="M2244" s="237"/>
    </row>
    <row r="2245" spans="2:13" ht="18.75" customHeight="1" x14ac:dyDescent="0.25">
      <c r="B2245" s="248"/>
      <c r="C2245" s="238"/>
      <c r="D2245" s="239"/>
      <c r="E2245" s="266"/>
      <c r="F2245" s="241"/>
      <c r="G2245" s="303"/>
      <c r="H2245" s="267"/>
      <c r="M2245" s="241"/>
    </row>
    <row r="2246" spans="2:13" ht="18.75" customHeight="1" x14ac:dyDescent="0.25">
      <c r="B2246" s="249" t="s">
        <v>647</v>
      </c>
      <c r="C2246" s="104" t="s">
        <v>648</v>
      </c>
      <c r="D2246" s="435"/>
      <c r="E2246" s="92"/>
      <c r="F2246" s="183"/>
      <c r="G2246" s="167"/>
      <c r="H2246" s="252">
        <f>+H2243+H2239+H2234</f>
        <v>90215</v>
      </c>
      <c r="M2246" s="183"/>
    </row>
    <row r="2247" spans="2:13" ht="18.75" customHeight="1" x14ac:dyDescent="0.25">
      <c r="B2247" s="249" t="s">
        <v>649</v>
      </c>
      <c r="C2247" s="242" t="s">
        <v>650</v>
      </c>
      <c r="D2247" s="435"/>
      <c r="E2247" s="92"/>
      <c r="F2247" s="184" t="str">
        <f>$J$5</f>
        <v>8,0 % x D</v>
      </c>
      <c r="G2247" s="167"/>
      <c r="H2247" s="253">
        <f>+H2246*$K$5</f>
        <v>7217.2</v>
      </c>
      <c r="M2247" s="184" t="str">
        <f>$J$5</f>
        <v>8,0 % x D</v>
      </c>
    </row>
    <row r="2248" spans="2:13" ht="18.75" customHeight="1" x14ac:dyDescent="0.25">
      <c r="B2248" s="249" t="s">
        <v>651</v>
      </c>
      <c r="C2248" s="111" t="s">
        <v>652</v>
      </c>
      <c r="D2248" s="435"/>
      <c r="E2248" s="91"/>
      <c r="F2248" s="185"/>
      <c r="G2248" s="168"/>
      <c r="H2248" s="254">
        <f>ROUNDUP((H2247+H2246)/100,0)*100</f>
        <v>97500</v>
      </c>
      <c r="M2248" s="185"/>
    </row>
    <row r="2249" spans="2:13" ht="18.75" customHeight="1" x14ac:dyDescent="0.25">
      <c r="B2249" s="259"/>
      <c r="C2249" s="261"/>
      <c r="D2249" s="245"/>
      <c r="E2249" s="246"/>
      <c r="F2249" s="247"/>
      <c r="G2249" s="298"/>
      <c r="H2249" s="260"/>
      <c r="M2249" s="247"/>
    </row>
    <row r="2250" spans="2:13" ht="18.75" customHeight="1" x14ac:dyDescent="0.25">
      <c r="B2250" s="22"/>
      <c r="C2250" s="104"/>
      <c r="E2250" s="21"/>
      <c r="F2250" s="176"/>
      <c r="G2250" s="165"/>
      <c r="H2250" s="119"/>
      <c r="M2250" s="176"/>
    </row>
    <row r="2251" spans="2:13" ht="18.75" customHeight="1" x14ac:dyDescent="0.25">
      <c r="B2251" s="19">
        <f>B2225+1</f>
        <v>4</v>
      </c>
      <c r="C2251" s="93" t="s">
        <v>893</v>
      </c>
      <c r="D2251" s="19"/>
      <c r="E2251" s="21"/>
      <c r="F2251" s="176"/>
      <c r="G2251" s="165"/>
      <c r="H2251" s="119"/>
      <c r="M2251" s="176"/>
    </row>
    <row r="2252" spans="2:13" ht="18.75" customHeight="1" x14ac:dyDescent="0.25">
      <c r="B2252" s="618" t="s">
        <v>620</v>
      </c>
      <c r="C2252" s="620" t="s">
        <v>621</v>
      </c>
      <c r="D2252" s="618" t="s">
        <v>622</v>
      </c>
      <c r="E2252" s="618" t="s">
        <v>2</v>
      </c>
      <c r="F2252" s="615" t="s">
        <v>623</v>
      </c>
      <c r="G2252" s="289" t="s">
        <v>624</v>
      </c>
      <c r="H2252" s="256" t="s">
        <v>625</v>
      </c>
      <c r="M2252" s="615" t="s">
        <v>623</v>
      </c>
    </row>
    <row r="2253" spans="2:13" ht="18.75" customHeight="1" x14ac:dyDescent="0.25">
      <c r="B2253" s="619"/>
      <c r="C2253" s="621"/>
      <c r="D2253" s="619"/>
      <c r="E2253" s="619"/>
      <c r="F2253" s="616"/>
      <c r="G2253" s="289" t="s">
        <v>626</v>
      </c>
      <c r="H2253" s="256" t="s">
        <v>626</v>
      </c>
      <c r="M2253" s="616"/>
    </row>
    <row r="2254" spans="2:13" ht="18.75" customHeight="1" x14ac:dyDescent="0.25">
      <c r="B2254" s="221"/>
      <c r="C2254" s="222"/>
      <c r="D2254" s="221"/>
      <c r="E2254" s="550"/>
      <c r="F2254" s="555"/>
      <c r="G2254" s="551"/>
      <c r="H2254" s="220"/>
      <c r="M2254" s="590"/>
    </row>
    <row r="2255" spans="2:13" ht="18.75" customHeight="1" x14ac:dyDescent="0.25">
      <c r="B2255" s="550" t="s">
        <v>627</v>
      </c>
      <c r="C2255" s="223" t="s">
        <v>628</v>
      </c>
      <c r="D2255" s="550"/>
      <c r="E2255" s="224"/>
      <c r="F2255" s="225"/>
      <c r="G2255" s="290"/>
      <c r="H2255" s="226"/>
      <c r="M2255" s="225"/>
    </row>
    <row r="2256" spans="2:13" ht="18.75" customHeight="1" x14ac:dyDescent="0.25">
      <c r="B2256" s="550"/>
      <c r="C2256" s="227" t="s">
        <v>629</v>
      </c>
      <c r="D2256" s="550" t="s">
        <v>630</v>
      </c>
      <c r="E2256" s="224" t="s">
        <v>631</v>
      </c>
      <c r="F2256" s="228">
        <f t="shared" ref="F2256:F2259" si="115">$K$8*M2256</f>
        <v>1.05</v>
      </c>
      <c r="G2256" s="229">
        <f>G2230</f>
        <v>95000</v>
      </c>
      <c r="H2256" s="230">
        <f>+G2256*F2256</f>
        <v>99750</v>
      </c>
      <c r="M2256" s="228">
        <v>1.05</v>
      </c>
    </row>
    <row r="2257" spans="2:13" ht="18.75" customHeight="1" x14ac:dyDescent="0.25">
      <c r="B2257" s="550"/>
      <c r="C2257" s="227" t="s">
        <v>1505</v>
      </c>
      <c r="D2257" s="550" t="s">
        <v>634</v>
      </c>
      <c r="E2257" s="224" t="s">
        <v>631</v>
      </c>
      <c r="F2257" s="228">
        <f t="shared" si="115"/>
        <v>1.05</v>
      </c>
      <c r="G2257" s="229">
        <f>G2231</f>
        <v>110000</v>
      </c>
      <c r="H2257" s="230">
        <f>+G2257*F2257</f>
        <v>115500</v>
      </c>
      <c r="M2257" s="228">
        <v>1.05</v>
      </c>
    </row>
    <row r="2258" spans="2:13" ht="18.75" customHeight="1" x14ac:dyDescent="0.25">
      <c r="B2258" s="550"/>
      <c r="C2258" s="227" t="s">
        <v>633</v>
      </c>
      <c r="D2258" s="550" t="s">
        <v>634</v>
      </c>
      <c r="E2258" s="224" t="s">
        <v>631</v>
      </c>
      <c r="F2258" s="228">
        <f t="shared" si="115"/>
        <v>0.105</v>
      </c>
      <c r="G2258" s="229">
        <f>G2232</f>
        <v>115000</v>
      </c>
      <c r="H2258" s="230">
        <f>+G2258*F2258</f>
        <v>12075</v>
      </c>
      <c r="M2258" s="228">
        <v>0.105</v>
      </c>
    </row>
    <row r="2259" spans="2:13" ht="18.75" customHeight="1" x14ac:dyDescent="0.25">
      <c r="B2259" s="550"/>
      <c r="C2259" s="227" t="s">
        <v>600</v>
      </c>
      <c r="D2259" s="550" t="s">
        <v>635</v>
      </c>
      <c r="E2259" s="224" t="s">
        <v>631</v>
      </c>
      <c r="F2259" s="228">
        <f t="shared" si="115"/>
        <v>7.5200000000000003E-2</v>
      </c>
      <c r="G2259" s="229">
        <f>G2233</f>
        <v>140000</v>
      </c>
      <c r="H2259" s="230">
        <f>+G2259*F2259</f>
        <v>10528</v>
      </c>
      <c r="M2259" s="228">
        <v>7.5200000000000003E-2</v>
      </c>
    </row>
    <row r="2260" spans="2:13" ht="18.75" customHeight="1" x14ac:dyDescent="0.25">
      <c r="B2260" s="550"/>
      <c r="C2260" s="223"/>
      <c r="D2260" s="550"/>
      <c r="E2260" s="224"/>
      <c r="F2260" s="233" t="s">
        <v>636</v>
      </c>
      <c r="G2260" s="290"/>
      <c r="H2260" s="230">
        <f>SUM(H2256:H2259)</f>
        <v>237853</v>
      </c>
      <c r="M2260" s="233" t="s">
        <v>636</v>
      </c>
    </row>
    <row r="2261" spans="2:13" ht="18.75" customHeight="1" x14ac:dyDescent="0.25">
      <c r="B2261" s="550"/>
      <c r="C2261" s="223"/>
      <c r="D2261" s="550"/>
      <c r="E2261" s="224"/>
      <c r="F2261" s="233"/>
      <c r="G2261" s="290"/>
      <c r="H2261" s="230"/>
      <c r="M2261" s="233"/>
    </row>
    <row r="2262" spans="2:13" ht="18.75" customHeight="1" x14ac:dyDescent="0.25">
      <c r="B2262" s="550" t="s">
        <v>637</v>
      </c>
      <c r="C2262" s="223" t="s">
        <v>638</v>
      </c>
      <c r="D2262" s="550"/>
      <c r="E2262" s="224"/>
      <c r="F2262" s="225"/>
      <c r="G2262" s="290"/>
      <c r="H2262" s="226"/>
      <c r="M2262" s="225"/>
    </row>
    <row r="2263" spans="2:13" ht="18.75" customHeight="1" x14ac:dyDescent="0.25">
      <c r="B2263" s="550"/>
      <c r="C2263" s="223" t="s">
        <v>894</v>
      </c>
      <c r="D2263" s="550"/>
      <c r="E2263" s="224" t="s">
        <v>5</v>
      </c>
      <c r="F2263" s="228">
        <v>15</v>
      </c>
      <c r="G2263" s="229">
        <f>Bahan!D141</f>
        <v>46000</v>
      </c>
      <c r="H2263" s="230">
        <f>+G2263*F2263</f>
        <v>690000</v>
      </c>
      <c r="M2263" s="228">
        <v>15</v>
      </c>
    </row>
    <row r="2264" spans="2:13" ht="18.75" customHeight="1" x14ac:dyDescent="0.25">
      <c r="B2264" s="550"/>
      <c r="C2264" s="223" t="s">
        <v>895</v>
      </c>
      <c r="D2264" s="550"/>
      <c r="E2264" s="224" t="s">
        <v>5</v>
      </c>
      <c r="F2264" s="228">
        <v>32.799999999999997</v>
      </c>
      <c r="G2264" s="229">
        <f>Bahan!D135</f>
        <v>72500</v>
      </c>
      <c r="H2264" s="230">
        <f>+G2264*F2264</f>
        <v>2378000</v>
      </c>
      <c r="M2264" s="228">
        <v>32.799999999999997</v>
      </c>
    </row>
    <row r="2265" spans="2:13" ht="18.75" customHeight="1" x14ac:dyDescent="0.25">
      <c r="B2265" s="550"/>
      <c r="C2265" s="223" t="s">
        <v>430</v>
      </c>
      <c r="D2265" s="550"/>
      <c r="E2265" s="224" t="s">
        <v>5</v>
      </c>
      <c r="F2265" s="228">
        <v>7.4999999999999997E-2</v>
      </c>
      <c r="G2265" s="229">
        <f>Bahan!D143</f>
        <v>23600</v>
      </c>
      <c r="H2265" s="230">
        <f>+G2265*F2265</f>
        <v>1770</v>
      </c>
      <c r="M2265" s="228">
        <v>7.4999999999999997E-2</v>
      </c>
    </row>
    <row r="2266" spans="2:13" ht="18.75" customHeight="1" x14ac:dyDescent="0.25">
      <c r="B2266" s="550"/>
      <c r="C2266" s="223"/>
      <c r="D2266" s="550"/>
      <c r="E2266" s="224"/>
      <c r="F2266" s="237" t="s">
        <v>643</v>
      </c>
      <c r="G2266" s="290"/>
      <c r="H2266" s="230">
        <f>SUM(H2263:H2265)</f>
        <v>3069770</v>
      </c>
      <c r="M2266" s="237" t="s">
        <v>643</v>
      </c>
    </row>
    <row r="2267" spans="2:13" ht="18.75" customHeight="1" x14ac:dyDescent="0.25">
      <c r="B2267" s="550"/>
      <c r="C2267" s="223"/>
      <c r="D2267" s="550"/>
      <c r="E2267" s="224"/>
      <c r="F2267" s="225"/>
      <c r="G2267" s="290"/>
      <c r="H2267" s="226"/>
      <c r="M2267" s="225"/>
    </row>
    <row r="2268" spans="2:13" ht="18.75" customHeight="1" x14ac:dyDescent="0.25">
      <c r="B2268" s="550" t="s">
        <v>644</v>
      </c>
      <c r="C2268" s="223" t="s">
        <v>645</v>
      </c>
      <c r="D2268" s="550"/>
      <c r="E2268" s="224"/>
      <c r="F2268" s="225"/>
      <c r="G2268" s="290"/>
      <c r="H2268" s="235"/>
      <c r="M2268" s="225"/>
    </row>
    <row r="2269" spans="2:13" ht="18.75" customHeight="1" x14ac:dyDescent="0.25">
      <c r="B2269" s="550"/>
      <c r="C2269" s="223" t="s">
        <v>892</v>
      </c>
      <c r="D2269" s="550"/>
      <c r="E2269" s="224" t="s">
        <v>608</v>
      </c>
      <c r="F2269" s="228">
        <v>0.8</v>
      </c>
      <c r="G2269" s="229">
        <f>G2242</f>
        <v>83000</v>
      </c>
      <c r="H2269" s="230">
        <f>+G2269*F2269</f>
        <v>66400</v>
      </c>
      <c r="M2269" s="228">
        <v>0.8</v>
      </c>
    </row>
    <row r="2270" spans="2:13" ht="18.75" customHeight="1" x14ac:dyDescent="0.25">
      <c r="B2270" s="236"/>
      <c r="C2270" s="232"/>
      <c r="D2270" s="550"/>
      <c r="E2270" s="224"/>
      <c r="F2270" s="237" t="s">
        <v>646</v>
      </c>
      <c r="G2270" s="290"/>
      <c r="H2270" s="230">
        <f>SUM(H2269)</f>
        <v>66400</v>
      </c>
      <c r="M2270" s="237" t="s">
        <v>646</v>
      </c>
    </row>
    <row r="2271" spans="2:13" ht="18.75" customHeight="1" x14ac:dyDescent="0.25">
      <c r="B2271" s="236"/>
      <c r="C2271" s="232"/>
      <c r="D2271" s="550"/>
      <c r="E2271" s="224"/>
      <c r="F2271" s="237"/>
      <c r="G2271" s="290"/>
      <c r="H2271" s="226"/>
      <c r="M2271" s="237"/>
    </row>
    <row r="2272" spans="2:13" ht="18.75" customHeight="1" x14ac:dyDescent="0.25">
      <c r="B2272" s="248"/>
      <c r="C2272" s="238"/>
      <c r="D2272" s="239"/>
      <c r="E2272" s="240"/>
      <c r="F2272" s="241"/>
      <c r="G2272" s="291"/>
      <c r="H2272" s="251"/>
      <c r="M2272" s="241"/>
    </row>
    <row r="2273" spans="2:13" ht="18.75" customHeight="1" x14ac:dyDescent="0.25">
      <c r="B2273" s="249" t="s">
        <v>647</v>
      </c>
      <c r="C2273" s="104" t="s">
        <v>648</v>
      </c>
      <c r="D2273" s="435"/>
      <c r="E2273" s="92"/>
      <c r="F2273" s="183"/>
      <c r="G2273" s="167"/>
      <c r="H2273" s="252">
        <f>+H2270+H2266+H2260</f>
        <v>3374023</v>
      </c>
      <c r="M2273" s="183"/>
    </row>
    <row r="2274" spans="2:13" ht="18.75" customHeight="1" x14ac:dyDescent="0.25">
      <c r="B2274" s="249" t="s">
        <v>649</v>
      </c>
      <c r="C2274" s="242" t="s">
        <v>650</v>
      </c>
      <c r="D2274" s="435"/>
      <c r="E2274" s="92"/>
      <c r="F2274" s="184" t="str">
        <f>$J$5</f>
        <v>8,0 % x D</v>
      </c>
      <c r="G2274" s="167"/>
      <c r="H2274" s="253">
        <f>+H2273*$K$5</f>
        <v>269921.84000000003</v>
      </c>
      <c r="M2274" s="184" t="str">
        <f>$J$5</f>
        <v>8,0 % x D</v>
      </c>
    </row>
    <row r="2275" spans="2:13" ht="18.75" customHeight="1" x14ac:dyDescent="0.25">
      <c r="B2275" s="249" t="s">
        <v>651</v>
      </c>
      <c r="C2275" s="111" t="s">
        <v>652</v>
      </c>
      <c r="D2275" s="435"/>
      <c r="E2275" s="91"/>
      <c r="F2275" s="185"/>
      <c r="G2275" s="168"/>
      <c r="H2275" s="254">
        <f>ROUNDUP((H2274+H2273)/100,0)*100</f>
        <v>3644000</v>
      </c>
      <c r="M2275" s="185"/>
    </row>
    <row r="2276" spans="2:13" ht="18.75" customHeight="1" x14ac:dyDescent="0.25">
      <c r="B2276" s="259"/>
      <c r="C2276" s="261"/>
      <c r="D2276" s="245"/>
      <c r="E2276" s="246"/>
      <c r="F2276" s="247"/>
      <c r="G2276" s="298"/>
      <c r="H2276" s="260"/>
      <c r="M2276" s="247"/>
    </row>
    <row r="2277" spans="2:13" ht="18.75" customHeight="1" x14ac:dyDescent="0.25">
      <c r="B2277" s="22"/>
      <c r="C2277" s="104"/>
      <c r="E2277" s="21"/>
      <c r="F2277" s="176"/>
      <c r="G2277" s="165"/>
      <c r="H2277" s="119"/>
      <c r="M2277" s="176"/>
    </row>
    <row r="2278" spans="2:13" ht="18.75" customHeight="1" x14ac:dyDescent="0.25">
      <c r="B2278" s="19">
        <f>B2251+1</f>
        <v>5</v>
      </c>
      <c r="C2278" s="93" t="s">
        <v>896</v>
      </c>
      <c r="D2278" s="19"/>
      <c r="E2278" s="21"/>
      <c r="F2278" s="176"/>
      <c r="G2278" s="165"/>
      <c r="H2278" s="119"/>
      <c r="M2278" s="176"/>
    </row>
    <row r="2279" spans="2:13" ht="18.75" customHeight="1" x14ac:dyDescent="0.25">
      <c r="B2279" s="618" t="s">
        <v>620</v>
      </c>
      <c r="C2279" s="620" t="s">
        <v>621</v>
      </c>
      <c r="D2279" s="618" t="s">
        <v>622</v>
      </c>
      <c r="E2279" s="618" t="s">
        <v>2</v>
      </c>
      <c r="F2279" s="615" t="s">
        <v>623</v>
      </c>
      <c r="G2279" s="289" t="s">
        <v>624</v>
      </c>
      <c r="H2279" s="256" t="s">
        <v>625</v>
      </c>
      <c r="M2279" s="615" t="s">
        <v>623</v>
      </c>
    </row>
    <row r="2280" spans="2:13" ht="18.75" customHeight="1" x14ac:dyDescent="0.25">
      <c r="B2280" s="619"/>
      <c r="C2280" s="621"/>
      <c r="D2280" s="619"/>
      <c r="E2280" s="619"/>
      <c r="F2280" s="616"/>
      <c r="G2280" s="289" t="s">
        <v>626</v>
      </c>
      <c r="H2280" s="256" t="s">
        <v>626</v>
      </c>
      <c r="M2280" s="616"/>
    </row>
    <row r="2281" spans="2:13" ht="18.75" customHeight="1" x14ac:dyDescent="0.25">
      <c r="B2281" s="221"/>
      <c r="C2281" s="222"/>
      <c r="D2281" s="221"/>
      <c r="E2281" s="550"/>
      <c r="F2281" s="555"/>
      <c r="G2281" s="551"/>
      <c r="H2281" s="220"/>
      <c r="M2281" s="590"/>
    </row>
    <row r="2282" spans="2:13" ht="18.75" customHeight="1" x14ac:dyDescent="0.25">
      <c r="B2282" s="550" t="s">
        <v>627</v>
      </c>
      <c r="C2282" s="223" t="s">
        <v>628</v>
      </c>
      <c r="D2282" s="550"/>
      <c r="E2282" s="224"/>
      <c r="F2282" s="225"/>
      <c r="G2282" s="290"/>
      <c r="H2282" s="226"/>
      <c r="M2282" s="225"/>
    </row>
    <row r="2283" spans="2:13" ht="18.75" customHeight="1" x14ac:dyDescent="0.25">
      <c r="B2283" s="550"/>
      <c r="C2283" s="227" t="s">
        <v>629</v>
      </c>
      <c r="D2283" s="550" t="s">
        <v>630</v>
      </c>
      <c r="E2283" s="224" t="s">
        <v>631</v>
      </c>
      <c r="F2283" s="228">
        <f t="shared" ref="F2283:F2286" si="116">$K$8*M2283</f>
        <v>7.4999999999999997E-2</v>
      </c>
      <c r="G2283" s="229">
        <f>G2256</f>
        <v>95000</v>
      </c>
      <c r="H2283" s="230">
        <f>+G2283*F2283</f>
        <v>7125</v>
      </c>
      <c r="M2283" s="228">
        <v>7.4999999999999997E-2</v>
      </c>
    </row>
    <row r="2284" spans="2:13" ht="18.75" customHeight="1" x14ac:dyDescent="0.25">
      <c r="B2284" s="550"/>
      <c r="C2284" s="227" t="s">
        <v>1505</v>
      </c>
      <c r="D2284" s="550" t="s">
        <v>634</v>
      </c>
      <c r="E2284" s="224" t="s">
        <v>631</v>
      </c>
      <c r="F2284" s="228">
        <f t="shared" si="116"/>
        <v>0.02</v>
      </c>
      <c r="G2284" s="229">
        <f>G2257</f>
        <v>110000</v>
      </c>
      <c r="H2284" s="230">
        <f>+G2284*F2284</f>
        <v>2200</v>
      </c>
      <c r="M2284" s="228">
        <v>0.02</v>
      </c>
    </row>
    <row r="2285" spans="2:13" ht="18.75" customHeight="1" x14ac:dyDescent="0.25">
      <c r="B2285" s="550"/>
      <c r="C2285" s="227" t="s">
        <v>633</v>
      </c>
      <c r="D2285" s="550" t="s">
        <v>634</v>
      </c>
      <c r="E2285" s="224" t="s">
        <v>631</v>
      </c>
      <c r="F2285" s="228">
        <f t="shared" si="116"/>
        <v>2E-3</v>
      </c>
      <c r="G2285" s="229">
        <f>G2258</f>
        <v>115000</v>
      </c>
      <c r="H2285" s="230">
        <f>+G2285*F2285</f>
        <v>230</v>
      </c>
      <c r="M2285" s="228">
        <v>2E-3</v>
      </c>
    </row>
    <row r="2286" spans="2:13" ht="18.75" customHeight="1" x14ac:dyDescent="0.25">
      <c r="B2286" s="550"/>
      <c r="C2286" s="227" t="s">
        <v>600</v>
      </c>
      <c r="D2286" s="550" t="s">
        <v>635</v>
      </c>
      <c r="E2286" s="224" t="s">
        <v>631</v>
      </c>
      <c r="F2286" s="228">
        <f t="shared" si="116"/>
        <v>2E-3</v>
      </c>
      <c r="G2286" s="229">
        <f>G2259</f>
        <v>140000</v>
      </c>
      <c r="H2286" s="230">
        <f>+G2286*F2286</f>
        <v>280</v>
      </c>
      <c r="M2286" s="228">
        <v>2E-3</v>
      </c>
    </row>
    <row r="2287" spans="2:13" ht="18.75" customHeight="1" x14ac:dyDescent="0.25">
      <c r="B2287" s="550"/>
      <c r="C2287" s="223"/>
      <c r="D2287" s="550"/>
      <c r="E2287" s="224"/>
      <c r="F2287" s="233" t="s">
        <v>636</v>
      </c>
      <c r="G2287" s="290"/>
      <c r="H2287" s="231">
        <f>SUM(H2283:H2286)</f>
        <v>9835</v>
      </c>
      <c r="M2287" s="233" t="s">
        <v>636</v>
      </c>
    </row>
    <row r="2288" spans="2:13" ht="18.75" customHeight="1" x14ac:dyDescent="0.25">
      <c r="B2288" s="550"/>
      <c r="C2288" s="223"/>
      <c r="D2288" s="550"/>
      <c r="E2288" s="224"/>
      <c r="F2288" s="233"/>
      <c r="G2288" s="290"/>
      <c r="H2288" s="231"/>
      <c r="M2288" s="233"/>
    </row>
    <row r="2289" spans="2:13" ht="18.75" customHeight="1" x14ac:dyDescent="0.25">
      <c r="B2289" s="550" t="s">
        <v>637</v>
      </c>
      <c r="C2289" s="223" t="s">
        <v>638</v>
      </c>
      <c r="D2289" s="550"/>
      <c r="E2289" s="224"/>
      <c r="F2289" s="225"/>
      <c r="G2289" s="290"/>
      <c r="H2289" s="226"/>
      <c r="M2289" s="225"/>
    </row>
    <row r="2290" spans="2:13" ht="18.75" customHeight="1" x14ac:dyDescent="0.25">
      <c r="B2290" s="550"/>
      <c r="C2290" s="223" t="s">
        <v>132</v>
      </c>
      <c r="D2290" s="550"/>
      <c r="E2290" s="224" t="s">
        <v>5</v>
      </c>
      <c r="F2290" s="228">
        <v>0.4</v>
      </c>
      <c r="G2290" s="229">
        <f>G2265</f>
        <v>23600</v>
      </c>
      <c r="H2290" s="230">
        <f>+G2290*F2290</f>
        <v>9440</v>
      </c>
      <c r="M2290" s="228">
        <v>0.4</v>
      </c>
    </row>
    <row r="2291" spans="2:13" ht="18.75" customHeight="1" x14ac:dyDescent="0.25">
      <c r="B2291" s="550"/>
      <c r="C2291" s="223" t="s">
        <v>874</v>
      </c>
      <c r="D2291" s="550"/>
      <c r="E2291" s="224" t="s">
        <v>5</v>
      </c>
      <c r="F2291" s="228">
        <v>0.3</v>
      </c>
      <c r="G2291" s="229">
        <f>Bahan!D10</f>
        <v>12000</v>
      </c>
      <c r="H2291" s="230">
        <f>+G2291*F2291</f>
        <v>3600</v>
      </c>
      <c r="M2291" s="228">
        <v>0.3</v>
      </c>
    </row>
    <row r="2292" spans="2:13" ht="18.75" customHeight="1" x14ac:dyDescent="0.25">
      <c r="B2292" s="550"/>
      <c r="C2292" s="223" t="s">
        <v>891</v>
      </c>
      <c r="D2292" s="550"/>
      <c r="E2292" s="224" t="s">
        <v>5</v>
      </c>
      <c r="F2292" s="228">
        <v>7.4999999999999997E-2</v>
      </c>
      <c r="G2292" s="234">
        <f>Bahan!D9</f>
        <v>38000</v>
      </c>
      <c r="H2292" s="230">
        <f>+G2292*F2292</f>
        <v>2850</v>
      </c>
      <c r="M2292" s="228">
        <v>7.4999999999999997E-2</v>
      </c>
    </row>
    <row r="2293" spans="2:13" ht="18.75" customHeight="1" x14ac:dyDescent="0.25">
      <c r="B2293" s="550"/>
      <c r="C2293" s="223"/>
      <c r="D2293" s="550"/>
      <c r="E2293" s="224"/>
      <c r="F2293" s="237" t="s">
        <v>643</v>
      </c>
      <c r="G2293" s="290"/>
      <c r="H2293" s="231">
        <f>SUM(H2290:H2292)</f>
        <v>15890</v>
      </c>
      <c r="M2293" s="237" t="s">
        <v>643</v>
      </c>
    </row>
    <row r="2294" spans="2:13" ht="18.75" customHeight="1" x14ac:dyDescent="0.25">
      <c r="B2294" s="550"/>
      <c r="C2294" s="223"/>
      <c r="D2294" s="550"/>
      <c r="E2294" s="224"/>
      <c r="F2294" s="225"/>
      <c r="G2294" s="290"/>
      <c r="H2294" s="226"/>
      <c r="M2294" s="225"/>
    </row>
    <row r="2295" spans="2:13" ht="18.75" customHeight="1" x14ac:dyDescent="0.25">
      <c r="B2295" s="550" t="s">
        <v>644</v>
      </c>
      <c r="C2295" s="223" t="s">
        <v>645</v>
      </c>
      <c r="D2295" s="550"/>
      <c r="E2295" s="224"/>
      <c r="F2295" s="225"/>
      <c r="G2295" s="290"/>
      <c r="H2295" s="235"/>
      <c r="M2295" s="225"/>
    </row>
    <row r="2296" spans="2:13" ht="18.75" customHeight="1" x14ac:dyDescent="0.25">
      <c r="B2296" s="550"/>
      <c r="C2296" s="223" t="s">
        <v>892</v>
      </c>
      <c r="D2296" s="550"/>
      <c r="E2296" s="224" t="s">
        <v>608</v>
      </c>
      <c r="F2296" s="228">
        <v>0.17</v>
      </c>
      <c r="G2296" s="229">
        <f>G2269</f>
        <v>83000</v>
      </c>
      <c r="H2296" s="230">
        <f>+G2296*F2296</f>
        <v>14110.000000000002</v>
      </c>
      <c r="M2296" s="228">
        <v>0.17</v>
      </c>
    </row>
    <row r="2297" spans="2:13" ht="18.75" customHeight="1" x14ac:dyDescent="0.25">
      <c r="B2297" s="236"/>
      <c r="C2297" s="232"/>
      <c r="D2297" s="550"/>
      <c r="E2297" s="224"/>
      <c r="F2297" s="237" t="s">
        <v>646</v>
      </c>
      <c r="G2297" s="290"/>
      <c r="H2297" s="231">
        <f>SUM(H2296)</f>
        <v>14110.000000000002</v>
      </c>
      <c r="M2297" s="237" t="s">
        <v>646</v>
      </c>
    </row>
    <row r="2298" spans="2:13" ht="18.75" customHeight="1" x14ac:dyDescent="0.25">
      <c r="B2298" s="236"/>
      <c r="C2298" s="232"/>
      <c r="D2298" s="550"/>
      <c r="E2298" s="224"/>
      <c r="F2298" s="237"/>
      <c r="G2298" s="290"/>
      <c r="H2298" s="226"/>
      <c r="M2298" s="237"/>
    </row>
    <row r="2299" spans="2:13" ht="18.75" customHeight="1" x14ac:dyDescent="0.25">
      <c r="B2299" s="248"/>
      <c r="C2299" s="238"/>
      <c r="D2299" s="239"/>
      <c r="E2299" s="240"/>
      <c r="F2299" s="241"/>
      <c r="G2299" s="291"/>
      <c r="H2299" s="251"/>
      <c r="M2299" s="241"/>
    </row>
    <row r="2300" spans="2:13" ht="18.75" customHeight="1" x14ac:dyDescent="0.25">
      <c r="B2300" s="249" t="s">
        <v>647</v>
      </c>
      <c r="C2300" s="104" t="s">
        <v>648</v>
      </c>
      <c r="D2300" s="435"/>
      <c r="E2300" s="92"/>
      <c r="F2300" s="183"/>
      <c r="G2300" s="167"/>
      <c r="H2300" s="252">
        <f>+H2297+H2293+H2287</f>
        <v>39835</v>
      </c>
      <c r="M2300" s="183"/>
    </row>
    <row r="2301" spans="2:13" ht="18.75" customHeight="1" x14ac:dyDescent="0.25">
      <c r="B2301" s="249" t="s">
        <v>649</v>
      </c>
      <c r="C2301" s="242" t="s">
        <v>650</v>
      </c>
      <c r="D2301" s="435"/>
      <c r="E2301" s="92"/>
      <c r="F2301" s="184" t="str">
        <f>$J$5</f>
        <v>8,0 % x D</v>
      </c>
      <c r="G2301" s="167"/>
      <c r="H2301" s="253">
        <f>+H2300*$K$5</f>
        <v>3186.8</v>
      </c>
      <c r="M2301" s="184" t="str">
        <f>$J$5</f>
        <v>8,0 % x D</v>
      </c>
    </row>
    <row r="2302" spans="2:13" ht="18.75" customHeight="1" x14ac:dyDescent="0.25">
      <c r="B2302" s="249" t="s">
        <v>651</v>
      </c>
      <c r="C2302" s="111" t="s">
        <v>652</v>
      </c>
      <c r="D2302" s="435"/>
      <c r="E2302" s="91"/>
      <c r="F2302" s="185"/>
      <c r="G2302" s="168"/>
      <c r="H2302" s="254">
        <f>ROUNDUP((H2301+H2300)/100,0)*100</f>
        <v>43100</v>
      </c>
      <c r="M2302" s="185"/>
    </row>
    <row r="2303" spans="2:13" ht="18.75" customHeight="1" x14ac:dyDescent="0.25">
      <c r="B2303" s="259"/>
      <c r="C2303" s="261"/>
      <c r="D2303" s="245"/>
      <c r="E2303" s="246"/>
      <c r="F2303" s="247"/>
      <c r="G2303" s="298"/>
      <c r="H2303" s="260"/>
      <c r="M2303" s="247"/>
    </row>
    <row r="2304" spans="2:13" ht="18.75" customHeight="1" x14ac:dyDescent="0.25">
      <c r="B2304" s="22"/>
      <c r="C2304" s="104"/>
      <c r="E2304" s="21"/>
      <c r="F2304" s="176"/>
      <c r="G2304" s="165"/>
      <c r="H2304" s="119"/>
      <c r="M2304" s="176"/>
    </row>
    <row r="2305" spans="2:13" ht="18.75" customHeight="1" x14ac:dyDescent="0.25">
      <c r="B2305" s="19">
        <f>B2278+1</f>
        <v>6</v>
      </c>
      <c r="C2305" s="93" t="s">
        <v>897</v>
      </c>
      <c r="D2305" s="19"/>
      <c r="E2305" s="21"/>
      <c r="F2305" s="176"/>
      <c r="G2305" s="165"/>
      <c r="H2305" s="119"/>
      <c r="M2305" s="176"/>
    </row>
    <row r="2306" spans="2:13" ht="18.75" customHeight="1" x14ac:dyDescent="0.25">
      <c r="B2306" s="618" t="s">
        <v>620</v>
      </c>
      <c r="C2306" s="620" t="s">
        <v>621</v>
      </c>
      <c r="D2306" s="618" t="s">
        <v>622</v>
      </c>
      <c r="E2306" s="618" t="s">
        <v>2</v>
      </c>
      <c r="F2306" s="615" t="s">
        <v>623</v>
      </c>
      <c r="G2306" s="289" t="s">
        <v>624</v>
      </c>
      <c r="H2306" s="256" t="s">
        <v>625</v>
      </c>
      <c r="M2306" s="615" t="s">
        <v>623</v>
      </c>
    </row>
    <row r="2307" spans="2:13" ht="18.75" customHeight="1" x14ac:dyDescent="0.25">
      <c r="B2307" s="619"/>
      <c r="C2307" s="621"/>
      <c r="D2307" s="619"/>
      <c r="E2307" s="619"/>
      <c r="F2307" s="616"/>
      <c r="G2307" s="289" t="s">
        <v>626</v>
      </c>
      <c r="H2307" s="256" t="s">
        <v>626</v>
      </c>
      <c r="M2307" s="616"/>
    </row>
    <row r="2308" spans="2:13" ht="18.75" customHeight="1" x14ac:dyDescent="0.25">
      <c r="B2308" s="221"/>
      <c r="C2308" s="222"/>
      <c r="D2308" s="221"/>
      <c r="E2308" s="550"/>
      <c r="F2308" s="555"/>
      <c r="G2308" s="551"/>
      <c r="H2308" s="220"/>
      <c r="M2308" s="590"/>
    </row>
    <row r="2309" spans="2:13" ht="18.75" customHeight="1" x14ac:dyDescent="0.25">
      <c r="B2309" s="550" t="s">
        <v>627</v>
      </c>
      <c r="C2309" s="223" t="s">
        <v>628</v>
      </c>
      <c r="D2309" s="550"/>
      <c r="E2309" s="224"/>
      <c r="F2309" s="225"/>
      <c r="G2309" s="290"/>
      <c r="H2309" s="226"/>
      <c r="M2309" s="225"/>
    </row>
    <row r="2310" spans="2:13" ht="18.75" customHeight="1" x14ac:dyDescent="0.25">
      <c r="B2310" s="550"/>
      <c r="C2310" s="227" t="s">
        <v>629</v>
      </c>
      <c r="D2310" s="550" t="s">
        <v>630</v>
      </c>
      <c r="E2310" s="224" t="s">
        <v>631</v>
      </c>
      <c r="F2310" s="228">
        <f t="shared" ref="F2310:F2313" si="117">$K$8*M2310</f>
        <v>0.65</v>
      </c>
      <c r="G2310" s="229">
        <f>G2283</f>
        <v>95000</v>
      </c>
      <c r="H2310" s="230">
        <f>+G2310*F2310</f>
        <v>61750</v>
      </c>
      <c r="M2310" s="228">
        <v>0.65</v>
      </c>
    </row>
    <row r="2311" spans="2:13" ht="18.75" customHeight="1" x14ac:dyDescent="0.25">
      <c r="B2311" s="550"/>
      <c r="C2311" s="227" t="s">
        <v>1505</v>
      </c>
      <c r="D2311" s="550" t="s">
        <v>634</v>
      </c>
      <c r="E2311" s="224" t="s">
        <v>631</v>
      </c>
      <c r="F2311" s="228">
        <f t="shared" si="117"/>
        <v>0.65</v>
      </c>
      <c r="G2311" s="229">
        <f>G2284</f>
        <v>110000</v>
      </c>
      <c r="H2311" s="230">
        <f>+G2311*F2311</f>
        <v>71500</v>
      </c>
      <c r="M2311" s="228">
        <v>0.65</v>
      </c>
    </row>
    <row r="2312" spans="2:13" ht="18.75" customHeight="1" x14ac:dyDescent="0.25">
      <c r="B2312" s="550"/>
      <c r="C2312" s="227" t="s">
        <v>633</v>
      </c>
      <c r="D2312" s="550" t="s">
        <v>634</v>
      </c>
      <c r="E2312" s="224" t="s">
        <v>631</v>
      </c>
      <c r="F2312" s="228">
        <f t="shared" si="117"/>
        <v>7.5499999999999998E-2</v>
      </c>
      <c r="G2312" s="229">
        <f>G2285</f>
        <v>115000</v>
      </c>
      <c r="H2312" s="230">
        <f>+G2312*F2312</f>
        <v>8682.5</v>
      </c>
      <c r="M2312" s="228">
        <v>7.5499999999999998E-2</v>
      </c>
    </row>
    <row r="2313" spans="2:13" ht="18.75" customHeight="1" x14ac:dyDescent="0.25">
      <c r="B2313" s="550"/>
      <c r="C2313" s="227" t="s">
        <v>600</v>
      </c>
      <c r="D2313" s="550" t="s">
        <v>635</v>
      </c>
      <c r="E2313" s="224" t="s">
        <v>631</v>
      </c>
      <c r="F2313" s="228">
        <f t="shared" si="117"/>
        <v>3.2000000000000001E-2</v>
      </c>
      <c r="G2313" s="229">
        <f>G2286</f>
        <v>140000</v>
      </c>
      <c r="H2313" s="230">
        <f>+G2313*F2313</f>
        <v>4480</v>
      </c>
      <c r="M2313" s="228">
        <v>3.2000000000000001E-2</v>
      </c>
    </row>
    <row r="2314" spans="2:13" ht="18.75" customHeight="1" x14ac:dyDescent="0.25">
      <c r="B2314" s="550"/>
      <c r="C2314" s="223"/>
      <c r="D2314" s="550"/>
      <c r="E2314" s="224"/>
      <c r="F2314" s="233" t="s">
        <v>636</v>
      </c>
      <c r="G2314" s="290"/>
      <c r="H2314" s="231">
        <f>SUM(H2310:H2313)</f>
        <v>146412.5</v>
      </c>
      <c r="M2314" s="233" t="s">
        <v>636</v>
      </c>
    </row>
    <row r="2315" spans="2:13" ht="18.75" customHeight="1" x14ac:dyDescent="0.25">
      <c r="B2315" s="550"/>
      <c r="C2315" s="223"/>
      <c r="D2315" s="550"/>
      <c r="E2315" s="224"/>
      <c r="F2315" s="233"/>
      <c r="G2315" s="290"/>
      <c r="H2315" s="231"/>
      <c r="M2315" s="233"/>
    </row>
    <row r="2316" spans="2:13" ht="18.75" customHeight="1" x14ac:dyDescent="0.25">
      <c r="B2316" s="550" t="s">
        <v>637</v>
      </c>
      <c r="C2316" s="223" t="s">
        <v>638</v>
      </c>
      <c r="D2316" s="550"/>
      <c r="E2316" s="224"/>
      <c r="F2316" s="225"/>
      <c r="G2316" s="290"/>
      <c r="H2316" s="226"/>
      <c r="M2316" s="225"/>
    </row>
    <row r="2317" spans="2:13" ht="18.75" customHeight="1" x14ac:dyDescent="0.25">
      <c r="B2317" s="550"/>
      <c r="C2317" s="223" t="s">
        <v>135</v>
      </c>
      <c r="D2317" s="550"/>
      <c r="E2317" s="224" t="s">
        <v>147</v>
      </c>
      <c r="F2317" s="228">
        <v>4.76</v>
      </c>
      <c r="G2317" s="229">
        <f>Bahan!D148</f>
        <v>53000</v>
      </c>
      <c r="H2317" s="230">
        <f>+G2317*F2317</f>
        <v>252280</v>
      </c>
      <c r="M2317" s="228">
        <v>4.76</v>
      </c>
    </row>
    <row r="2318" spans="2:13" ht="18.75" customHeight="1" x14ac:dyDescent="0.25">
      <c r="B2318" s="550"/>
      <c r="C2318" s="223" t="s">
        <v>137</v>
      </c>
      <c r="D2318" s="550"/>
      <c r="E2318" s="224" t="s">
        <v>147</v>
      </c>
      <c r="F2318" s="228">
        <v>4.5220000000000002</v>
      </c>
      <c r="G2318" s="229">
        <f>Bahan!D149</f>
        <v>8500</v>
      </c>
      <c r="H2318" s="230">
        <f>+G2318*F2318</f>
        <v>38437</v>
      </c>
      <c r="M2318" s="228">
        <v>4.5220000000000002</v>
      </c>
    </row>
    <row r="2319" spans="2:13" ht="18.75" customHeight="1" x14ac:dyDescent="0.25">
      <c r="B2319" s="550"/>
      <c r="C2319" s="223" t="s">
        <v>898</v>
      </c>
      <c r="D2319" s="550"/>
      <c r="E2319" s="224" t="s">
        <v>544</v>
      </c>
      <c r="F2319" s="228">
        <v>20</v>
      </c>
      <c r="G2319" s="229">
        <f>H2302/10</f>
        <v>4310</v>
      </c>
      <c r="H2319" s="230">
        <f>+G2319*F2319</f>
        <v>86200</v>
      </c>
      <c r="M2319" s="228">
        <v>20</v>
      </c>
    </row>
    <row r="2320" spans="2:13" ht="18.75" customHeight="1" x14ac:dyDescent="0.25">
      <c r="B2320" s="550"/>
      <c r="C2320" s="223"/>
      <c r="D2320" s="550"/>
      <c r="E2320" s="224"/>
      <c r="F2320" s="237" t="s">
        <v>643</v>
      </c>
      <c r="G2320" s="290"/>
      <c r="H2320" s="231">
        <f>SUM(H2317:H2319)</f>
        <v>376917</v>
      </c>
      <c r="M2320" s="237" t="s">
        <v>643</v>
      </c>
    </row>
    <row r="2321" spans="2:13" ht="18.75" customHeight="1" x14ac:dyDescent="0.25">
      <c r="B2321" s="550"/>
      <c r="C2321" s="223"/>
      <c r="D2321" s="550"/>
      <c r="E2321" s="224"/>
      <c r="F2321" s="225"/>
      <c r="G2321" s="290"/>
      <c r="H2321" s="226"/>
      <c r="M2321" s="225"/>
    </row>
    <row r="2322" spans="2:13" ht="18.75" customHeight="1" x14ac:dyDescent="0.25">
      <c r="B2322" s="550" t="s">
        <v>644</v>
      </c>
      <c r="C2322" s="223" t="s">
        <v>645</v>
      </c>
      <c r="D2322" s="550"/>
      <c r="E2322" s="224"/>
      <c r="F2322" s="225"/>
      <c r="G2322" s="290"/>
      <c r="H2322" s="235"/>
      <c r="M2322" s="225"/>
    </row>
    <row r="2323" spans="2:13" ht="18.75" customHeight="1" x14ac:dyDescent="0.25">
      <c r="B2323" s="236"/>
      <c r="C2323" s="232"/>
      <c r="D2323" s="550"/>
      <c r="E2323" s="224"/>
      <c r="F2323" s="237" t="s">
        <v>646</v>
      </c>
      <c r="G2323" s="290"/>
      <c r="H2323" s="230"/>
      <c r="M2323" s="237" t="s">
        <v>646</v>
      </c>
    </row>
    <row r="2324" spans="2:13" ht="18.75" customHeight="1" x14ac:dyDescent="0.25">
      <c r="B2324" s="236"/>
      <c r="C2324" s="232"/>
      <c r="D2324" s="550"/>
      <c r="E2324" s="224"/>
      <c r="F2324" s="237"/>
      <c r="G2324" s="290"/>
      <c r="H2324" s="226"/>
      <c r="M2324" s="237"/>
    </row>
    <row r="2325" spans="2:13" ht="18.75" customHeight="1" x14ac:dyDescent="0.25">
      <c r="B2325" s="248"/>
      <c r="C2325" s="238"/>
      <c r="D2325" s="239"/>
      <c r="E2325" s="266"/>
      <c r="F2325" s="241"/>
      <c r="G2325" s="303"/>
      <c r="H2325" s="267"/>
      <c r="M2325" s="241"/>
    </row>
    <row r="2326" spans="2:13" ht="18.75" customHeight="1" x14ac:dyDescent="0.25">
      <c r="B2326" s="249" t="s">
        <v>647</v>
      </c>
      <c r="C2326" s="104" t="s">
        <v>648</v>
      </c>
      <c r="D2326" s="435"/>
      <c r="E2326" s="92"/>
      <c r="F2326" s="183"/>
      <c r="G2326" s="167"/>
      <c r="H2326" s="252">
        <f>+H2323+H2320+H2314</f>
        <v>523329.5</v>
      </c>
      <c r="M2326" s="183"/>
    </row>
    <row r="2327" spans="2:13" ht="18.75" customHeight="1" x14ac:dyDescent="0.25">
      <c r="B2327" s="249" t="s">
        <v>649</v>
      </c>
      <c r="C2327" s="242" t="s">
        <v>650</v>
      </c>
      <c r="D2327" s="435"/>
      <c r="E2327" s="92"/>
      <c r="F2327" s="184" t="str">
        <f>$J$5</f>
        <v>8,0 % x D</v>
      </c>
      <c r="G2327" s="167"/>
      <c r="H2327" s="253">
        <f>+H2326*$K$5</f>
        <v>41866.36</v>
      </c>
      <c r="M2327" s="184" t="str">
        <f>$J$5</f>
        <v>8,0 % x D</v>
      </c>
    </row>
    <row r="2328" spans="2:13" ht="18.75" customHeight="1" x14ac:dyDescent="0.25">
      <c r="B2328" s="249" t="s">
        <v>651</v>
      </c>
      <c r="C2328" s="111" t="s">
        <v>652</v>
      </c>
      <c r="D2328" s="435"/>
      <c r="E2328" s="91"/>
      <c r="F2328" s="185"/>
      <c r="G2328" s="168"/>
      <c r="H2328" s="254">
        <f>ROUNDUP((H2327+H2326)/100,0)*100</f>
        <v>565200</v>
      </c>
      <c r="M2328" s="185"/>
    </row>
    <row r="2329" spans="2:13" ht="18.75" customHeight="1" x14ac:dyDescent="0.25">
      <c r="B2329" s="259"/>
      <c r="C2329" s="261"/>
      <c r="D2329" s="245"/>
      <c r="E2329" s="246"/>
      <c r="F2329" s="247"/>
      <c r="G2329" s="298"/>
      <c r="H2329" s="260"/>
      <c r="M2329" s="247"/>
    </row>
    <row r="2330" spans="2:13" ht="18.75" customHeight="1" x14ac:dyDescent="0.25">
      <c r="B2330" s="22"/>
      <c r="C2330" s="104"/>
      <c r="E2330" s="21"/>
      <c r="F2330" s="176"/>
      <c r="G2330" s="165"/>
      <c r="H2330" s="119"/>
      <c r="M2330" s="176"/>
    </row>
    <row r="2331" spans="2:13" ht="18.75" customHeight="1" x14ac:dyDescent="0.25">
      <c r="B2331" s="19">
        <f>B2305+1</f>
        <v>7</v>
      </c>
      <c r="C2331" s="93" t="s">
        <v>899</v>
      </c>
      <c r="D2331" s="19"/>
      <c r="E2331" s="21"/>
      <c r="F2331" s="176"/>
      <c r="G2331" s="165"/>
      <c r="H2331" s="119"/>
      <c r="M2331" s="176"/>
    </row>
    <row r="2332" spans="2:13" ht="18.75" customHeight="1" x14ac:dyDescent="0.25">
      <c r="B2332" s="618" t="s">
        <v>620</v>
      </c>
      <c r="C2332" s="620" t="s">
        <v>621</v>
      </c>
      <c r="D2332" s="618" t="s">
        <v>622</v>
      </c>
      <c r="E2332" s="618" t="s">
        <v>2</v>
      </c>
      <c r="F2332" s="615" t="s">
        <v>623</v>
      </c>
      <c r="G2332" s="289" t="s">
        <v>624</v>
      </c>
      <c r="H2332" s="256" t="s">
        <v>625</v>
      </c>
      <c r="M2332" s="615" t="s">
        <v>623</v>
      </c>
    </row>
    <row r="2333" spans="2:13" ht="18.75" customHeight="1" x14ac:dyDescent="0.25">
      <c r="B2333" s="619"/>
      <c r="C2333" s="621"/>
      <c r="D2333" s="619"/>
      <c r="E2333" s="619"/>
      <c r="F2333" s="616"/>
      <c r="G2333" s="289" t="s">
        <v>626</v>
      </c>
      <c r="H2333" s="256" t="s">
        <v>626</v>
      </c>
      <c r="M2333" s="616"/>
    </row>
    <row r="2334" spans="2:13" ht="18.75" customHeight="1" x14ac:dyDescent="0.25">
      <c r="B2334" s="221"/>
      <c r="C2334" s="222"/>
      <c r="D2334" s="221"/>
      <c r="E2334" s="550"/>
      <c r="F2334" s="555"/>
      <c r="G2334" s="551"/>
      <c r="H2334" s="220"/>
      <c r="M2334" s="590"/>
    </row>
    <row r="2335" spans="2:13" ht="18.75" customHeight="1" x14ac:dyDescent="0.25">
      <c r="B2335" s="550" t="s">
        <v>627</v>
      </c>
      <c r="C2335" s="223" t="s">
        <v>628</v>
      </c>
      <c r="D2335" s="550"/>
      <c r="E2335" s="224"/>
      <c r="F2335" s="225"/>
      <c r="G2335" s="290"/>
      <c r="H2335" s="226"/>
      <c r="M2335" s="225"/>
    </row>
    <row r="2336" spans="2:13" ht="18.75" customHeight="1" x14ac:dyDescent="0.25">
      <c r="B2336" s="550"/>
      <c r="C2336" s="227" t="s">
        <v>629</v>
      </c>
      <c r="D2336" s="550" t="s">
        <v>630</v>
      </c>
      <c r="E2336" s="224" t="s">
        <v>631</v>
      </c>
      <c r="F2336" s="228">
        <f t="shared" ref="F2336:F2339" si="118">$K$8*M2336</f>
        <v>1.2</v>
      </c>
      <c r="G2336" s="229">
        <f>G2310</f>
        <v>95000</v>
      </c>
      <c r="H2336" s="230">
        <f>+G2336*F2336</f>
        <v>114000</v>
      </c>
      <c r="M2336" s="228">
        <v>1.2</v>
      </c>
    </row>
    <row r="2337" spans="2:13" ht="18.75" customHeight="1" x14ac:dyDescent="0.25">
      <c r="B2337" s="550"/>
      <c r="C2337" s="227" t="s">
        <v>1505</v>
      </c>
      <c r="D2337" s="550" t="s">
        <v>634</v>
      </c>
      <c r="E2337" s="224" t="s">
        <v>631</v>
      </c>
      <c r="F2337" s="228">
        <f t="shared" si="118"/>
        <v>1.2</v>
      </c>
      <c r="G2337" s="229">
        <f>G2311</f>
        <v>110000</v>
      </c>
      <c r="H2337" s="230">
        <f>+G2337*F2337</f>
        <v>132000</v>
      </c>
      <c r="M2337" s="228">
        <v>1.2</v>
      </c>
    </row>
    <row r="2338" spans="2:13" ht="18.75" customHeight="1" x14ac:dyDescent="0.25">
      <c r="B2338" s="550"/>
      <c r="C2338" s="227" t="s">
        <v>633</v>
      </c>
      <c r="D2338" s="550" t="s">
        <v>634</v>
      </c>
      <c r="E2338" s="224" t="s">
        <v>631</v>
      </c>
      <c r="F2338" s="228">
        <f t="shared" si="118"/>
        <v>0.12</v>
      </c>
      <c r="G2338" s="229">
        <f>G2312</f>
        <v>115000</v>
      </c>
      <c r="H2338" s="230">
        <f>+G2338*F2338</f>
        <v>13800</v>
      </c>
      <c r="M2338" s="228">
        <v>0.12</v>
      </c>
    </row>
    <row r="2339" spans="2:13" ht="18.75" customHeight="1" x14ac:dyDescent="0.25">
      <c r="B2339" s="550"/>
      <c r="C2339" s="227" t="s">
        <v>600</v>
      </c>
      <c r="D2339" s="550" t="s">
        <v>635</v>
      </c>
      <c r="E2339" s="224" t="s">
        <v>631</v>
      </c>
      <c r="F2339" s="228">
        <f t="shared" si="118"/>
        <v>6.0000000000000001E-3</v>
      </c>
      <c r="G2339" s="229">
        <f>G2313</f>
        <v>140000</v>
      </c>
      <c r="H2339" s="230">
        <f>+G2339*F2339</f>
        <v>840</v>
      </c>
      <c r="M2339" s="228">
        <v>6.0000000000000001E-3</v>
      </c>
    </row>
    <row r="2340" spans="2:13" ht="18.75" customHeight="1" x14ac:dyDescent="0.25">
      <c r="B2340" s="550"/>
      <c r="C2340" s="223"/>
      <c r="D2340" s="550"/>
      <c r="E2340" s="224"/>
      <c r="F2340" s="233" t="s">
        <v>636</v>
      </c>
      <c r="G2340" s="290"/>
      <c r="H2340" s="231">
        <f>SUM(H2336:H2339)</f>
        <v>260640</v>
      </c>
      <c r="M2340" s="233" t="s">
        <v>636</v>
      </c>
    </row>
    <row r="2341" spans="2:13" ht="18.75" customHeight="1" x14ac:dyDescent="0.25">
      <c r="B2341" s="550"/>
      <c r="C2341" s="223"/>
      <c r="D2341" s="550"/>
      <c r="E2341" s="224"/>
      <c r="F2341" s="233"/>
      <c r="G2341" s="290"/>
      <c r="H2341" s="231"/>
      <c r="M2341" s="233"/>
    </row>
    <row r="2342" spans="2:13" ht="18.75" customHeight="1" x14ac:dyDescent="0.25">
      <c r="B2342" s="550" t="s">
        <v>637</v>
      </c>
      <c r="C2342" s="223" t="s">
        <v>638</v>
      </c>
      <c r="D2342" s="550"/>
      <c r="E2342" s="224"/>
      <c r="F2342" s="225"/>
      <c r="G2342" s="290"/>
      <c r="H2342" s="226"/>
      <c r="M2342" s="225"/>
    </row>
    <row r="2343" spans="2:13" ht="18.75" customHeight="1" x14ac:dyDescent="0.25">
      <c r="B2343" s="550"/>
      <c r="C2343" s="223" t="s">
        <v>900</v>
      </c>
      <c r="D2343" s="550"/>
      <c r="E2343" s="224" t="s">
        <v>58</v>
      </c>
      <c r="F2343" s="228">
        <v>1</v>
      </c>
      <c r="G2343" s="229">
        <f>Bahan!D157</f>
        <v>1190000</v>
      </c>
      <c r="H2343" s="230">
        <f>+G2343*F2343</f>
        <v>1190000</v>
      </c>
      <c r="M2343" s="228">
        <v>1</v>
      </c>
    </row>
    <row r="2344" spans="2:13" ht="18.75" customHeight="1" x14ac:dyDescent="0.25">
      <c r="B2344" s="550"/>
      <c r="C2344" s="223"/>
      <c r="D2344" s="550"/>
      <c r="E2344" s="224"/>
      <c r="F2344" s="237" t="s">
        <v>643</v>
      </c>
      <c r="G2344" s="290"/>
      <c r="H2344" s="231">
        <f>SUM(H2343:H2343)</f>
        <v>1190000</v>
      </c>
      <c r="M2344" s="237" t="s">
        <v>643</v>
      </c>
    </row>
    <row r="2345" spans="2:13" ht="18.75" customHeight="1" x14ac:dyDescent="0.25">
      <c r="B2345" s="550"/>
      <c r="C2345" s="223"/>
      <c r="D2345" s="550"/>
      <c r="E2345" s="224"/>
      <c r="F2345" s="225"/>
      <c r="G2345" s="290"/>
      <c r="H2345" s="226"/>
      <c r="M2345" s="225"/>
    </row>
    <row r="2346" spans="2:13" ht="18.75" customHeight="1" x14ac:dyDescent="0.25">
      <c r="B2346" s="550" t="s">
        <v>644</v>
      </c>
      <c r="C2346" s="223" t="s">
        <v>645</v>
      </c>
      <c r="D2346" s="550"/>
      <c r="E2346" s="224"/>
      <c r="F2346" s="225"/>
      <c r="G2346" s="290"/>
      <c r="H2346" s="235"/>
      <c r="M2346" s="225"/>
    </row>
    <row r="2347" spans="2:13" ht="18.75" customHeight="1" x14ac:dyDescent="0.25">
      <c r="B2347" s="236"/>
      <c r="C2347" s="232"/>
      <c r="D2347" s="550"/>
      <c r="E2347" s="224"/>
      <c r="F2347" s="237" t="s">
        <v>646</v>
      </c>
      <c r="G2347" s="290"/>
      <c r="H2347" s="230"/>
      <c r="M2347" s="237" t="s">
        <v>646</v>
      </c>
    </row>
    <row r="2348" spans="2:13" ht="18.75" customHeight="1" x14ac:dyDescent="0.25">
      <c r="B2348" s="236"/>
      <c r="C2348" s="232"/>
      <c r="D2348" s="550"/>
      <c r="E2348" s="224"/>
      <c r="F2348" s="237"/>
      <c r="G2348" s="290"/>
      <c r="H2348" s="230"/>
      <c r="M2348" s="237"/>
    </row>
    <row r="2349" spans="2:13" ht="18.75" customHeight="1" x14ac:dyDescent="0.25">
      <c r="B2349" s="248"/>
      <c r="C2349" s="238"/>
      <c r="D2349" s="239"/>
      <c r="E2349" s="266"/>
      <c r="F2349" s="241"/>
      <c r="G2349" s="303"/>
      <c r="H2349" s="267"/>
      <c r="M2349" s="241"/>
    </row>
    <row r="2350" spans="2:13" ht="18.75" customHeight="1" x14ac:dyDescent="0.25">
      <c r="B2350" s="249" t="s">
        <v>647</v>
      </c>
      <c r="C2350" s="104" t="s">
        <v>648</v>
      </c>
      <c r="D2350" s="435"/>
      <c r="E2350" s="92"/>
      <c r="F2350" s="183"/>
      <c r="G2350" s="167"/>
      <c r="H2350" s="252">
        <f>+H2347+H2344+H2340</f>
        <v>1450640</v>
      </c>
      <c r="M2350" s="183"/>
    </row>
    <row r="2351" spans="2:13" ht="18.75" customHeight="1" x14ac:dyDescent="0.25">
      <c r="B2351" s="249" t="s">
        <v>649</v>
      </c>
      <c r="C2351" s="242" t="s">
        <v>650</v>
      </c>
      <c r="D2351" s="435"/>
      <c r="E2351" s="92"/>
      <c r="F2351" s="184" t="str">
        <f>$J$5</f>
        <v>8,0 % x D</v>
      </c>
      <c r="G2351" s="167"/>
      <c r="H2351" s="253">
        <f>+H2350*$K$5</f>
        <v>116051.2</v>
      </c>
      <c r="M2351" s="184" t="str">
        <f>$J$5</f>
        <v>8,0 % x D</v>
      </c>
    </row>
    <row r="2352" spans="2:13" ht="18.75" customHeight="1" x14ac:dyDescent="0.25">
      <c r="B2352" s="249" t="s">
        <v>651</v>
      </c>
      <c r="C2352" s="111" t="s">
        <v>652</v>
      </c>
      <c r="D2352" s="435"/>
      <c r="E2352" s="91"/>
      <c r="F2352" s="185"/>
      <c r="G2352" s="168"/>
      <c r="H2352" s="254">
        <f>ROUNDUP((H2351+H2350)/100,0)*100</f>
        <v>1566700</v>
      </c>
      <c r="M2352" s="185"/>
    </row>
    <row r="2353" spans="2:13" ht="18.75" customHeight="1" x14ac:dyDescent="0.25">
      <c r="B2353" s="259"/>
      <c r="C2353" s="261"/>
      <c r="D2353" s="245"/>
      <c r="E2353" s="246"/>
      <c r="F2353" s="247"/>
      <c r="G2353" s="298"/>
      <c r="H2353" s="260"/>
      <c r="M2353" s="247"/>
    </row>
    <row r="2354" spans="2:13" ht="18.75" customHeight="1" x14ac:dyDescent="0.25">
      <c r="B2354" s="92"/>
      <c r="C2354" s="104"/>
      <c r="D2354" s="435"/>
      <c r="E2354" s="91"/>
      <c r="F2354" s="185"/>
      <c r="G2354" s="168"/>
      <c r="H2354" s="139"/>
      <c r="M2354" s="185"/>
    </row>
    <row r="2355" spans="2:13" ht="18.75" customHeight="1" x14ac:dyDescent="0.25">
      <c r="B2355" s="19">
        <f>B2331+1</f>
        <v>8</v>
      </c>
      <c r="C2355" s="93" t="s">
        <v>901</v>
      </c>
      <c r="D2355" s="19"/>
      <c r="E2355" s="21"/>
      <c r="F2355" s="176"/>
      <c r="G2355" s="165"/>
      <c r="H2355" s="119"/>
      <c r="M2355" s="176"/>
    </row>
    <row r="2356" spans="2:13" ht="18.75" customHeight="1" x14ac:dyDescent="0.25">
      <c r="B2356" s="618" t="s">
        <v>620</v>
      </c>
      <c r="C2356" s="620" t="s">
        <v>621</v>
      </c>
      <c r="D2356" s="618" t="s">
        <v>622</v>
      </c>
      <c r="E2356" s="618" t="s">
        <v>2</v>
      </c>
      <c r="F2356" s="615" t="s">
        <v>623</v>
      </c>
      <c r="G2356" s="289" t="s">
        <v>624</v>
      </c>
      <c r="H2356" s="256" t="s">
        <v>625</v>
      </c>
      <c r="M2356" s="615" t="s">
        <v>623</v>
      </c>
    </row>
    <row r="2357" spans="2:13" ht="18.75" customHeight="1" x14ac:dyDescent="0.25">
      <c r="B2357" s="619"/>
      <c r="C2357" s="621"/>
      <c r="D2357" s="619"/>
      <c r="E2357" s="619"/>
      <c r="F2357" s="616"/>
      <c r="G2357" s="289" t="s">
        <v>626</v>
      </c>
      <c r="H2357" s="256" t="s">
        <v>626</v>
      </c>
      <c r="M2357" s="616"/>
    </row>
    <row r="2358" spans="2:13" ht="18.75" customHeight="1" x14ac:dyDescent="0.25">
      <c r="B2358" s="221"/>
      <c r="C2358" s="222"/>
      <c r="D2358" s="221"/>
      <c r="E2358" s="550"/>
      <c r="F2358" s="555"/>
      <c r="G2358" s="551"/>
      <c r="H2358" s="220"/>
      <c r="M2358" s="590"/>
    </row>
    <row r="2359" spans="2:13" ht="18.75" customHeight="1" x14ac:dyDescent="0.25">
      <c r="B2359" s="550" t="s">
        <v>627</v>
      </c>
      <c r="C2359" s="223" t="s">
        <v>628</v>
      </c>
      <c r="D2359" s="550"/>
      <c r="E2359" s="224"/>
      <c r="F2359" s="225"/>
      <c r="G2359" s="290"/>
      <c r="H2359" s="226"/>
      <c r="M2359" s="225"/>
    </row>
    <row r="2360" spans="2:13" ht="18.75" customHeight="1" x14ac:dyDescent="0.25">
      <c r="B2360" s="550"/>
      <c r="C2360" s="227" t="s">
        <v>629</v>
      </c>
      <c r="D2360" s="550" t="s">
        <v>630</v>
      </c>
      <c r="E2360" s="224" t="s">
        <v>631</v>
      </c>
      <c r="F2360" s="228">
        <f t="shared" ref="F2360:F2363" si="119">$K$8*M2360</f>
        <v>1</v>
      </c>
      <c r="G2360" s="229">
        <f>G2336</f>
        <v>95000</v>
      </c>
      <c r="H2360" s="230">
        <f>+G2360*F2360</f>
        <v>95000</v>
      </c>
      <c r="M2360" s="228">
        <v>1</v>
      </c>
    </row>
    <row r="2361" spans="2:13" ht="18.75" customHeight="1" x14ac:dyDescent="0.25">
      <c r="B2361" s="550"/>
      <c r="C2361" s="227" t="s">
        <v>1505</v>
      </c>
      <c r="D2361" s="550" t="s">
        <v>634</v>
      </c>
      <c r="E2361" s="224" t="s">
        <v>631</v>
      </c>
      <c r="F2361" s="228">
        <f t="shared" si="119"/>
        <v>1</v>
      </c>
      <c r="G2361" s="229">
        <f>G2337</f>
        <v>110000</v>
      </c>
      <c r="H2361" s="230">
        <f>+G2361*F2361</f>
        <v>110000</v>
      </c>
      <c r="M2361" s="228">
        <v>1</v>
      </c>
    </row>
    <row r="2362" spans="2:13" ht="18.75" customHeight="1" x14ac:dyDescent="0.25">
      <c r="B2362" s="550"/>
      <c r="C2362" s="227" t="s">
        <v>633</v>
      </c>
      <c r="D2362" s="550" t="s">
        <v>634</v>
      </c>
      <c r="E2362" s="224" t="s">
        <v>631</v>
      </c>
      <c r="F2362" s="228">
        <f t="shared" si="119"/>
        <v>0.1</v>
      </c>
      <c r="G2362" s="229">
        <f>G2338</f>
        <v>115000</v>
      </c>
      <c r="H2362" s="230">
        <f>+G2362*F2362</f>
        <v>11500</v>
      </c>
      <c r="M2362" s="228">
        <v>0.1</v>
      </c>
    </row>
    <row r="2363" spans="2:13" ht="18.75" customHeight="1" x14ac:dyDescent="0.25">
      <c r="B2363" s="550"/>
      <c r="C2363" s="227" t="s">
        <v>600</v>
      </c>
      <c r="D2363" s="550" t="s">
        <v>635</v>
      </c>
      <c r="E2363" s="224" t="s">
        <v>631</v>
      </c>
      <c r="F2363" s="228">
        <f t="shared" si="119"/>
        <v>7.4999999999999997E-2</v>
      </c>
      <c r="G2363" s="229">
        <f>G2339</f>
        <v>140000</v>
      </c>
      <c r="H2363" s="230">
        <f>+G2363*F2363</f>
        <v>10500</v>
      </c>
      <c r="M2363" s="228">
        <v>7.4999999999999997E-2</v>
      </c>
    </row>
    <row r="2364" spans="2:13" ht="18.75" customHeight="1" x14ac:dyDescent="0.25">
      <c r="B2364" s="550"/>
      <c r="C2364" s="223"/>
      <c r="D2364" s="550"/>
      <c r="E2364" s="224"/>
      <c r="F2364" s="233" t="s">
        <v>636</v>
      </c>
      <c r="G2364" s="290"/>
      <c r="H2364" s="231">
        <f>SUM(H2360:H2363)</f>
        <v>227000</v>
      </c>
      <c r="M2364" s="233" t="s">
        <v>636</v>
      </c>
    </row>
    <row r="2365" spans="2:13" ht="18.75" customHeight="1" x14ac:dyDescent="0.25">
      <c r="B2365" s="550"/>
      <c r="C2365" s="223"/>
      <c r="D2365" s="550"/>
      <c r="E2365" s="224"/>
      <c r="F2365" s="233"/>
      <c r="G2365" s="290"/>
      <c r="H2365" s="231"/>
      <c r="M2365" s="233"/>
    </row>
    <row r="2366" spans="2:13" ht="18.75" customHeight="1" x14ac:dyDescent="0.25">
      <c r="B2366" s="550" t="s">
        <v>637</v>
      </c>
      <c r="C2366" s="223" t="s">
        <v>638</v>
      </c>
      <c r="D2366" s="550"/>
      <c r="E2366" s="224"/>
      <c r="F2366" s="225"/>
      <c r="G2366" s="290"/>
      <c r="H2366" s="226"/>
      <c r="M2366" s="225"/>
    </row>
    <row r="2367" spans="2:13" ht="18.75" customHeight="1" x14ac:dyDescent="0.25">
      <c r="B2367" s="550"/>
      <c r="C2367" s="223" t="s">
        <v>902</v>
      </c>
      <c r="D2367" s="550"/>
      <c r="E2367" s="224" t="s">
        <v>58</v>
      </c>
      <c r="F2367" s="228">
        <v>1</v>
      </c>
      <c r="G2367" s="229">
        <f>Bahan!D163</f>
        <v>690000</v>
      </c>
      <c r="H2367" s="230">
        <f>+G2367*F2367</f>
        <v>690000</v>
      </c>
      <c r="M2367" s="228">
        <v>1</v>
      </c>
    </row>
    <row r="2368" spans="2:13" ht="18.75" customHeight="1" x14ac:dyDescent="0.25">
      <c r="B2368" s="550"/>
      <c r="C2368" s="223"/>
      <c r="D2368" s="550"/>
      <c r="E2368" s="224"/>
      <c r="F2368" s="237" t="s">
        <v>643</v>
      </c>
      <c r="G2368" s="290"/>
      <c r="H2368" s="231">
        <f>SUM(H2367:H2367)</f>
        <v>690000</v>
      </c>
      <c r="M2368" s="237" t="s">
        <v>643</v>
      </c>
    </row>
    <row r="2369" spans="2:13" ht="18.75" customHeight="1" x14ac:dyDescent="0.25">
      <c r="B2369" s="550"/>
      <c r="C2369" s="223"/>
      <c r="D2369" s="550"/>
      <c r="E2369" s="224"/>
      <c r="F2369" s="225"/>
      <c r="G2369" s="290"/>
      <c r="H2369" s="226"/>
      <c r="M2369" s="225"/>
    </row>
    <row r="2370" spans="2:13" ht="18.75" customHeight="1" x14ac:dyDescent="0.25">
      <c r="B2370" s="550" t="s">
        <v>644</v>
      </c>
      <c r="C2370" s="223" t="s">
        <v>645</v>
      </c>
      <c r="D2370" s="550"/>
      <c r="E2370" s="224"/>
      <c r="F2370" s="225"/>
      <c r="G2370" s="290"/>
      <c r="H2370" s="235"/>
      <c r="M2370" s="225"/>
    </row>
    <row r="2371" spans="2:13" ht="18.75" customHeight="1" x14ac:dyDescent="0.25">
      <c r="B2371" s="236"/>
      <c r="C2371" s="232"/>
      <c r="D2371" s="550"/>
      <c r="E2371" s="224"/>
      <c r="F2371" s="237" t="s">
        <v>646</v>
      </c>
      <c r="G2371" s="290"/>
      <c r="H2371" s="230"/>
      <c r="M2371" s="237" t="s">
        <v>646</v>
      </c>
    </row>
    <row r="2372" spans="2:13" ht="18.75" customHeight="1" x14ac:dyDescent="0.25">
      <c r="B2372" s="236"/>
      <c r="C2372" s="232"/>
      <c r="D2372" s="550"/>
      <c r="E2372" s="224"/>
      <c r="F2372" s="237"/>
      <c r="G2372" s="290"/>
      <c r="H2372" s="226"/>
      <c r="M2372" s="237"/>
    </row>
    <row r="2373" spans="2:13" ht="18.75" customHeight="1" x14ac:dyDescent="0.25">
      <c r="B2373" s="248"/>
      <c r="C2373" s="238"/>
      <c r="D2373" s="239"/>
      <c r="E2373" s="266"/>
      <c r="F2373" s="241"/>
      <c r="G2373" s="303"/>
      <c r="H2373" s="267"/>
      <c r="M2373" s="241"/>
    </row>
    <row r="2374" spans="2:13" ht="18.75" customHeight="1" x14ac:dyDescent="0.25">
      <c r="B2374" s="249" t="s">
        <v>647</v>
      </c>
      <c r="C2374" s="104" t="s">
        <v>648</v>
      </c>
      <c r="D2374" s="435"/>
      <c r="E2374" s="92"/>
      <c r="F2374" s="183"/>
      <c r="G2374" s="167"/>
      <c r="H2374" s="252">
        <f>+H2371+H2368+H2364</f>
        <v>917000</v>
      </c>
      <c r="M2374" s="183"/>
    </row>
    <row r="2375" spans="2:13" ht="18.75" customHeight="1" x14ac:dyDescent="0.25">
      <c r="B2375" s="249" t="s">
        <v>649</v>
      </c>
      <c r="C2375" s="242" t="s">
        <v>650</v>
      </c>
      <c r="D2375" s="435"/>
      <c r="E2375" s="92"/>
      <c r="F2375" s="184" t="str">
        <f>$J$5</f>
        <v>8,0 % x D</v>
      </c>
      <c r="G2375" s="167"/>
      <c r="H2375" s="253">
        <f>+H2374*$K$5</f>
        <v>73360</v>
      </c>
      <c r="M2375" s="184" t="str">
        <f>$J$5</f>
        <v>8,0 % x D</v>
      </c>
    </row>
    <row r="2376" spans="2:13" ht="18.75" customHeight="1" x14ac:dyDescent="0.25">
      <c r="B2376" s="249" t="s">
        <v>651</v>
      </c>
      <c r="C2376" s="111" t="s">
        <v>652</v>
      </c>
      <c r="D2376" s="435"/>
      <c r="E2376" s="91"/>
      <c r="F2376" s="185"/>
      <c r="G2376" s="168"/>
      <c r="H2376" s="254">
        <f>ROUNDUP((H2375+H2374)/100,0)*100</f>
        <v>990400</v>
      </c>
      <c r="M2376" s="185"/>
    </row>
    <row r="2377" spans="2:13" ht="18.75" customHeight="1" x14ac:dyDescent="0.25">
      <c r="B2377" s="259"/>
      <c r="C2377" s="261"/>
      <c r="D2377" s="245"/>
      <c r="E2377" s="246"/>
      <c r="F2377" s="247"/>
      <c r="G2377" s="298"/>
      <c r="H2377" s="260"/>
      <c r="M2377" s="247"/>
    </row>
    <row r="2378" spans="2:13" ht="18.75" customHeight="1" x14ac:dyDescent="0.25">
      <c r="B2378" s="22"/>
      <c r="C2378" s="104"/>
      <c r="E2378" s="21"/>
      <c r="F2378" s="176"/>
      <c r="G2378" s="165"/>
      <c r="H2378" s="119"/>
      <c r="M2378" s="176"/>
    </row>
    <row r="2379" spans="2:13" ht="18.75" customHeight="1" x14ac:dyDescent="0.25">
      <c r="G2379" s="66"/>
      <c r="H2379" s="138"/>
    </row>
    <row r="2380" spans="2:13" ht="18.75" customHeight="1" x14ac:dyDescent="0.25">
      <c r="B2380" s="19">
        <f>B2355+1</f>
        <v>9</v>
      </c>
      <c r="C2380" s="93" t="s">
        <v>903</v>
      </c>
      <c r="D2380" s="19"/>
      <c r="E2380" s="21"/>
      <c r="F2380" s="176"/>
      <c r="G2380" s="165"/>
      <c r="H2380" s="119"/>
      <c r="M2380" s="176"/>
    </row>
    <row r="2381" spans="2:13" ht="18.75" customHeight="1" x14ac:dyDescent="0.25">
      <c r="B2381" s="618" t="s">
        <v>620</v>
      </c>
      <c r="C2381" s="620" t="s">
        <v>621</v>
      </c>
      <c r="D2381" s="618" t="s">
        <v>622</v>
      </c>
      <c r="E2381" s="618" t="s">
        <v>2</v>
      </c>
      <c r="F2381" s="615" t="s">
        <v>623</v>
      </c>
      <c r="G2381" s="289" t="s">
        <v>624</v>
      </c>
      <c r="H2381" s="256" t="s">
        <v>625</v>
      </c>
      <c r="M2381" s="615" t="s">
        <v>623</v>
      </c>
    </row>
    <row r="2382" spans="2:13" ht="18.75" customHeight="1" x14ac:dyDescent="0.25">
      <c r="B2382" s="619"/>
      <c r="C2382" s="621"/>
      <c r="D2382" s="619"/>
      <c r="E2382" s="619"/>
      <c r="F2382" s="616"/>
      <c r="G2382" s="289" t="s">
        <v>626</v>
      </c>
      <c r="H2382" s="256" t="s">
        <v>626</v>
      </c>
      <c r="M2382" s="616"/>
    </row>
    <row r="2383" spans="2:13" ht="18.75" customHeight="1" x14ac:dyDescent="0.25">
      <c r="B2383" s="221"/>
      <c r="C2383" s="222"/>
      <c r="D2383" s="221"/>
      <c r="E2383" s="550"/>
      <c r="F2383" s="555"/>
      <c r="G2383" s="551"/>
      <c r="H2383" s="220"/>
      <c r="M2383" s="590"/>
    </row>
    <row r="2384" spans="2:13" ht="18.75" customHeight="1" x14ac:dyDescent="0.25">
      <c r="B2384" s="550" t="s">
        <v>627</v>
      </c>
      <c r="C2384" s="223" t="s">
        <v>628</v>
      </c>
      <c r="D2384" s="550"/>
      <c r="E2384" s="224"/>
      <c r="F2384" s="225"/>
      <c r="G2384" s="290"/>
      <c r="H2384" s="226"/>
      <c r="M2384" s="225"/>
    </row>
    <row r="2385" spans="2:13" ht="18.75" customHeight="1" x14ac:dyDescent="0.25">
      <c r="B2385" s="550"/>
      <c r="C2385" s="227" t="s">
        <v>629</v>
      </c>
      <c r="D2385" s="550" t="s">
        <v>630</v>
      </c>
      <c r="E2385" s="224" t="s">
        <v>631</v>
      </c>
      <c r="F2385" s="228">
        <f t="shared" ref="F2385:F2388" si="120">$K$8*M2385</f>
        <v>0.08</v>
      </c>
      <c r="G2385" s="229">
        <f>G2360</f>
        <v>95000</v>
      </c>
      <c r="H2385" s="230">
        <f>+G2385*F2385</f>
        <v>7600</v>
      </c>
      <c r="M2385" s="228">
        <v>0.08</v>
      </c>
    </row>
    <row r="2386" spans="2:13" ht="18.75" customHeight="1" x14ac:dyDescent="0.25">
      <c r="B2386" s="550"/>
      <c r="C2386" s="227" t="s">
        <v>1505</v>
      </c>
      <c r="D2386" s="550" t="s">
        <v>634</v>
      </c>
      <c r="E2386" s="224" t="s">
        <v>631</v>
      </c>
      <c r="F2386" s="228">
        <f t="shared" si="120"/>
        <v>0.8</v>
      </c>
      <c r="G2386" s="229">
        <f>G2361</f>
        <v>110000</v>
      </c>
      <c r="H2386" s="230">
        <f>+G2386*F2386</f>
        <v>88000</v>
      </c>
      <c r="M2386" s="228">
        <v>0.8</v>
      </c>
    </row>
    <row r="2387" spans="2:13" ht="18.75" customHeight="1" x14ac:dyDescent="0.25">
      <c r="B2387" s="550"/>
      <c r="C2387" s="227" t="s">
        <v>633</v>
      </c>
      <c r="D2387" s="550" t="s">
        <v>634</v>
      </c>
      <c r="E2387" s="224" t="s">
        <v>631</v>
      </c>
      <c r="F2387" s="228">
        <f t="shared" si="120"/>
        <v>0.08</v>
      </c>
      <c r="G2387" s="229">
        <f>G2362</f>
        <v>115000</v>
      </c>
      <c r="H2387" s="230">
        <f>+G2387*F2387</f>
        <v>9200</v>
      </c>
      <c r="M2387" s="228">
        <v>0.08</v>
      </c>
    </row>
    <row r="2388" spans="2:13" ht="18.75" customHeight="1" x14ac:dyDescent="0.25">
      <c r="B2388" s="550"/>
      <c r="C2388" s="227" t="s">
        <v>600</v>
      </c>
      <c r="D2388" s="550" t="s">
        <v>635</v>
      </c>
      <c r="E2388" s="224" t="s">
        <v>631</v>
      </c>
      <c r="F2388" s="228">
        <f t="shared" si="120"/>
        <v>4.0000000000000001E-3</v>
      </c>
      <c r="G2388" s="229">
        <f>G2363</f>
        <v>140000</v>
      </c>
      <c r="H2388" s="230">
        <f>+G2388*F2388</f>
        <v>560</v>
      </c>
      <c r="M2388" s="228">
        <v>4.0000000000000001E-3</v>
      </c>
    </row>
    <row r="2389" spans="2:13" ht="18.75" customHeight="1" x14ac:dyDescent="0.25">
      <c r="B2389" s="550"/>
      <c r="C2389" s="223"/>
      <c r="D2389" s="550"/>
      <c r="E2389" s="224"/>
      <c r="F2389" s="233" t="s">
        <v>636</v>
      </c>
      <c r="G2389" s="290"/>
      <c r="H2389" s="231">
        <f>SUM(H2385:H2388)</f>
        <v>105360</v>
      </c>
      <c r="M2389" s="233" t="s">
        <v>636</v>
      </c>
    </row>
    <row r="2390" spans="2:13" ht="18.75" customHeight="1" x14ac:dyDescent="0.25">
      <c r="B2390" s="550"/>
      <c r="C2390" s="223"/>
      <c r="D2390" s="550"/>
      <c r="E2390" s="224"/>
      <c r="F2390" s="233"/>
      <c r="G2390" s="290"/>
      <c r="H2390" s="231"/>
      <c r="M2390" s="233"/>
    </row>
    <row r="2391" spans="2:13" ht="18.75" customHeight="1" x14ac:dyDescent="0.25">
      <c r="B2391" s="550" t="s">
        <v>637</v>
      </c>
      <c r="C2391" s="223" t="s">
        <v>638</v>
      </c>
      <c r="D2391" s="550"/>
      <c r="E2391" s="224"/>
      <c r="F2391" s="225"/>
      <c r="G2391" s="290"/>
      <c r="H2391" s="226"/>
      <c r="M2391" s="225"/>
    </row>
    <row r="2392" spans="2:13" ht="18.75" customHeight="1" x14ac:dyDescent="0.25">
      <c r="B2392" s="550"/>
      <c r="C2392" s="223" t="s">
        <v>150</v>
      </c>
      <c r="D2392" s="550"/>
      <c r="E2392" s="224" t="s">
        <v>58</v>
      </c>
      <c r="F2392" s="228">
        <v>1</v>
      </c>
      <c r="G2392" s="229">
        <f>Bahan!D161</f>
        <v>133000</v>
      </c>
      <c r="H2392" s="230">
        <f>+G2392*F2392</f>
        <v>133000</v>
      </c>
      <c r="M2392" s="228">
        <v>1</v>
      </c>
    </row>
    <row r="2393" spans="2:13" ht="18.75" customHeight="1" x14ac:dyDescent="0.25">
      <c r="B2393" s="550"/>
      <c r="C2393" s="223"/>
      <c r="D2393" s="550"/>
      <c r="E2393" s="224"/>
      <c r="F2393" s="237" t="s">
        <v>643</v>
      </c>
      <c r="G2393" s="290"/>
      <c r="H2393" s="231">
        <f>SUM(H2392:H2392)</f>
        <v>133000</v>
      </c>
      <c r="M2393" s="237" t="s">
        <v>643</v>
      </c>
    </row>
    <row r="2394" spans="2:13" ht="18.75" customHeight="1" x14ac:dyDescent="0.25">
      <c r="B2394" s="550"/>
      <c r="C2394" s="223"/>
      <c r="D2394" s="550"/>
      <c r="E2394" s="224"/>
      <c r="F2394" s="225"/>
      <c r="G2394" s="290"/>
      <c r="H2394" s="226"/>
      <c r="M2394" s="225"/>
    </row>
    <row r="2395" spans="2:13" ht="18.75" customHeight="1" x14ac:dyDescent="0.25">
      <c r="B2395" s="550" t="s">
        <v>644</v>
      </c>
      <c r="C2395" s="223" t="s">
        <v>645</v>
      </c>
      <c r="D2395" s="550"/>
      <c r="E2395" s="224"/>
      <c r="F2395" s="225"/>
      <c r="G2395" s="290"/>
      <c r="H2395" s="235"/>
      <c r="M2395" s="225"/>
    </row>
    <row r="2396" spans="2:13" ht="18.75" customHeight="1" x14ac:dyDescent="0.25">
      <c r="B2396" s="236"/>
      <c r="C2396" s="232"/>
      <c r="D2396" s="550"/>
      <c r="E2396" s="224"/>
      <c r="F2396" s="237" t="s">
        <v>646</v>
      </c>
      <c r="G2396" s="290"/>
      <c r="H2396" s="230"/>
      <c r="M2396" s="237" t="s">
        <v>646</v>
      </c>
    </row>
    <row r="2397" spans="2:13" ht="18.75" customHeight="1" x14ac:dyDescent="0.25">
      <c r="B2397" s="236"/>
      <c r="C2397" s="232"/>
      <c r="D2397" s="550"/>
      <c r="E2397" s="224"/>
      <c r="F2397" s="237"/>
      <c r="G2397" s="290"/>
      <c r="H2397" s="226"/>
      <c r="M2397" s="237"/>
    </row>
    <row r="2398" spans="2:13" ht="18.75" customHeight="1" x14ac:dyDescent="0.25">
      <c r="B2398" s="248"/>
      <c r="C2398" s="238"/>
      <c r="D2398" s="239"/>
      <c r="E2398" s="240"/>
      <c r="F2398" s="241"/>
      <c r="G2398" s="291"/>
      <c r="H2398" s="251"/>
      <c r="M2398" s="241"/>
    </row>
    <row r="2399" spans="2:13" ht="18.75" customHeight="1" x14ac:dyDescent="0.25">
      <c r="B2399" s="249" t="s">
        <v>647</v>
      </c>
      <c r="C2399" s="104" t="s">
        <v>648</v>
      </c>
      <c r="D2399" s="435"/>
      <c r="E2399" s="92"/>
      <c r="F2399" s="183"/>
      <c r="G2399" s="167"/>
      <c r="H2399" s="252">
        <f>+H2396+H2393+H2389</f>
        <v>238360</v>
      </c>
      <c r="M2399" s="183"/>
    </row>
    <row r="2400" spans="2:13" ht="18.75" customHeight="1" x14ac:dyDescent="0.25">
      <c r="B2400" s="249" t="s">
        <v>649</v>
      </c>
      <c r="C2400" s="242" t="s">
        <v>650</v>
      </c>
      <c r="D2400" s="435"/>
      <c r="E2400" s="92"/>
      <c r="F2400" s="184" t="str">
        <f>$J$5</f>
        <v>8,0 % x D</v>
      </c>
      <c r="G2400" s="167"/>
      <c r="H2400" s="253">
        <f>+H2399*$K$5</f>
        <v>19068.8</v>
      </c>
      <c r="M2400" s="184" t="str">
        <f>$J$5</f>
        <v>8,0 % x D</v>
      </c>
    </row>
    <row r="2401" spans="2:13" ht="18.75" customHeight="1" x14ac:dyDescent="0.25">
      <c r="B2401" s="249" t="s">
        <v>651</v>
      </c>
      <c r="C2401" s="111" t="s">
        <v>652</v>
      </c>
      <c r="D2401" s="435"/>
      <c r="E2401" s="91"/>
      <c r="F2401" s="185"/>
      <c r="G2401" s="168"/>
      <c r="H2401" s="254">
        <f>ROUNDUP((H2400+H2399)/100,0)*100</f>
        <v>257500</v>
      </c>
      <c r="M2401" s="185"/>
    </row>
    <row r="2402" spans="2:13" ht="18.75" customHeight="1" x14ac:dyDescent="0.25">
      <c r="B2402" s="259"/>
      <c r="C2402" s="261"/>
      <c r="D2402" s="245"/>
      <c r="E2402" s="246"/>
      <c r="F2402" s="247"/>
      <c r="G2402" s="298"/>
      <c r="H2402" s="260"/>
      <c r="M2402" s="247"/>
    </row>
    <row r="2403" spans="2:13" ht="18.75" customHeight="1" x14ac:dyDescent="0.25">
      <c r="G2403" s="66"/>
      <c r="H2403" s="138"/>
    </row>
    <row r="2404" spans="2:13" ht="18.75" customHeight="1" x14ac:dyDescent="0.25">
      <c r="B2404" s="19" t="s">
        <v>1515</v>
      </c>
      <c r="C2404" s="93" t="s">
        <v>1517</v>
      </c>
      <c r="D2404" s="19"/>
      <c r="E2404" s="21"/>
      <c r="F2404" s="176"/>
      <c r="G2404" s="165"/>
      <c r="H2404" s="119"/>
      <c r="M2404" s="176"/>
    </row>
    <row r="2405" spans="2:13" ht="18.75" customHeight="1" x14ac:dyDescent="0.25">
      <c r="B2405" s="19" t="s">
        <v>1516</v>
      </c>
      <c r="C2405" s="93" t="s">
        <v>1518</v>
      </c>
      <c r="D2405" s="19"/>
      <c r="E2405" s="21"/>
      <c r="F2405" s="176"/>
      <c r="G2405" s="165"/>
      <c r="H2405" s="119"/>
      <c r="M2405" s="176"/>
    </row>
    <row r="2406" spans="2:13" ht="18.75" customHeight="1" x14ac:dyDescent="0.25">
      <c r="B2406" s="618" t="s">
        <v>620</v>
      </c>
      <c r="C2406" s="620" t="s">
        <v>621</v>
      </c>
      <c r="D2406" s="618" t="s">
        <v>622</v>
      </c>
      <c r="E2406" s="618" t="s">
        <v>2</v>
      </c>
      <c r="F2406" s="615" t="s">
        <v>623</v>
      </c>
      <c r="G2406" s="289" t="s">
        <v>624</v>
      </c>
      <c r="H2406" s="256" t="s">
        <v>625</v>
      </c>
      <c r="M2406" s="615" t="s">
        <v>623</v>
      </c>
    </row>
    <row r="2407" spans="2:13" ht="18.75" customHeight="1" x14ac:dyDescent="0.25">
      <c r="B2407" s="619"/>
      <c r="C2407" s="621"/>
      <c r="D2407" s="619"/>
      <c r="E2407" s="619"/>
      <c r="F2407" s="616"/>
      <c r="G2407" s="289" t="s">
        <v>626</v>
      </c>
      <c r="H2407" s="256" t="s">
        <v>626</v>
      </c>
      <c r="M2407" s="616"/>
    </row>
    <row r="2408" spans="2:13" ht="18.75" customHeight="1" x14ac:dyDescent="0.25">
      <c r="B2408" s="221"/>
      <c r="C2408" s="222"/>
      <c r="D2408" s="221"/>
      <c r="E2408" s="550"/>
      <c r="F2408" s="555"/>
      <c r="G2408" s="551"/>
      <c r="H2408" s="220"/>
      <c r="M2408" s="590"/>
    </row>
    <row r="2409" spans="2:13" ht="18.75" customHeight="1" x14ac:dyDescent="0.25">
      <c r="B2409" s="550" t="s">
        <v>627</v>
      </c>
      <c r="C2409" s="223" t="s">
        <v>628</v>
      </c>
      <c r="D2409" s="550"/>
      <c r="E2409" s="224"/>
      <c r="F2409" s="225"/>
      <c r="G2409" s="290"/>
      <c r="H2409" s="226"/>
      <c r="M2409" s="225"/>
    </row>
    <row r="2410" spans="2:13" ht="18.75" customHeight="1" x14ac:dyDescent="0.25">
      <c r="B2410" s="550"/>
      <c r="C2410" s="227" t="s">
        <v>1511</v>
      </c>
      <c r="D2410" s="550" t="s">
        <v>630</v>
      </c>
      <c r="E2410" s="224" t="s">
        <v>631</v>
      </c>
      <c r="F2410" s="228">
        <f t="shared" ref="F2410:F2413" si="121">$K$8*M2410</f>
        <v>7.4999999999999997E-2</v>
      </c>
      <c r="G2410" s="229">
        <f>G2385</f>
        <v>95000</v>
      </c>
      <c r="H2410" s="230">
        <f>+G2410*F2410</f>
        <v>7125</v>
      </c>
      <c r="M2410" s="228">
        <v>7.4999999999999997E-2</v>
      </c>
    </row>
    <row r="2411" spans="2:13" ht="18.75" customHeight="1" x14ac:dyDescent="0.25">
      <c r="B2411" s="550"/>
      <c r="C2411" s="227" t="s">
        <v>1505</v>
      </c>
      <c r="D2411" s="550" t="s">
        <v>634</v>
      </c>
      <c r="E2411" s="224" t="s">
        <v>631</v>
      </c>
      <c r="F2411" s="228">
        <f t="shared" si="121"/>
        <v>0.22500000000000001</v>
      </c>
      <c r="G2411" s="229">
        <f>G2386</f>
        <v>110000</v>
      </c>
      <c r="H2411" s="230">
        <f>+G2411*F2411</f>
        <v>24750</v>
      </c>
      <c r="M2411" s="228">
        <v>0.22500000000000001</v>
      </c>
    </row>
    <row r="2412" spans="2:13" ht="18.75" customHeight="1" x14ac:dyDescent="0.25">
      <c r="B2412" s="550"/>
      <c r="C2412" s="227" t="s">
        <v>633</v>
      </c>
      <c r="D2412" s="550" t="s">
        <v>634</v>
      </c>
      <c r="E2412" s="224" t="s">
        <v>631</v>
      </c>
      <c r="F2412" s="228">
        <f t="shared" si="121"/>
        <v>4.3E-3</v>
      </c>
      <c r="G2412" s="229">
        <f>G2387</f>
        <v>115000</v>
      </c>
      <c r="H2412" s="230">
        <f>+G2412*F2412</f>
        <v>494.5</v>
      </c>
      <c r="M2412" s="228">
        <v>4.3E-3</v>
      </c>
    </row>
    <row r="2413" spans="2:13" ht="18.75" customHeight="1" x14ac:dyDescent="0.25">
      <c r="B2413" s="550"/>
      <c r="C2413" s="227" t="s">
        <v>600</v>
      </c>
      <c r="D2413" s="550" t="s">
        <v>635</v>
      </c>
      <c r="E2413" s="224" t="s">
        <v>631</v>
      </c>
      <c r="F2413" s="228">
        <f t="shared" si="121"/>
        <v>3.7999999999999999E-2</v>
      </c>
      <c r="G2413" s="229">
        <f>G2388</f>
        <v>140000</v>
      </c>
      <c r="H2413" s="230">
        <f>+G2413*F2413</f>
        <v>5320</v>
      </c>
      <c r="M2413" s="228">
        <v>3.7999999999999999E-2</v>
      </c>
    </row>
    <row r="2414" spans="2:13" ht="18.75" customHeight="1" x14ac:dyDescent="0.25">
      <c r="B2414" s="550"/>
      <c r="C2414" s="223"/>
      <c r="D2414" s="550"/>
      <c r="E2414" s="224"/>
      <c r="F2414" s="233" t="s">
        <v>636</v>
      </c>
      <c r="G2414" s="290"/>
      <c r="H2414" s="231">
        <f>SUM(H2410:H2413)</f>
        <v>37689.5</v>
      </c>
      <c r="M2414" s="233" t="s">
        <v>636</v>
      </c>
    </row>
    <row r="2415" spans="2:13" ht="18.75" customHeight="1" x14ac:dyDescent="0.25">
      <c r="B2415" s="550"/>
      <c r="C2415" s="223"/>
      <c r="D2415" s="550"/>
      <c r="E2415" s="224"/>
      <c r="F2415" s="233"/>
      <c r="G2415" s="290"/>
      <c r="H2415" s="230"/>
      <c r="M2415" s="233"/>
    </row>
    <row r="2416" spans="2:13" ht="18.75" customHeight="1" x14ac:dyDescent="0.25">
      <c r="B2416" s="550" t="s">
        <v>637</v>
      </c>
      <c r="C2416" s="223" t="s">
        <v>638</v>
      </c>
      <c r="D2416" s="550"/>
      <c r="E2416" s="224"/>
      <c r="F2416" s="225"/>
      <c r="G2416" s="290"/>
      <c r="H2416" s="226"/>
      <c r="M2416" s="225"/>
    </row>
    <row r="2417" spans="2:13" ht="18.75" customHeight="1" x14ac:dyDescent="0.25">
      <c r="B2417" s="550"/>
      <c r="C2417" s="223" t="s">
        <v>904</v>
      </c>
      <c r="D2417" s="550"/>
      <c r="E2417" s="224" t="s">
        <v>14</v>
      </c>
      <c r="F2417" s="228">
        <v>1.1000000000000001</v>
      </c>
      <c r="G2417" s="229">
        <f>Bahan!D168</f>
        <v>92000</v>
      </c>
      <c r="H2417" s="230">
        <f>+G2417*F2417</f>
        <v>101200.00000000001</v>
      </c>
      <c r="M2417" s="228">
        <v>1.1000000000000001</v>
      </c>
    </row>
    <row r="2418" spans="2:13" ht="18.75" customHeight="1" x14ac:dyDescent="0.25">
      <c r="B2418" s="550"/>
      <c r="C2418" s="223" t="s">
        <v>905</v>
      </c>
      <c r="D2418" s="550"/>
      <c r="E2418" s="224" t="s">
        <v>14</v>
      </c>
      <c r="F2418" s="228">
        <v>1.1000000000000001</v>
      </c>
      <c r="G2418" s="229">
        <f>Bahan!D169</f>
        <v>70000</v>
      </c>
      <c r="H2418" s="230">
        <f>+G2418*F2418</f>
        <v>77000</v>
      </c>
      <c r="M2418" s="228">
        <v>1.1000000000000001</v>
      </c>
    </row>
    <row r="2419" spans="2:13" ht="18.75" customHeight="1" x14ac:dyDescent="0.25">
      <c r="B2419" s="550"/>
      <c r="C2419" s="223" t="s">
        <v>906</v>
      </c>
      <c r="D2419" s="550"/>
      <c r="E2419" s="224" t="s">
        <v>62</v>
      </c>
      <c r="F2419" s="228">
        <v>0.22</v>
      </c>
      <c r="G2419" s="229">
        <f>Bahan!D346</f>
        <v>28000</v>
      </c>
      <c r="H2419" s="230">
        <f>+G2419*F2419</f>
        <v>6160</v>
      </c>
      <c r="M2419" s="228">
        <v>0.22</v>
      </c>
    </row>
    <row r="2420" spans="2:13" ht="18.75" customHeight="1" x14ac:dyDescent="0.25">
      <c r="B2420" s="550"/>
      <c r="C2420" s="223" t="s">
        <v>907</v>
      </c>
      <c r="D2420" s="550"/>
      <c r="E2420" s="224" t="s">
        <v>613</v>
      </c>
      <c r="F2420" s="228">
        <v>7.4999999999999997E-2</v>
      </c>
      <c r="G2420" s="229">
        <f>Bahan!D162</f>
        <v>27000</v>
      </c>
      <c r="H2420" s="230">
        <f>+G2420*F2420</f>
        <v>2025</v>
      </c>
      <c r="M2420" s="228">
        <v>7.4999999999999997E-2</v>
      </c>
    </row>
    <row r="2421" spans="2:13" ht="18.75" customHeight="1" x14ac:dyDescent="0.25">
      <c r="B2421" s="550"/>
      <c r="C2421" s="223"/>
      <c r="D2421" s="550"/>
      <c r="E2421" s="224"/>
      <c r="F2421" s="237" t="s">
        <v>908</v>
      </c>
      <c r="G2421" s="275"/>
      <c r="H2421" s="231">
        <f>H2417+H2419+H2420</f>
        <v>109385.00000000001</v>
      </c>
      <c r="M2421" s="237" t="s">
        <v>908</v>
      </c>
    </row>
    <row r="2422" spans="2:13" ht="18.75" customHeight="1" x14ac:dyDescent="0.25">
      <c r="B2422" s="550"/>
      <c r="C2422" s="223"/>
      <c r="D2422" s="550"/>
      <c r="E2422" s="224"/>
      <c r="F2422" s="237" t="s">
        <v>909</v>
      </c>
      <c r="G2422" s="290"/>
      <c r="H2422" s="231">
        <f>H2418+H2419+H2420</f>
        <v>85185</v>
      </c>
      <c r="M2422" s="237" t="s">
        <v>909</v>
      </c>
    </row>
    <row r="2423" spans="2:13" ht="18.75" customHeight="1" x14ac:dyDescent="0.25">
      <c r="B2423" s="550"/>
      <c r="C2423" s="223"/>
      <c r="D2423" s="550"/>
      <c r="E2423" s="224"/>
      <c r="F2423" s="225"/>
      <c r="G2423" s="290"/>
      <c r="H2423" s="226"/>
      <c r="M2423" s="225"/>
    </row>
    <row r="2424" spans="2:13" ht="18.75" customHeight="1" x14ac:dyDescent="0.25">
      <c r="B2424" s="550" t="s">
        <v>644</v>
      </c>
      <c r="C2424" s="223" t="s">
        <v>645</v>
      </c>
      <c r="D2424" s="550"/>
      <c r="E2424" s="224"/>
      <c r="F2424" s="225"/>
      <c r="G2424" s="290"/>
      <c r="H2424" s="235"/>
      <c r="M2424" s="225"/>
    </row>
    <row r="2425" spans="2:13" ht="18.75" customHeight="1" x14ac:dyDescent="0.25">
      <c r="B2425" s="236"/>
      <c r="C2425" s="232"/>
      <c r="D2425" s="550"/>
      <c r="E2425" s="224"/>
      <c r="F2425" s="237" t="s">
        <v>646</v>
      </c>
      <c r="G2425" s="290"/>
      <c r="H2425" s="230"/>
      <c r="M2425" s="237" t="s">
        <v>646</v>
      </c>
    </row>
    <row r="2426" spans="2:13" ht="18.75" customHeight="1" x14ac:dyDescent="0.25">
      <c r="B2426" s="236"/>
      <c r="C2426" s="232"/>
      <c r="D2426" s="550"/>
      <c r="E2426" s="224"/>
      <c r="F2426" s="237"/>
      <c r="G2426" s="290"/>
      <c r="H2426" s="226"/>
      <c r="M2426" s="237"/>
    </row>
    <row r="2427" spans="2:13" ht="18.75" customHeight="1" x14ac:dyDescent="0.25">
      <c r="B2427" s="248"/>
      <c r="C2427" s="238"/>
      <c r="D2427" s="239"/>
      <c r="E2427" s="240"/>
      <c r="F2427" s="241"/>
      <c r="G2427" s="291"/>
      <c r="H2427" s="251"/>
      <c r="M2427" s="241"/>
    </row>
    <row r="2428" spans="2:13" ht="18.75" customHeight="1" x14ac:dyDescent="0.25">
      <c r="B2428" s="249" t="s">
        <v>647</v>
      </c>
      <c r="C2428" s="104" t="s">
        <v>648</v>
      </c>
      <c r="D2428" s="435"/>
      <c r="E2428" s="92"/>
      <c r="F2428" s="183"/>
      <c r="G2428" s="167"/>
      <c r="H2428" s="252">
        <f>+H2425+H2421+H2414</f>
        <v>147074.5</v>
      </c>
      <c r="M2428" s="183"/>
    </row>
    <row r="2429" spans="2:13" ht="18.75" customHeight="1" x14ac:dyDescent="0.25">
      <c r="B2429" s="249" t="s">
        <v>649</v>
      </c>
      <c r="C2429" s="104" t="s">
        <v>650</v>
      </c>
      <c r="D2429" s="435"/>
      <c r="E2429" s="92"/>
      <c r="F2429" s="184" t="str">
        <f>J5</f>
        <v>8,0 % x D</v>
      </c>
      <c r="G2429" s="167"/>
      <c r="H2429" s="253">
        <f>+H2428*K2801</f>
        <v>11765.960000000001</v>
      </c>
      <c r="M2429" s="184">
        <f>Q5</f>
        <v>0</v>
      </c>
    </row>
    <row r="2430" spans="2:13" ht="18.75" customHeight="1" x14ac:dyDescent="0.25">
      <c r="B2430" s="249" t="s">
        <v>651</v>
      </c>
      <c r="C2430" s="111" t="s">
        <v>910</v>
      </c>
      <c r="D2430" s="435"/>
      <c r="E2430" s="91"/>
      <c r="F2430" s="185"/>
      <c r="G2430" s="168"/>
      <c r="H2430" s="254">
        <f>ROUNDUP((+H2429+H2428)/100,0)*100</f>
        <v>158900</v>
      </c>
      <c r="M2430" s="185"/>
    </row>
    <row r="2431" spans="2:13" ht="18.75" customHeight="1" x14ac:dyDescent="0.25">
      <c r="B2431" s="249" t="s">
        <v>825</v>
      </c>
      <c r="C2431" s="111" t="s">
        <v>911</v>
      </c>
      <c r="D2431" s="435"/>
      <c r="E2431" s="91"/>
      <c r="F2431" s="185"/>
      <c r="G2431" s="168"/>
      <c r="H2431" s="254">
        <f>ROUNDUP((H2414+H2422+H2429)/100,0)*100</f>
        <v>134700</v>
      </c>
      <c r="M2431" s="185"/>
    </row>
    <row r="2432" spans="2:13" ht="18.75" customHeight="1" x14ac:dyDescent="0.25">
      <c r="B2432" s="250"/>
      <c r="C2432" s="279"/>
      <c r="D2432" s="245"/>
      <c r="E2432" s="246"/>
      <c r="F2432" s="247"/>
      <c r="G2432" s="298"/>
      <c r="H2432" s="255"/>
      <c r="M2432" s="247"/>
    </row>
    <row r="2433" spans="2:13" ht="18.75" customHeight="1" x14ac:dyDescent="0.25">
      <c r="C2433" s="111"/>
      <c r="E2433" s="21"/>
      <c r="F2433" s="176"/>
      <c r="G2433" s="165"/>
      <c r="H2433" s="154"/>
      <c r="M2433" s="176"/>
    </row>
    <row r="2434" spans="2:13" ht="18.75" customHeight="1" x14ac:dyDescent="0.25">
      <c r="B2434" s="19">
        <f>B2380+2</f>
        <v>11</v>
      </c>
      <c r="C2434" s="93" t="s">
        <v>912</v>
      </c>
      <c r="D2434" s="19"/>
      <c r="E2434" s="21"/>
      <c r="F2434" s="176"/>
      <c r="G2434" s="165"/>
      <c r="H2434" s="119"/>
      <c r="M2434" s="176"/>
    </row>
    <row r="2435" spans="2:13" ht="18.75" customHeight="1" x14ac:dyDescent="0.25">
      <c r="B2435" s="618" t="s">
        <v>620</v>
      </c>
      <c r="C2435" s="620" t="s">
        <v>621</v>
      </c>
      <c r="D2435" s="618" t="s">
        <v>622</v>
      </c>
      <c r="E2435" s="618" t="s">
        <v>2</v>
      </c>
      <c r="F2435" s="615" t="s">
        <v>623</v>
      </c>
      <c r="G2435" s="289" t="s">
        <v>624</v>
      </c>
      <c r="H2435" s="256" t="s">
        <v>625</v>
      </c>
      <c r="M2435" s="615" t="s">
        <v>623</v>
      </c>
    </row>
    <row r="2436" spans="2:13" ht="18.75" customHeight="1" x14ac:dyDescent="0.25">
      <c r="B2436" s="619"/>
      <c r="C2436" s="621"/>
      <c r="D2436" s="619"/>
      <c r="E2436" s="619"/>
      <c r="F2436" s="616"/>
      <c r="G2436" s="289" t="s">
        <v>626</v>
      </c>
      <c r="H2436" s="256" t="s">
        <v>626</v>
      </c>
      <c r="M2436" s="616"/>
    </row>
    <row r="2437" spans="2:13" ht="18.75" customHeight="1" x14ac:dyDescent="0.25">
      <c r="B2437" s="221"/>
      <c r="C2437" s="222"/>
      <c r="D2437" s="221"/>
      <c r="E2437" s="550"/>
      <c r="F2437" s="555"/>
      <c r="G2437" s="551"/>
      <c r="H2437" s="220"/>
      <c r="M2437" s="590"/>
    </row>
    <row r="2438" spans="2:13" ht="18.75" customHeight="1" x14ac:dyDescent="0.25">
      <c r="B2438" s="550" t="s">
        <v>627</v>
      </c>
      <c r="C2438" s="223" t="s">
        <v>628</v>
      </c>
      <c r="D2438" s="550"/>
      <c r="E2438" s="224"/>
      <c r="F2438" s="225"/>
      <c r="G2438" s="290"/>
      <c r="H2438" s="226"/>
      <c r="M2438" s="225"/>
    </row>
    <row r="2439" spans="2:13" ht="18.75" customHeight="1" x14ac:dyDescent="0.25">
      <c r="B2439" s="550"/>
      <c r="C2439" s="227" t="s">
        <v>629</v>
      </c>
      <c r="D2439" s="550" t="s">
        <v>630</v>
      </c>
      <c r="E2439" s="224" t="s">
        <v>631</v>
      </c>
      <c r="F2439" s="228">
        <f t="shared" ref="F2439:F2442" si="122">$K$8*M2439</f>
        <v>8.5000000000000006E-2</v>
      </c>
      <c r="G2439" s="229">
        <f>G2410</f>
        <v>95000</v>
      </c>
      <c r="H2439" s="230">
        <f>+G2439*F2439</f>
        <v>8075.0000000000009</v>
      </c>
      <c r="M2439" s="228">
        <v>8.5000000000000006E-2</v>
      </c>
    </row>
    <row r="2440" spans="2:13" ht="18.75" customHeight="1" x14ac:dyDescent="0.25">
      <c r="B2440" s="550"/>
      <c r="C2440" s="227" t="s">
        <v>1506</v>
      </c>
      <c r="D2440" s="550" t="s">
        <v>634</v>
      </c>
      <c r="E2440" s="224" t="s">
        <v>631</v>
      </c>
      <c r="F2440" s="228">
        <f t="shared" si="122"/>
        <v>8.5000000000000006E-2</v>
      </c>
      <c r="G2440" s="229">
        <f>G2411</f>
        <v>110000</v>
      </c>
      <c r="H2440" s="230">
        <f>+G2440*F2440</f>
        <v>9350</v>
      </c>
      <c r="M2440" s="228">
        <v>8.5000000000000006E-2</v>
      </c>
    </row>
    <row r="2441" spans="2:13" ht="18.75" customHeight="1" x14ac:dyDescent="0.25">
      <c r="B2441" s="550"/>
      <c r="C2441" s="227" t="s">
        <v>633</v>
      </c>
      <c r="D2441" s="550" t="s">
        <v>634</v>
      </c>
      <c r="E2441" s="224" t="s">
        <v>631</v>
      </c>
      <c r="F2441" s="228">
        <f t="shared" si="122"/>
        <v>8.5000000000000006E-3</v>
      </c>
      <c r="G2441" s="229">
        <f>G2412</f>
        <v>115000</v>
      </c>
      <c r="H2441" s="230">
        <f>+G2441*F2441</f>
        <v>977.50000000000011</v>
      </c>
      <c r="M2441" s="228">
        <v>8.5000000000000006E-3</v>
      </c>
    </row>
    <row r="2442" spans="2:13" ht="18.75" customHeight="1" x14ac:dyDescent="0.25">
      <c r="B2442" s="550"/>
      <c r="C2442" s="227" t="s">
        <v>600</v>
      </c>
      <c r="D2442" s="550" t="s">
        <v>635</v>
      </c>
      <c r="E2442" s="224" t="s">
        <v>631</v>
      </c>
      <c r="F2442" s="228">
        <f t="shared" si="122"/>
        <v>4.1999999999999997E-3</v>
      </c>
      <c r="G2442" s="229">
        <f>G2413</f>
        <v>140000</v>
      </c>
      <c r="H2442" s="230">
        <f>+G2442*F2442</f>
        <v>588</v>
      </c>
      <c r="M2442" s="228">
        <v>4.1999999999999997E-3</v>
      </c>
    </row>
    <row r="2443" spans="2:13" ht="18.75" customHeight="1" x14ac:dyDescent="0.25">
      <c r="B2443" s="550"/>
      <c r="C2443" s="223"/>
      <c r="D2443" s="550"/>
      <c r="E2443" s="224"/>
      <c r="F2443" s="233" t="s">
        <v>636</v>
      </c>
      <c r="G2443" s="290"/>
      <c r="H2443" s="231">
        <f>SUM(H2439:H2442)</f>
        <v>18990.5</v>
      </c>
      <c r="M2443" s="233" t="s">
        <v>636</v>
      </c>
    </row>
    <row r="2444" spans="2:13" ht="18.75" customHeight="1" x14ac:dyDescent="0.25">
      <c r="B2444" s="550"/>
      <c r="C2444" s="223"/>
      <c r="D2444" s="550"/>
      <c r="E2444" s="224"/>
      <c r="F2444" s="233"/>
      <c r="G2444" s="290"/>
      <c r="H2444" s="231"/>
      <c r="M2444" s="233"/>
    </row>
    <row r="2445" spans="2:13" ht="18.75" customHeight="1" x14ac:dyDescent="0.25">
      <c r="B2445" s="550" t="s">
        <v>637</v>
      </c>
      <c r="C2445" s="223" t="s">
        <v>638</v>
      </c>
      <c r="D2445" s="550"/>
      <c r="E2445" s="224"/>
      <c r="F2445" s="225"/>
      <c r="G2445" s="290"/>
      <c r="H2445" s="226"/>
      <c r="M2445" s="225"/>
    </row>
    <row r="2446" spans="2:13" ht="18.75" customHeight="1" x14ac:dyDescent="0.25">
      <c r="B2446" s="550"/>
      <c r="C2446" s="223" t="s">
        <v>913</v>
      </c>
      <c r="D2446" s="550"/>
      <c r="E2446" s="224" t="s">
        <v>14</v>
      </c>
      <c r="F2446" s="228">
        <v>4.4000000000000004</v>
      </c>
      <c r="G2446" s="229">
        <f>Bahan!D160</f>
        <v>13000</v>
      </c>
      <c r="H2446" s="230">
        <f>+G2446*F2446</f>
        <v>57200.000000000007</v>
      </c>
      <c r="M2446" s="228">
        <v>4.4000000000000004</v>
      </c>
    </row>
    <row r="2447" spans="2:13" ht="18.75" customHeight="1" x14ac:dyDescent="0.25">
      <c r="B2447" s="550"/>
      <c r="C2447" s="223" t="s">
        <v>914</v>
      </c>
      <c r="D2447" s="550"/>
      <c r="E2447" s="224" t="s">
        <v>14</v>
      </c>
      <c r="F2447" s="228">
        <v>14.6</v>
      </c>
      <c r="G2447" s="229">
        <f>Bahan!D131</f>
        <v>25000</v>
      </c>
      <c r="H2447" s="230">
        <f>+G2447*F2447</f>
        <v>365000</v>
      </c>
      <c r="M2447" s="228">
        <v>14.6</v>
      </c>
    </row>
    <row r="2448" spans="2:13" ht="18.75" customHeight="1" x14ac:dyDescent="0.25">
      <c r="B2448" s="550"/>
      <c r="C2448" s="223"/>
      <c r="D2448" s="550"/>
      <c r="E2448" s="224"/>
      <c r="F2448" s="346" t="s">
        <v>643</v>
      </c>
      <c r="G2448" s="347"/>
      <c r="H2448" s="231">
        <f>SUM(H2446:H2447)</f>
        <v>422200</v>
      </c>
      <c r="M2448" s="346" t="s">
        <v>643</v>
      </c>
    </row>
    <row r="2449" spans="2:13" ht="18.75" customHeight="1" x14ac:dyDescent="0.25">
      <c r="B2449" s="550"/>
      <c r="C2449" s="223"/>
      <c r="D2449" s="550"/>
      <c r="E2449" s="224"/>
      <c r="F2449" s="225"/>
      <c r="G2449" s="290"/>
      <c r="H2449" s="226"/>
      <c r="M2449" s="225"/>
    </row>
    <row r="2450" spans="2:13" ht="18.75" customHeight="1" x14ac:dyDescent="0.25">
      <c r="B2450" s="550" t="s">
        <v>644</v>
      </c>
      <c r="C2450" s="223" t="s">
        <v>645</v>
      </c>
      <c r="D2450" s="550"/>
      <c r="E2450" s="224"/>
      <c r="F2450" s="225"/>
      <c r="G2450" s="290"/>
      <c r="H2450" s="235"/>
      <c r="M2450" s="225"/>
    </row>
    <row r="2451" spans="2:13" ht="18.75" customHeight="1" x14ac:dyDescent="0.25">
      <c r="B2451" s="236"/>
      <c r="C2451" s="232"/>
      <c r="D2451" s="550"/>
      <c r="E2451" s="224"/>
      <c r="F2451" s="237" t="s">
        <v>646</v>
      </c>
      <c r="G2451" s="290"/>
      <c r="H2451" s="230"/>
      <c r="M2451" s="237" t="s">
        <v>646</v>
      </c>
    </row>
    <row r="2452" spans="2:13" ht="18.75" customHeight="1" x14ac:dyDescent="0.25">
      <c r="B2452" s="236"/>
      <c r="C2452" s="232"/>
      <c r="D2452" s="550"/>
      <c r="E2452" s="224"/>
      <c r="F2452" s="237"/>
      <c r="G2452" s="290"/>
      <c r="H2452" s="226"/>
      <c r="M2452" s="237"/>
    </row>
    <row r="2453" spans="2:13" ht="18.75" customHeight="1" x14ac:dyDescent="0.25">
      <c r="B2453" s="248"/>
      <c r="C2453" s="238"/>
      <c r="D2453" s="239"/>
      <c r="E2453" s="240"/>
      <c r="F2453" s="241"/>
      <c r="G2453" s="291"/>
      <c r="H2453" s="251"/>
      <c r="M2453" s="241"/>
    </row>
    <row r="2454" spans="2:13" ht="18.75" customHeight="1" x14ac:dyDescent="0.25">
      <c r="B2454" s="249" t="s">
        <v>647</v>
      </c>
      <c r="C2454" s="104" t="s">
        <v>648</v>
      </c>
      <c r="D2454" s="435"/>
      <c r="E2454" s="92"/>
      <c r="F2454" s="183"/>
      <c r="G2454" s="167"/>
      <c r="H2454" s="252">
        <f>+H2451+H2448+H2443</f>
        <v>441190.5</v>
      </c>
      <c r="M2454" s="183"/>
    </row>
    <row r="2455" spans="2:13" ht="18.75" customHeight="1" x14ac:dyDescent="0.25">
      <c r="B2455" s="249" t="s">
        <v>649</v>
      </c>
      <c r="C2455" s="242" t="s">
        <v>650</v>
      </c>
      <c r="D2455" s="435"/>
      <c r="E2455" s="92"/>
      <c r="F2455" s="184" t="str">
        <f>$J$5</f>
        <v>8,0 % x D</v>
      </c>
      <c r="G2455" s="167"/>
      <c r="H2455" s="253">
        <f>+H2454*$K$5</f>
        <v>35295.24</v>
      </c>
      <c r="M2455" s="184" t="str">
        <f>$J$5</f>
        <v>8,0 % x D</v>
      </c>
    </row>
    <row r="2456" spans="2:13" ht="18.75" customHeight="1" x14ac:dyDescent="0.25">
      <c r="B2456" s="249" t="s">
        <v>651</v>
      </c>
      <c r="C2456" s="111" t="s">
        <v>652</v>
      </c>
      <c r="D2456" s="435"/>
      <c r="E2456" s="91"/>
      <c r="F2456" s="185"/>
      <c r="G2456" s="168"/>
      <c r="H2456" s="254">
        <f>ROUNDUP((H2455+H2454)/100,0)*100</f>
        <v>476500</v>
      </c>
      <c r="M2456" s="185"/>
    </row>
    <row r="2457" spans="2:13" ht="18.75" customHeight="1" x14ac:dyDescent="0.25">
      <c r="B2457" s="259"/>
      <c r="C2457" s="261"/>
      <c r="D2457" s="245"/>
      <c r="E2457" s="246"/>
      <c r="F2457" s="247"/>
      <c r="G2457" s="298"/>
      <c r="H2457" s="260"/>
      <c r="M2457" s="247"/>
    </row>
    <row r="2458" spans="2:13" ht="18.75" customHeight="1" x14ac:dyDescent="0.25">
      <c r="G2458" s="66"/>
      <c r="H2458" s="348"/>
    </row>
    <row r="2459" spans="2:13" ht="18.75" customHeight="1" x14ac:dyDescent="0.25">
      <c r="B2459" s="19">
        <f>B2434+1</f>
        <v>12</v>
      </c>
      <c r="C2459" s="93" t="s">
        <v>915</v>
      </c>
      <c r="D2459" s="19"/>
      <c r="E2459" s="21"/>
      <c r="F2459" s="176"/>
      <c r="G2459" s="165"/>
      <c r="H2459" s="139"/>
      <c r="M2459" s="176"/>
    </row>
    <row r="2460" spans="2:13" ht="18.75" customHeight="1" x14ac:dyDescent="0.25">
      <c r="B2460" s="618" t="s">
        <v>620</v>
      </c>
      <c r="C2460" s="620" t="s">
        <v>621</v>
      </c>
      <c r="D2460" s="618" t="s">
        <v>622</v>
      </c>
      <c r="E2460" s="618" t="s">
        <v>2</v>
      </c>
      <c r="F2460" s="615" t="s">
        <v>623</v>
      </c>
      <c r="G2460" s="289" t="s">
        <v>624</v>
      </c>
      <c r="H2460" s="256" t="s">
        <v>625</v>
      </c>
      <c r="M2460" s="615" t="s">
        <v>623</v>
      </c>
    </row>
    <row r="2461" spans="2:13" ht="18.75" customHeight="1" x14ac:dyDescent="0.25">
      <c r="B2461" s="619"/>
      <c r="C2461" s="621"/>
      <c r="D2461" s="619"/>
      <c r="E2461" s="619"/>
      <c r="F2461" s="616"/>
      <c r="G2461" s="289" t="s">
        <v>626</v>
      </c>
      <c r="H2461" s="256" t="s">
        <v>626</v>
      </c>
      <c r="M2461" s="616"/>
    </row>
    <row r="2462" spans="2:13" ht="18.75" customHeight="1" x14ac:dyDescent="0.25">
      <c r="B2462" s="221"/>
      <c r="C2462" s="222"/>
      <c r="D2462" s="221"/>
      <c r="E2462" s="550"/>
      <c r="F2462" s="555"/>
      <c r="G2462" s="551"/>
      <c r="H2462" s="220"/>
      <c r="M2462" s="590"/>
    </row>
    <row r="2463" spans="2:13" ht="18.75" customHeight="1" x14ac:dyDescent="0.25">
      <c r="B2463" s="550" t="s">
        <v>627</v>
      </c>
      <c r="C2463" s="223" t="s">
        <v>628</v>
      </c>
      <c r="D2463" s="550"/>
      <c r="E2463" s="224"/>
      <c r="F2463" s="225"/>
      <c r="G2463" s="290"/>
      <c r="H2463" s="226"/>
      <c r="M2463" s="225"/>
    </row>
    <row r="2464" spans="2:13" ht="18.75" customHeight="1" x14ac:dyDescent="0.25">
      <c r="B2464" s="550"/>
      <c r="C2464" s="227" t="s">
        <v>629</v>
      </c>
      <c r="D2464" s="550" t="s">
        <v>630</v>
      </c>
      <c r="E2464" s="224" t="s">
        <v>631</v>
      </c>
      <c r="F2464" s="228">
        <f t="shared" ref="F2464:F2467" si="123">$K$8*M2464</f>
        <v>8.5000000000000006E-2</v>
      </c>
      <c r="G2464" s="229">
        <f>G2439</f>
        <v>95000</v>
      </c>
      <c r="H2464" s="230">
        <f>+G2464*F2464</f>
        <v>8075.0000000000009</v>
      </c>
      <c r="M2464" s="228">
        <v>8.5000000000000006E-2</v>
      </c>
    </row>
    <row r="2465" spans="2:13" ht="18.75" customHeight="1" x14ac:dyDescent="0.25">
      <c r="B2465" s="550"/>
      <c r="C2465" s="227" t="s">
        <v>1507</v>
      </c>
      <c r="D2465" s="550" t="s">
        <v>634</v>
      </c>
      <c r="E2465" s="224" t="s">
        <v>631</v>
      </c>
      <c r="F2465" s="228">
        <f t="shared" si="123"/>
        <v>8.5000000000000006E-2</v>
      </c>
      <c r="G2465" s="229">
        <f>G2440</f>
        <v>110000</v>
      </c>
      <c r="H2465" s="230">
        <f>+G2465*F2465</f>
        <v>9350</v>
      </c>
      <c r="M2465" s="228">
        <v>8.5000000000000006E-2</v>
      </c>
    </row>
    <row r="2466" spans="2:13" ht="18.75" customHeight="1" x14ac:dyDescent="0.25">
      <c r="B2466" s="550"/>
      <c r="C2466" s="227" t="s">
        <v>633</v>
      </c>
      <c r="D2466" s="550" t="s">
        <v>634</v>
      </c>
      <c r="E2466" s="224" t="s">
        <v>631</v>
      </c>
      <c r="F2466" s="228">
        <f t="shared" si="123"/>
        <v>8.9999999999999993E-3</v>
      </c>
      <c r="G2466" s="229">
        <f>G2441</f>
        <v>115000</v>
      </c>
      <c r="H2466" s="230">
        <f>+G2466*F2466</f>
        <v>1035</v>
      </c>
      <c r="M2466" s="228">
        <v>8.9999999999999993E-3</v>
      </c>
    </row>
    <row r="2467" spans="2:13" ht="18.75" customHeight="1" x14ac:dyDescent="0.25">
      <c r="B2467" s="550"/>
      <c r="C2467" s="227" t="s">
        <v>600</v>
      </c>
      <c r="D2467" s="550" t="s">
        <v>635</v>
      </c>
      <c r="E2467" s="224" t="s">
        <v>631</v>
      </c>
      <c r="F2467" s="228">
        <f t="shared" si="123"/>
        <v>5.0000000000000001E-3</v>
      </c>
      <c r="G2467" s="229">
        <f>G2442</f>
        <v>140000</v>
      </c>
      <c r="H2467" s="230">
        <f>+G2467*F2467</f>
        <v>700</v>
      </c>
      <c r="M2467" s="228">
        <v>5.0000000000000001E-3</v>
      </c>
    </row>
    <row r="2468" spans="2:13" ht="18.75" customHeight="1" x14ac:dyDescent="0.25">
      <c r="B2468" s="550"/>
      <c r="C2468" s="223"/>
      <c r="D2468" s="550"/>
      <c r="E2468" s="224"/>
      <c r="F2468" s="233" t="s">
        <v>636</v>
      </c>
      <c r="G2468" s="290"/>
      <c r="H2468" s="231">
        <f>SUM(H2464:H2467)</f>
        <v>19160</v>
      </c>
      <c r="M2468" s="233" t="s">
        <v>636</v>
      </c>
    </row>
    <row r="2469" spans="2:13" ht="18.75" customHeight="1" x14ac:dyDescent="0.25">
      <c r="B2469" s="550"/>
      <c r="C2469" s="223"/>
      <c r="D2469" s="550"/>
      <c r="E2469" s="224"/>
      <c r="F2469" s="233"/>
      <c r="G2469" s="290"/>
      <c r="H2469" s="231"/>
      <c r="M2469" s="233"/>
    </row>
    <row r="2470" spans="2:13" ht="18.75" customHeight="1" x14ac:dyDescent="0.25">
      <c r="B2470" s="550" t="s">
        <v>637</v>
      </c>
      <c r="C2470" s="223" t="s">
        <v>638</v>
      </c>
      <c r="D2470" s="550"/>
      <c r="E2470" s="224"/>
      <c r="F2470" s="225"/>
      <c r="G2470" s="290"/>
      <c r="H2470" s="226"/>
      <c r="M2470" s="225"/>
    </row>
    <row r="2471" spans="2:13" ht="18.75" customHeight="1" x14ac:dyDescent="0.25">
      <c r="B2471" s="550"/>
      <c r="C2471" s="417" t="s">
        <v>916</v>
      </c>
      <c r="D2471" s="550"/>
      <c r="E2471" s="224" t="s">
        <v>147</v>
      </c>
      <c r="F2471" s="228">
        <v>4.4000000000000004</v>
      </c>
      <c r="G2471" s="229">
        <f>Bahan!D158</f>
        <v>442000</v>
      </c>
      <c r="H2471" s="230">
        <f>+G2471*F2471</f>
        <v>1944800.0000000002</v>
      </c>
      <c r="M2471" s="228">
        <v>4.4000000000000004</v>
      </c>
    </row>
    <row r="2472" spans="2:13" ht="18.75" customHeight="1" x14ac:dyDescent="0.25">
      <c r="B2472" s="550"/>
      <c r="C2472" s="417" t="s">
        <v>917</v>
      </c>
      <c r="D2472" s="550"/>
      <c r="E2472" s="224" t="s">
        <v>147</v>
      </c>
      <c r="F2472" s="228">
        <v>4.5</v>
      </c>
      <c r="G2472" s="229">
        <f>Bahan!D159</f>
        <v>11000</v>
      </c>
      <c r="H2472" s="230">
        <f>+G2472*F2472</f>
        <v>49500</v>
      </c>
      <c r="M2472" s="228">
        <v>4.5</v>
      </c>
    </row>
    <row r="2473" spans="2:13" ht="18.75" customHeight="1" x14ac:dyDescent="0.25">
      <c r="B2473" s="550"/>
      <c r="C2473" s="417" t="s">
        <v>918</v>
      </c>
      <c r="D2473" s="550"/>
      <c r="E2473" s="224" t="s">
        <v>152</v>
      </c>
      <c r="F2473" s="228">
        <v>1</v>
      </c>
      <c r="G2473" s="229">
        <f>G2420</f>
        <v>27000</v>
      </c>
      <c r="H2473" s="230">
        <f>+G2473*F2473</f>
        <v>27000</v>
      </c>
      <c r="M2473" s="228">
        <v>1</v>
      </c>
    </row>
    <row r="2474" spans="2:13" ht="18.75" customHeight="1" x14ac:dyDescent="0.25">
      <c r="B2474" s="550"/>
      <c r="C2474" s="223"/>
      <c r="D2474" s="550"/>
      <c r="E2474" s="224"/>
      <c r="F2474" s="237" t="s">
        <v>643</v>
      </c>
      <c r="G2474" s="290"/>
      <c r="H2474" s="231">
        <f>SUM(H2471:H2473)</f>
        <v>2021300.0000000002</v>
      </c>
      <c r="M2474" s="237" t="s">
        <v>643</v>
      </c>
    </row>
    <row r="2475" spans="2:13" ht="18.75" customHeight="1" x14ac:dyDescent="0.25">
      <c r="B2475" s="550"/>
      <c r="C2475" s="223"/>
      <c r="D2475" s="550"/>
      <c r="E2475" s="224"/>
      <c r="F2475" s="225"/>
      <c r="G2475" s="290"/>
      <c r="H2475" s="226"/>
      <c r="M2475" s="225"/>
    </row>
    <row r="2476" spans="2:13" ht="18.75" customHeight="1" x14ac:dyDescent="0.25">
      <c r="B2476" s="550" t="s">
        <v>644</v>
      </c>
      <c r="C2476" s="223" t="s">
        <v>645</v>
      </c>
      <c r="D2476" s="550"/>
      <c r="E2476" s="224"/>
      <c r="F2476" s="225"/>
      <c r="G2476" s="290"/>
      <c r="H2476" s="235"/>
      <c r="M2476" s="225"/>
    </row>
    <row r="2477" spans="2:13" ht="18.75" customHeight="1" x14ac:dyDescent="0.25">
      <c r="B2477" s="236"/>
      <c r="C2477" s="232"/>
      <c r="D2477" s="550"/>
      <c r="E2477" s="224"/>
      <c r="F2477" s="237" t="s">
        <v>646</v>
      </c>
      <c r="G2477" s="290"/>
      <c r="H2477" s="230"/>
      <c r="M2477" s="237" t="s">
        <v>646</v>
      </c>
    </row>
    <row r="2478" spans="2:13" ht="18.75" customHeight="1" x14ac:dyDescent="0.25">
      <c r="B2478" s="236"/>
      <c r="C2478" s="232"/>
      <c r="D2478" s="550"/>
      <c r="E2478" s="224"/>
      <c r="F2478" s="237"/>
      <c r="G2478" s="290"/>
      <c r="H2478" s="226"/>
      <c r="M2478" s="237"/>
    </row>
    <row r="2479" spans="2:13" ht="18.75" customHeight="1" x14ac:dyDescent="0.25">
      <c r="B2479" s="248"/>
      <c r="C2479" s="238"/>
      <c r="D2479" s="239"/>
      <c r="E2479" s="266"/>
      <c r="F2479" s="241"/>
      <c r="G2479" s="303"/>
      <c r="H2479" s="267"/>
      <c r="M2479" s="241"/>
    </row>
    <row r="2480" spans="2:13" ht="18.75" customHeight="1" x14ac:dyDescent="0.25">
      <c r="B2480" s="249" t="s">
        <v>647</v>
      </c>
      <c r="C2480" s="104" t="s">
        <v>648</v>
      </c>
      <c r="D2480" s="435"/>
      <c r="E2480" s="92"/>
      <c r="F2480" s="183"/>
      <c r="G2480" s="167"/>
      <c r="H2480" s="252">
        <f>+H2477+H2474+H2468</f>
        <v>2040460.0000000002</v>
      </c>
      <c r="M2480" s="183"/>
    </row>
    <row r="2481" spans="2:13" ht="18.75" customHeight="1" x14ac:dyDescent="0.25">
      <c r="B2481" s="249" t="s">
        <v>649</v>
      </c>
      <c r="C2481" s="242" t="s">
        <v>650</v>
      </c>
      <c r="D2481" s="435"/>
      <c r="E2481" s="92"/>
      <c r="F2481" s="184" t="str">
        <f>$J$5</f>
        <v>8,0 % x D</v>
      </c>
      <c r="G2481" s="167"/>
      <c r="H2481" s="253">
        <f>+H2480*$K$5</f>
        <v>163236.80000000002</v>
      </c>
      <c r="M2481" s="184" t="str">
        <f>$J$5</f>
        <v>8,0 % x D</v>
      </c>
    </row>
    <row r="2482" spans="2:13" ht="18.75" customHeight="1" x14ac:dyDescent="0.25">
      <c r="B2482" s="249" t="s">
        <v>651</v>
      </c>
      <c r="C2482" s="111" t="s">
        <v>652</v>
      </c>
      <c r="D2482" s="435"/>
      <c r="E2482" s="91"/>
      <c r="F2482" s="185"/>
      <c r="G2482" s="168"/>
      <c r="H2482" s="254">
        <f>ROUNDUP((H2481+H2480)/100,0)*100</f>
        <v>2203700</v>
      </c>
      <c r="M2482" s="185"/>
    </row>
    <row r="2483" spans="2:13" ht="18.75" customHeight="1" x14ac:dyDescent="0.25">
      <c r="B2483" s="259"/>
      <c r="C2483" s="261"/>
      <c r="D2483" s="245"/>
      <c r="E2483" s="246"/>
      <c r="F2483" s="247"/>
      <c r="G2483" s="298"/>
      <c r="H2483" s="260"/>
      <c r="M2483" s="247"/>
    </row>
    <row r="2484" spans="2:13" ht="18.75" customHeight="1" x14ac:dyDescent="0.25">
      <c r="B2484" s="22"/>
      <c r="C2484" s="104"/>
      <c r="E2484" s="21"/>
      <c r="F2484" s="176"/>
      <c r="G2484" s="165"/>
      <c r="H2484" s="119"/>
      <c r="M2484" s="176"/>
    </row>
    <row r="2485" spans="2:13" ht="18.75" customHeight="1" x14ac:dyDescent="0.25">
      <c r="B2485" s="19">
        <f>B2459+1</f>
        <v>13</v>
      </c>
      <c r="C2485" s="93" t="s">
        <v>919</v>
      </c>
      <c r="D2485" s="19"/>
      <c r="E2485" s="21"/>
      <c r="F2485" s="176"/>
      <c r="G2485" s="165"/>
      <c r="H2485" s="119"/>
      <c r="M2485" s="176"/>
    </row>
    <row r="2486" spans="2:13" ht="18.75" customHeight="1" x14ac:dyDescent="0.25">
      <c r="B2486" s="618" t="s">
        <v>620</v>
      </c>
      <c r="C2486" s="620" t="s">
        <v>621</v>
      </c>
      <c r="D2486" s="618" t="s">
        <v>622</v>
      </c>
      <c r="E2486" s="618" t="s">
        <v>2</v>
      </c>
      <c r="F2486" s="615" t="s">
        <v>623</v>
      </c>
      <c r="G2486" s="289" t="s">
        <v>624</v>
      </c>
      <c r="H2486" s="256" t="s">
        <v>625</v>
      </c>
      <c r="M2486" s="615" t="s">
        <v>623</v>
      </c>
    </row>
    <row r="2487" spans="2:13" ht="18.75" customHeight="1" x14ac:dyDescent="0.25">
      <c r="B2487" s="619"/>
      <c r="C2487" s="621"/>
      <c r="D2487" s="619"/>
      <c r="E2487" s="619"/>
      <c r="F2487" s="616"/>
      <c r="G2487" s="289" t="s">
        <v>626</v>
      </c>
      <c r="H2487" s="256" t="s">
        <v>626</v>
      </c>
      <c r="M2487" s="616"/>
    </row>
    <row r="2488" spans="2:13" ht="18.75" customHeight="1" x14ac:dyDescent="0.25">
      <c r="B2488" s="221"/>
      <c r="C2488" s="222"/>
      <c r="D2488" s="221"/>
      <c r="E2488" s="550"/>
      <c r="F2488" s="555"/>
      <c r="G2488" s="551"/>
      <c r="H2488" s="220"/>
      <c r="M2488" s="590"/>
    </row>
    <row r="2489" spans="2:13" ht="18.75" customHeight="1" x14ac:dyDescent="0.25">
      <c r="B2489" s="550" t="s">
        <v>627</v>
      </c>
      <c r="C2489" s="223" t="s">
        <v>628</v>
      </c>
      <c r="D2489" s="550"/>
      <c r="E2489" s="224"/>
      <c r="F2489" s="225"/>
      <c r="G2489" s="290"/>
      <c r="H2489" s="226"/>
      <c r="M2489" s="225"/>
    </row>
    <row r="2490" spans="2:13" ht="18.75" customHeight="1" x14ac:dyDescent="0.25">
      <c r="B2490" s="550"/>
      <c r="C2490" s="227" t="s">
        <v>629</v>
      </c>
      <c r="D2490" s="550" t="s">
        <v>630</v>
      </c>
      <c r="E2490" s="224" t="s">
        <v>631</v>
      </c>
      <c r="F2490" s="228">
        <f t="shared" ref="F2490:F2493" si="124">$K$8*M2490</f>
        <v>0.35</v>
      </c>
      <c r="G2490" s="229">
        <f>G2464</f>
        <v>95000</v>
      </c>
      <c r="H2490" s="230">
        <f>+G2490*F2490</f>
        <v>33250</v>
      </c>
      <c r="M2490" s="228">
        <v>0.35</v>
      </c>
    </row>
    <row r="2491" spans="2:13" ht="18.75" customHeight="1" x14ac:dyDescent="0.25">
      <c r="B2491" s="550"/>
      <c r="C2491" s="227" t="s">
        <v>1502</v>
      </c>
      <c r="D2491" s="550" t="s">
        <v>634</v>
      </c>
      <c r="E2491" s="224" t="s">
        <v>631</v>
      </c>
      <c r="F2491" s="228">
        <f t="shared" si="124"/>
        <v>0.35</v>
      </c>
      <c r="G2491" s="229">
        <f>G2465</f>
        <v>110000</v>
      </c>
      <c r="H2491" s="230">
        <f>+G2491*F2491</f>
        <v>38500</v>
      </c>
      <c r="M2491" s="228">
        <v>0.35</v>
      </c>
    </row>
    <row r="2492" spans="2:13" ht="18.75" customHeight="1" x14ac:dyDescent="0.25">
      <c r="B2492" s="550"/>
      <c r="C2492" s="227" t="s">
        <v>633</v>
      </c>
      <c r="D2492" s="550" t="s">
        <v>634</v>
      </c>
      <c r="E2492" s="224" t="s">
        <v>631</v>
      </c>
      <c r="F2492" s="228">
        <f t="shared" si="124"/>
        <v>3.5000000000000003E-2</v>
      </c>
      <c r="G2492" s="229">
        <f>G2466</f>
        <v>115000</v>
      </c>
      <c r="H2492" s="230">
        <f>+G2492*F2492</f>
        <v>4025.0000000000005</v>
      </c>
      <c r="M2492" s="228">
        <v>3.5000000000000003E-2</v>
      </c>
    </row>
    <row r="2493" spans="2:13" ht="18.75" customHeight="1" x14ac:dyDescent="0.25">
      <c r="B2493" s="550"/>
      <c r="C2493" s="227" t="s">
        <v>600</v>
      </c>
      <c r="D2493" s="550" t="s">
        <v>635</v>
      </c>
      <c r="E2493" s="224" t="s">
        <v>631</v>
      </c>
      <c r="F2493" s="228">
        <f t="shared" si="124"/>
        <v>1.7999999999999999E-2</v>
      </c>
      <c r="G2493" s="229">
        <f>G2467</f>
        <v>140000</v>
      </c>
      <c r="H2493" s="230">
        <f>+G2493*F2493</f>
        <v>2520</v>
      </c>
      <c r="M2493" s="228">
        <v>1.7999999999999999E-2</v>
      </c>
    </row>
    <row r="2494" spans="2:13" ht="18.75" customHeight="1" x14ac:dyDescent="0.25">
      <c r="B2494" s="550"/>
      <c r="C2494" s="223"/>
      <c r="D2494" s="550"/>
      <c r="E2494" s="224"/>
      <c r="F2494" s="233" t="s">
        <v>636</v>
      </c>
      <c r="G2494" s="290"/>
      <c r="H2494" s="231">
        <f>SUM(H2490:H2493)</f>
        <v>78295</v>
      </c>
      <c r="M2494" s="233" t="s">
        <v>636</v>
      </c>
    </row>
    <row r="2495" spans="2:13" ht="18.75" customHeight="1" x14ac:dyDescent="0.25">
      <c r="B2495" s="550"/>
      <c r="C2495" s="223"/>
      <c r="D2495" s="550"/>
      <c r="E2495" s="224"/>
      <c r="F2495" s="233"/>
      <c r="G2495" s="290"/>
      <c r="H2495" s="231"/>
      <c r="M2495" s="233"/>
    </row>
    <row r="2496" spans="2:13" ht="18.75" customHeight="1" x14ac:dyDescent="0.25">
      <c r="B2496" s="550" t="s">
        <v>637</v>
      </c>
      <c r="C2496" s="223" t="s">
        <v>638</v>
      </c>
      <c r="D2496" s="550"/>
      <c r="E2496" s="224"/>
      <c r="F2496" s="225"/>
      <c r="G2496" s="290"/>
      <c r="H2496" s="226"/>
      <c r="M2496" s="225"/>
    </row>
    <row r="2497" spans="2:13" ht="18.75" customHeight="1" x14ac:dyDescent="0.25">
      <c r="B2497" s="550"/>
      <c r="C2497" s="223" t="s">
        <v>920</v>
      </c>
      <c r="D2497" s="550"/>
      <c r="E2497" s="224" t="s">
        <v>147</v>
      </c>
      <c r="F2497" s="228">
        <v>1</v>
      </c>
      <c r="G2497" s="229">
        <f>Bahan!D164</f>
        <v>85000</v>
      </c>
      <c r="H2497" s="230">
        <f>+G2497*F2497</f>
        <v>85000</v>
      </c>
      <c r="M2497" s="228">
        <v>1</v>
      </c>
    </row>
    <row r="2498" spans="2:13" ht="18.75" customHeight="1" x14ac:dyDescent="0.25">
      <c r="B2498" s="550"/>
      <c r="C2498" s="223"/>
      <c r="D2498" s="550"/>
      <c r="E2498" s="224"/>
      <c r="F2498" s="237" t="s">
        <v>643</v>
      </c>
      <c r="G2498" s="290"/>
      <c r="H2498" s="231">
        <f>SUM(H2497:H2497)</f>
        <v>85000</v>
      </c>
      <c r="M2498" s="237" t="s">
        <v>643</v>
      </c>
    </row>
    <row r="2499" spans="2:13" ht="18.75" customHeight="1" x14ac:dyDescent="0.25">
      <c r="B2499" s="550"/>
      <c r="C2499" s="223"/>
      <c r="D2499" s="550"/>
      <c r="E2499" s="224"/>
      <c r="F2499" s="225"/>
      <c r="G2499" s="290"/>
      <c r="H2499" s="226"/>
      <c r="M2499" s="225"/>
    </row>
    <row r="2500" spans="2:13" ht="18.75" customHeight="1" x14ac:dyDescent="0.25">
      <c r="B2500" s="550" t="s">
        <v>644</v>
      </c>
      <c r="C2500" s="223" t="s">
        <v>645</v>
      </c>
      <c r="D2500" s="550"/>
      <c r="E2500" s="224"/>
      <c r="F2500" s="225"/>
      <c r="G2500" s="290"/>
      <c r="H2500" s="235"/>
      <c r="M2500" s="225"/>
    </row>
    <row r="2501" spans="2:13" ht="18.75" customHeight="1" x14ac:dyDescent="0.25">
      <c r="B2501" s="236"/>
      <c r="C2501" s="232"/>
      <c r="D2501" s="550"/>
      <c r="E2501" s="224"/>
      <c r="F2501" s="237" t="s">
        <v>646</v>
      </c>
      <c r="G2501" s="290"/>
      <c r="H2501" s="230"/>
      <c r="M2501" s="237" t="s">
        <v>646</v>
      </c>
    </row>
    <row r="2502" spans="2:13" ht="18.75" customHeight="1" x14ac:dyDescent="0.25">
      <c r="B2502" s="236"/>
      <c r="C2502" s="232"/>
      <c r="D2502" s="550"/>
      <c r="E2502" s="224"/>
      <c r="F2502" s="237"/>
      <c r="G2502" s="290"/>
      <c r="H2502" s="226"/>
      <c r="M2502" s="237"/>
    </row>
    <row r="2503" spans="2:13" ht="18.75" customHeight="1" x14ac:dyDescent="0.25">
      <c r="B2503" s="248"/>
      <c r="C2503" s="238"/>
      <c r="D2503" s="239"/>
      <c r="E2503" s="266"/>
      <c r="F2503" s="241"/>
      <c r="G2503" s="303"/>
      <c r="H2503" s="267"/>
      <c r="M2503" s="241"/>
    </row>
    <row r="2504" spans="2:13" ht="18.75" customHeight="1" x14ac:dyDescent="0.25">
      <c r="B2504" s="249" t="s">
        <v>647</v>
      </c>
      <c r="C2504" s="104" t="s">
        <v>648</v>
      </c>
      <c r="D2504" s="435"/>
      <c r="E2504" s="92"/>
      <c r="F2504" s="183"/>
      <c r="G2504" s="167"/>
      <c r="H2504" s="252">
        <f>+H2501+H2498+H2494</f>
        <v>163295</v>
      </c>
      <c r="M2504" s="183"/>
    </row>
    <row r="2505" spans="2:13" ht="18.75" customHeight="1" x14ac:dyDescent="0.25">
      <c r="B2505" s="249" t="s">
        <v>649</v>
      </c>
      <c r="C2505" s="242" t="s">
        <v>650</v>
      </c>
      <c r="D2505" s="435"/>
      <c r="E2505" s="92"/>
      <c r="F2505" s="184" t="str">
        <f>$J$5</f>
        <v>8,0 % x D</v>
      </c>
      <c r="G2505" s="167"/>
      <c r="H2505" s="253">
        <f>+H2504*$K$5</f>
        <v>13063.6</v>
      </c>
      <c r="M2505" s="184" t="str">
        <f>$J$5</f>
        <v>8,0 % x D</v>
      </c>
    </row>
    <row r="2506" spans="2:13" ht="18.75" customHeight="1" x14ac:dyDescent="0.25">
      <c r="B2506" s="249" t="s">
        <v>651</v>
      </c>
      <c r="C2506" s="111" t="s">
        <v>652</v>
      </c>
      <c r="D2506" s="435"/>
      <c r="E2506" s="91"/>
      <c r="F2506" s="185"/>
      <c r="G2506" s="168"/>
      <c r="H2506" s="254">
        <f>ROUNDUP((H2505+H2504)/100,0)*100</f>
        <v>176400</v>
      </c>
      <c r="M2506" s="185"/>
    </row>
    <row r="2507" spans="2:13" ht="18.75" customHeight="1" x14ac:dyDescent="0.25">
      <c r="B2507" s="259"/>
      <c r="C2507" s="261"/>
      <c r="D2507" s="245"/>
      <c r="E2507" s="246"/>
      <c r="F2507" s="247"/>
      <c r="G2507" s="298"/>
      <c r="H2507" s="260"/>
      <c r="M2507" s="247"/>
    </row>
    <row r="2508" spans="2:13" ht="18.75" customHeight="1" x14ac:dyDescent="0.25">
      <c r="B2508" s="92"/>
      <c r="C2508" s="104"/>
      <c r="D2508" s="435"/>
      <c r="E2508" s="91"/>
      <c r="F2508" s="185"/>
      <c r="G2508" s="168"/>
      <c r="H2508" s="139"/>
      <c r="M2508" s="185"/>
    </row>
    <row r="2509" spans="2:13" ht="18.75" customHeight="1" x14ac:dyDescent="0.25">
      <c r="B2509" s="19">
        <f>B2485+1</f>
        <v>14</v>
      </c>
      <c r="C2509" s="93" t="s">
        <v>921</v>
      </c>
      <c r="D2509" s="19"/>
      <c r="E2509" s="21"/>
      <c r="F2509" s="176"/>
      <c r="G2509" s="165"/>
      <c r="H2509" s="119"/>
      <c r="M2509" s="176"/>
    </row>
    <row r="2510" spans="2:13" ht="18.75" customHeight="1" x14ac:dyDescent="0.25">
      <c r="B2510" s="618" t="s">
        <v>620</v>
      </c>
      <c r="C2510" s="620" t="s">
        <v>621</v>
      </c>
      <c r="D2510" s="618" t="s">
        <v>622</v>
      </c>
      <c r="E2510" s="618" t="s">
        <v>2</v>
      </c>
      <c r="F2510" s="615" t="s">
        <v>623</v>
      </c>
      <c r="G2510" s="289" t="s">
        <v>624</v>
      </c>
      <c r="H2510" s="256" t="s">
        <v>625</v>
      </c>
      <c r="M2510" s="615" t="s">
        <v>623</v>
      </c>
    </row>
    <row r="2511" spans="2:13" ht="18.75" customHeight="1" x14ac:dyDescent="0.25">
      <c r="B2511" s="619"/>
      <c r="C2511" s="621"/>
      <c r="D2511" s="619"/>
      <c r="E2511" s="619"/>
      <c r="F2511" s="616"/>
      <c r="G2511" s="289" t="s">
        <v>626</v>
      </c>
      <c r="H2511" s="256" t="s">
        <v>626</v>
      </c>
      <c r="M2511" s="616"/>
    </row>
    <row r="2512" spans="2:13" ht="18.75" customHeight="1" x14ac:dyDescent="0.25">
      <c r="B2512" s="221"/>
      <c r="C2512" s="222"/>
      <c r="D2512" s="221"/>
      <c r="E2512" s="550"/>
      <c r="F2512" s="555"/>
      <c r="G2512" s="551"/>
      <c r="H2512" s="220"/>
      <c r="M2512" s="590"/>
    </row>
    <row r="2513" spans="2:13" ht="18.75" customHeight="1" x14ac:dyDescent="0.25">
      <c r="B2513" s="550" t="s">
        <v>627</v>
      </c>
      <c r="C2513" s="223" t="s">
        <v>628</v>
      </c>
      <c r="D2513" s="550"/>
      <c r="E2513" s="224"/>
      <c r="F2513" s="225"/>
      <c r="G2513" s="290"/>
      <c r="H2513" s="226"/>
      <c r="M2513" s="225"/>
    </row>
    <row r="2514" spans="2:13" ht="18.75" customHeight="1" x14ac:dyDescent="0.25">
      <c r="B2514" s="550"/>
      <c r="C2514" s="227" t="s">
        <v>629</v>
      </c>
      <c r="D2514" s="550" t="s">
        <v>630</v>
      </c>
      <c r="E2514" s="224" t="s">
        <v>631</v>
      </c>
      <c r="F2514" s="228">
        <f t="shared" ref="F2514:F2517" si="125">$K$8*M2514</f>
        <v>1.67</v>
      </c>
      <c r="G2514" s="229">
        <f>G2490</f>
        <v>95000</v>
      </c>
      <c r="H2514" s="230">
        <f>+G2514*F2514</f>
        <v>158650</v>
      </c>
      <c r="M2514" s="228">
        <v>1.67</v>
      </c>
    </row>
    <row r="2515" spans="2:13" ht="18.75" customHeight="1" x14ac:dyDescent="0.25">
      <c r="B2515" s="550"/>
      <c r="C2515" s="227" t="s">
        <v>1508</v>
      </c>
      <c r="D2515" s="550" t="s">
        <v>634</v>
      </c>
      <c r="E2515" s="224" t="s">
        <v>631</v>
      </c>
      <c r="F2515" s="228">
        <f t="shared" si="125"/>
        <v>1.67</v>
      </c>
      <c r="G2515" s="229">
        <f>G2491</f>
        <v>110000</v>
      </c>
      <c r="H2515" s="230">
        <f>+G2515*F2515</f>
        <v>183700</v>
      </c>
      <c r="M2515" s="228">
        <v>1.67</v>
      </c>
    </row>
    <row r="2516" spans="2:13" ht="18.75" customHeight="1" x14ac:dyDescent="0.25">
      <c r="B2516" s="550"/>
      <c r="C2516" s="227" t="s">
        <v>633</v>
      </c>
      <c r="D2516" s="550" t="s">
        <v>634</v>
      </c>
      <c r="E2516" s="224" t="s">
        <v>631</v>
      </c>
      <c r="F2516" s="228">
        <f t="shared" si="125"/>
        <v>0.16700000000000001</v>
      </c>
      <c r="G2516" s="229">
        <f>G2492</f>
        <v>115000</v>
      </c>
      <c r="H2516" s="230">
        <f>+G2516*F2516</f>
        <v>19205</v>
      </c>
      <c r="M2516" s="228">
        <v>0.16700000000000001</v>
      </c>
    </row>
    <row r="2517" spans="2:13" ht="18.75" customHeight="1" x14ac:dyDescent="0.25">
      <c r="B2517" s="550"/>
      <c r="C2517" s="227" t="s">
        <v>600</v>
      </c>
      <c r="D2517" s="550" t="s">
        <v>635</v>
      </c>
      <c r="E2517" s="224" t="s">
        <v>631</v>
      </c>
      <c r="F2517" s="228">
        <f t="shared" si="125"/>
        <v>8.3000000000000004E-2</v>
      </c>
      <c r="G2517" s="229">
        <f>G2493</f>
        <v>140000</v>
      </c>
      <c r="H2517" s="230">
        <f>+G2517*F2517</f>
        <v>11620</v>
      </c>
      <c r="M2517" s="228">
        <v>8.3000000000000004E-2</v>
      </c>
    </row>
    <row r="2518" spans="2:13" ht="18.75" customHeight="1" x14ac:dyDescent="0.25">
      <c r="B2518" s="550"/>
      <c r="C2518" s="223"/>
      <c r="D2518" s="550"/>
      <c r="E2518" s="224"/>
      <c r="F2518" s="233" t="s">
        <v>636</v>
      </c>
      <c r="G2518" s="290"/>
      <c r="H2518" s="231">
        <f>SUM(H2514:H2517)</f>
        <v>373175</v>
      </c>
      <c r="M2518" s="233" t="s">
        <v>636</v>
      </c>
    </row>
    <row r="2519" spans="2:13" ht="18.75" customHeight="1" x14ac:dyDescent="0.25">
      <c r="B2519" s="550"/>
      <c r="C2519" s="223"/>
      <c r="D2519" s="550"/>
      <c r="E2519" s="224"/>
      <c r="F2519" s="233"/>
      <c r="G2519" s="290"/>
      <c r="H2519" s="231"/>
      <c r="M2519" s="233"/>
    </row>
    <row r="2520" spans="2:13" ht="18.75" customHeight="1" x14ac:dyDescent="0.25">
      <c r="B2520" s="550" t="s">
        <v>637</v>
      </c>
      <c r="C2520" s="223" t="s">
        <v>638</v>
      </c>
      <c r="D2520" s="550"/>
      <c r="E2520" s="224"/>
      <c r="F2520" s="225"/>
      <c r="G2520" s="290"/>
      <c r="H2520" s="226"/>
      <c r="M2520" s="225"/>
    </row>
    <row r="2521" spans="2:13" ht="18.75" customHeight="1" x14ac:dyDescent="0.25">
      <c r="B2521" s="550"/>
      <c r="C2521" s="223" t="s">
        <v>331</v>
      </c>
      <c r="D2521" s="550"/>
      <c r="E2521" s="224" t="s">
        <v>62</v>
      </c>
      <c r="F2521" s="228">
        <v>6.1769999999999996</v>
      </c>
      <c r="G2521" s="229">
        <f>Bahan!D132</f>
        <v>15000</v>
      </c>
      <c r="H2521" s="230">
        <f>+G2521*F2521</f>
        <v>92655</v>
      </c>
      <c r="M2521" s="228">
        <v>6.1769999999999996</v>
      </c>
    </row>
    <row r="2522" spans="2:13" ht="18.75" customHeight="1" x14ac:dyDescent="0.25">
      <c r="B2522" s="550"/>
      <c r="C2522" s="223" t="s">
        <v>898</v>
      </c>
      <c r="D2522" s="550"/>
      <c r="E2522" s="224" t="s">
        <v>544</v>
      </c>
      <c r="F2522" s="228">
        <v>27.08</v>
      </c>
      <c r="G2522" s="229">
        <f>Bahan!D607</f>
        <v>15000</v>
      </c>
      <c r="H2522" s="230">
        <f>+G2522*F2522</f>
        <v>406200</v>
      </c>
      <c r="M2522" s="228">
        <v>27.08</v>
      </c>
    </row>
    <row r="2523" spans="2:13" ht="18.75" customHeight="1" x14ac:dyDescent="0.25">
      <c r="B2523" s="550"/>
      <c r="C2523" s="223"/>
      <c r="D2523" s="550"/>
      <c r="E2523" s="224"/>
      <c r="F2523" s="237" t="s">
        <v>643</v>
      </c>
      <c r="G2523" s="290"/>
      <c r="H2523" s="231">
        <f>SUM(H2521:H2522)</f>
        <v>498855</v>
      </c>
      <c r="M2523" s="237" t="s">
        <v>643</v>
      </c>
    </row>
    <row r="2524" spans="2:13" ht="18.75" customHeight="1" x14ac:dyDescent="0.25">
      <c r="B2524" s="550"/>
      <c r="C2524" s="223"/>
      <c r="D2524" s="550"/>
      <c r="E2524" s="224"/>
      <c r="F2524" s="225"/>
      <c r="G2524" s="290"/>
      <c r="H2524" s="226"/>
      <c r="M2524" s="225"/>
    </row>
    <row r="2525" spans="2:13" ht="18.75" customHeight="1" x14ac:dyDescent="0.25">
      <c r="B2525" s="550" t="s">
        <v>644</v>
      </c>
      <c r="C2525" s="223" t="s">
        <v>645</v>
      </c>
      <c r="D2525" s="550"/>
      <c r="E2525" s="224"/>
      <c r="F2525" s="225"/>
      <c r="G2525" s="290"/>
      <c r="H2525" s="235"/>
      <c r="M2525" s="225"/>
    </row>
    <row r="2526" spans="2:13" ht="18.75" customHeight="1" x14ac:dyDescent="0.25">
      <c r="B2526" s="236"/>
      <c r="C2526" s="232"/>
      <c r="D2526" s="550"/>
      <c r="E2526" s="224"/>
      <c r="F2526" s="237" t="s">
        <v>646</v>
      </c>
      <c r="G2526" s="290"/>
      <c r="H2526" s="230"/>
      <c r="M2526" s="237" t="s">
        <v>646</v>
      </c>
    </row>
    <row r="2527" spans="2:13" ht="18.75" customHeight="1" x14ac:dyDescent="0.25">
      <c r="B2527" s="248"/>
      <c r="C2527" s="232"/>
      <c r="D2527" s="550"/>
      <c r="E2527" s="224"/>
      <c r="F2527" s="237"/>
      <c r="G2527" s="290"/>
      <c r="H2527" s="267"/>
      <c r="M2527" s="237"/>
    </row>
    <row r="2528" spans="2:13" ht="18.75" customHeight="1" x14ac:dyDescent="0.25">
      <c r="B2528" s="57"/>
      <c r="C2528" s="238"/>
      <c r="D2528" s="239"/>
      <c r="E2528" s="266"/>
      <c r="F2528" s="241"/>
      <c r="G2528" s="303"/>
      <c r="H2528" s="160"/>
      <c r="M2528" s="241"/>
    </row>
    <row r="2529" spans="2:13" ht="18.75" customHeight="1" x14ac:dyDescent="0.25">
      <c r="B2529" s="58" t="s">
        <v>647</v>
      </c>
      <c r="C2529" s="104" t="s">
        <v>648</v>
      </c>
      <c r="D2529" s="435"/>
      <c r="E2529" s="92"/>
      <c r="F2529" s="183"/>
      <c r="G2529" s="167"/>
      <c r="H2529" s="150">
        <f>+H2526+H2523+H2518</f>
        <v>872030</v>
      </c>
      <c r="M2529" s="183"/>
    </row>
    <row r="2530" spans="2:13" ht="18.75" customHeight="1" x14ac:dyDescent="0.25">
      <c r="B2530" s="58" t="s">
        <v>649</v>
      </c>
      <c r="C2530" s="242" t="s">
        <v>650</v>
      </c>
      <c r="D2530" s="435"/>
      <c r="E2530" s="92"/>
      <c r="F2530" s="184" t="str">
        <f>$J$5</f>
        <v>8,0 % x D</v>
      </c>
      <c r="G2530" s="167"/>
      <c r="H2530" s="151">
        <f>+H2529*$K$5</f>
        <v>69762.399999999994</v>
      </c>
      <c r="M2530" s="184" t="str">
        <f>$J$5</f>
        <v>8,0 % x D</v>
      </c>
    </row>
    <row r="2531" spans="2:13" ht="18.75" customHeight="1" x14ac:dyDescent="0.25">
      <c r="B2531" s="58" t="s">
        <v>651</v>
      </c>
      <c r="C2531" s="111" t="s">
        <v>652</v>
      </c>
      <c r="D2531" s="435"/>
      <c r="E2531" s="91"/>
      <c r="F2531" s="185"/>
      <c r="G2531" s="168"/>
      <c r="H2531" s="152">
        <f>ROUNDUP((H2530+H2529)/100,0)*100</f>
        <v>941800</v>
      </c>
      <c r="M2531" s="185"/>
    </row>
    <row r="2532" spans="2:13" ht="18.75" customHeight="1" x14ac:dyDescent="0.25">
      <c r="B2532" s="41"/>
      <c r="C2532" s="261"/>
      <c r="D2532" s="245"/>
      <c r="E2532" s="246"/>
      <c r="F2532" s="247"/>
      <c r="G2532" s="298"/>
      <c r="H2532" s="153"/>
      <c r="M2532" s="247"/>
    </row>
    <row r="2533" spans="2:13" ht="18.75" customHeight="1" x14ac:dyDescent="0.25">
      <c r="B2533" s="22"/>
      <c r="C2533" s="104"/>
      <c r="E2533" s="21"/>
      <c r="F2533" s="176"/>
      <c r="G2533" s="165"/>
      <c r="H2533" s="119"/>
      <c r="M2533" s="176"/>
    </row>
    <row r="2534" spans="2:13" ht="18.75" customHeight="1" x14ac:dyDescent="0.25">
      <c r="B2534" s="19">
        <f>B2509+1</f>
        <v>15</v>
      </c>
      <c r="C2534" s="93" t="s">
        <v>922</v>
      </c>
      <c r="D2534" s="19"/>
      <c r="E2534" s="21"/>
      <c r="F2534" s="176"/>
      <c r="G2534" s="165"/>
      <c r="H2534" s="119"/>
      <c r="M2534" s="176"/>
    </row>
    <row r="2535" spans="2:13" ht="18.75" customHeight="1" x14ac:dyDescent="0.25">
      <c r="B2535" s="618" t="s">
        <v>620</v>
      </c>
      <c r="C2535" s="620" t="s">
        <v>621</v>
      </c>
      <c r="D2535" s="618" t="s">
        <v>622</v>
      </c>
      <c r="E2535" s="618" t="s">
        <v>2</v>
      </c>
      <c r="F2535" s="615" t="s">
        <v>623</v>
      </c>
      <c r="G2535" s="289" t="s">
        <v>624</v>
      </c>
      <c r="H2535" s="256" t="s">
        <v>625</v>
      </c>
      <c r="M2535" s="615" t="s">
        <v>623</v>
      </c>
    </row>
    <row r="2536" spans="2:13" ht="18.75" customHeight="1" x14ac:dyDescent="0.25">
      <c r="B2536" s="619"/>
      <c r="C2536" s="621"/>
      <c r="D2536" s="619"/>
      <c r="E2536" s="619"/>
      <c r="F2536" s="616"/>
      <c r="G2536" s="289" t="s">
        <v>626</v>
      </c>
      <c r="H2536" s="256" t="s">
        <v>626</v>
      </c>
      <c r="M2536" s="616"/>
    </row>
    <row r="2537" spans="2:13" ht="18.75" customHeight="1" x14ac:dyDescent="0.25">
      <c r="B2537" s="221"/>
      <c r="C2537" s="222"/>
      <c r="D2537" s="221"/>
      <c r="E2537" s="550"/>
      <c r="F2537" s="555"/>
      <c r="G2537" s="551"/>
      <c r="H2537" s="220"/>
      <c r="M2537" s="590"/>
    </row>
    <row r="2538" spans="2:13" ht="18.75" customHeight="1" x14ac:dyDescent="0.25">
      <c r="B2538" s="550" t="s">
        <v>627</v>
      </c>
      <c r="C2538" s="223" t="s">
        <v>628</v>
      </c>
      <c r="D2538" s="550"/>
      <c r="E2538" s="224"/>
      <c r="F2538" s="225"/>
      <c r="G2538" s="290"/>
      <c r="H2538" s="226"/>
      <c r="M2538" s="225"/>
    </row>
    <row r="2539" spans="2:13" ht="18.75" customHeight="1" x14ac:dyDescent="0.25">
      <c r="B2539" s="550"/>
      <c r="C2539" s="227" t="s">
        <v>629</v>
      </c>
      <c r="D2539" s="550" t="s">
        <v>630</v>
      </c>
      <c r="E2539" s="224" t="s">
        <v>631</v>
      </c>
      <c r="F2539" s="228">
        <f t="shared" ref="F2539:F2542" si="126">$K$8*M2539</f>
        <v>0.1</v>
      </c>
      <c r="G2539" s="229">
        <f>G2514</f>
        <v>95000</v>
      </c>
      <c r="H2539" s="230">
        <f>+G2539*F2539</f>
        <v>9500</v>
      </c>
      <c r="M2539" s="228">
        <v>0.1</v>
      </c>
    </row>
    <row r="2540" spans="2:13" ht="18.75" customHeight="1" x14ac:dyDescent="0.25">
      <c r="B2540" s="550"/>
      <c r="C2540" s="227" t="s">
        <v>1502</v>
      </c>
      <c r="D2540" s="550" t="s">
        <v>634</v>
      </c>
      <c r="E2540" s="224" t="s">
        <v>631</v>
      </c>
      <c r="F2540" s="228">
        <f t="shared" si="126"/>
        <v>0.1</v>
      </c>
      <c r="G2540" s="229">
        <f>G2515</f>
        <v>110000</v>
      </c>
      <c r="H2540" s="230">
        <f>+G2540*F2540</f>
        <v>11000</v>
      </c>
      <c r="M2540" s="228">
        <v>0.1</v>
      </c>
    </row>
    <row r="2541" spans="2:13" ht="18.75" customHeight="1" x14ac:dyDescent="0.25">
      <c r="B2541" s="550"/>
      <c r="C2541" s="227" t="s">
        <v>633</v>
      </c>
      <c r="D2541" s="550" t="s">
        <v>634</v>
      </c>
      <c r="E2541" s="224" t="s">
        <v>631</v>
      </c>
      <c r="F2541" s="228">
        <f t="shared" si="126"/>
        <v>0.01</v>
      </c>
      <c r="G2541" s="229">
        <f>G2516</f>
        <v>115000</v>
      </c>
      <c r="H2541" s="230">
        <f>+G2541*F2541</f>
        <v>1150</v>
      </c>
      <c r="M2541" s="228">
        <v>0.01</v>
      </c>
    </row>
    <row r="2542" spans="2:13" ht="18.75" customHeight="1" x14ac:dyDescent="0.25">
      <c r="B2542" s="550"/>
      <c r="C2542" s="227" t="s">
        <v>600</v>
      </c>
      <c r="D2542" s="550" t="s">
        <v>635</v>
      </c>
      <c r="E2542" s="224" t="s">
        <v>631</v>
      </c>
      <c r="F2542" s="228">
        <f t="shared" si="126"/>
        <v>5.0000000000000001E-3</v>
      </c>
      <c r="G2542" s="229">
        <f>G2517</f>
        <v>140000</v>
      </c>
      <c r="H2542" s="230">
        <f>+G2542*F2542</f>
        <v>700</v>
      </c>
      <c r="M2542" s="228">
        <v>5.0000000000000001E-3</v>
      </c>
    </row>
    <row r="2543" spans="2:13" ht="18.75" customHeight="1" x14ac:dyDescent="0.25">
      <c r="B2543" s="550"/>
      <c r="C2543" s="223"/>
      <c r="D2543" s="550"/>
      <c r="E2543" s="224"/>
      <c r="F2543" s="233" t="s">
        <v>636</v>
      </c>
      <c r="G2543" s="290"/>
      <c r="H2543" s="231">
        <f>SUM(H2539:H2542)</f>
        <v>22350</v>
      </c>
      <c r="M2543" s="233" t="s">
        <v>636</v>
      </c>
    </row>
    <row r="2544" spans="2:13" ht="18.75" customHeight="1" x14ac:dyDescent="0.25">
      <c r="B2544" s="550"/>
      <c r="C2544" s="223"/>
      <c r="D2544" s="550"/>
      <c r="E2544" s="224"/>
      <c r="F2544" s="233"/>
      <c r="G2544" s="290"/>
      <c r="H2544" s="231"/>
      <c r="M2544" s="233"/>
    </row>
    <row r="2545" spans="2:13" ht="18.75" customHeight="1" x14ac:dyDescent="0.25">
      <c r="B2545" s="550" t="s">
        <v>637</v>
      </c>
      <c r="C2545" s="223" t="s">
        <v>638</v>
      </c>
      <c r="D2545" s="550"/>
      <c r="E2545" s="224"/>
      <c r="F2545" s="225"/>
      <c r="G2545" s="290"/>
      <c r="H2545" s="226"/>
      <c r="M2545" s="225"/>
    </row>
    <row r="2546" spans="2:13" ht="18.75" customHeight="1" x14ac:dyDescent="0.25">
      <c r="B2546" s="550"/>
      <c r="C2546" s="223" t="s">
        <v>923</v>
      </c>
      <c r="D2546" s="550"/>
      <c r="E2546" s="224" t="s">
        <v>924</v>
      </c>
      <c r="F2546" s="228">
        <v>1.1000000000000001</v>
      </c>
      <c r="G2546" s="229">
        <f>Bahan!D153</f>
        <v>24000</v>
      </c>
      <c r="H2546" s="230">
        <f>+G2546*F2546</f>
        <v>26400.000000000004</v>
      </c>
      <c r="M2546" s="228">
        <v>1.1000000000000001</v>
      </c>
    </row>
    <row r="2547" spans="2:13" ht="18.75" customHeight="1" x14ac:dyDescent="0.25">
      <c r="B2547" s="550"/>
      <c r="C2547" s="223" t="s">
        <v>898</v>
      </c>
      <c r="D2547" s="550"/>
      <c r="E2547" s="224" t="s">
        <v>544</v>
      </c>
      <c r="F2547" s="228">
        <v>11.11</v>
      </c>
      <c r="G2547" s="229">
        <f>G2522</f>
        <v>15000</v>
      </c>
      <c r="H2547" s="230">
        <f>+G2547*F2547</f>
        <v>166650</v>
      </c>
      <c r="M2547" s="228">
        <v>11.11</v>
      </c>
    </row>
    <row r="2548" spans="2:13" ht="18.75" customHeight="1" x14ac:dyDescent="0.25">
      <c r="B2548" s="550"/>
      <c r="C2548" s="223" t="s">
        <v>925</v>
      </c>
      <c r="D2548" s="550"/>
      <c r="E2548" s="224" t="s">
        <v>62</v>
      </c>
      <c r="F2548" s="228">
        <v>1.716</v>
      </c>
      <c r="G2548" s="229">
        <f>Bahan!D131</f>
        <v>25000</v>
      </c>
      <c r="H2548" s="230">
        <f>+F2548*G2548</f>
        <v>42900</v>
      </c>
      <c r="M2548" s="228">
        <v>1.716</v>
      </c>
    </row>
    <row r="2549" spans="2:13" ht="18.75" customHeight="1" x14ac:dyDescent="0.25">
      <c r="B2549" s="550"/>
      <c r="C2549" s="223"/>
      <c r="D2549" s="550"/>
      <c r="E2549" s="224"/>
      <c r="F2549" s="237" t="s">
        <v>643</v>
      </c>
      <c r="G2549" s="290"/>
      <c r="H2549" s="231">
        <f>SUM(H2546:H2548)</f>
        <v>235950</v>
      </c>
      <c r="M2549" s="237" t="s">
        <v>643</v>
      </c>
    </row>
    <row r="2550" spans="2:13" ht="18.75" customHeight="1" x14ac:dyDescent="0.25">
      <c r="B2550" s="550"/>
      <c r="C2550" s="223"/>
      <c r="D2550" s="550"/>
      <c r="E2550" s="224"/>
      <c r="F2550" s="225"/>
      <c r="G2550" s="290"/>
      <c r="H2550" s="226"/>
      <c r="M2550" s="225"/>
    </row>
    <row r="2551" spans="2:13" ht="18.75" customHeight="1" x14ac:dyDescent="0.25">
      <c r="B2551" s="550" t="s">
        <v>644</v>
      </c>
      <c r="C2551" s="223" t="s">
        <v>645</v>
      </c>
      <c r="D2551" s="550"/>
      <c r="E2551" s="224"/>
      <c r="F2551" s="225"/>
      <c r="G2551" s="290"/>
      <c r="H2551" s="235"/>
      <c r="M2551" s="225"/>
    </row>
    <row r="2552" spans="2:13" ht="18.75" customHeight="1" x14ac:dyDescent="0.25">
      <c r="B2552" s="236"/>
      <c r="C2552" s="232"/>
      <c r="D2552" s="550"/>
      <c r="E2552" s="224"/>
      <c r="F2552" s="237" t="s">
        <v>646</v>
      </c>
      <c r="G2552" s="290"/>
      <c r="H2552" s="230"/>
      <c r="M2552" s="237" t="s">
        <v>646</v>
      </c>
    </row>
    <row r="2553" spans="2:13" ht="18.75" customHeight="1" x14ac:dyDescent="0.25">
      <c r="B2553" s="236"/>
      <c r="C2553" s="232"/>
      <c r="D2553" s="550"/>
      <c r="E2553" s="224"/>
      <c r="F2553" s="237"/>
      <c r="G2553" s="290"/>
      <c r="H2553" s="226"/>
      <c r="M2553" s="237"/>
    </row>
    <row r="2554" spans="2:13" ht="18.75" customHeight="1" x14ac:dyDescent="0.25">
      <c r="B2554" s="248"/>
      <c r="C2554" s="238"/>
      <c r="D2554" s="239"/>
      <c r="E2554" s="266"/>
      <c r="F2554" s="241"/>
      <c r="G2554" s="303"/>
      <c r="H2554" s="267"/>
      <c r="M2554" s="241"/>
    </row>
    <row r="2555" spans="2:13" ht="18.75" customHeight="1" x14ac:dyDescent="0.25">
      <c r="B2555" s="249" t="s">
        <v>647</v>
      </c>
      <c r="C2555" s="104" t="s">
        <v>648</v>
      </c>
      <c r="D2555" s="435"/>
      <c r="E2555" s="92"/>
      <c r="F2555" s="183"/>
      <c r="G2555" s="167"/>
      <c r="H2555" s="252">
        <f>+H2552+H2549+H2543</f>
        <v>258300</v>
      </c>
      <c r="M2555" s="183"/>
    </row>
    <row r="2556" spans="2:13" ht="18.75" customHeight="1" x14ac:dyDescent="0.25">
      <c r="B2556" s="249" t="s">
        <v>649</v>
      </c>
      <c r="C2556" s="242" t="s">
        <v>650</v>
      </c>
      <c r="D2556" s="435"/>
      <c r="E2556" s="92"/>
      <c r="F2556" s="184" t="str">
        <f>$J$5</f>
        <v>8,0 % x D</v>
      </c>
      <c r="G2556" s="167"/>
      <c r="H2556" s="253">
        <f>+H2555*$K$5</f>
        <v>20664</v>
      </c>
      <c r="M2556" s="184" t="str">
        <f>$J$5</f>
        <v>8,0 % x D</v>
      </c>
    </row>
    <row r="2557" spans="2:13" ht="18.75" customHeight="1" x14ac:dyDescent="0.25">
      <c r="B2557" s="249" t="s">
        <v>651</v>
      </c>
      <c r="C2557" s="111" t="s">
        <v>652</v>
      </c>
      <c r="D2557" s="435"/>
      <c r="E2557" s="91"/>
      <c r="F2557" s="185"/>
      <c r="G2557" s="168"/>
      <c r="H2557" s="254">
        <f>ROUNDUP((H2556+H2555)/100,0)*100</f>
        <v>279000</v>
      </c>
      <c r="M2557" s="185"/>
    </row>
    <row r="2558" spans="2:13" ht="18.75" customHeight="1" x14ac:dyDescent="0.25">
      <c r="B2558" s="259"/>
      <c r="C2558" s="261"/>
      <c r="D2558" s="245"/>
      <c r="E2558" s="246"/>
      <c r="F2558" s="247"/>
      <c r="G2558" s="298"/>
      <c r="H2558" s="260"/>
      <c r="M2558" s="247"/>
    </row>
    <row r="2559" spans="2:13" ht="18.75" customHeight="1" x14ac:dyDescent="0.25">
      <c r="B2559" s="92"/>
      <c r="C2559" s="104"/>
      <c r="D2559" s="435"/>
      <c r="E2559" s="91"/>
      <c r="F2559" s="185"/>
      <c r="G2559" s="168"/>
      <c r="H2559" s="139"/>
      <c r="M2559" s="185"/>
    </row>
    <row r="2560" spans="2:13" ht="18.75" customHeight="1" x14ac:dyDescent="0.25">
      <c r="B2560" s="19">
        <f>B2534+1</f>
        <v>16</v>
      </c>
      <c r="C2560" s="93" t="s">
        <v>926</v>
      </c>
      <c r="D2560" s="19"/>
      <c r="E2560" s="21"/>
      <c r="F2560" s="176"/>
      <c r="G2560" s="165"/>
      <c r="H2560" s="119"/>
      <c r="M2560" s="176"/>
    </row>
    <row r="2561" spans="2:13" ht="18.75" customHeight="1" x14ac:dyDescent="0.25">
      <c r="B2561" s="618" t="s">
        <v>620</v>
      </c>
      <c r="C2561" s="620" t="s">
        <v>621</v>
      </c>
      <c r="D2561" s="618" t="s">
        <v>622</v>
      </c>
      <c r="E2561" s="618" t="s">
        <v>2</v>
      </c>
      <c r="F2561" s="615" t="s">
        <v>623</v>
      </c>
      <c r="G2561" s="289" t="s">
        <v>624</v>
      </c>
      <c r="H2561" s="256" t="s">
        <v>625</v>
      </c>
      <c r="M2561" s="615" t="s">
        <v>623</v>
      </c>
    </row>
    <row r="2562" spans="2:13" ht="18.75" customHeight="1" x14ac:dyDescent="0.25">
      <c r="B2562" s="619"/>
      <c r="C2562" s="621"/>
      <c r="D2562" s="619"/>
      <c r="E2562" s="619"/>
      <c r="F2562" s="616"/>
      <c r="G2562" s="289" t="s">
        <v>626</v>
      </c>
      <c r="H2562" s="256" t="s">
        <v>626</v>
      </c>
      <c r="M2562" s="616"/>
    </row>
    <row r="2563" spans="2:13" ht="18.75" customHeight="1" x14ac:dyDescent="0.25">
      <c r="B2563" s="221"/>
      <c r="C2563" s="222"/>
      <c r="D2563" s="221"/>
      <c r="E2563" s="550"/>
      <c r="F2563" s="555"/>
      <c r="G2563" s="551"/>
      <c r="H2563" s="220"/>
      <c r="M2563" s="590"/>
    </row>
    <row r="2564" spans="2:13" ht="18.75" customHeight="1" x14ac:dyDescent="0.25">
      <c r="B2564" s="550" t="s">
        <v>627</v>
      </c>
      <c r="C2564" s="223" t="s">
        <v>628</v>
      </c>
      <c r="D2564" s="550"/>
      <c r="E2564" s="224"/>
      <c r="F2564" s="225"/>
      <c r="G2564" s="290"/>
      <c r="H2564" s="226"/>
      <c r="M2564" s="225"/>
    </row>
    <row r="2565" spans="2:13" ht="18.75" customHeight="1" x14ac:dyDescent="0.25">
      <c r="B2565" s="550"/>
      <c r="C2565" s="227" t="s">
        <v>629</v>
      </c>
      <c r="D2565" s="550" t="s">
        <v>630</v>
      </c>
      <c r="E2565" s="224" t="s">
        <v>631</v>
      </c>
      <c r="F2565" s="228">
        <f t="shared" ref="F2565:F2568" si="127">$K$8*M2565</f>
        <v>0.2</v>
      </c>
      <c r="G2565" s="229">
        <f>G2539</f>
        <v>95000</v>
      </c>
      <c r="H2565" s="230">
        <f>+G2565*F2565</f>
        <v>19000</v>
      </c>
      <c r="M2565" s="228">
        <v>0.2</v>
      </c>
    </row>
    <row r="2566" spans="2:13" ht="18.75" customHeight="1" x14ac:dyDescent="0.25">
      <c r="B2566" s="550"/>
      <c r="C2566" s="227" t="s">
        <v>1502</v>
      </c>
      <c r="D2566" s="550" t="s">
        <v>634</v>
      </c>
      <c r="E2566" s="224" t="s">
        <v>631</v>
      </c>
      <c r="F2566" s="228">
        <f t="shared" si="127"/>
        <v>0.2</v>
      </c>
      <c r="G2566" s="229">
        <f>G2540</f>
        <v>110000</v>
      </c>
      <c r="H2566" s="230">
        <f>+G2566*F2566</f>
        <v>22000</v>
      </c>
      <c r="M2566" s="228">
        <v>0.2</v>
      </c>
    </row>
    <row r="2567" spans="2:13" ht="18.75" customHeight="1" x14ac:dyDescent="0.25">
      <c r="B2567" s="550"/>
      <c r="C2567" s="227" t="s">
        <v>633</v>
      </c>
      <c r="D2567" s="550" t="s">
        <v>634</v>
      </c>
      <c r="E2567" s="224" t="s">
        <v>631</v>
      </c>
      <c r="F2567" s="228">
        <f t="shared" si="127"/>
        <v>0.02</v>
      </c>
      <c r="G2567" s="229">
        <f>G2541</f>
        <v>115000</v>
      </c>
      <c r="H2567" s="230">
        <f>+G2567*F2567</f>
        <v>2300</v>
      </c>
      <c r="M2567" s="228">
        <v>0.02</v>
      </c>
    </row>
    <row r="2568" spans="2:13" ht="18.75" customHeight="1" x14ac:dyDescent="0.25">
      <c r="B2568" s="550"/>
      <c r="C2568" s="227" t="s">
        <v>600</v>
      </c>
      <c r="D2568" s="550" t="s">
        <v>635</v>
      </c>
      <c r="E2568" s="224" t="s">
        <v>631</v>
      </c>
      <c r="F2568" s="228">
        <f t="shared" si="127"/>
        <v>1E-3</v>
      </c>
      <c r="G2568" s="229">
        <f>G2542</f>
        <v>140000</v>
      </c>
      <c r="H2568" s="230">
        <f>+G2568*F2568</f>
        <v>140</v>
      </c>
      <c r="M2568" s="228">
        <v>1E-3</v>
      </c>
    </row>
    <row r="2569" spans="2:13" ht="18.75" customHeight="1" x14ac:dyDescent="0.25">
      <c r="B2569" s="550"/>
      <c r="C2569" s="223"/>
      <c r="D2569" s="550"/>
      <c r="E2569" s="224"/>
      <c r="F2569" s="233" t="s">
        <v>636</v>
      </c>
      <c r="G2569" s="290"/>
      <c r="H2569" s="231">
        <f>SUM(H2565:H2568)</f>
        <v>43440</v>
      </c>
      <c r="M2569" s="233" t="s">
        <v>636</v>
      </c>
    </row>
    <row r="2570" spans="2:13" ht="18.75" customHeight="1" x14ac:dyDescent="0.25">
      <c r="B2570" s="550"/>
      <c r="C2570" s="223"/>
      <c r="D2570" s="550"/>
      <c r="E2570" s="224"/>
      <c r="F2570" s="233"/>
      <c r="G2570" s="290"/>
      <c r="H2570" s="231"/>
      <c r="M2570" s="233"/>
    </row>
    <row r="2571" spans="2:13" ht="18.75" customHeight="1" x14ac:dyDescent="0.25">
      <c r="B2571" s="550" t="s">
        <v>637</v>
      </c>
      <c r="C2571" s="223" t="s">
        <v>638</v>
      </c>
      <c r="D2571" s="550"/>
      <c r="E2571" s="224"/>
      <c r="F2571" s="225"/>
      <c r="G2571" s="290"/>
      <c r="H2571" s="226"/>
      <c r="M2571" s="225"/>
    </row>
    <row r="2572" spans="2:13" ht="18.75" customHeight="1" x14ac:dyDescent="0.25">
      <c r="B2572" s="550"/>
      <c r="C2572" s="223" t="s">
        <v>927</v>
      </c>
      <c r="D2572" s="550"/>
      <c r="E2572" s="224" t="s">
        <v>924</v>
      </c>
      <c r="F2572" s="228">
        <v>1.1000000000000001</v>
      </c>
      <c r="G2572" s="229">
        <f>Bahan!D233</f>
        <v>330000</v>
      </c>
      <c r="H2572" s="230">
        <f>+G2572*F2572</f>
        <v>363000.00000000006</v>
      </c>
      <c r="M2572" s="228">
        <v>1.1000000000000001</v>
      </c>
    </row>
    <row r="2573" spans="2:13" ht="18.75" customHeight="1" x14ac:dyDescent="0.25">
      <c r="B2573" s="550"/>
      <c r="C2573" s="223" t="s">
        <v>928</v>
      </c>
      <c r="D2573" s="550"/>
      <c r="E2573" s="224" t="s">
        <v>296</v>
      </c>
      <c r="F2573" s="228">
        <v>10</v>
      </c>
      <c r="G2573" s="234">
        <f>Bahan!D346</f>
        <v>28000</v>
      </c>
      <c r="H2573" s="230">
        <f>+G2573*F2573</f>
        <v>280000</v>
      </c>
      <c r="M2573" s="228">
        <v>10</v>
      </c>
    </row>
    <row r="2574" spans="2:13" ht="18.75" customHeight="1" x14ac:dyDescent="0.25">
      <c r="B2574" s="550"/>
      <c r="C2574" s="223" t="s">
        <v>929</v>
      </c>
      <c r="D2574" s="550"/>
      <c r="E2574" s="224" t="s">
        <v>147</v>
      </c>
      <c r="F2574" s="228">
        <v>7</v>
      </c>
      <c r="G2574" s="229">
        <f>G2548</f>
        <v>25000</v>
      </c>
      <c r="H2574" s="230">
        <f>+F2574*G2574</f>
        <v>175000</v>
      </c>
      <c r="M2574" s="228">
        <v>7</v>
      </c>
    </row>
    <row r="2575" spans="2:13" ht="18.75" customHeight="1" x14ac:dyDescent="0.25">
      <c r="B2575" s="550"/>
      <c r="C2575" s="223"/>
      <c r="D2575" s="550"/>
      <c r="E2575" s="224"/>
      <c r="F2575" s="237" t="s">
        <v>643</v>
      </c>
      <c r="G2575" s="290"/>
      <c r="H2575" s="231">
        <f>SUM(H2572:H2574)</f>
        <v>818000</v>
      </c>
      <c r="M2575" s="237" t="s">
        <v>643</v>
      </c>
    </row>
    <row r="2576" spans="2:13" ht="18.75" customHeight="1" x14ac:dyDescent="0.25">
      <c r="B2576" s="550"/>
      <c r="C2576" s="223"/>
      <c r="D2576" s="550"/>
      <c r="E2576" s="224"/>
      <c r="F2576" s="225"/>
      <c r="G2576" s="290"/>
      <c r="H2576" s="226"/>
      <c r="M2576" s="225"/>
    </row>
    <row r="2577" spans="2:13" ht="18.75" customHeight="1" x14ac:dyDescent="0.25">
      <c r="B2577" s="550" t="s">
        <v>644</v>
      </c>
      <c r="C2577" s="223" t="s">
        <v>645</v>
      </c>
      <c r="D2577" s="550"/>
      <c r="E2577" s="224"/>
      <c r="F2577" s="225"/>
      <c r="G2577" s="290"/>
      <c r="H2577" s="235"/>
      <c r="M2577" s="225"/>
    </row>
    <row r="2578" spans="2:13" ht="18.75" customHeight="1" x14ac:dyDescent="0.25">
      <c r="B2578" s="236"/>
      <c r="C2578" s="232"/>
      <c r="D2578" s="550"/>
      <c r="E2578" s="224"/>
      <c r="F2578" s="237" t="s">
        <v>646</v>
      </c>
      <c r="G2578" s="290"/>
      <c r="H2578" s="230"/>
      <c r="M2578" s="237" t="s">
        <v>646</v>
      </c>
    </row>
    <row r="2579" spans="2:13" ht="18.75" customHeight="1" x14ac:dyDescent="0.25">
      <c r="B2579" s="236"/>
      <c r="C2579" s="232"/>
      <c r="D2579" s="550"/>
      <c r="E2579" s="224"/>
      <c r="F2579" s="237"/>
      <c r="G2579" s="290"/>
      <c r="H2579" s="230"/>
      <c r="M2579" s="237"/>
    </row>
    <row r="2580" spans="2:13" ht="18.75" customHeight="1" x14ac:dyDescent="0.25">
      <c r="B2580" s="236"/>
      <c r="C2580" s="232"/>
      <c r="D2580" s="550"/>
      <c r="E2580" s="224"/>
      <c r="F2580" s="237"/>
      <c r="G2580" s="290"/>
      <c r="H2580" s="226"/>
      <c r="M2580" s="237"/>
    </row>
    <row r="2581" spans="2:13" ht="18.75" customHeight="1" x14ac:dyDescent="0.25">
      <c r="B2581" s="248"/>
      <c r="C2581" s="238"/>
      <c r="D2581" s="239"/>
      <c r="E2581" s="266"/>
      <c r="F2581" s="241"/>
      <c r="G2581" s="303"/>
      <c r="H2581" s="267"/>
      <c r="M2581" s="241"/>
    </row>
    <row r="2582" spans="2:13" ht="18.75" customHeight="1" x14ac:dyDescent="0.25">
      <c r="B2582" s="249" t="s">
        <v>647</v>
      </c>
      <c r="C2582" s="104" t="s">
        <v>648</v>
      </c>
      <c r="D2582" s="435"/>
      <c r="E2582" s="92"/>
      <c r="F2582" s="183"/>
      <c r="G2582" s="167"/>
      <c r="H2582" s="252">
        <f>+H2578+H2575+H2569</f>
        <v>861440</v>
      </c>
      <c r="M2582" s="183"/>
    </row>
    <row r="2583" spans="2:13" ht="18.75" customHeight="1" x14ac:dyDescent="0.25">
      <c r="B2583" s="249" t="s">
        <v>649</v>
      </c>
      <c r="C2583" s="242" t="s">
        <v>650</v>
      </c>
      <c r="D2583" s="435"/>
      <c r="E2583" s="92"/>
      <c r="F2583" s="184" t="str">
        <f>$J$5</f>
        <v>8,0 % x D</v>
      </c>
      <c r="G2583" s="167"/>
      <c r="H2583" s="253">
        <f>+H2582*$K$5</f>
        <v>68915.199999999997</v>
      </c>
      <c r="M2583" s="184" t="str">
        <f>$J$5</f>
        <v>8,0 % x D</v>
      </c>
    </row>
    <row r="2584" spans="2:13" ht="18.75" customHeight="1" x14ac:dyDescent="0.25">
      <c r="B2584" s="249" t="s">
        <v>651</v>
      </c>
      <c r="C2584" s="111" t="s">
        <v>652</v>
      </c>
      <c r="D2584" s="435"/>
      <c r="E2584" s="91"/>
      <c r="F2584" s="185"/>
      <c r="G2584" s="168"/>
      <c r="H2584" s="254">
        <f>ROUNDUP((H2583+H2582)/100,0)*100</f>
        <v>930400</v>
      </c>
      <c r="M2584" s="185"/>
    </row>
    <row r="2585" spans="2:13" ht="18.75" customHeight="1" x14ac:dyDescent="0.25">
      <c r="B2585" s="259"/>
      <c r="C2585" s="261"/>
      <c r="D2585" s="245"/>
      <c r="E2585" s="246"/>
      <c r="F2585" s="247"/>
      <c r="G2585" s="298"/>
      <c r="H2585" s="260"/>
      <c r="M2585" s="247"/>
    </row>
    <row r="2586" spans="2:13" ht="18.75" customHeight="1" x14ac:dyDescent="0.25">
      <c r="B2586" s="22"/>
      <c r="C2586" s="104"/>
      <c r="E2586" s="21"/>
      <c r="F2586" s="176"/>
      <c r="G2586" s="165"/>
      <c r="H2586" s="119"/>
      <c r="M2586" s="176"/>
    </row>
    <row r="2587" spans="2:13" ht="18.75" customHeight="1" x14ac:dyDescent="0.25">
      <c r="B2587" s="19">
        <f>B2560+1</f>
        <v>17</v>
      </c>
      <c r="C2587" s="93" t="s">
        <v>1787</v>
      </c>
      <c r="D2587" s="19"/>
      <c r="E2587" s="21"/>
      <c r="F2587" s="176"/>
      <c r="G2587" s="165"/>
      <c r="H2587" s="119"/>
      <c r="M2587" s="176"/>
    </row>
    <row r="2588" spans="2:13" ht="18.75" customHeight="1" x14ac:dyDescent="0.25">
      <c r="B2588" s="618" t="s">
        <v>620</v>
      </c>
      <c r="C2588" s="620" t="s">
        <v>621</v>
      </c>
      <c r="D2588" s="618" t="s">
        <v>622</v>
      </c>
      <c r="E2588" s="618" t="s">
        <v>2</v>
      </c>
      <c r="F2588" s="615" t="s">
        <v>623</v>
      </c>
      <c r="G2588" s="289" t="s">
        <v>624</v>
      </c>
      <c r="H2588" s="256" t="s">
        <v>625</v>
      </c>
      <c r="M2588" s="615" t="s">
        <v>623</v>
      </c>
    </row>
    <row r="2589" spans="2:13" ht="18.75" customHeight="1" x14ac:dyDescent="0.25">
      <c r="B2589" s="619"/>
      <c r="C2589" s="621"/>
      <c r="D2589" s="619"/>
      <c r="E2589" s="619"/>
      <c r="F2589" s="616"/>
      <c r="G2589" s="289" t="s">
        <v>626</v>
      </c>
      <c r="H2589" s="256" t="s">
        <v>626</v>
      </c>
      <c r="M2589" s="616"/>
    </row>
    <row r="2590" spans="2:13" ht="18.75" customHeight="1" x14ac:dyDescent="0.25">
      <c r="B2590" s="221"/>
      <c r="C2590" s="222"/>
      <c r="D2590" s="221"/>
      <c r="E2590" s="550"/>
      <c r="F2590" s="555"/>
      <c r="G2590" s="551"/>
      <c r="H2590" s="220"/>
      <c r="M2590" s="590"/>
    </row>
    <row r="2591" spans="2:13" ht="18.75" customHeight="1" x14ac:dyDescent="0.25">
      <c r="B2591" s="550" t="s">
        <v>627</v>
      </c>
      <c r="C2591" s="223" t="s">
        <v>628</v>
      </c>
      <c r="D2591" s="550"/>
      <c r="E2591" s="224"/>
      <c r="F2591" s="225"/>
      <c r="G2591" s="290"/>
      <c r="H2591" s="226"/>
      <c r="M2591" s="225"/>
    </row>
    <row r="2592" spans="2:13" ht="18.75" customHeight="1" x14ac:dyDescent="0.25">
      <c r="B2592" s="550"/>
      <c r="C2592" s="227" t="s">
        <v>629</v>
      </c>
      <c r="D2592" s="550" t="s">
        <v>630</v>
      </c>
      <c r="E2592" s="224" t="s">
        <v>631</v>
      </c>
      <c r="F2592" s="228">
        <f t="shared" ref="F2592:F2595" si="128">$K$8*M2592</f>
        <v>0.2</v>
      </c>
      <c r="G2592" s="229">
        <f>G2565</f>
        <v>95000</v>
      </c>
      <c r="H2592" s="230">
        <f>+G2592*F2592</f>
        <v>19000</v>
      </c>
      <c r="M2592" s="228">
        <v>0.2</v>
      </c>
    </row>
    <row r="2593" spans="2:13" ht="18.75" customHeight="1" x14ac:dyDescent="0.25">
      <c r="B2593" s="550"/>
      <c r="C2593" s="227" t="s">
        <v>1502</v>
      </c>
      <c r="D2593" s="550" t="s">
        <v>634</v>
      </c>
      <c r="E2593" s="224" t="s">
        <v>631</v>
      </c>
      <c r="F2593" s="228">
        <f t="shared" si="128"/>
        <v>0.2</v>
      </c>
      <c r="G2593" s="229">
        <f>G2566</f>
        <v>110000</v>
      </c>
      <c r="H2593" s="230">
        <f>+G2593*F2593</f>
        <v>22000</v>
      </c>
      <c r="M2593" s="228">
        <v>0.2</v>
      </c>
    </row>
    <row r="2594" spans="2:13" ht="18.75" customHeight="1" x14ac:dyDescent="0.25">
      <c r="B2594" s="550"/>
      <c r="C2594" s="227" t="s">
        <v>633</v>
      </c>
      <c r="D2594" s="550" t="s">
        <v>634</v>
      </c>
      <c r="E2594" s="224" t="s">
        <v>631</v>
      </c>
      <c r="F2594" s="228">
        <f t="shared" si="128"/>
        <v>0.02</v>
      </c>
      <c r="G2594" s="229">
        <f>G2567</f>
        <v>115000</v>
      </c>
      <c r="H2594" s="230">
        <f>+G2594*F2594</f>
        <v>2300</v>
      </c>
      <c r="M2594" s="228">
        <v>0.02</v>
      </c>
    </row>
    <row r="2595" spans="2:13" ht="18.75" customHeight="1" x14ac:dyDescent="0.25">
      <c r="B2595" s="550"/>
      <c r="C2595" s="227" t="s">
        <v>600</v>
      </c>
      <c r="D2595" s="550" t="s">
        <v>635</v>
      </c>
      <c r="E2595" s="224" t="s">
        <v>631</v>
      </c>
      <c r="F2595" s="228">
        <f t="shared" si="128"/>
        <v>1E-3</v>
      </c>
      <c r="G2595" s="229">
        <f>G2568</f>
        <v>140000</v>
      </c>
      <c r="H2595" s="230">
        <f>+G2595*F2595</f>
        <v>140</v>
      </c>
      <c r="M2595" s="228">
        <v>1E-3</v>
      </c>
    </row>
    <row r="2596" spans="2:13" ht="18.75" customHeight="1" x14ac:dyDescent="0.25">
      <c r="B2596" s="550"/>
      <c r="C2596" s="223"/>
      <c r="D2596" s="550"/>
      <c r="E2596" s="224"/>
      <c r="F2596" s="233" t="s">
        <v>636</v>
      </c>
      <c r="G2596" s="290"/>
      <c r="H2596" s="231">
        <f>SUM(H2592:H2595)</f>
        <v>43440</v>
      </c>
      <c r="M2596" s="233" t="s">
        <v>636</v>
      </c>
    </row>
    <row r="2597" spans="2:13" ht="18.75" customHeight="1" x14ac:dyDescent="0.25">
      <c r="B2597" s="550"/>
      <c r="C2597" s="223"/>
      <c r="D2597" s="550"/>
      <c r="E2597" s="224"/>
      <c r="F2597" s="233"/>
      <c r="G2597" s="290"/>
      <c r="H2597" s="231"/>
      <c r="M2597" s="233"/>
    </row>
    <row r="2598" spans="2:13" ht="18.75" customHeight="1" x14ac:dyDescent="0.25">
      <c r="B2598" s="550" t="s">
        <v>637</v>
      </c>
      <c r="C2598" s="223" t="s">
        <v>638</v>
      </c>
      <c r="D2598" s="550"/>
      <c r="E2598" s="224"/>
      <c r="F2598" s="225"/>
      <c r="G2598" s="290"/>
      <c r="H2598" s="226"/>
      <c r="M2598" s="225"/>
    </row>
    <row r="2599" spans="2:13" ht="18.75" customHeight="1" x14ac:dyDescent="0.25">
      <c r="B2599" s="550"/>
      <c r="C2599" s="223" t="s">
        <v>930</v>
      </c>
      <c r="D2599" s="550"/>
      <c r="E2599" s="224" t="s">
        <v>14</v>
      </c>
      <c r="F2599" s="228">
        <v>1.05</v>
      </c>
      <c r="G2599" s="229">
        <f>Bahan!D491</f>
        <v>85000</v>
      </c>
      <c r="H2599" s="230">
        <f>+G2599*F2599</f>
        <v>89250</v>
      </c>
      <c r="M2599" s="228">
        <v>1.05</v>
      </c>
    </row>
    <row r="2600" spans="2:13" ht="18.75" customHeight="1" x14ac:dyDescent="0.25">
      <c r="B2600" s="550"/>
      <c r="C2600" s="223" t="s">
        <v>928</v>
      </c>
      <c r="D2600" s="550"/>
      <c r="E2600" s="224" t="s">
        <v>62</v>
      </c>
      <c r="F2600" s="228">
        <v>1.4999999999999999E-2</v>
      </c>
      <c r="G2600" s="234">
        <f>G2573</f>
        <v>28000</v>
      </c>
      <c r="H2600" s="230">
        <f>+G2600*F2600</f>
        <v>420</v>
      </c>
      <c r="M2600" s="228">
        <v>1.4999999999999999E-2</v>
      </c>
    </row>
    <row r="2601" spans="2:13" ht="18.75" customHeight="1" x14ac:dyDescent="0.25">
      <c r="B2601" s="550"/>
      <c r="C2601" s="223" t="s">
        <v>931</v>
      </c>
      <c r="D2601" s="550"/>
      <c r="E2601" s="224" t="s">
        <v>52</v>
      </c>
      <c r="F2601" s="228">
        <v>1.9E-2</v>
      </c>
      <c r="G2601" s="234">
        <f>Bahan!D256</f>
        <v>9850000</v>
      </c>
      <c r="H2601" s="230">
        <f>+G2601*F2601</f>
        <v>187150</v>
      </c>
      <c r="M2601" s="228">
        <v>1.9E-2</v>
      </c>
    </row>
    <row r="2602" spans="2:13" ht="18.75" customHeight="1" x14ac:dyDescent="0.25">
      <c r="B2602" s="550"/>
      <c r="C2602" s="223"/>
      <c r="D2602" s="550"/>
      <c r="E2602" s="224"/>
      <c r="F2602" s="237" t="s">
        <v>643</v>
      </c>
      <c r="G2602" s="290"/>
      <c r="H2602" s="231">
        <f>SUM(H2599:H2601)</f>
        <v>276820</v>
      </c>
      <c r="M2602" s="237" t="s">
        <v>643</v>
      </c>
    </row>
    <row r="2603" spans="2:13" ht="18.75" customHeight="1" x14ac:dyDescent="0.25">
      <c r="B2603" s="550"/>
      <c r="C2603" s="223"/>
      <c r="D2603" s="550"/>
      <c r="E2603" s="224"/>
      <c r="F2603" s="225"/>
      <c r="G2603" s="290"/>
      <c r="H2603" s="226"/>
      <c r="M2603" s="225"/>
    </row>
    <row r="2604" spans="2:13" ht="18.75" customHeight="1" x14ac:dyDescent="0.25">
      <c r="B2604" s="550" t="s">
        <v>644</v>
      </c>
      <c r="C2604" s="223" t="s">
        <v>645</v>
      </c>
      <c r="D2604" s="550"/>
      <c r="E2604" s="224"/>
      <c r="F2604" s="225"/>
      <c r="G2604" s="290"/>
      <c r="H2604" s="235"/>
      <c r="M2604" s="225"/>
    </row>
    <row r="2605" spans="2:13" ht="18.75" customHeight="1" x14ac:dyDescent="0.25">
      <c r="B2605" s="236"/>
      <c r="C2605" s="232"/>
      <c r="D2605" s="550"/>
      <c r="E2605" s="224"/>
      <c r="F2605" s="237" t="s">
        <v>646</v>
      </c>
      <c r="G2605" s="290"/>
      <c r="H2605" s="230"/>
      <c r="M2605" s="237" t="s">
        <v>646</v>
      </c>
    </row>
    <row r="2606" spans="2:13" ht="18.75" customHeight="1" x14ac:dyDescent="0.25">
      <c r="B2606" s="236"/>
      <c r="C2606" s="232"/>
      <c r="D2606" s="550"/>
      <c r="E2606" s="224"/>
      <c r="F2606" s="237"/>
      <c r="G2606" s="290"/>
      <c r="H2606" s="230"/>
      <c r="M2606" s="237"/>
    </row>
    <row r="2607" spans="2:13" ht="18.75" customHeight="1" x14ac:dyDescent="0.25">
      <c r="B2607" s="248"/>
      <c r="C2607" s="238"/>
      <c r="D2607" s="239"/>
      <c r="E2607" s="266"/>
      <c r="F2607" s="241"/>
      <c r="G2607" s="303"/>
      <c r="H2607" s="267"/>
      <c r="M2607" s="241"/>
    </row>
    <row r="2608" spans="2:13" ht="18.75" customHeight="1" x14ac:dyDescent="0.25">
      <c r="B2608" s="249" t="s">
        <v>647</v>
      </c>
      <c r="C2608" s="104" t="s">
        <v>648</v>
      </c>
      <c r="D2608" s="435"/>
      <c r="E2608" s="92"/>
      <c r="F2608" s="183"/>
      <c r="G2608" s="167"/>
      <c r="H2608" s="252">
        <f>+H2605+H2602+H2596</f>
        <v>320260</v>
      </c>
      <c r="M2608" s="183"/>
    </row>
    <row r="2609" spans="2:13" ht="18.75" customHeight="1" x14ac:dyDescent="0.25">
      <c r="B2609" s="249" t="s">
        <v>649</v>
      </c>
      <c r="C2609" s="242" t="s">
        <v>650</v>
      </c>
      <c r="D2609" s="435"/>
      <c r="E2609" s="92"/>
      <c r="F2609" s="184" t="str">
        <f>$J$5</f>
        <v>8,0 % x D</v>
      </c>
      <c r="G2609" s="167"/>
      <c r="H2609" s="253">
        <f>+H2608*$K$5</f>
        <v>25620.799999999999</v>
      </c>
      <c r="M2609" s="184" t="str">
        <f>$J$5</f>
        <v>8,0 % x D</v>
      </c>
    </row>
    <row r="2610" spans="2:13" ht="18.75" customHeight="1" x14ac:dyDescent="0.25">
      <c r="B2610" s="249" t="s">
        <v>651</v>
      </c>
      <c r="C2610" s="111" t="s">
        <v>652</v>
      </c>
      <c r="D2610" s="435"/>
      <c r="E2610" s="91"/>
      <c r="F2610" s="185"/>
      <c r="G2610" s="168"/>
      <c r="H2610" s="254">
        <f>ROUNDUP((H2609+H2608)/100,0)*100</f>
        <v>345900</v>
      </c>
      <c r="M2610" s="185"/>
    </row>
    <row r="2611" spans="2:13" ht="18.75" customHeight="1" x14ac:dyDescent="0.25">
      <c r="B2611" s="259"/>
      <c r="C2611" s="261"/>
      <c r="D2611" s="245"/>
      <c r="E2611" s="246"/>
      <c r="F2611" s="247"/>
      <c r="G2611" s="298"/>
      <c r="H2611" s="260"/>
      <c r="M2611" s="247"/>
    </row>
    <row r="2612" spans="2:13" ht="18.75" customHeight="1" x14ac:dyDescent="0.25">
      <c r="B2612" s="92"/>
      <c r="C2612" s="104"/>
      <c r="D2612" s="435"/>
      <c r="E2612" s="91"/>
      <c r="F2612" s="185"/>
      <c r="G2612" s="168"/>
      <c r="H2612" s="139"/>
      <c r="M2612" s="185"/>
    </row>
    <row r="2613" spans="2:13" ht="18.75" customHeight="1" x14ac:dyDescent="0.25">
      <c r="B2613" s="19">
        <f>B2587+1</f>
        <v>18</v>
      </c>
      <c r="C2613" s="93" t="s">
        <v>932</v>
      </c>
      <c r="D2613" s="19"/>
      <c r="E2613" s="21"/>
      <c r="F2613" s="176"/>
      <c r="G2613" s="165"/>
      <c r="H2613" s="119"/>
      <c r="M2613" s="176"/>
    </row>
    <row r="2614" spans="2:13" ht="18.75" customHeight="1" x14ac:dyDescent="0.25">
      <c r="B2614" s="618" t="s">
        <v>620</v>
      </c>
      <c r="C2614" s="620" t="s">
        <v>621</v>
      </c>
      <c r="D2614" s="618" t="s">
        <v>622</v>
      </c>
      <c r="E2614" s="618" t="s">
        <v>2</v>
      </c>
      <c r="F2614" s="615" t="s">
        <v>623</v>
      </c>
      <c r="G2614" s="289" t="s">
        <v>624</v>
      </c>
      <c r="H2614" s="256" t="s">
        <v>625</v>
      </c>
      <c r="M2614" s="615" t="s">
        <v>623</v>
      </c>
    </row>
    <row r="2615" spans="2:13" ht="18.75" customHeight="1" x14ac:dyDescent="0.25">
      <c r="B2615" s="619"/>
      <c r="C2615" s="621"/>
      <c r="D2615" s="619"/>
      <c r="E2615" s="619"/>
      <c r="F2615" s="616"/>
      <c r="G2615" s="289" t="s">
        <v>626</v>
      </c>
      <c r="H2615" s="256" t="s">
        <v>626</v>
      </c>
      <c r="M2615" s="616"/>
    </row>
    <row r="2616" spans="2:13" ht="18.75" customHeight="1" x14ac:dyDescent="0.25">
      <c r="B2616" s="221"/>
      <c r="C2616" s="222"/>
      <c r="D2616" s="221"/>
      <c r="E2616" s="550"/>
      <c r="F2616" s="555"/>
      <c r="G2616" s="551"/>
      <c r="H2616" s="220"/>
      <c r="M2616" s="590"/>
    </row>
    <row r="2617" spans="2:13" ht="18.75" customHeight="1" x14ac:dyDescent="0.25">
      <c r="B2617" s="550" t="s">
        <v>627</v>
      </c>
      <c r="C2617" s="223" t="s">
        <v>628</v>
      </c>
      <c r="D2617" s="550"/>
      <c r="E2617" s="224"/>
      <c r="F2617" s="225"/>
      <c r="G2617" s="290"/>
      <c r="H2617" s="226"/>
      <c r="M2617" s="225"/>
    </row>
    <row r="2618" spans="2:13" ht="18.75" customHeight="1" x14ac:dyDescent="0.25">
      <c r="B2618" s="550"/>
      <c r="C2618" s="227" t="s">
        <v>629</v>
      </c>
      <c r="D2618" s="550" t="s">
        <v>630</v>
      </c>
      <c r="E2618" s="224" t="s">
        <v>631</v>
      </c>
      <c r="F2618" s="228">
        <f t="shared" ref="F2618:F2621" si="129">$K$8*M2618</f>
        <v>0.15</v>
      </c>
      <c r="G2618" s="229">
        <f>G2592</f>
        <v>95000</v>
      </c>
      <c r="H2618" s="230">
        <f>+G2618*F2618</f>
        <v>14250</v>
      </c>
      <c r="M2618" s="228">
        <v>0.15</v>
      </c>
    </row>
    <row r="2619" spans="2:13" ht="18.75" customHeight="1" x14ac:dyDescent="0.25">
      <c r="B2619" s="550"/>
      <c r="C2619" s="227" t="s">
        <v>1502</v>
      </c>
      <c r="D2619" s="550" t="s">
        <v>634</v>
      </c>
      <c r="E2619" s="224" t="s">
        <v>631</v>
      </c>
      <c r="F2619" s="228">
        <f t="shared" si="129"/>
        <v>0.3</v>
      </c>
      <c r="G2619" s="229">
        <f>G2593</f>
        <v>110000</v>
      </c>
      <c r="H2619" s="230">
        <f>+G2619*F2619</f>
        <v>33000</v>
      </c>
      <c r="M2619" s="228">
        <v>0.3</v>
      </c>
    </row>
    <row r="2620" spans="2:13" ht="18.75" customHeight="1" x14ac:dyDescent="0.25">
      <c r="B2620" s="550"/>
      <c r="C2620" s="227" t="s">
        <v>633</v>
      </c>
      <c r="D2620" s="550" t="s">
        <v>634</v>
      </c>
      <c r="E2620" s="224" t="s">
        <v>631</v>
      </c>
      <c r="F2620" s="228">
        <f t="shared" si="129"/>
        <v>0.03</v>
      </c>
      <c r="G2620" s="229">
        <f>G2594</f>
        <v>115000</v>
      </c>
      <c r="H2620" s="230">
        <f>+G2620*F2620</f>
        <v>3450</v>
      </c>
      <c r="M2620" s="228">
        <v>0.03</v>
      </c>
    </row>
    <row r="2621" spans="2:13" ht="18.75" customHeight="1" x14ac:dyDescent="0.25">
      <c r="B2621" s="550"/>
      <c r="C2621" s="227" t="s">
        <v>600</v>
      </c>
      <c r="D2621" s="550" t="s">
        <v>635</v>
      </c>
      <c r="E2621" s="224" t="s">
        <v>631</v>
      </c>
      <c r="F2621" s="228">
        <f t="shared" si="129"/>
        <v>8.0000000000000002E-3</v>
      </c>
      <c r="G2621" s="229">
        <f>G2595</f>
        <v>140000</v>
      </c>
      <c r="H2621" s="230">
        <f>+G2621*F2621</f>
        <v>1120</v>
      </c>
      <c r="M2621" s="228">
        <v>8.0000000000000002E-3</v>
      </c>
    </row>
    <row r="2622" spans="2:13" ht="18.75" customHeight="1" x14ac:dyDescent="0.25">
      <c r="B2622" s="550"/>
      <c r="C2622" s="223"/>
      <c r="D2622" s="550"/>
      <c r="E2622" s="224"/>
      <c r="F2622" s="233" t="s">
        <v>636</v>
      </c>
      <c r="G2622" s="290"/>
      <c r="H2622" s="231">
        <f>SUM(H2618:H2621)</f>
        <v>51820</v>
      </c>
      <c r="M2622" s="233" t="s">
        <v>636</v>
      </c>
    </row>
    <row r="2623" spans="2:13" ht="18.75" customHeight="1" x14ac:dyDescent="0.25">
      <c r="B2623" s="550" t="s">
        <v>637</v>
      </c>
      <c r="C2623" s="223" t="s">
        <v>638</v>
      </c>
      <c r="D2623" s="550"/>
      <c r="E2623" s="224"/>
      <c r="F2623" s="225"/>
      <c r="G2623" s="290"/>
      <c r="H2623" s="226"/>
      <c r="M2623" s="225"/>
    </row>
    <row r="2624" spans="2:13" ht="18.75" customHeight="1" x14ac:dyDescent="0.25">
      <c r="B2624" s="550"/>
      <c r="C2624" s="223" t="s">
        <v>933</v>
      </c>
      <c r="D2624" s="550"/>
      <c r="E2624" s="224" t="s">
        <v>14</v>
      </c>
      <c r="F2624" s="228">
        <v>1.05</v>
      </c>
      <c r="G2624" s="229">
        <f>G2599</f>
        <v>85000</v>
      </c>
      <c r="H2624" s="230">
        <f>+G2624*F2624</f>
        <v>89250</v>
      </c>
      <c r="M2624" s="228">
        <v>1.05</v>
      </c>
    </row>
    <row r="2625" spans="2:13" ht="18.75" customHeight="1" x14ac:dyDescent="0.25">
      <c r="B2625" s="550"/>
      <c r="C2625" s="223" t="s">
        <v>928</v>
      </c>
      <c r="D2625" s="550"/>
      <c r="E2625" s="224" t="s">
        <v>62</v>
      </c>
      <c r="F2625" s="228">
        <v>0.01</v>
      </c>
      <c r="G2625" s="234">
        <f>G2600</f>
        <v>28000</v>
      </c>
      <c r="H2625" s="230">
        <f>+G2625*F2625</f>
        <v>280</v>
      </c>
      <c r="M2625" s="228">
        <v>0.01</v>
      </c>
    </row>
    <row r="2626" spans="2:13" ht="18.75" customHeight="1" x14ac:dyDescent="0.25">
      <c r="B2626" s="550"/>
      <c r="C2626" s="223" t="s">
        <v>934</v>
      </c>
      <c r="D2626" s="550"/>
      <c r="E2626" s="224" t="s">
        <v>62</v>
      </c>
      <c r="F2626" s="228">
        <v>0.5</v>
      </c>
      <c r="G2626" s="234">
        <f>G2574</f>
        <v>25000</v>
      </c>
      <c r="H2626" s="230">
        <f>+G2626*F2626</f>
        <v>12500</v>
      </c>
      <c r="M2626" s="228">
        <v>0.5</v>
      </c>
    </row>
    <row r="2627" spans="2:13" ht="18.75" customHeight="1" x14ac:dyDescent="0.25">
      <c r="B2627" s="550"/>
      <c r="C2627" s="223"/>
      <c r="D2627" s="550"/>
      <c r="E2627" s="224"/>
      <c r="F2627" s="237" t="s">
        <v>643</v>
      </c>
      <c r="G2627" s="290"/>
      <c r="H2627" s="231">
        <f>SUM(H2624:H2626)</f>
        <v>102030</v>
      </c>
      <c r="M2627" s="237" t="s">
        <v>643</v>
      </c>
    </row>
    <row r="2628" spans="2:13" ht="18.75" customHeight="1" x14ac:dyDescent="0.25">
      <c r="B2628" s="550"/>
      <c r="C2628" s="223"/>
      <c r="D2628" s="550"/>
      <c r="E2628" s="224"/>
      <c r="F2628" s="225"/>
      <c r="G2628" s="290"/>
      <c r="H2628" s="226"/>
      <c r="M2628" s="225"/>
    </row>
    <row r="2629" spans="2:13" ht="18.75" customHeight="1" x14ac:dyDescent="0.25">
      <c r="B2629" s="550" t="s">
        <v>644</v>
      </c>
      <c r="C2629" s="223" t="s">
        <v>645</v>
      </c>
      <c r="D2629" s="550"/>
      <c r="E2629" s="224"/>
      <c r="F2629" s="225"/>
      <c r="G2629" s="290"/>
      <c r="H2629" s="235"/>
      <c r="M2629" s="225"/>
    </row>
    <row r="2630" spans="2:13" ht="18.75" customHeight="1" x14ac:dyDescent="0.25">
      <c r="B2630" s="236"/>
      <c r="C2630" s="232"/>
      <c r="D2630" s="550"/>
      <c r="E2630" s="224"/>
      <c r="F2630" s="237" t="s">
        <v>646</v>
      </c>
      <c r="G2630" s="290"/>
      <c r="H2630" s="230"/>
      <c r="M2630" s="237" t="s">
        <v>646</v>
      </c>
    </row>
    <row r="2631" spans="2:13" ht="18.75" customHeight="1" x14ac:dyDescent="0.25">
      <c r="B2631" s="236"/>
      <c r="C2631" s="232"/>
      <c r="D2631" s="550"/>
      <c r="E2631" s="224"/>
      <c r="F2631" s="237"/>
      <c r="G2631" s="290"/>
      <c r="H2631" s="230"/>
      <c r="M2631" s="237"/>
    </row>
    <row r="2632" spans="2:13" ht="18.75" customHeight="1" x14ac:dyDescent="0.25">
      <c r="B2632" s="248"/>
      <c r="C2632" s="238"/>
      <c r="D2632" s="239"/>
      <c r="E2632" s="266"/>
      <c r="F2632" s="241"/>
      <c r="G2632" s="303"/>
      <c r="H2632" s="276"/>
      <c r="M2632" s="241"/>
    </row>
    <row r="2633" spans="2:13" ht="18.75" customHeight="1" x14ac:dyDescent="0.25">
      <c r="B2633" s="249" t="s">
        <v>647</v>
      </c>
      <c r="C2633" s="104" t="s">
        <v>648</v>
      </c>
      <c r="D2633" s="435"/>
      <c r="E2633" s="92"/>
      <c r="F2633" s="183"/>
      <c r="G2633" s="167"/>
      <c r="H2633" s="252">
        <f>+H2630+H2627+H2622</f>
        <v>153850</v>
      </c>
      <c r="M2633" s="183"/>
    </row>
    <row r="2634" spans="2:13" ht="18.75" customHeight="1" x14ac:dyDescent="0.25">
      <c r="B2634" s="249" t="s">
        <v>649</v>
      </c>
      <c r="C2634" s="242" t="s">
        <v>650</v>
      </c>
      <c r="D2634" s="435"/>
      <c r="E2634" s="92"/>
      <c r="F2634" s="184" t="str">
        <f>$J$5</f>
        <v>8,0 % x D</v>
      </c>
      <c r="G2634" s="167"/>
      <c r="H2634" s="253">
        <f>+H2633*$K$5</f>
        <v>12308</v>
      </c>
      <c r="M2634" s="184" t="str">
        <f>$J$5</f>
        <v>8,0 % x D</v>
      </c>
    </row>
    <row r="2635" spans="2:13" ht="18.75" customHeight="1" x14ac:dyDescent="0.25">
      <c r="B2635" s="249" t="s">
        <v>651</v>
      </c>
      <c r="C2635" s="111" t="s">
        <v>652</v>
      </c>
      <c r="D2635" s="435"/>
      <c r="E2635" s="91"/>
      <c r="F2635" s="185"/>
      <c r="G2635" s="168"/>
      <c r="H2635" s="254">
        <f>ROUNDUP((H2634+H2633)/100,0)*100</f>
        <v>166200</v>
      </c>
      <c r="M2635" s="185"/>
    </row>
    <row r="2636" spans="2:13" ht="18.75" customHeight="1" x14ac:dyDescent="0.25">
      <c r="B2636" s="250"/>
      <c r="C2636" s="279"/>
      <c r="D2636" s="245"/>
      <c r="E2636" s="246"/>
      <c r="F2636" s="247"/>
      <c r="G2636" s="298"/>
      <c r="H2636" s="255"/>
      <c r="M2636" s="247"/>
    </row>
    <row r="2637" spans="2:13" ht="18.75" customHeight="1" x14ac:dyDescent="0.25">
      <c r="B2637" s="22"/>
      <c r="C2637" s="104"/>
      <c r="E2637" s="21"/>
      <c r="F2637" s="176"/>
      <c r="G2637" s="165"/>
      <c r="H2637" s="119"/>
      <c r="M2637" s="176"/>
    </row>
    <row r="2638" spans="2:13" ht="18.75" customHeight="1" x14ac:dyDescent="0.25">
      <c r="B2638" s="19">
        <f>B2613+1</f>
        <v>19</v>
      </c>
      <c r="C2638" s="93" t="s">
        <v>935</v>
      </c>
      <c r="D2638" s="19"/>
      <c r="E2638" s="21"/>
      <c r="F2638" s="176"/>
      <c r="G2638" s="165"/>
      <c r="H2638" s="119"/>
      <c r="M2638" s="176"/>
    </row>
    <row r="2639" spans="2:13" ht="18.75" customHeight="1" x14ac:dyDescent="0.25">
      <c r="B2639" s="618" t="s">
        <v>620</v>
      </c>
      <c r="C2639" s="620" t="s">
        <v>621</v>
      </c>
      <c r="D2639" s="618" t="s">
        <v>622</v>
      </c>
      <c r="E2639" s="618" t="s">
        <v>2</v>
      </c>
      <c r="F2639" s="615" t="s">
        <v>623</v>
      </c>
      <c r="G2639" s="289" t="s">
        <v>624</v>
      </c>
      <c r="H2639" s="256" t="s">
        <v>625</v>
      </c>
      <c r="M2639" s="615" t="s">
        <v>623</v>
      </c>
    </row>
    <row r="2640" spans="2:13" ht="18.75" customHeight="1" x14ac:dyDescent="0.25">
      <c r="B2640" s="619"/>
      <c r="C2640" s="621"/>
      <c r="D2640" s="619"/>
      <c r="E2640" s="619"/>
      <c r="F2640" s="616"/>
      <c r="G2640" s="289" t="s">
        <v>626</v>
      </c>
      <c r="H2640" s="256" t="s">
        <v>626</v>
      </c>
      <c r="M2640" s="616"/>
    </row>
    <row r="2641" spans="2:13" ht="18.75" customHeight="1" x14ac:dyDescent="0.25">
      <c r="B2641" s="221"/>
      <c r="C2641" s="222"/>
      <c r="D2641" s="221"/>
      <c r="E2641" s="550"/>
      <c r="F2641" s="555"/>
      <c r="G2641" s="551"/>
      <c r="H2641" s="220"/>
      <c r="M2641" s="590"/>
    </row>
    <row r="2642" spans="2:13" ht="18.75" customHeight="1" x14ac:dyDescent="0.25">
      <c r="B2642" s="550" t="s">
        <v>627</v>
      </c>
      <c r="C2642" s="223" t="s">
        <v>628</v>
      </c>
      <c r="D2642" s="550"/>
      <c r="E2642" s="224"/>
      <c r="F2642" s="225"/>
      <c r="G2642" s="290"/>
      <c r="H2642" s="226"/>
      <c r="M2642" s="225"/>
    </row>
    <row r="2643" spans="2:13" ht="18.75" customHeight="1" x14ac:dyDescent="0.25">
      <c r="B2643" s="550"/>
      <c r="C2643" s="227" t="s">
        <v>629</v>
      </c>
      <c r="D2643" s="550" t="s">
        <v>630</v>
      </c>
      <c r="E2643" s="224" t="s">
        <v>631</v>
      </c>
      <c r="F2643" s="228">
        <f t="shared" ref="F2643:F2646" si="130">$K$8*M2643</f>
        <v>7.4999999999999997E-2</v>
      </c>
      <c r="G2643" s="229">
        <f>G2618</f>
        <v>95000</v>
      </c>
      <c r="H2643" s="230">
        <f>+G2643*F2643</f>
        <v>7125</v>
      </c>
      <c r="M2643" s="414">
        <v>7.4999999999999997E-2</v>
      </c>
    </row>
    <row r="2644" spans="2:13" ht="18.75" customHeight="1" x14ac:dyDescent="0.25">
      <c r="B2644" s="550"/>
      <c r="C2644" s="227" t="s">
        <v>1508</v>
      </c>
      <c r="D2644" s="550" t="s">
        <v>634</v>
      </c>
      <c r="E2644" s="224" t="s">
        <v>631</v>
      </c>
      <c r="F2644" s="228">
        <f t="shared" si="130"/>
        <v>0.4</v>
      </c>
      <c r="G2644" s="229">
        <f>G2619</f>
        <v>110000</v>
      </c>
      <c r="H2644" s="230">
        <f>+G2644*F2644</f>
        <v>44000</v>
      </c>
      <c r="M2644" s="414">
        <v>0.4</v>
      </c>
    </row>
    <row r="2645" spans="2:13" ht="18.75" customHeight="1" x14ac:dyDescent="0.25">
      <c r="B2645" s="550"/>
      <c r="C2645" s="227" t="s">
        <v>633</v>
      </c>
      <c r="D2645" s="550" t="s">
        <v>634</v>
      </c>
      <c r="E2645" s="224" t="s">
        <v>631</v>
      </c>
      <c r="F2645" s="228">
        <f t="shared" si="130"/>
        <v>2.5000000000000001E-2</v>
      </c>
      <c r="G2645" s="229">
        <f>G2620</f>
        <v>115000</v>
      </c>
      <c r="H2645" s="230">
        <f>+G2645*F2645</f>
        <v>2875</v>
      </c>
      <c r="M2645" s="414">
        <v>2.5000000000000001E-2</v>
      </c>
    </row>
    <row r="2646" spans="2:13" ht="18.75" customHeight="1" x14ac:dyDescent="0.25">
      <c r="B2646" s="550"/>
      <c r="C2646" s="227" t="s">
        <v>600</v>
      </c>
      <c r="D2646" s="550" t="s">
        <v>635</v>
      </c>
      <c r="E2646" s="224" t="s">
        <v>631</v>
      </c>
      <c r="F2646" s="228">
        <f t="shared" si="130"/>
        <v>1.2999999999999999E-3</v>
      </c>
      <c r="G2646" s="229">
        <f>G2621</f>
        <v>140000</v>
      </c>
      <c r="H2646" s="230">
        <f>+G2646*F2646</f>
        <v>182</v>
      </c>
      <c r="M2646" s="414">
        <v>1.2999999999999999E-3</v>
      </c>
    </row>
    <row r="2647" spans="2:13" ht="18.75" customHeight="1" x14ac:dyDescent="0.25">
      <c r="B2647" s="550"/>
      <c r="C2647" s="223"/>
      <c r="D2647" s="550"/>
      <c r="E2647" s="224"/>
      <c r="F2647" s="233" t="s">
        <v>636</v>
      </c>
      <c r="G2647" s="290"/>
      <c r="H2647" s="231">
        <f>SUM(H2643:H2646)</f>
        <v>54182</v>
      </c>
      <c r="M2647" s="233" t="s">
        <v>636</v>
      </c>
    </row>
    <row r="2648" spans="2:13" ht="18.75" customHeight="1" x14ac:dyDescent="0.25">
      <c r="B2648" s="550" t="s">
        <v>637</v>
      </c>
      <c r="C2648" s="223" t="s">
        <v>638</v>
      </c>
      <c r="D2648" s="550"/>
      <c r="E2648" s="224"/>
      <c r="F2648" s="225"/>
      <c r="G2648" s="290"/>
      <c r="H2648" s="226"/>
      <c r="M2648" s="225"/>
    </row>
    <row r="2649" spans="2:13" ht="18.75" customHeight="1" x14ac:dyDescent="0.25">
      <c r="B2649" s="550"/>
      <c r="C2649" s="223" t="s">
        <v>936</v>
      </c>
      <c r="D2649" s="550"/>
      <c r="E2649" s="224" t="s">
        <v>14</v>
      </c>
      <c r="F2649" s="228">
        <v>1</v>
      </c>
      <c r="G2649" s="229">
        <f>Bahan!D584</f>
        <v>15000</v>
      </c>
      <c r="H2649" s="230">
        <f>+G2649*F2649</f>
        <v>15000</v>
      </c>
      <c r="M2649" s="228">
        <v>1</v>
      </c>
    </row>
    <row r="2650" spans="2:13" ht="18.75" customHeight="1" x14ac:dyDescent="0.25">
      <c r="B2650" s="550"/>
      <c r="C2650" s="223" t="s">
        <v>937</v>
      </c>
      <c r="D2650" s="550"/>
      <c r="E2650" s="224" t="s">
        <v>62</v>
      </c>
      <c r="F2650" s="228">
        <v>1.4999999999999999E-2</v>
      </c>
      <c r="G2650" s="234">
        <f>Bahan!D341</f>
        <v>25000</v>
      </c>
      <c r="H2650" s="230">
        <f>+G2650*F2650</f>
        <v>375</v>
      </c>
      <c r="M2650" s="228">
        <v>1.4999999999999999E-2</v>
      </c>
    </row>
    <row r="2651" spans="2:13" ht="18.75" customHeight="1" x14ac:dyDescent="0.25">
      <c r="B2651" s="550"/>
      <c r="C2651" s="223" t="s">
        <v>938</v>
      </c>
      <c r="D2651" s="550"/>
      <c r="E2651" s="224" t="s">
        <v>52</v>
      </c>
      <c r="F2651" s="228">
        <v>1.9E-2</v>
      </c>
      <c r="G2651" s="234">
        <f>Bahan!D261</f>
        <v>7125000</v>
      </c>
      <c r="H2651" s="230">
        <f>+G2651*F2651</f>
        <v>135375</v>
      </c>
      <c r="M2651" s="228">
        <v>1.9E-2</v>
      </c>
    </row>
    <row r="2652" spans="2:13" ht="18.75" customHeight="1" x14ac:dyDescent="0.25">
      <c r="B2652" s="550"/>
      <c r="C2652" s="223"/>
      <c r="D2652" s="550"/>
      <c r="E2652" s="224"/>
      <c r="F2652" s="237" t="s">
        <v>643</v>
      </c>
      <c r="G2652" s="290"/>
      <c r="H2652" s="231">
        <f>SUM(H2649:H2651)</f>
        <v>150750</v>
      </c>
      <c r="M2652" s="237" t="s">
        <v>643</v>
      </c>
    </row>
    <row r="2653" spans="2:13" ht="18.75" customHeight="1" x14ac:dyDescent="0.25">
      <c r="B2653" s="550"/>
      <c r="C2653" s="223"/>
      <c r="D2653" s="550"/>
      <c r="E2653" s="224"/>
      <c r="F2653" s="225"/>
      <c r="G2653" s="290"/>
      <c r="H2653" s="226"/>
      <c r="M2653" s="225"/>
    </row>
    <row r="2654" spans="2:13" ht="18.75" customHeight="1" x14ac:dyDescent="0.25">
      <c r="B2654" s="550" t="s">
        <v>644</v>
      </c>
      <c r="C2654" s="223" t="s">
        <v>645</v>
      </c>
      <c r="D2654" s="550"/>
      <c r="E2654" s="224"/>
      <c r="F2654" s="225"/>
      <c r="G2654" s="290"/>
      <c r="H2654" s="235"/>
      <c r="M2654" s="225"/>
    </row>
    <row r="2655" spans="2:13" ht="18.75" customHeight="1" x14ac:dyDescent="0.25">
      <c r="B2655" s="236"/>
      <c r="C2655" s="232"/>
      <c r="D2655" s="550"/>
      <c r="E2655" s="224"/>
      <c r="F2655" s="237" t="s">
        <v>646</v>
      </c>
      <c r="G2655" s="290"/>
      <c r="H2655" s="230"/>
      <c r="M2655" s="237" t="s">
        <v>646</v>
      </c>
    </row>
    <row r="2656" spans="2:13" ht="18.75" customHeight="1" x14ac:dyDescent="0.25">
      <c r="B2656" s="236"/>
      <c r="C2656" s="232"/>
      <c r="D2656" s="550"/>
      <c r="E2656" s="224"/>
      <c r="F2656" s="237"/>
      <c r="G2656" s="290"/>
      <c r="H2656" s="226"/>
      <c r="M2656" s="237"/>
    </row>
    <row r="2657" spans="2:13" ht="18.75" customHeight="1" x14ac:dyDescent="0.25">
      <c r="B2657" s="248"/>
      <c r="C2657" s="238"/>
      <c r="D2657" s="239"/>
      <c r="E2657" s="266"/>
      <c r="F2657" s="241"/>
      <c r="G2657" s="303"/>
      <c r="H2657" s="267"/>
      <c r="M2657" s="241"/>
    </row>
    <row r="2658" spans="2:13" ht="18.75" customHeight="1" x14ac:dyDescent="0.25">
      <c r="B2658" s="249" t="s">
        <v>647</v>
      </c>
      <c r="C2658" s="104" t="s">
        <v>648</v>
      </c>
      <c r="D2658" s="435"/>
      <c r="E2658" s="92"/>
      <c r="F2658" s="183"/>
      <c r="G2658" s="167"/>
      <c r="H2658" s="252">
        <f>+H2655+H2652+H2647</f>
        <v>204932</v>
      </c>
      <c r="M2658" s="183"/>
    </row>
    <row r="2659" spans="2:13" ht="18.75" customHeight="1" x14ac:dyDescent="0.25">
      <c r="B2659" s="249" t="s">
        <v>649</v>
      </c>
      <c r="C2659" s="242" t="s">
        <v>650</v>
      </c>
      <c r="D2659" s="435"/>
      <c r="E2659" s="92"/>
      <c r="F2659" s="184" t="str">
        <f>$J$5</f>
        <v>8,0 % x D</v>
      </c>
      <c r="G2659" s="167"/>
      <c r="H2659" s="253">
        <f>+H2658*$K$5</f>
        <v>16394.560000000001</v>
      </c>
      <c r="M2659" s="184" t="str">
        <f>$J$5</f>
        <v>8,0 % x D</v>
      </c>
    </row>
    <row r="2660" spans="2:13" ht="18.75" customHeight="1" x14ac:dyDescent="0.25">
      <c r="B2660" s="249" t="s">
        <v>651</v>
      </c>
      <c r="C2660" s="111" t="s">
        <v>652</v>
      </c>
      <c r="D2660" s="435"/>
      <c r="E2660" s="91"/>
      <c r="F2660" s="185"/>
      <c r="G2660" s="168"/>
      <c r="H2660" s="254">
        <f>ROUNDUP((H2659+H2658)/100,0)*100</f>
        <v>221400</v>
      </c>
      <c r="M2660" s="185"/>
    </row>
    <row r="2661" spans="2:13" ht="18.75" customHeight="1" x14ac:dyDescent="0.25">
      <c r="B2661" s="278"/>
      <c r="C2661" s="277"/>
      <c r="D2661" s="277"/>
      <c r="E2661" s="277"/>
      <c r="F2661" s="277"/>
      <c r="G2661" s="305"/>
      <c r="H2661" s="324"/>
      <c r="M2661" s="277"/>
    </row>
    <row r="2662" spans="2:13" ht="18.75" customHeight="1" x14ac:dyDescent="0.25">
      <c r="B2662" s="349"/>
      <c r="C2662" s="349"/>
      <c r="D2662" s="349"/>
      <c r="E2662" s="349"/>
      <c r="F2662" s="349"/>
      <c r="G2662" s="350"/>
      <c r="H2662" s="351"/>
      <c r="M2662" s="349"/>
    </row>
    <row r="2663" spans="2:13" ht="18.75" customHeight="1" x14ac:dyDescent="0.25">
      <c r="B2663" s="19">
        <f>B2638+1</f>
        <v>20</v>
      </c>
      <c r="C2663" s="93" t="s">
        <v>939</v>
      </c>
      <c r="D2663" s="19"/>
      <c r="E2663" s="552"/>
      <c r="F2663" s="196"/>
      <c r="G2663" s="171"/>
      <c r="H2663" s="142"/>
      <c r="M2663" s="196"/>
    </row>
    <row r="2664" spans="2:13" ht="18.75" customHeight="1" x14ac:dyDescent="0.25">
      <c r="B2664" s="618" t="s">
        <v>620</v>
      </c>
      <c r="C2664" s="620" t="s">
        <v>621</v>
      </c>
      <c r="D2664" s="618" t="s">
        <v>622</v>
      </c>
      <c r="E2664" s="618" t="s">
        <v>2</v>
      </c>
      <c r="F2664" s="615" t="s">
        <v>623</v>
      </c>
      <c r="G2664" s="289" t="s">
        <v>624</v>
      </c>
      <c r="H2664" s="256" t="s">
        <v>625</v>
      </c>
      <c r="M2664" s="615" t="s">
        <v>623</v>
      </c>
    </row>
    <row r="2665" spans="2:13" ht="18.75" customHeight="1" x14ac:dyDescent="0.25">
      <c r="B2665" s="619"/>
      <c r="C2665" s="621"/>
      <c r="D2665" s="619"/>
      <c r="E2665" s="619"/>
      <c r="F2665" s="616"/>
      <c r="G2665" s="289" t="s">
        <v>626</v>
      </c>
      <c r="H2665" s="256" t="s">
        <v>626</v>
      </c>
      <c r="M2665" s="616"/>
    </row>
    <row r="2666" spans="2:13" ht="18.75" customHeight="1" x14ac:dyDescent="0.25">
      <c r="B2666" s="221"/>
      <c r="C2666" s="222"/>
      <c r="D2666" s="221"/>
      <c r="E2666" s="550"/>
      <c r="F2666" s="555"/>
      <c r="G2666" s="551"/>
      <c r="H2666" s="220"/>
      <c r="M2666" s="590"/>
    </row>
    <row r="2667" spans="2:13" ht="18.75" customHeight="1" x14ac:dyDescent="0.25">
      <c r="B2667" s="550" t="s">
        <v>627</v>
      </c>
      <c r="C2667" s="223" t="s">
        <v>628</v>
      </c>
      <c r="D2667" s="550"/>
      <c r="E2667" s="550"/>
      <c r="F2667" s="555"/>
      <c r="G2667" s="551"/>
      <c r="H2667" s="220"/>
      <c r="M2667" s="590"/>
    </row>
    <row r="2668" spans="2:13" ht="18.75" customHeight="1" x14ac:dyDescent="0.25">
      <c r="B2668" s="550"/>
      <c r="C2668" s="227" t="s">
        <v>629</v>
      </c>
      <c r="D2668" s="550" t="s">
        <v>630</v>
      </c>
      <c r="E2668" s="550" t="s">
        <v>631</v>
      </c>
      <c r="F2668" s="228">
        <f t="shared" ref="F2668:F2671" si="131">$K$8*M2668</f>
        <v>0.25</v>
      </c>
      <c r="G2668" s="229">
        <f>G2643</f>
        <v>95000</v>
      </c>
      <c r="H2668" s="230">
        <f>+G2668*F2668</f>
        <v>23750</v>
      </c>
      <c r="M2668" s="228">
        <v>0.25</v>
      </c>
    </row>
    <row r="2669" spans="2:13" ht="18.75" customHeight="1" x14ac:dyDescent="0.25">
      <c r="B2669" s="550"/>
      <c r="C2669" s="227" t="s">
        <v>1508</v>
      </c>
      <c r="D2669" s="550" t="s">
        <v>632</v>
      </c>
      <c r="E2669" s="550" t="s">
        <v>631</v>
      </c>
      <c r="F2669" s="228">
        <f t="shared" si="131"/>
        <v>0.25</v>
      </c>
      <c r="G2669" s="229">
        <f>G2644</f>
        <v>110000</v>
      </c>
      <c r="H2669" s="230">
        <f>+G2669*F2669</f>
        <v>27500</v>
      </c>
      <c r="M2669" s="228">
        <v>0.25</v>
      </c>
    </row>
    <row r="2670" spans="2:13" ht="18.75" customHeight="1" x14ac:dyDescent="0.25">
      <c r="B2670" s="550"/>
      <c r="C2670" s="227" t="s">
        <v>633</v>
      </c>
      <c r="D2670" s="550" t="s">
        <v>634</v>
      </c>
      <c r="E2670" s="550" t="s">
        <v>631</v>
      </c>
      <c r="F2670" s="228">
        <f t="shared" si="131"/>
        <v>2.5000000000000001E-2</v>
      </c>
      <c r="G2670" s="229">
        <f>G2645</f>
        <v>115000</v>
      </c>
      <c r="H2670" s="230">
        <f>+G2670*F2670</f>
        <v>2875</v>
      </c>
      <c r="M2670" s="228">
        <v>2.5000000000000001E-2</v>
      </c>
    </row>
    <row r="2671" spans="2:13" ht="18.75" customHeight="1" x14ac:dyDescent="0.25">
      <c r="B2671" s="550"/>
      <c r="C2671" s="227" t="s">
        <v>600</v>
      </c>
      <c r="D2671" s="550" t="s">
        <v>635</v>
      </c>
      <c r="E2671" s="550" t="s">
        <v>631</v>
      </c>
      <c r="F2671" s="228">
        <f t="shared" si="131"/>
        <v>1.2999999999999999E-2</v>
      </c>
      <c r="G2671" s="229">
        <f>G2646</f>
        <v>140000</v>
      </c>
      <c r="H2671" s="230">
        <f>+G2671*F2671</f>
        <v>1820</v>
      </c>
      <c r="M2671" s="228">
        <v>1.2999999999999999E-2</v>
      </c>
    </row>
    <row r="2672" spans="2:13" ht="18.75" customHeight="1" x14ac:dyDescent="0.25">
      <c r="B2672" s="550"/>
      <c r="C2672" s="223"/>
      <c r="D2672" s="550"/>
      <c r="E2672" s="550"/>
      <c r="F2672" s="233" t="s">
        <v>636</v>
      </c>
      <c r="G2672" s="551"/>
      <c r="H2672" s="231">
        <f>SUM(H2668:H2671)</f>
        <v>55945</v>
      </c>
      <c r="M2672" s="233" t="s">
        <v>636</v>
      </c>
    </row>
    <row r="2673" spans="2:13" ht="18.75" customHeight="1" x14ac:dyDescent="0.25">
      <c r="B2673" s="550"/>
      <c r="C2673" s="223"/>
      <c r="D2673" s="550"/>
      <c r="E2673" s="550"/>
      <c r="F2673" s="233"/>
      <c r="G2673" s="551"/>
      <c r="H2673" s="231"/>
      <c r="M2673" s="233"/>
    </row>
    <row r="2674" spans="2:13" ht="18.75" customHeight="1" x14ac:dyDescent="0.25">
      <c r="B2674" s="550" t="s">
        <v>637</v>
      </c>
      <c r="C2674" s="223" t="s">
        <v>638</v>
      </c>
      <c r="D2674" s="550"/>
      <c r="E2674" s="550"/>
      <c r="F2674" s="555"/>
      <c r="G2674" s="551"/>
      <c r="H2674" s="220"/>
      <c r="M2674" s="590"/>
    </row>
    <row r="2675" spans="2:13" ht="18.75" customHeight="1" x14ac:dyDescent="0.25">
      <c r="B2675" s="550"/>
      <c r="C2675" s="223" t="s">
        <v>940</v>
      </c>
      <c r="D2675" s="550"/>
      <c r="E2675" s="550" t="s">
        <v>14</v>
      </c>
      <c r="F2675" s="228">
        <v>4</v>
      </c>
      <c r="G2675" s="229">
        <f>Bahan!D146/4</f>
        <v>11250</v>
      </c>
      <c r="H2675" s="230">
        <f>+G2675*F2675</f>
        <v>45000</v>
      </c>
      <c r="M2675" s="228">
        <v>4</v>
      </c>
    </row>
    <row r="2676" spans="2:13" ht="18.75" customHeight="1" x14ac:dyDescent="0.25">
      <c r="B2676" s="550"/>
      <c r="C2676" s="223" t="s">
        <v>941</v>
      </c>
      <c r="D2676" s="550"/>
      <c r="E2676" s="550" t="s">
        <v>546</v>
      </c>
      <c r="F2676" s="228" t="s">
        <v>942</v>
      </c>
      <c r="G2676" s="275"/>
      <c r="H2676" s="230">
        <f>100/100*H2675</f>
        <v>45000</v>
      </c>
      <c r="M2676" s="228" t="s">
        <v>942</v>
      </c>
    </row>
    <row r="2677" spans="2:13" ht="18.75" customHeight="1" x14ac:dyDescent="0.25">
      <c r="B2677" s="550"/>
      <c r="C2677" s="223"/>
      <c r="D2677" s="550"/>
      <c r="E2677" s="550"/>
      <c r="F2677" s="237" t="s">
        <v>643</v>
      </c>
      <c r="G2677" s="551"/>
      <c r="H2677" s="231">
        <f>SUM(H2675:H2676)</f>
        <v>90000</v>
      </c>
      <c r="M2677" s="237" t="s">
        <v>643</v>
      </c>
    </row>
    <row r="2678" spans="2:13" ht="18.75" customHeight="1" x14ac:dyDescent="0.25">
      <c r="B2678" s="550"/>
      <c r="C2678" s="223"/>
      <c r="D2678" s="550"/>
      <c r="E2678" s="550"/>
      <c r="F2678" s="237"/>
      <c r="G2678" s="551"/>
      <c r="H2678" s="231"/>
      <c r="M2678" s="237"/>
    </row>
    <row r="2679" spans="2:13" ht="18.75" customHeight="1" x14ac:dyDescent="0.25">
      <c r="B2679" s="550" t="s">
        <v>644</v>
      </c>
      <c r="C2679" s="223" t="s">
        <v>645</v>
      </c>
      <c r="D2679" s="550"/>
      <c r="E2679" s="550"/>
      <c r="F2679" s="555"/>
      <c r="G2679" s="551"/>
      <c r="H2679" s="235"/>
      <c r="M2679" s="590"/>
    </row>
    <row r="2680" spans="2:13" ht="18.75" customHeight="1" x14ac:dyDescent="0.25">
      <c r="B2680" s="236"/>
      <c r="C2680" s="232"/>
      <c r="D2680" s="550"/>
      <c r="E2680" s="550"/>
      <c r="F2680" s="237" t="s">
        <v>646</v>
      </c>
      <c r="G2680" s="551"/>
      <c r="H2680" s="230"/>
      <c r="M2680" s="237" t="s">
        <v>646</v>
      </c>
    </row>
    <row r="2681" spans="2:13" ht="18.75" customHeight="1" x14ac:dyDescent="0.25">
      <c r="B2681" s="236"/>
      <c r="C2681" s="232"/>
      <c r="D2681" s="550"/>
      <c r="E2681" s="550"/>
      <c r="F2681" s="237"/>
      <c r="G2681" s="551"/>
      <c r="H2681" s="220"/>
      <c r="M2681" s="237"/>
    </row>
    <row r="2682" spans="2:13" ht="18.75" customHeight="1" x14ac:dyDescent="0.25">
      <c r="B2682" s="248"/>
      <c r="C2682" s="238"/>
      <c r="D2682" s="239"/>
      <c r="E2682" s="239"/>
      <c r="F2682" s="241"/>
      <c r="G2682" s="292"/>
      <c r="H2682" s="283"/>
      <c r="M2682" s="241"/>
    </row>
    <row r="2683" spans="2:13" ht="18.75" customHeight="1" x14ac:dyDescent="0.25">
      <c r="B2683" s="249" t="s">
        <v>647</v>
      </c>
      <c r="C2683" s="104" t="s">
        <v>648</v>
      </c>
      <c r="D2683" s="435"/>
      <c r="E2683" s="92"/>
      <c r="F2683" s="183"/>
      <c r="G2683" s="167"/>
      <c r="H2683" s="252">
        <f>+H2680+H2677+H2672</f>
        <v>145945</v>
      </c>
      <c r="M2683" s="183"/>
    </row>
    <row r="2684" spans="2:13" ht="18.75" customHeight="1" x14ac:dyDescent="0.25">
      <c r="B2684" s="249" t="s">
        <v>649</v>
      </c>
      <c r="C2684" s="242" t="s">
        <v>650</v>
      </c>
      <c r="D2684" s="435"/>
      <c r="E2684" s="92"/>
      <c r="F2684" s="184" t="str">
        <f>$J$5</f>
        <v>8,0 % x D</v>
      </c>
      <c r="G2684" s="167"/>
      <c r="H2684" s="253">
        <f>+H2683*$K$5</f>
        <v>11675.6</v>
      </c>
      <c r="M2684" s="184" t="str">
        <f>$J$5</f>
        <v>8,0 % x D</v>
      </c>
    </row>
    <row r="2685" spans="2:13" ht="18.75" customHeight="1" x14ac:dyDescent="0.25">
      <c r="B2685" s="249" t="s">
        <v>651</v>
      </c>
      <c r="C2685" s="111" t="s">
        <v>652</v>
      </c>
      <c r="D2685" s="435"/>
      <c r="E2685" s="91"/>
      <c r="F2685" s="185"/>
      <c r="G2685" s="168"/>
      <c r="H2685" s="254">
        <f>ROUNDUP((H2684+H2683)/100,0)*100</f>
        <v>157700</v>
      </c>
      <c r="M2685" s="185"/>
    </row>
    <row r="2686" spans="2:13" ht="18.75" customHeight="1" x14ac:dyDescent="0.25">
      <c r="B2686" s="250"/>
      <c r="C2686" s="279"/>
      <c r="D2686" s="245"/>
      <c r="E2686" s="245"/>
      <c r="F2686" s="282"/>
      <c r="G2686" s="297"/>
      <c r="H2686" s="255"/>
      <c r="M2686" s="282"/>
    </row>
    <row r="2687" spans="2:13" ht="18.75" customHeight="1" x14ac:dyDescent="0.25">
      <c r="B2687" s="22"/>
      <c r="C2687" s="104"/>
      <c r="E2687" s="552"/>
      <c r="F2687" s="196"/>
      <c r="G2687" s="171"/>
      <c r="H2687" s="142"/>
      <c r="M2687" s="196"/>
    </row>
    <row r="2688" spans="2:13" ht="18.75" customHeight="1" x14ac:dyDescent="0.25">
      <c r="B2688" s="19">
        <f>B2663+1</f>
        <v>21</v>
      </c>
      <c r="C2688" s="93" t="s">
        <v>943</v>
      </c>
      <c r="D2688" s="19"/>
      <c r="E2688" s="552"/>
      <c r="F2688" s="196"/>
      <c r="G2688" s="171"/>
      <c r="H2688" s="142"/>
      <c r="M2688" s="196"/>
    </row>
    <row r="2689" spans="2:13" ht="18.75" customHeight="1" x14ac:dyDescent="0.25">
      <c r="B2689" s="618" t="s">
        <v>620</v>
      </c>
      <c r="C2689" s="620" t="s">
        <v>621</v>
      </c>
      <c r="D2689" s="618" t="s">
        <v>622</v>
      </c>
      <c r="E2689" s="618" t="s">
        <v>2</v>
      </c>
      <c r="F2689" s="615" t="s">
        <v>623</v>
      </c>
      <c r="G2689" s="289" t="s">
        <v>624</v>
      </c>
      <c r="H2689" s="256" t="s">
        <v>625</v>
      </c>
      <c r="M2689" s="615" t="s">
        <v>623</v>
      </c>
    </row>
    <row r="2690" spans="2:13" ht="18.75" customHeight="1" x14ac:dyDescent="0.25">
      <c r="B2690" s="619"/>
      <c r="C2690" s="621"/>
      <c r="D2690" s="619"/>
      <c r="E2690" s="619"/>
      <c r="F2690" s="616"/>
      <c r="G2690" s="289" t="s">
        <v>626</v>
      </c>
      <c r="H2690" s="256" t="s">
        <v>626</v>
      </c>
      <c r="M2690" s="616"/>
    </row>
    <row r="2691" spans="2:13" ht="18.75" customHeight="1" x14ac:dyDescent="0.25">
      <c r="B2691" s="221"/>
      <c r="C2691" s="222"/>
      <c r="D2691" s="221"/>
      <c r="E2691" s="550"/>
      <c r="F2691" s="555"/>
      <c r="G2691" s="551"/>
      <c r="H2691" s="220"/>
      <c r="M2691" s="590"/>
    </row>
    <row r="2692" spans="2:13" ht="18.75" customHeight="1" x14ac:dyDescent="0.25">
      <c r="B2692" s="550" t="s">
        <v>627</v>
      </c>
      <c r="C2692" s="223" t="s">
        <v>628</v>
      </c>
      <c r="D2692" s="550"/>
      <c r="E2692" s="550"/>
      <c r="F2692" s="555"/>
      <c r="G2692" s="551"/>
      <c r="H2692" s="220"/>
      <c r="M2692" s="590"/>
    </row>
    <row r="2693" spans="2:13" ht="18.75" customHeight="1" x14ac:dyDescent="0.25">
      <c r="B2693" s="550"/>
      <c r="C2693" s="227" t="s">
        <v>629</v>
      </c>
      <c r="D2693" s="550" t="s">
        <v>630</v>
      </c>
      <c r="E2693" s="550" t="s">
        <v>631</v>
      </c>
      <c r="F2693" s="228">
        <f t="shared" ref="F2693:F2696" si="132">$K$8*M2693</f>
        <v>0.3</v>
      </c>
      <c r="G2693" s="229">
        <f>G2668</f>
        <v>95000</v>
      </c>
      <c r="H2693" s="230">
        <f>+G2693*F2693</f>
        <v>28500</v>
      </c>
      <c r="M2693" s="228">
        <v>0.3</v>
      </c>
    </row>
    <row r="2694" spans="2:13" ht="18.75" customHeight="1" x14ac:dyDescent="0.25">
      <c r="B2694" s="550"/>
      <c r="C2694" s="227" t="s">
        <v>1508</v>
      </c>
      <c r="D2694" s="550" t="s">
        <v>632</v>
      </c>
      <c r="E2694" s="550" t="s">
        <v>631</v>
      </c>
      <c r="F2694" s="228">
        <f t="shared" si="132"/>
        <v>0.5</v>
      </c>
      <c r="G2694" s="229">
        <f>G2669</f>
        <v>110000</v>
      </c>
      <c r="H2694" s="230">
        <f>+G2694*F2694</f>
        <v>55000</v>
      </c>
      <c r="M2694" s="228">
        <v>0.5</v>
      </c>
    </row>
    <row r="2695" spans="2:13" ht="18.75" customHeight="1" x14ac:dyDescent="0.25">
      <c r="B2695" s="550"/>
      <c r="C2695" s="227" t="s">
        <v>633</v>
      </c>
      <c r="D2695" s="550" t="s">
        <v>634</v>
      </c>
      <c r="E2695" s="550" t="s">
        <v>631</v>
      </c>
      <c r="F2695" s="228">
        <f t="shared" si="132"/>
        <v>1.303E-2</v>
      </c>
      <c r="G2695" s="229">
        <f>G2670</f>
        <v>115000</v>
      </c>
      <c r="H2695" s="230">
        <f>+G2695*F2695</f>
        <v>1498.45</v>
      </c>
      <c r="M2695" s="228">
        <v>1.303E-2</v>
      </c>
    </row>
    <row r="2696" spans="2:13" ht="18.75" customHeight="1" x14ac:dyDescent="0.25">
      <c r="B2696" s="550"/>
      <c r="C2696" s="227" t="s">
        <v>600</v>
      </c>
      <c r="D2696" s="550" t="s">
        <v>635</v>
      </c>
      <c r="E2696" s="550" t="s">
        <v>631</v>
      </c>
      <c r="F2696" s="228">
        <f t="shared" si="132"/>
        <v>1.1000000000000001E-3</v>
      </c>
      <c r="G2696" s="229">
        <f>G2671</f>
        <v>140000</v>
      </c>
      <c r="H2696" s="230">
        <f>+G2696*F2696</f>
        <v>154</v>
      </c>
      <c r="M2696" s="228">
        <v>1.1000000000000001E-3</v>
      </c>
    </row>
    <row r="2697" spans="2:13" ht="18.75" customHeight="1" x14ac:dyDescent="0.25">
      <c r="B2697" s="550"/>
      <c r="C2697" s="223"/>
      <c r="D2697" s="550"/>
      <c r="E2697" s="550"/>
      <c r="F2697" s="233" t="s">
        <v>636</v>
      </c>
      <c r="G2697" s="551"/>
      <c r="H2697" s="231">
        <f>SUM(H2693:H2696)</f>
        <v>85152.45</v>
      </c>
      <c r="M2697" s="233" t="s">
        <v>636</v>
      </c>
    </row>
    <row r="2698" spans="2:13" ht="18.75" customHeight="1" x14ac:dyDescent="0.25">
      <c r="B2698" s="550"/>
      <c r="C2698" s="223"/>
      <c r="D2698" s="550"/>
      <c r="E2698" s="550"/>
      <c r="F2698" s="233"/>
      <c r="G2698" s="551"/>
      <c r="H2698" s="231"/>
      <c r="M2698" s="233"/>
    </row>
    <row r="2699" spans="2:13" ht="18.75" customHeight="1" x14ac:dyDescent="0.25">
      <c r="B2699" s="550" t="s">
        <v>637</v>
      </c>
      <c r="C2699" s="223" t="s">
        <v>638</v>
      </c>
      <c r="D2699" s="550"/>
      <c r="E2699" s="550"/>
      <c r="F2699" s="555"/>
      <c r="G2699" s="551"/>
      <c r="H2699" s="220"/>
      <c r="M2699" s="590"/>
    </row>
    <row r="2700" spans="2:13" ht="18.75" customHeight="1" x14ac:dyDescent="0.25">
      <c r="B2700" s="550"/>
      <c r="C2700" s="223" t="s">
        <v>944</v>
      </c>
      <c r="D2700" s="550"/>
      <c r="E2700" s="550" t="s">
        <v>14</v>
      </c>
      <c r="F2700" s="228">
        <v>4.2</v>
      </c>
      <c r="G2700" s="229">
        <f>Bahan!D166/6</f>
        <v>19166.666666666668</v>
      </c>
      <c r="H2700" s="352">
        <f t="shared" ref="H2700:H2704" si="133">F2700*G2700</f>
        <v>80500.000000000015</v>
      </c>
      <c r="M2700" s="228">
        <v>4.2</v>
      </c>
    </row>
    <row r="2701" spans="2:13" ht="18.75" customHeight="1" x14ac:dyDescent="0.25">
      <c r="B2701" s="550"/>
      <c r="C2701" s="223" t="s">
        <v>945</v>
      </c>
      <c r="D2701" s="550"/>
      <c r="E2701" s="550" t="s">
        <v>14</v>
      </c>
      <c r="F2701" s="228">
        <v>2</v>
      </c>
      <c r="G2701" s="229">
        <f>Bahan!D165/6</f>
        <v>7000</v>
      </c>
      <c r="H2701" s="352">
        <f t="shared" si="133"/>
        <v>14000</v>
      </c>
      <c r="M2701" s="228">
        <v>2</v>
      </c>
    </row>
    <row r="2702" spans="2:13" ht="18.75" customHeight="1" x14ac:dyDescent="0.25">
      <c r="B2702" s="550"/>
      <c r="C2702" s="223" t="s">
        <v>1514</v>
      </c>
      <c r="D2702" s="550"/>
      <c r="E2702" s="550" t="s">
        <v>297</v>
      </c>
      <c r="F2702" s="228">
        <v>0.2</v>
      </c>
      <c r="G2702" s="229">
        <f>G2625</f>
        <v>28000</v>
      </c>
      <c r="H2702" s="352">
        <f t="shared" si="133"/>
        <v>5600</v>
      </c>
      <c r="M2702" s="228">
        <v>0.2</v>
      </c>
    </row>
    <row r="2703" spans="2:13" ht="18.75" customHeight="1" x14ac:dyDescent="0.25">
      <c r="B2703" s="550"/>
      <c r="C2703" s="223" t="s">
        <v>946</v>
      </c>
      <c r="D2703" s="550"/>
      <c r="E2703" s="550" t="s">
        <v>28</v>
      </c>
      <c r="F2703" s="228">
        <v>2</v>
      </c>
      <c r="G2703" s="229">
        <f>Bahan!D144</f>
        <v>6000</v>
      </c>
      <c r="H2703" s="352">
        <f t="shared" si="133"/>
        <v>12000</v>
      </c>
      <c r="M2703" s="228">
        <v>2</v>
      </c>
    </row>
    <row r="2704" spans="2:13" ht="18.75" customHeight="1" x14ac:dyDescent="0.25">
      <c r="B2704" s="550"/>
      <c r="C2704" s="223" t="s">
        <v>947</v>
      </c>
      <c r="D2704" s="550"/>
      <c r="E2704" s="550" t="s">
        <v>784</v>
      </c>
      <c r="F2704" s="228">
        <v>1</v>
      </c>
      <c r="G2704" s="229">
        <v>2000</v>
      </c>
      <c r="H2704" s="352">
        <f t="shared" si="133"/>
        <v>2000</v>
      </c>
      <c r="M2704" s="228">
        <v>1</v>
      </c>
    </row>
    <row r="2705" spans="2:13" ht="18.75" customHeight="1" x14ac:dyDescent="0.25">
      <c r="B2705" s="550"/>
      <c r="C2705" s="223"/>
      <c r="D2705" s="550"/>
      <c r="E2705" s="550"/>
      <c r="F2705" s="237" t="s">
        <v>643</v>
      </c>
      <c r="G2705" s="551"/>
      <c r="H2705" s="231">
        <f>SUM(H2700:H2704)</f>
        <v>114100.00000000001</v>
      </c>
      <c r="M2705" s="237" t="s">
        <v>643</v>
      </c>
    </row>
    <row r="2706" spans="2:13" ht="18.75" customHeight="1" x14ac:dyDescent="0.25">
      <c r="B2706" s="550"/>
      <c r="C2706" s="223"/>
      <c r="D2706" s="550"/>
      <c r="E2706" s="550"/>
      <c r="F2706" s="555"/>
      <c r="G2706" s="551"/>
      <c r="H2706" s="220"/>
      <c r="M2706" s="590"/>
    </row>
    <row r="2707" spans="2:13" ht="18.75" customHeight="1" x14ac:dyDescent="0.25">
      <c r="B2707" s="550" t="s">
        <v>644</v>
      </c>
      <c r="C2707" s="223" t="s">
        <v>645</v>
      </c>
      <c r="D2707" s="550"/>
      <c r="E2707" s="550"/>
      <c r="F2707" s="555"/>
      <c r="G2707" s="551"/>
      <c r="H2707" s="235"/>
      <c r="M2707" s="590"/>
    </row>
    <row r="2708" spans="2:13" ht="18.75" customHeight="1" x14ac:dyDescent="0.25">
      <c r="B2708" s="236"/>
      <c r="C2708" s="232"/>
      <c r="D2708" s="550"/>
      <c r="E2708" s="550"/>
      <c r="F2708" s="237" t="s">
        <v>646</v>
      </c>
      <c r="G2708" s="551"/>
      <c r="H2708" s="230"/>
      <c r="M2708" s="237" t="s">
        <v>646</v>
      </c>
    </row>
    <row r="2709" spans="2:13" ht="18.75" customHeight="1" x14ac:dyDescent="0.25">
      <c r="B2709" s="236"/>
      <c r="C2709" s="232"/>
      <c r="D2709" s="550"/>
      <c r="E2709" s="550"/>
      <c r="F2709" s="237"/>
      <c r="G2709" s="551"/>
      <c r="H2709" s="220"/>
      <c r="M2709" s="237"/>
    </row>
    <row r="2710" spans="2:13" ht="18.75" customHeight="1" x14ac:dyDescent="0.25">
      <c r="B2710" s="248"/>
      <c r="C2710" s="238"/>
      <c r="D2710" s="239"/>
      <c r="E2710" s="240"/>
      <c r="F2710" s="241"/>
      <c r="G2710" s="291"/>
      <c r="H2710" s="251"/>
      <c r="M2710" s="241"/>
    </row>
    <row r="2711" spans="2:13" ht="18.75" customHeight="1" x14ac:dyDescent="0.25">
      <c r="B2711" s="249" t="s">
        <v>647</v>
      </c>
      <c r="C2711" s="104" t="s">
        <v>648</v>
      </c>
      <c r="D2711" s="435"/>
      <c r="E2711" s="92"/>
      <c r="F2711" s="183"/>
      <c r="G2711" s="167"/>
      <c r="H2711" s="252">
        <f>+H2708+H2705+H2697</f>
        <v>199252.45</v>
      </c>
      <c r="M2711" s="183"/>
    </row>
    <row r="2712" spans="2:13" ht="18.75" customHeight="1" x14ac:dyDescent="0.25">
      <c r="B2712" s="249" t="s">
        <v>649</v>
      </c>
      <c r="C2712" s="242" t="s">
        <v>650</v>
      </c>
      <c r="D2712" s="435"/>
      <c r="E2712" s="92"/>
      <c r="F2712" s="184" t="str">
        <f>$J$5</f>
        <v>8,0 % x D</v>
      </c>
      <c r="G2712" s="167"/>
      <c r="H2712" s="253">
        <f>+H2711*$K$5</f>
        <v>15940.196000000002</v>
      </c>
      <c r="M2712" s="184" t="str">
        <f>$J$5</f>
        <v>8,0 % x D</v>
      </c>
    </row>
    <row r="2713" spans="2:13" ht="18.75" customHeight="1" x14ac:dyDescent="0.25">
      <c r="B2713" s="249" t="s">
        <v>651</v>
      </c>
      <c r="C2713" s="111" t="s">
        <v>652</v>
      </c>
      <c r="D2713" s="435"/>
      <c r="E2713" s="91"/>
      <c r="F2713" s="185"/>
      <c r="G2713" s="168"/>
      <c r="H2713" s="254">
        <f>ROUNDUP((H2712+H2711)/100,0)*100</f>
        <v>215200</v>
      </c>
      <c r="M2713" s="185"/>
    </row>
    <row r="2714" spans="2:13" ht="18.75" customHeight="1" x14ac:dyDescent="0.25">
      <c r="B2714" s="250"/>
      <c r="C2714" s="279"/>
      <c r="D2714" s="245"/>
      <c r="E2714" s="245"/>
      <c r="F2714" s="282"/>
      <c r="G2714" s="297"/>
      <c r="H2714" s="255"/>
      <c r="M2714" s="282"/>
    </row>
    <row r="2715" spans="2:13" ht="18.75" customHeight="1" x14ac:dyDescent="0.25">
      <c r="B2715" s="435"/>
      <c r="C2715" s="111"/>
      <c r="E2715" s="552"/>
      <c r="F2715" s="196"/>
      <c r="G2715" s="294"/>
      <c r="H2715" s="211"/>
      <c r="M2715" s="196"/>
    </row>
    <row r="2716" spans="2:13" ht="18.75" customHeight="1" x14ac:dyDescent="0.25">
      <c r="B2716" s="19">
        <f>B2688+1</f>
        <v>22</v>
      </c>
      <c r="C2716" s="93" t="s">
        <v>948</v>
      </c>
      <c r="D2716" s="19"/>
      <c r="E2716" s="552"/>
      <c r="F2716" s="196"/>
      <c r="G2716" s="171"/>
      <c r="H2716" s="142"/>
      <c r="M2716" s="196"/>
    </row>
    <row r="2717" spans="2:13" ht="18.75" customHeight="1" x14ac:dyDescent="0.25">
      <c r="B2717" s="618" t="s">
        <v>620</v>
      </c>
      <c r="C2717" s="620" t="s">
        <v>621</v>
      </c>
      <c r="D2717" s="618" t="s">
        <v>622</v>
      </c>
      <c r="E2717" s="618" t="s">
        <v>2</v>
      </c>
      <c r="F2717" s="615" t="s">
        <v>623</v>
      </c>
      <c r="G2717" s="289" t="s">
        <v>624</v>
      </c>
      <c r="H2717" s="256" t="s">
        <v>625</v>
      </c>
      <c r="M2717" s="615" t="s">
        <v>623</v>
      </c>
    </row>
    <row r="2718" spans="2:13" ht="18.75" customHeight="1" x14ac:dyDescent="0.25">
      <c r="B2718" s="619"/>
      <c r="C2718" s="621"/>
      <c r="D2718" s="619"/>
      <c r="E2718" s="619"/>
      <c r="F2718" s="616"/>
      <c r="G2718" s="289" t="s">
        <v>626</v>
      </c>
      <c r="H2718" s="256" t="s">
        <v>626</v>
      </c>
      <c r="M2718" s="616"/>
    </row>
    <row r="2719" spans="2:13" ht="18.75" customHeight="1" x14ac:dyDescent="0.25">
      <c r="B2719" s="221"/>
      <c r="C2719" s="222"/>
      <c r="D2719" s="221"/>
      <c r="E2719" s="550"/>
      <c r="F2719" s="555"/>
      <c r="G2719" s="551"/>
      <c r="H2719" s="220"/>
      <c r="M2719" s="590"/>
    </row>
    <row r="2720" spans="2:13" ht="18.75" customHeight="1" x14ac:dyDescent="0.25">
      <c r="B2720" s="550" t="s">
        <v>627</v>
      </c>
      <c r="C2720" s="223" t="s">
        <v>628</v>
      </c>
      <c r="D2720" s="550"/>
      <c r="E2720" s="550"/>
      <c r="F2720" s="555"/>
      <c r="G2720" s="551"/>
      <c r="H2720" s="220"/>
      <c r="M2720" s="590"/>
    </row>
    <row r="2721" spans="2:13" ht="18.75" customHeight="1" x14ac:dyDescent="0.25">
      <c r="B2721" s="550"/>
      <c r="C2721" s="227" t="s">
        <v>629</v>
      </c>
      <c r="D2721" s="550" t="s">
        <v>630</v>
      </c>
      <c r="E2721" s="550" t="s">
        <v>631</v>
      </c>
      <c r="F2721" s="228">
        <f t="shared" ref="F2721:F2724" si="134">$K$8*M2721</f>
        <v>0.3</v>
      </c>
      <c r="G2721" s="229">
        <f>G2693</f>
        <v>95000</v>
      </c>
      <c r="H2721" s="230">
        <f>+G2721*F2721</f>
        <v>28500</v>
      </c>
      <c r="M2721" s="228">
        <v>0.3</v>
      </c>
    </row>
    <row r="2722" spans="2:13" ht="18.75" customHeight="1" x14ac:dyDescent="0.25">
      <c r="B2722" s="550"/>
      <c r="C2722" s="227" t="s">
        <v>1508</v>
      </c>
      <c r="D2722" s="550" t="s">
        <v>632</v>
      </c>
      <c r="E2722" s="550" t="s">
        <v>631</v>
      </c>
      <c r="F2722" s="228">
        <f t="shared" si="134"/>
        <v>0.5</v>
      </c>
      <c r="G2722" s="229">
        <f>G2694</f>
        <v>110000</v>
      </c>
      <c r="H2722" s="230">
        <f>+G2722*F2722</f>
        <v>55000</v>
      </c>
      <c r="M2722" s="228">
        <v>0.5</v>
      </c>
    </row>
    <row r="2723" spans="2:13" ht="18.75" customHeight="1" x14ac:dyDescent="0.25">
      <c r="B2723" s="550"/>
      <c r="C2723" s="227" t="s">
        <v>633</v>
      </c>
      <c r="D2723" s="550" t="s">
        <v>634</v>
      </c>
      <c r="E2723" s="550" t="s">
        <v>631</v>
      </c>
      <c r="F2723" s="228">
        <f t="shared" si="134"/>
        <v>1.303E-2</v>
      </c>
      <c r="G2723" s="229">
        <f>G2695</f>
        <v>115000</v>
      </c>
      <c r="H2723" s="230">
        <f>+G2723*F2723</f>
        <v>1498.45</v>
      </c>
      <c r="M2723" s="228">
        <v>1.303E-2</v>
      </c>
    </row>
    <row r="2724" spans="2:13" ht="18.75" customHeight="1" x14ac:dyDescent="0.25">
      <c r="B2724" s="550"/>
      <c r="C2724" s="227" t="s">
        <v>600</v>
      </c>
      <c r="D2724" s="550" t="s">
        <v>635</v>
      </c>
      <c r="E2724" s="550" t="s">
        <v>631</v>
      </c>
      <c r="F2724" s="228">
        <f t="shared" si="134"/>
        <v>1.1000000000000001E-3</v>
      </c>
      <c r="G2724" s="229">
        <f>G2696</f>
        <v>140000</v>
      </c>
      <c r="H2724" s="230">
        <f>+G2724*F2724</f>
        <v>154</v>
      </c>
      <c r="M2724" s="228">
        <v>1.1000000000000001E-3</v>
      </c>
    </row>
    <row r="2725" spans="2:13" ht="18.75" customHeight="1" x14ac:dyDescent="0.25">
      <c r="B2725" s="550"/>
      <c r="C2725" s="223"/>
      <c r="D2725" s="550"/>
      <c r="E2725" s="550"/>
      <c r="F2725" s="233" t="s">
        <v>636</v>
      </c>
      <c r="G2725" s="551"/>
      <c r="H2725" s="231">
        <f>SUM(H2721:H2724)</f>
        <v>85152.45</v>
      </c>
      <c r="M2725" s="233" t="s">
        <v>636</v>
      </c>
    </row>
    <row r="2726" spans="2:13" ht="18.75" customHeight="1" x14ac:dyDescent="0.25">
      <c r="B2726" s="550" t="s">
        <v>637</v>
      </c>
      <c r="C2726" s="223" t="s">
        <v>638</v>
      </c>
      <c r="D2726" s="550"/>
      <c r="E2726" s="550"/>
      <c r="F2726" s="555"/>
      <c r="G2726" s="551"/>
      <c r="H2726" s="220"/>
      <c r="M2726" s="590"/>
    </row>
    <row r="2727" spans="2:13" ht="18.75" customHeight="1" x14ac:dyDescent="0.25">
      <c r="B2727" s="550"/>
      <c r="C2727" s="223" t="s">
        <v>944</v>
      </c>
      <c r="D2727" s="550"/>
      <c r="E2727" s="550" t="s">
        <v>14</v>
      </c>
      <c r="F2727" s="228">
        <v>4.2</v>
      </c>
      <c r="G2727" s="229">
        <f>G2700</f>
        <v>19166.666666666668</v>
      </c>
      <c r="H2727" s="230">
        <f t="shared" ref="H2727:H2731" si="135">F2727*G2727</f>
        <v>80500.000000000015</v>
      </c>
      <c r="M2727" s="228">
        <v>4.2</v>
      </c>
    </row>
    <row r="2728" spans="2:13" ht="18.75" customHeight="1" x14ac:dyDescent="0.25">
      <c r="B2728" s="550"/>
      <c r="C2728" s="223" t="s">
        <v>945</v>
      </c>
      <c r="D2728" s="550"/>
      <c r="E2728" s="550" t="s">
        <v>14</v>
      </c>
      <c r="F2728" s="228">
        <v>2</v>
      </c>
      <c r="G2728" s="229">
        <f>G2701</f>
        <v>7000</v>
      </c>
      <c r="H2728" s="230">
        <f t="shared" si="135"/>
        <v>14000</v>
      </c>
      <c r="M2728" s="228">
        <v>2</v>
      </c>
    </row>
    <row r="2729" spans="2:13" ht="18.75" customHeight="1" x14ac:dyDescent="0.25">
      <c r="B2729" s="550"/>
      <c r="C2729" s="223" t="str">
        <f>C2702</f>
        <v>Baut skrup</v>
      </c>
      <c r="D2729" s="550"/>
      <c r="E2729" s="550" t="s">
        <v>297</v>
      </c>
      <c r="F2729" s="228">
        <v>0.2</v>
      </c>
      <c r="G2729" s="229">
        <f>G2702</f>
        <v>28000</v>
      </c>
      <c r="H2729" s="230">
        <f t="shared" si="135"/>
        <v>5600</v>
      </c>
      <c r="M2729" s="228">
        <v>0.2</v>
      </c>
    </row>
    <row r="2730" spans="2:13" ht="18.75" customHeight="1" x14ac:dyDescent="0.25">
      <c r="B2730" s="550"/>
      <c r="C2730" s="223" t="s">
        <v>946</v>
      </c>
      <c r="D2730" s="550"/>
      <c r="E2730" s="550" t="s">
        <v>28</v>
      </c>
      <c r="F2730" s="228">
        <v>2</v>
      </c>
      <c r="G2730" s="229">
        <f>G2703</f>
        <v>6000</v>
      </c>
      <c r="H2730" s="230">
        <f t="shared" si="135"/>
        <v>12000</v>
      </c>
      <c r="M2730" s="228">
        <v>2</v>
      </c>
    </row>
    <row r="2731" spans="2:13" ht="18.75" customHeight="1" x14ac:dyDescent="0.25">
      <c r="B2731" s="550"/>
      <c r="C2731" s="223" t="s">
        <v>947</v>
      </c>
      <c r="D2731" s="550"/>
      <c r="E2731" s="550" t="s">
        <v>784</v>
      </c>
      <c r="F2731" s="228">
        <v>1</v>
      </c>
      <c r="G2731" s="229">
        <f>G2704</f>
        <v>2000</v>
      </c>
      <c r="H2731" s="230">
        <f t="shared" si="135"/>
        <v>2000</v>
      </c>
      <c r="M2731" s="228">
        <v>1</v>
      </c>
    </row>
    <row r="2732" spans="2:13" ht="18.75" customHeight="1" x14ac:dyDescent="0.25">
      <c r="B2732" s="550"/>
      <c r="C2732" s="223"/>
      <c r="D2732" s="550"/>
      <c r="E2732" s="550"/>
      <c r="F2732" s="237" t="s">
        <v>643</v>
      </c>
      <c r="G2732" s="551"/>
      <c r="H2732" s="231">
        <f>SUM(H2727:H2731)</f>
        <v>114100.00000000001</v>
      </c>
      <c r="M2732" s="237" t="s">
        <v>643</v>
      </c>
    </row>
    <row r="2733" spans="2:13" ht="18.75" customHeight="1" x14ac:dyDescent="0.25">
      <c r="B2733" s="550"/>
      <c r="C2733" s="223"/>
      <c r="D2733" s="550"/>
      <c r="E2733" s="550"/>
      <c r="F2733" s="555"/>
      <c r="G2733" s="551"/>
      <c r="H2733" s="220"/>
      <c r="M2733" s="590"/>
    </row>
    <row r="2734" spans="2:13" ht="18.75" customHeight="1" x14ac:dyDescent="0.25">
      <c r="B2734" s="550" t="s">
        <v>644</v>
      </c>
      <c r="C2734" s="223" t="s">
        <v>645</v>
      </c>
      <c r="D2734" s="550"/>
      <c r="E2734" s="550"/>
      <c r="F2734" s="555"/>
      <c r="G2734" s="551"/>
      <c r="H2734" s="235"/>
      <c r="M2734" s="590"/>
    </row>
    <row r="2735" spans="2:13" ht="18.75" customHeight="1" x14ac:dyDescent="0.25">
      <c r="B2735" s="236"/>
      <c r="C2735" s="232"/>
      <c r="D2735" s="550"/>
      <c r="E2735" s="550"/>
      <c r="F2735" s="237" t="s">
        <v>646</v>
      </c>
      <c r="G2735" s="551"/>
      <c r="H2735" s="230"/>
      <c r="M2735" s="237" t="s">
        <v>646</v>
      </c>
    </row>
    <row r="2736" spans="2:13" ht="18.75" customHeight="1" x14ac:dyDescent="0.25">
      <c r="B2736" s="236"/>
      <c r="C2736" s="232"/>
      <c r="D2736" s="550"/>
      <c r="E2736" s="550"/>
      <c r="F2736" s="237"/>
      <c r="G2736" s="551"/>
      <c r="H2736" s="220"/>
      <c r="M2736" s="237"/>
    </row>
    <row r="2737" spans="2:13" ht="18.75" customHeight="1" x14ac:dyDescent="0.25">
      <c r="B2737" s="248"/>
      <c r="C2737" s="238"/>
      <c r="D2737" s="239"/>
      <c r="E2737" s="240"/>
      <c r="F2737" s="241"/>
      <c r="G2737" s="291"/>
      <c r="H2737" s="251"/>
      <c r="M2737" s="241"/>
    </row>
    <row r="2738" spans="2:13" ht="18.75" customHeight="1" x14ac:dyDescent="0.25">
      <c r="B2738" s="249" t="s">
        <v>647</v>
      </c>
      <c r="C2738" s="104" t="s">
        <v>648</v>
      </c>
      <c r="D2738" s="435"/>
      <c r="E2738" s="92"/>
      <c r="F2738" s="183"/>
      <c r="G2738" s="167"/>
      <c r="H2738" s="252">
        <f>+H2735+H2732+H2725</f>
        <v>199252.45</v>
      </c>
      <c r="M2738" s="183"/>
    </row>
    <row r="2739" spans="2:13" ht="18.75" customHeight="1" x14ac:dyDescent="0.25">
      <c r="B2739" s="249" t="s">
        <v>649</v>
      </c>
      <c r="C2739" s="242" t="s">
        <v>650</v>
      </c>
      <c r="D2739" s="435"/>
      <c r="E2739" s="92"/>
      <c r="F2739" s="184" t="str">
        <f>$J$5</f>
        <v>8,0 % x D</v>
      </c>
      <c r="G2739" s="167"/>
      <c r="H2739" s="253">
        <f>+H2738*$K$5</f>
        <v>15940.196000000002</v>
      </c>
      <c r="M2739" s="184" t="str">
        <f>$J$5</f>
        <v>8,0 % x D</v>
      </c>
    </row>
    <row r="2740" spans="2:13" ht="18.75" customHeight="1" x14ac:dyDescent="0.25">
      <c r="B2740" s="249" t="s">
        <v>651</v>
      </c>
      <c r="C2740" s="111" t="s">
        <v>652</v>
      </c>
      <c r="D2740" s="435"/>
      <c r="E2740" s="91"/>
      <c r="F2740" s="185"/>
      <c r="G2740" s="168"/>
      <c r="H2740" s="254">
        <f>ROUNDUP((H2739+H2738)/100,0)*100</f>
        <v>215200</v>
      </c>
      <c r="M2740" s="185"/>
    </row>
    <row r="2741" spans="2:13" ht="18.75" customHeight="1" x14ac:dyDescent="0.25">
      <c r="B2741" s="259"/>
      <c r="C2741" s="261"/>
      <c r="D2741" s="245"/>
      <c r="E2741" s="245"/>
      <c r="F2741" s="282"/>
      <c r="G2741" s="297"/>
      <c r="H2741" s="284"/>
      <c r="M2741" s="282"/>
    </row>
    <row r="2742" spans="2:13" ht="18.75" customHeight="1" x14ac:dyDescent="0.25">
      <c r="B2742" s="22"/>
      <c r="C2742" s="104"/>
      <c r="E2742" s="552"/>
      <c r="F2742" s="196"/>
      <c r="G2742" s="171"/>
      <c r="H2742" s="142"/>
      <c r="M2742" s="196"/>
    </row>
    <row r="2743" spans="2:13" ht="18.75" customHeight="1" x14ac:dyDescent="0.25">
      <c r="B2743" s="19">
        <f>B2716+1</f>
        <v>23</v>
      </c>
      <c r="C2743" s="93" t="s">
        <v>949</v>
      </c>
      <c r="D2743" s="19"/>
      <c r="E2743" s="552"/>
      <c r="F2743" s="196"/>
      <c r="G2743" s="171"/>
      <c r="H2743" s="142"/>
      <c r="M2743" s="196"/>
    </row>
    <row r="2744" spans="2:13" ht="18.75" customHeight="1" x14ac:dyDescent="0.25">
      <c r="B2744" s="618" t="s">
        <v>620</v>
      </c>
      <c r="C2744" s="620" t="s">
        <v>621</v>
      </c>
      <c r="D2744" s="618" t="s">
        <v>622</v>
      </c>
      <c r="E2744" s="618" t="s">
        <v>2</v>
      </c>
      <c r="F2744" s="615" t="s">
        <v>623</v>
      </c>
      <c r="G2744" s="289" t="s">
        <v>624</v>
      </c>
      <c r="H2744" s="256" t="s">
        <v>625</v>
      </c>
      <c r="M2744" s="615" t="s">
        <v>623</v>
      </c>
    </row>
    <row r="2745" spans="2:13" ht="18.75" customHeight="1" x14ac:dyDescent="0.25">
      <c r="B2745" s="619"/>
      <c r="C2745" s="621"/>
      <c r="D2745" s="619"/>
      <c r="E2745" s="619"/>
      <c r="F2745" s="616"/>
      <c r="G2745" s="289" t="s">
        <v>626</v>
      </c>
      <c r="H2745" s="256" t="s">
        <v>626</v>
      </c>
      <c r="M2745" s="616"/>
    </row>
    <row r="2746" spans="2:13" ht="18.75" customHeight="1" x14ac:dyDescent="0.25">
      <c r="B2746" s="221"/>
      <c r="C2746" s="222"/>
      <c r="D2746" s="221"/>
      <c r="E2746" s="550"/>
      <c r="F2746" s="555"/>
      <c r="G2746" s="551"/>
      <c r="H2746" s="220"/>
      <c r="M2746" s="590"/>
    </row>
    <row r="2747" spans="2:13" ht="18.75" customHeight="1" x14ac:dyDescent="0.25">
      <c r="B2747" s="550" t="s">
        <v>627</v>
      </c>
      <c r="C2747" s="223" t="s">
        <v>628</v>
      </c>
      <c r="D2747" s="550"/>
      <c r="E2747" s="550"/>
      <c r="F2747" s="555"/>
      <c r="G2747" s="551"/>
      <c r="H2747" s="220"/>
      <c r="M2747" s="590"/>
    </row>
    <row r="2748" spans="2:13" ht="18.75" customHeight="1" x14ac:dyDescent="0.25">
      <c r="B2748" s="550"/>
      <c r="C2748" s="227" t="s">
        <v>629</v>
      </c>
      <c r="D2748" s="550" t="s">
        <v>630</v>
      </c>
      <c r="E2748" s="550" t="s">
        <v>631</v>
      </c>
      <c r="F2748" s="228">
        <f t="shared" ref="F2748:F2751" si="136">$K$8*M2748</f>
        <v>0.3</v>
      </c>
      <c r="G2748" s="229">
        <f>G2721</f>
        <v>95000</v>
      </c>
      <c r="H2748" s="230">
        <f>+G2748*F2748</f>
        <v>28500</v>
      </c>
      <c r="M2748" s="228">
        <v>0.3</v>
      </c>
    </row>
    <row r="2749" spans="2:13" ht="18.75" customHeight="1" x14ac:dyDescent="0.25">
      <c r="B2749" s="550"/>
      <c r="C2749" s="227" t="s">
        <v>1508</v>
      </c>
      <c r="D2749" s="550" t="s">
        <v>632</v>
      </c>
      <c r="E2749" s="550" t="s">
        <v>631</v>
      </c>
      <c r="F2749" s="228">
        <f t="shared" si="136"/>
        <v>0.5</v>
      </c>
      <c r="G2749" s="229">
        <f>G2722</f>
        <v>110000</v>
      </c>
      <c r="H2749" s="230">
        <f>+G2749*F2749</f>
        <v>55000</v>
      </c>
      <c r="M2749" s="228">
        <v>0.5</v>
      </c>
    </row>
    <row r="2750" spans="2:13" ht="18.75" customHeight="1" x14ac:dyDescent="0.25">
      <c r="B2750" s="550"/>
      <c r="C2750" s="227" t="s">
        <v>633</v>
      </c>
      <c r="D2750" s="550" t="s">
        <v>634</v>
      </c>
      <c r="E2750" s="550" t="s">
        <v>631</v>
      </c>
      <c r="F2750" s="228">
        <f t="shared" si="136"/>
        <v>1.303E-2</v>
      </c>
      <c r="G2750" s="229">
        <f>G2723</f>
        <v>115000</v>
      </c>
      <c r="H2750" s="230">
        <f>+G2750*F2750</f>
        <v>1498.45</v>
      </c>
      <c r="M2750" s="228">
        <v>1.303E-2</v>
      </c>
    </row>
    <row r="2751" spans="2:13" ht="18.75" customHeight="1" x14ac:dyDescent="0.25">
      <c r="B2751" s="550"/>
      <c r="C2751" s="227" t="s">
        <v>600</v>
      </c>
      <c r="D2751" s="550" t="s">
        <v>635</v>
      </c>
      <c r="E2751" s="550" t="s">
        <v>631</v>
      </c>
      <c r="F2751" s="228">
        <f t="shared" si="136"/>
        <v>1.1000000000000001E-3</v>
      </c>
      <c r="G2751" s="229">
        <f>G2724</f>
        <v>140000</v>
      </c>
      <c r="H2751" s="230">
        <f>+G2751*F2751</f>
        <v>154</v>
      </c>
      <c r="M2751" s="228">
        <v>1.1000000000000001E-3</v>
      </c>
    </row>
    <row r="2752" spans="2:13" ht="18.75" customHeight="1" x14ac:dyDescent="0.25">
      <c r="B2752" s="550"/>
      <c r="C2752" s="223"/>
      <c r="D2752" s="550"/>
      <c r="E2752" s="550"/>
      <c r="F2752" s="233" t="s">
        <v>636</v>
      </c>
      <c r="G2752" s="551"/>
      <c r="H2752" s="231">
        <f>SUM(H2748:H2751)</f>
        <v>85152.45</v>
      </c>
      <c r="M2752" s="233" t="s">
        <v>636</v>
      </c>
    </row>
    <row r="2753" spans="2:13" ht="18.75" customHeight="1" x14ac:dyDescent="0.25">
      <c r="B2753" s="550"/>
      <c r="C2753" s="223"/>
      <c r="D2753" s="550"/>
      <c r="E2753" s="550"/>
      <c r="F2753" s="233"/>
      <c r="G2753" s="551"/>
      <c r="H2753" s="231"/>
      <c r="M2753" s="233"/>
    </row>
    <row r="2754" spans="2:13" ht="18.75" customHeight="1" x14ac:dyDescent="0.25">
      <c r="B2754" s="550" t="s">
        <v>637</v>
      </c>
      <c r="C2754" s="223" t="s">
        <v>638</v>
      </c>
      <c r="D2754" s="550"/>
      <c r="E2754" s="550"/>
      <c r="F2754" s="555"/>
      <c r="G2754" s="551"/>
      <c r="H2754" s="220"/>
      <c r="M2754" s="590"/>
    </row>
    <row r="2755" spans="2:13" ht="18.75" customHeight="1" x14ac:dyDescent="0.25">
      <c r="B2755" s="550"/>
      <c r="C2755" s="223" t="s">
        <v>950</v>
      </c>
      <c r="D2755" s="550"/>
      <c r="E2755" s="550" t="s">
        <v>14</v>
      </c>
      <c r="F2755" s="228">
        <v>6.2</v>
      </c>
      <c r="G2755" s="229">
        <f>Bahan!D167/6</f>
        <v>23500</v>
      </c>
      <c r="H2755" s="230">
        <f t="shared" ref="H2755:H2759" si="137">F2755*G2755</f>
        <v>145700</v>
      </c>
      <c r="M2755" s="228">
        <v>6.2</v>
      </c>
    </row>
    <row r="2756" spans="2:13" ht="18.75" customHeight="1" x14ac:dyDescent="0.25">
      <c r="B2756" s="550"/>
      <c r="C2756" s="223" t="s">
        <v>945</v>
      </c>
      <c r="D2756" s="550"/>
      <c r="E2756" s="550" t="s">
        <v>14</v>
      </c>
      <c r="F2756" s="228">
        <v>2</v>
      </c>
      <c r="G2756" s="229">
        <f>G2728</f>
        <v>7000</v>
      </c>
      <c r="H2756" s="230">
        <f t="shared" si="137"/>
        <v>14000</v>
      </c>
      <c r="M2756" s="228">
        <v>2</v>
      </c>
    </row>
    <row r="2757" spans="2:13" ht="18.75" customHeight="1" x14ac:dyDescent="0.25">
      <c r="B2757" s="550"/>
      <c r="C2757" s="223" t="str">
        <f>C2729</f>
        <v>Baut skrup</v>
      </c>
      <c r="D2757" s="550"/>
      <c r="E2757" s="550" t="s">
        <v>297</v>
      </c>
      <c r="F2757" s="228">
        <v>1</v>
      </c>
      <c r="G2757" s="229">
        <f>G2729</f>
        <v>28000</v>
      </c>
      <c r="H2757" s="230">
        <f t="shared" si="137"/>
        <v>28000</v>
      </c>
      <c r="M2757" s="228">
        <v>1</v>
      </c>
    </row>
    <row r="2758" spans="2:13" ht="18.75" customHeight="1" x14ac:dyDescent="0.25">
      <c r="B2758" s="550"/>
      <c r="C2758" s="223" t="s">
        <v>946</v>
      </c>
      <c r="D2758" s="550"/>
      <c r="E2758" s="550" t="s">
        <v>28</v>
      </c>
      <c r="F2758" s="228">
        <v>2</v>
      </c>
      <c r="G2758" s="229">
        <f>G2730</f>
        <v>6000</v>
      </c>
      <c r="H2758" s="230">
        <f t="shared" si="137"/>
        <v>12000</v>
      </c>
      <c r="M2758" s="228">
        <v>2</v>
      </c>
    </row>
    <row r="2759" spans="2:13" ht="18.75" customHeight="1" x14ac:dyDescent="0.25">
      <c r="B2759" s="550"/>
      <c r="C2759" s="223" t="s">
        <v>947</v>
      </c>
      <c r="D2759" s="550"/>
      <c r="E2759" s="550" t="s">
        <v>784</v>
      </c>
      <c r="F2759" s="228">
        <v>1</v>
      </c>
      <c r="G2759" s="229">
        <f>G2731</f>
        <v>2000</v>
      </c>
      <c r="H2759" s="230">
        <f t="shared" si="137"/>
        <v>2000</v>
      </c>
      <c r="M2759" s="228">
        <v>1</v>
      </c>
    </row>
    <row r="2760" spans="2:13" ht="18.75" customHeight="1" x14ac:dyDescent="0.25">
      <c r="B2760" s="550"/>
      <c r="C2760" s="223"/>
      <c r="D2760" s="550"/>
      <c r="E2760" s="550"/>
      <c r="F2760" s="237" t="s">
        <v>643</v>
      </c>
      <c r="G2760" s="551"/>
      <c r="H2760" s="231">
        <f>SUM(H2755:H2759)</f>
        <v>201700</v>
      </c>
      <c r="M2760" s="237" t="s">
        <v>643</v>
      </c>
    </row>
    <row r="2761" spans="2:13" ht="18.75" customHeight="1" x14ac:dyDescent="0.25">
      <c r="B2761" s="550"/>
      <c r="C2761" s="223"/>
      <c r="D2761" s="550"/>
      <c r="E2761" s="550"/>
      <c r="F2761" s="555"/>
      <c r="G2761" s="551"/>
      <c r="H2761" s="220"/>
      <c r="M2761" s="590"/>
    </row>
    <row r="2762" spans="2:13" ht="18.75" customHeight="1" x14ac:dyDescent="0.25">
      <c r="B2762" s="550" t="s">
        <v>644</v>
      </c>
      <c r="C2762" s="223" t="s">
        <v>645</v>
      </c>
      <c r="D2762" s="550"/>
      <c r="E2762" s="550"/>
      <c r="F2762" s="555"/>
      <c r="G2762" s="551"/>
      <c r="H2762" s="235"/>
      <c r="M2762" s="590"/>
    </row>
    <row r="2763" spans="2:13" ht="18.75" customHeight="1" x14ac:dyDescent="0.25">
      <c r="B2763" s="236"/>
      <c r="C2763" s="232"/>
      <c r="D2763" s="550"/>
      <c r="E2763" s="550"/>
      <c r="F2763" s="237" t="s">
        <v>646</v>
      </c>
      <c r="G2763" s="551"/>
      <c r="H2763" s="230"/>
      <c r="M2763" s="237" t="s">
        <v>646</v>
      </c>
    </row>
    <row r="2764" spans="2:13" ht="18.75" customHeight="1" x14ac:dyDescent="0.25">
      <c r="B2764" s="236"/>
      <c r="C2764" s="232"/>
      <c r="D2764" s="550"/>
      <c r="E2764" s="550"/>
      <c r="F2764" s="237"/>
      <c r="G2764" s="551"/>
      <c r="H2764" s="220"/>
      <c r="M2764" s="237"/>
    </row>
    <row r="2765" spans="2:13" ht="18.75" customHeight="1" x14ac:dyDescent="0.25">
      <c r="B2765" s="248"/>
      <c r="C2765" s="238"/>
      <c r="D2765" s="239"/>
      <c r="E2765" s="240"/>
      <c r="F2765" s="241"/>
      <c r="G2765" s="291"/>
      <c r="H2765" s="251"/>
      <c r="M2765" s="241"/>
    </row>
    <row r="2766" spans="2:13" ht="18.75" customHeight="1" x14ac:dyDescent="0.25">
      <c r="B2766" s="249" t="s">
        <v>647</v>
      </c>
      <c r="C2766" s="104" t="s">
        <v>648</v>
      </c>
      <c r="D2766" s="435"/>
      <c r="E2766" s="92"/>
      <c r="F2766" s="183"/>
      <c r="G2766" s="167"/>
      <c r="H2766" s="252">
        <f>+H2763+H2760+H2752</f>
        <v>286852.45</v>
      </c>
      <c r="M2766" s="183"/>
    </row>
    <row r="2767" spans="2:13" ht="18.75" customHeight="1" x14ac:dyDescent="0.25">
      <c r="B2767" s="249" t="s">
        <v>649</v>
      </c>
      <c r="C2767" s="242" t="s">
        <v>650</v>
      </c>
      <c r="D2767" s="435"/>
      <c r="E2767" s="92"/>
      <c r="F2767" s="184" t="str">
        <f>$J$5</f>
        <v>8,0 % x D</v>
      </c>
      <c r="G2767" s="167"/>
      <c r="H2767" s="253">
        <f>+H2766*$K$5</f>
        <v>22948.196</v>
      </c>
      <c r="M2767" s="184" t="str">
        <f>$J$5</f>
        <v>8,0 % x D</v>
      </c>
    </row>
    <row r="2768" spans="2:13" ht="18.75" customHeight="1" x14ac:dyDescent="0.25">
      <c r="B2768" s="249" t="s">
        <v>651</v>
      </c>
      <c r="C2768" s="111" t="s">
        <v>652</v>
      </c>
      <c r="D2768" s="435"/>
      <c r="E2768" s="91"/>
      <c r="F2768" s="185"/>
      <c r="G2768" s="168"/>
      <c r="H2768" s="254">
        <f>ROUNDUP((H2767+H2766)/100,0)*100</f>
        <v>309900</v>
      </c>
      <c r="M2768" s="185"/>
    </row>
    <row r="2769" spans="2:13" ht="18.75" customHeight="1" x14ac:dyDescent="0.25">
      <c r="B2769" s="250"/>
      <c r="C2769" s="279"/>
      <c r="D2769" s="245"/>
      <c r="E2769" s="245"/>
      <c r="F2769" s="282"/>
      <c r="G2769" s="297"/>
      <c r="H2769" s="255"/>
      <c r="M2769" s="282"/>
    </row>
    <row r="2770" spans="2:13" ht="18.75" customHeight="1" x14ac:dyDescent="0.25">
      <c r="B2770" s="435"/>
      <c r="C2770" s="111"/>
      <c r="D2770" s="435"/>
      <c r="E2770" s="435"/>
      <c r="F2770" s="212"/>
      <c r="G2770" s="294"/>
      <c r="H2770" s="211"/>
      <c r="M2770" s="212"/>
    </row>
    <row r="2771" spans="2:13" ht="18.75" customHeight="1" x14ac:dyDescent="0.25">
      <c r="B2771" s="19">
        <f>B2743+1</f>
        <v>24</v>
      </c>
      <c r="C2771" s="93" t="s">
        <v>951</v>
      </c>
      <c r="D2771" s="19"/>
      <c r="E2771" s="552"/>
      <c r="F2771" s="196"/>
      <c r="G2771" s="171"/>
      <c r="H2771" s="142"/>
      <c r="M2771" s="196"/>
    </row>
    <row r="2772" spans="2:13" ht="18.75" customHeight="1" x14ac:dyDescent="0.25">
      <c r="B2772" s="618" t="s">
        <v>620</v>
      </c>
      <c r="C2772" s="620" t="s">
        <v>621</v>
      </c>
      <c r="D2772" s="618" t="s">
        <v>622</v>
      </c>
      <c r="E2772" s="618" t="s">
        <v>2</v>
      </c>
      <c r="F2772" s="615" t="s">
        <v>623</v>
      </c>
      <c r="G2772" s="289" t="s">
        <v>624</v>
      </c>
      <c r="H2772" s="256" t="s">
        <v>625</v>
      </c>
      <c r="M2772" s="615" t="s">
        <v>623</v>
      </c>
    </row>
    <row r="2773" spans="2:13" ht="18.75" customHeight="1" x14ac:dyDescent="0.25">
      <c r="B2773" s="619"/>
      <c r="C2773" s="621"/>
      <c r="D2773" s="619"/>
      <c r="E2773" s="619"/>
      <c r="F2773" s="616"/>
      <c r="G2773" s="289" t="s">
        <v>626</v>
      </c>
      <c r="H2773" s="256" t="s">
        <v>626</v>
      </c>
      <c r="M2773" s="616"/>
    </row>
    <row r="2774" spans="2:13" ht="18.75" customHeight="1" x14ac:dyDescent="0.25">
      <c r="B2774" s="221"/>
      <c r="C2774" s="222"/>
      <c r="D2774" s="221"/>
      <c r="E2774" s="550"/>
      <c r="F2774" s="555"/>
      <c r="G2774" s="551"/>
      <c r="H2774" s="220"/>
      <c r="M2774" s="590"/>
    </row>
    <row r="2775" spans="2:13" ht="18.75" customHeight="1" x14ac:dyDescent="0.25">
      <c r="B2775" s="550" t="s">
        <v>627</v>
      </c>
      <c r="C2775" s="223" t="s">
        <v>628</v>
      </c>
      <c r="D2775" s="550"/>
      <c r="E2775" s="550"/>
      <c r="F2775" s="555"/>
      <c r="G2775" s="551"/>
      <c r="H2775" s="220"/>
      <c r="M2775" s="590"/>
    </row>
    <row r="2776" spans="2:13" ht="18.75" customHeight="1" x14ac:dyDescent="0.25">
      <c r="B2776" s="550"/>
      <c r="C2776" s="227" t="s">
        <v>629</v>
      </c>
      <c r="D2776" s="550" t="s">
        <v>630</v>
      </c>
      <c r="E2776" s="550" t="s">
        <v>631</v>
      </c>
      <c r="F2776" s="228">
        <f t="shared" ref="F2776:F2779" si="138">$K$8*M2776</f>
        <v>0.3</v>
      </c>
      <c r="G2776" s="229">
        <f>G2748</f>
        <v>95000</v>
      </c>
      <c r="H2776" s="230">
        <f>+G2776*F2776</f>
        <v>28500</v>
      </c>
      <c r="M2776" s="228">
        <v>0.3</v>
      </c>
    </row>
    <row r="2777" spans="2:13" ht="18.75" customHeight="1" x14ac:dyDescent="0.25">
      <c r="B2777" s="550"/>
      <c r="C2777" s="227" t="s">
        <v>1508</v>
      </c>
      <c r="D2777" s="550" t="s">
        <v>632</v>
      </c>
      <c r="E2777" s="550" t="s">
        <v>631</v>
      </c>
      <c r="F2777" s="228">
        <f t="shared" si="138"/>
        <v>0.5</v>
      </c>
      <c r="G2777" s="229">
        <f t="shared" ref="G2777:G2779" si="139">G2749</f>
        <v>110000</v>
      </c>
      <c r="H2777" s="230">
        <f>+G2777*F2777</f>
        <v>55000</v>
      </c>
      <c r="M2777" s="228">
        <v>0.5</v>
      </c>
    </row>
    <row r="2778" spans="2:13" ht="18.75" customHeight="1" x14ac:dyDescent="0.25">
      <c r="B2778" s="550"/>
      <c r="C2778" s="227" t="s">
        <v>633</v>
      </c>
      <c r="D2778" s="550" t="s">
        <v>634</v>
      </c>
      <c r="E2778" s="550" t="s">
        <v>631</v>
      </c>
      <c r="F2778" s="228">
        <f t="shared" si="138"/>
        <v>1.303E-2</v>
      </c>
      <c r="G2778" s="229">
        <f t="shared" si="139"/>
        <v>115000</v>
      </c>
      <c r="H2778" s="230">
        <f>+G2778*F2778</f>
        <v>1498.45</v>
      </c>
      <c r="M2778" s="228">
        <v>1.303E-2</v>
      </c>
    </row>
    <row r="2779" spans="2:13" ht="18.75" customHeight="1" x14ac:dyDescent="0.25">
      <c r="B2779" s="550"/>
      <c r="C2779" s="227" t="s">
        <v>600</v>
      </c>
      <c r="D2779" s="550" t="s">
        <v>635</v>
      </c>
      <c r="E2779" s="550" t="s">
        <v>631</v>
      </c>
      <c r="F2779" s="228">
        <f t="shared" si="138"/>
        <v>1.1000000000000001E-3</v>
      </c>
      <c r="G2779" s="229">
        <f t="shared" si="139"/>
        <v>140000</v>
      </c>
      <c r="H2779" s="230">
        <f>+G2779*F2779</f>
        <v>154</v>
      </c>
      <c r="M2779" s="228">
        <v>1.1000000000000001E-3</v>
      </c>
    </row>
    <row r="2780" spans="2:13" ht="18.75" customHeight="1" x14ac:dyDescent="0.25">
      <c r="B2780" s="550"/>
      <c r="C2780" s="223"/>
      <c r="D2780" s="550"/>
      <c r="E2780" s="550"/>
      <c r="F2780" s="233" t="s">
        <v>636</v>
      </c>
      <c r="G2780" s="551"/>
      <c r="H2780" s="231">
        <f>SUM(H2776:H2779)</f>
        <v>85152.45</v>
      </c>
      <c r="M2780" s="233" t="s">
        <v>636</v>
      </c>
    </row>
    <row r="2781" spans="2:13" ht="18.75" customHeight="1" x14ac:dyDescent="0.25">
      <c r="B2781" s="550" t="s">
        <v>637</v>
      </c>
      <c r="C2781" s="223" t="s">
        <v>638</v>
      </c>
      <c r="D2781" s="550"/>
      <c r="E2781" s="550"/>
      <c r="F2781" s="555"/>
      <c r="G2781" s="551"/>
      <c r="H2781" s="220"/>
      <c r="M2781" s="590"/>
    </row>
    <row r="2782" spans="2:13" ht="18.75" customHeight="1" x14ac:dyDescent="0.25">
      <c r="B2782" s="550"/>
      <c r="C2782" s="223" t="s">
        <v>952</v>
      </c>
      <c r="D2782" s="550"/>
      <c r="E2782" s="550" t="s">
        <v>14</v>
      </c>
      <c r="F2782" s="228">
        <v>6.2</v>
      </c>
      <c r="G2782" s="229">
        <f>G2755</f>
        <v>23500</v>
      </c>
      <c r="H2782" s="230">
        <f t="shared" ref="H2782:H2786" si="140">F2782*G2782</f>
        <v>145700</v>
      </c>
      <c r="M2782" s="228">
        <v>6.2</v>
      </c>
    </row>
    <row r="2783" spans="2:13" ht="18.75" customHeight="1" x14ac:dyDescent="0.25">
      <c r="B2783" s="550"/>
      <c r="C2783" s="223" t="s">
        <v>945</v>
      </c>
      <c r="D2783" s="550"/>
      <c r="E2783" s="550" t="s">
        <v>14</v>
      </c>
      <c r="F2783" s="228">
        <v>2</v>
      </c>
      <c r="G2783" s="229">
        <f>G2756</f>
        <v>7000</v>
      </c>
      <c r="H2783" s="230">
        <f t="shared" si="140"/>
        <v>14000</v>
      </c>
      <c r="M2783" s="228">
        <v>2</v>
      </c>
    </row>
    <row r="2784" spans="2:13" ht="18.75" customHeight="1" x14ac:dyDescent="0.25">
      <c r="B2784" s="550"/>
      <c r="C2784" s="223" t="s">
        <v>1514</v>
      </c>
      <c r="D2784" s="550"/>
      <c r="E2784" s="550" t="s">
        <v>297</v>
      </c>
      <c r="F2784" s="228">
        <v>1</v>
      </c>
      <c r="G2784" s="229">
        <f>G2757</f>
        <v>28000</v>
      </c>
      <c r="H2784" s="230">
        <f t="shared" si="140"/>
        <v>28000</v>
      </c>
      <c r="M2784" s="228">
        <v>1</v>
      </c>
    </row>
    <row r="2785" spans="1:13" ht="18.75" customHeight="1" x14ac:dyDescent="0.25">
      <c r="B2785" s="550"/>
      <c r="C2785" s="223" t="s">
        <v>946</v>
      </c>
      <c r="D2785" s="550"/>
      <c r="E2785" s="550" t="s">
        <v>28</v>
      </c>
      <c r="F2785" s="228">
        <v>2</v>
      </c>
      <c r="G2785" s="229">
        <f>G2758</f>
        <v>6000</v>
      </c>
      <c r="H2785" s="230">
        <f t="shared" si="140"/>
        <v>12000</v>
      </c>
      <c r="M2785" s="228">
        <v>2</v>
      </c>
    </row>
    <row r="2786" spans="1:13" ht="18.75" customHeight="1" x14ac:dyDescent="0.25">
      <c r="B2786" s="550"/>
      <c r="C2786" s="223" t="s">
        <v>947</v>
      </c>
      <c r="D2786" s="550"/>
      <c r="E2786" s="550" t="s">
        <v>784</v>
      </c>
      <c r="F2786" s="228">
        <v>1</v>
      </c>
      <c r="G2786" s="229">
        <f>G2759</f>
        <v>2000</v>
      </c>
      <c r="H2786" s="230">
        <f t="shared" si="140"/>
        <v>2000</v>
      </c>
      <c r="M2786" s="228">
        <v>1</v>
      </c>
    </row>
    <row r="2787" spans="1:13" ht="18.75" customHeight="1" x14ac:dyDescent="0.25">
      <c r="B2787" s="550"/>
      <c r="C2787" s="223"/>
      <c r="D2787" s="550"/>
      <c r="E2787" s="550"/>
      <c r="F2787" s="237" t="s">
        <v>643</v>
      </c>
      <c r="G2787" s="551"/>
      <c r="H2787" s="231">
        <f>SUM(H2782:H2786)</f>
        <v>201700</v>
      </c>
      <c r="M2787" s="237" t="s">
        <v>643</v>
      </c>
    </row>
    <row r="2788" spans="1:13" ht="18.75" customHeight="1" x14ac:dyDescent="0.25">
      <c r="B2788" s="550"/>
      <c r="C2788" s="223"/>
      <c r="D2788" s="550"/>
      <c r="E2788" s="550"/>
      <c r="F2788" s="555"/>
      <c r="G2788" s="551"/>
      <c r="H2788" s="220"/>
      <c r="M2788" s="590"/>
    </row>
    <row r="2789" spans="1:13" ht="18.75" customHeight="1" x14ac:dyDescent="0.25">
      <c r="B2789" s="550" t="s">
        <v>644</v>
      </c>
      <c r="C2789" s="223" t="s">
        <v>645</v>
      </c>
      <c r="D2789" s="550"/>
      <c r="E2789" s="550"/>
      <c r="F2789" s="555"/>
      <c r="G2789" s="551"/>
      <c r="H2789" s="235"/>
      <c r="M2789" s="590"/>
    </row>
    <row r="2790" spans="1:13" ht="18.75" customHeight="1" x14ac:dyDescent="0.25">
      <c r="B2790" s="236"/>
      <c r="C2790" s="232"/>
      <c r="D2790" s="550"/>
      <c r="E2790" s="550"/>
      <c r="F2790" s="237" t="s">
        <v>646</v>
      </c>
      <c r="G2790" s="551"/>
      <c r="H2790" s="230"/>
      <c r="M2790" s="237" t="s">
        <v>646</v>
      </c>
    </row>
    <row r="2791" spans="1:13" ht="18.75" customHeight="1" x14ac:dyDescent="0.25">
      <c r="B2791" s="236"/>
      <c r="C2791" s="232"/>
      <c r="D2791" s="550"/>
      <c r="E2791" s="550"/>
      <c r="F2791" s="237"/>
      <c r="G2791" s="551"/>
      <c r="H2791" s="220"/>
      <c r="M2791" s="237"/>
    </row>
    <row r="2792" spans="1:13" ht="18.75" customHeight="1" x14ac:dyDescent="0.25">
      <c r="B2792" s="248"/>
      <c r="C2792" s="238"/>
      <c r="D2792" s="239"/>
      <c r="E2792" s="240"/>
      <c r="F2792" s="241"/>
      <c r="G2792" s="291"/>
      <c r="H2792" s="251"/>
      <c r="M2792" s="241"/>
    </row>
    <row r="2793" spans="1:13" ht="18.75" customHeight="1" x14ac:dyDescent="0.25">
      <c r="B2793" s="249" t="s">
        <v>647</v>
      </c>
      <c r="C2793" s="104" t="s">
        <v>648</v>
      </c>
      <c r="D2793" s="435"/>
      <c r="E2793" s="92"/>
      <c r="F2793" s="183"/>
      <c r="G2793" s="167"/>
      <c r="H2793" s="252">
        <f>+H2790+H2787+H2780</f>
        <v>286852.45</v>
      </c>
      <c r="M2793" s="183"/>
    </row>
    <row r="2794" spans="1:13" ht="18.75" customHeight="1" x14ac:dyDescent="0.25">
      <c r="B2794" s="249" t="s">
        <v>649</v>
      </c>
      <c r="C2794" s="242" t="s">
        <v>650</v>
      </c>
      <c r="D2794" s="435"/>
      <c r="E2794" s="92"/>
      <c r="F2794" s="184" t="str">
        <f>$J$5</f>
        <v>8,0 % x D</v>
      </c>
      <c r="G2794" s="167"/>
      <c r="H2794" s="253">
        <f>+H2793*$K$5</f>
        <v>22948.196</v>
      </c>
      <c r="M2794" s="184" t="str">
        <f>$J$5</f>
        <v>8,0 % x D</v>
      </c>
    </row>
    <row r="2795" spans="1:13" ht="18.75" customHeight="1" x14ac:dyDescent="0.25">
      <c r="B2795" s="249" t="s">
        <v>651</v>
      </c>
      <c r="C2795" s="111" t="s">
        <v>652</v>
      </c>
      <c r="D2795" s="435"/>
      <c r="E2795" s="91"/>
      <c r="F2795" s="185"/>
      <c r="G2795" s="168"/>
      <c r="H2795" s="254">
        <f>ROUNDUP((H2794+H2793)/100,0)*100</f>
        <v>309900</v>
      </c>
      <c r="M2795" s="185"/>
    </row>
    <row r="2796" spans="1:13" ht="18.75" customHeight="1" x14ac:dyDescent="0.25">
      <c r="B2796" s="250"/>
      <c r="C2796" s="279"/>
      <c r="D2796" s="245"/>
      <c r="E2796" s="245"/>
      <c r="F2796" s="282"/>
      <c r="G2796" s="297"/>
      <c r="H2796" s="255"/>
      <c r="M2796" s="282"/>
    </row>
    <row r="2797" spans="1:13" ht="18.75" customHeight="1" x14ac:dyDescent="0.25">
      <c r="B2797" s="435"/>
      <c r="C2797" s="111"/>
      <c r="D2797" s="435"/>
      <c r="E2797" s="435"/>
      <c r="F2797" s="212"/>
      <c r="G2797" s="294"/>
      <c r="H2797" s="211"/>
      <c r="M2797" s="212"/>
    </row>
    <row r="2798" spans="1:13" ht="18.75" customHeight="1" x14ac:dyDescent="0.25">
      <c r="G2798" s="66"/>
      <c r="H2798" s="138"/>
    </row>
    <row r="2799" spans="1:13" ht="18.75" customHeight="1" x14ac:dyDescent="0.25">
      <c r="A2799" s="388" t="s">
        <v>1596</v>
      </c>
      <c r="B2799" s="389" t="s">
        <v>953</v>
      </c>
      <c r="C2799" s="390"/>
      <c r="D2799" s="391"/>
      <c r="E2799" s="392"/>
      <c r="F2799" s="393"/>
      <c r="G2799" s="394"/>
      <c r="H2799" s="391"/>
      <c r="M2799" s="393"/>
    </row>
    <row r="2800" spans="1:13" ht="18.75" customHeight="1" x14ac:dyDescent="0.25">
      <c r="B2800" s="19"/>
      <c r="C2800" s="93"/>
      <c r="G2800" s="66"/>
      <c r="H2800" s="138"/>
    </row>
    <row r="2801" spans="2:13" ht="18.75" customHeight="1" x14ac:dyDescent="0.25">
      <c r="B2801" s="19">
        <v>1</v>
      </c>
      <c r="C2801" s="93" t="s">
        <v>954</v>
      </c>
      <c r="D2801" s="19"/>
      <c r="E2801" s="552"/>
      <c r="F2801" s="196"/>
      <c r="G2801" s="171"/>
      <c r="H2801" s="142"/>
      <c r="K2801" s="18">
        <f>K5</f>
        <v>0.08</v>
      </c>
      <c r="M2801" s="196"/>
    </row>
    <row r="2802" spans="2:13" ht="18.75" customHeight="1" x14ac:dyDescent="0.25">
      <c r="B2802" s="618" t="s">
        <v>620</v>
      </c>
      <c r="C2802" s="620" t="s">
        <v>621</v>
      </c>
      <c r="D2802" s="618" t="s">
        <v>622</v>
      </c>
      <c r="E2802" s="618" t="s">
        <v>2</v>
      </c>
      <c r="F2802" s="615" t="s">
        <v>623</v>
      </c>
      <c r="G2802" s="289" t="s">
        <v>624</v>
      </c>
      <c r="H2802" s="256" t="s">
        <v>625</v>
      </c>
      <c r="M2802" s="615" t="s">
        <v>623</v>
      </c>
    </row>
    <row r="2803" spans="2:13" ht="18.75" customHeight="1" x14ac:dyDescent="0.25">
      <c r="B2803" s="619"/>
      <c r="C2803" s="621"/>
      <c r="D2803" s="619"/>
      <c r="E2803" s="619"/>
      <c r="F2803" s="616"/>
      <c r="G2803" s="289" t="s">
        <v>626</v>
      </c>
      <c r="H2803" s="256" t="s">
        <v>626</v>
      </c>
      <c r="M2803" s="616"/>
    </row>
    <row r="2804" spans="2:13" ht="18.75" customHeight="1" x14ac:dyDescent="0.25">
      <c r="B2804" s="221"/>
      <c r="C2804" s="222"/>
      <c r="D2804" s="221"/>
      <c r="E2804" s="550"/>
      <c r="F2804" s="555"/>
      <c r="G2804" s="551"/>
      <c r="H2804" s="220"/>
      <c r="M2804" s="590"/>
    </row>
    <row r="2805" spans="2:13" ht="18.75" customHeight="1" x14ac:dyDescent="0.25">
      <c r="B2805" s="550" t="s">
        <v>627</v>
      </c>
      <c r="C2805" s="223" t="s">
        <v>628</v>
      </c>
      <c r="D2805" s="550"/>
      <c r="E2805" s="550"/>
      <c r="F2805" s="555"/>
      <c r="G2805" s="551"/>
      <c r="H2805" s="220"/>
      <c r="M2805" s="590"/>
    </row>
    <row r="2806" spans="2:13" ht="18.75" customHeight="1" x14ac:dyDescent="0.25">
      <c r="B2806" s="550"/>
      <c r="C2806" s="227" t="s">
        <v>629</v>
      </c>
      <c r="D2806" s="550" t="s">
        <v>630</v>
      </c>
      <c r="E2806" s="550" t="s">
        <v>631</v>
      </c>
      <c r="F2806" s="228">
        <f t="shared" ref="F2806:F2809" si="141">$K$8*M2806</f>
        <v>0.55000000000000004</v>
      </c>
      <c r="G2806" s="229">
        <f>G2776</f>
        <v>95000</v>
      </c>
      <c r="H2806" s="230">
        <f>+G2806*F2806</f>
        <v>52250.000000000007</v>
      </c>
      <c r="M2806" s="228">
        <v>0.55000000000000004</v>
      </c>
    </row>
    <row r="2807" spans="2:13" ht="18.75" customHeight="1" x14ac:dyDescent="0.25">
      <c r="B2807" s="550"/>
      <c r="C2807" s="227" t="s">
        <v>1508</v>
      </c>
      <c r="D2807" s="550" t="s">
        <v>632</v>
      </c>
      <c r="E2807" s="550" t="s">
        <v>631</v>
      </c>
      <c r="F2807" s="228">
        <f t="shared" si="141"/>
        <v>0.2</v>
      </c>
      <c r="G2807" s="229">
        <f t="shared" ref="G2807:G2809" si="142">G2777</f>
        <v>110000</v>
      </c>
      <c r="H2807" s="230">
        <f>+G2807*F2807</f>
        <v>22000</v>
      </c>
      <c r="M2807" s="228">
        <v>0.2</v>
      </c>
    </row>
    <row r="2808" spans="2:13" ht="18.75" customHeight="1" x14ac:dyDescent="0.25">
      <c r="B2808" s="550"/>
      <c r="C2808" s="227" t="s">
        <v>633</v>
      </c>
      <c r="D2808" s="550" t="s">
        <v>634</v>
      </c>
      <c r="E2808" s="550" t="s">
        <v>631</v>
      </c>
      <c r="F2808" s="228">
        <f t="shared" si="141"/>
        <v>0.02</v>
      </c>
      <c r="G2808" s="229">
        <f t="shared" si="142"/>
        <v>115000</v>
      </c>
      <c r="H2808" s="230">
        <f>+G2808*F2808</f>
        <v>2300</v>
      </c>
      <c r="M2808" s="228">
        <v>0.02</v>
      </c>
    </row>
    <row r="2809" spans="2:13" ht="18.75" customHeight="1" x14ac:dyDescent="0.25">
      <c r="B2809" s="550"/>
      <c r="C2809" s="227" t="s">
        <v>600</v>
      </c>
      <c r="D2809" s="550" t="s">
        <v>635</v>
      </c>
      <c r="E2809" s="550" t="s">
        <v>631</v>
      </c>
      <c r="F2809" s="228">
        <f t="shared" si="141"/>
        <v>3.0000000000000001E-3</v>
      </c>
      <c r="G2809" s="229">
        <f t="shared" si="142"/>
        <v>140000</v>
      </c>
      <c r="H2809" s="230">
        <f>+G2809*F2809</f>
        <v>420</v>
      </c>
      <c r="M2809" s="228">
        <v>3.0000000000000001E-3</v>
      </c>
    </row>
    <row r="2810" spans="2:13" ht="18.75" customHeight="1" x14ac:dyDescent="0.25">
      <c r="B2810" s="550"/>
      <c r="C2810" s="223"/>
      <c r="D2810" s="550"/>
      <c r="E2810" s="550"/>
      <c r="F2810" s="233" t="s">
        <v>636</v>
      </c>
      <c r="G2810" s="551"/>
      <c r="H2810" s="231">
        <f>SUM(H2806:H2809)</f>
        <v>76970</v>
      </c>
      <c r="M2810" s="233" t="s">
        <v>636</v>
      </c>
    </row>
    <row r="2811" spans="2:13" ht="18.75" customHeight="1" x14ac:dyDescent="0.25">
      <c r="B2811" s="550"/>
      <c r="C2811" s="223"/>
      <c r="D2811" s="550"/>
      <c r="E2811" s="550"/>
      <c r="F2811" s="233"/>
      <c r="G2811" s="551"/>
      <c r="H2811" s="231"/>
      <c r="M2811" s="233"/>
    </row>
    <row r="2812" spans="2:13" ht="18.75" customHeight="1" x14ac:dyDescent="0.25">
      <c r="B2812" s="550" t="s">
        <v>637</v>
      </c>
      <c r="C2812" s="223" t="s">
        <v>638</v>
      </c>
      <c r="D2812" s="550"/>
      <c r="E2812" s="550"/>
      <c r="F2812" s="555"/>
      <c r="G2812" s="551"/>
      <c r="H2812" s="220"/>
      <c r="M2812" s="590"/>
    </row>
    <row r="2813" spans="2:13" ht="18.75" customHeight="1" x14ac:dyDescent="0.25">
      <c r="B2813" s="550"/>
      <c r="C2813" s="223" t="s">
        <v>663</v>
      </c>
      <c r="D2813" s="550"/>
      <c r="E2813" s="550" t="s">
        <v>66</v>
      </c>
      <c r="F2813" s="228">
        <v>140</v>
      </c>
      <c r="G2813" s="229">
        <f>Bahan!D69</f>
        <v>3750</v>
      </c>
      <c r="H2813" s="230">
        <f>+G2813*F2813</f>
        <v>525000</v>
      </c>
      <c r="M2813" s="228">
        <v>140</v>
      </c>
    </row>
    <row r="2814" spans="2:13" ht="18.75" customHeight="1" x14ac:dyDescent="0.25">
      <c r="B2814" s="550"/>
      <c r="C2814" s="223" t="s">
        <v>708</v>
      </c>
      <c r="D2814" s="550"/>
      <c r="E2814" s="550" t="s">
        <v>62</v>
      </c>
      <c r="F2814" s="228">
        <v>43.5</v>
      </c>
      <c r="G2814" s="234">
        <f>G17</f>
        <v>1700</v>
      </c>
      <c r="H2814" s="230">
        <f>+G2814*F2814</f>
        <v>73950</v>
      </c>
      <c r="M2814" s="228">
        <v>43.5</v>
      </c>
    </row>
    <row r="2815" spans="2:13" ht="18.75" customHeight="1" x14ac:dyDescent="0.25">
      <c r="B2815" s="550"/>
      <c r="C2815" s="223" t="s">
        <v>661</v>
      </c>
      <c r="D2815" s="550"/>
      <c r="E2815" s="550" t="s">
        <v>955</v>
      </c>
      <c r="F2815" s="228">
        <v>0.08</v>
      </c>
      <c r="G2815" s="234">
        <f>Bahan!D90</f>
        <v>230000</v>
      </c>
      <c r="H2815" s="230">
        <f>+G2815*F2815</f>
        <v>18400</v>
      </c>
      <c r="M2815" s="228">
        <v>0.08</v>
      </c>
    </row>
    <row r="2816" spans="2:13" ht="18.75" customHeight="1" x14ac:dyDescent="0.25">
      <c r="B2816" s="550"/>
      <c r="C2816" s="223"/>
      <c r="D2816" s="550"/>
      <c r="E2816" s="550"/>
      <c r="F2816" s="237" t="s">
        <v>643</v>
      </c>
      <c r="G2816" s="551"/>
      <c r="H2816" s="231">
        <f>SUM(H2813:H2815)</f>
        <v>617350</v>
      </c>
      <c r="M2816" s="237" t="s">
        <v>643</v>
      </c>
    </row>
    <row r="2817" spans="2:13" ht="18.75" customHeight="1" x14ac:dyDescent="0.25">
      <c r="B2817" s="550"/>
      <c r="C2817" s="223"/>
      <c r="D2817" s="550"/>
      <c r="E2817" s="550"/>
      <c r="F2817" s="555"/>
      <c r="G2817" s="551"/>
      <c r="H2817" s="220"/>
      <c r="M2817" s="590"/>
    </row>
    <row r="2818" spans="2:13" ht="18.75" customHeight="1" x14ac:dyDescent="0.25">
      <c r="B2818" s="550" t="s">
        <v>644</v>
      </c>
      <c r="C2818" s="223" t="s">
        <v>645</v>
      </c>
      <c r="D2818" s="550"/>
      <c r="E2818" s="550"/>
      <c r="F2818" s="555"/>
      <c r="G2818" s="551"/>
      <c r="H2818" s="235"/>
      <c r="M2818" s="590"/>
    </row>
    <row r="2819" spans="2:13" ht="18.75" customHeight="1" x14ac:dyDescent="0.25">
      <c r="B2819" s="236"/>
      <c r="C2819" s="232"/>
      <c r="D2819" s="550"/>
      <c r="E2819" s="550"/>
      <c r="F2819" s="237" t="s">
        <v>646</v>
      </c>
      <c r="G2819" s="551"/>
      <c r="H2819" s="230"/>
      <c r="M2819" s="237" t="s">
        <v>646</v>
      </c>
    </row>
    <row r="2820" spans="2:13" ht="18.75" customHeight="1" x14ac:dyDescent="0.25">
      <c r="B2820" s="236"/>
      <c r="C2820" s="232"/>
      <c r="D2820" s="550"/>
      <c r="E2820" s="550"/>
      <c r="F2820" s="237"/>
      <c r="G2820" s="551"/>
      <c r="H2820" s="220"/>
      <c r="M2820" s="237"/>
    </row>
    <row r="2821" spans="2:13" ht="18.75" customHeight="1" x14ac:dyDescent="0.25">
      <c r="B2821" s="354"/>
      <c r="C2821" s="362"/>
      <c r="D2821" s="239"/>
      <c r="E2821" s="240"/>
      <c r="F2821" s="241"/>
      <c r="G2821" s="293"/>
      <c r="H2821" s="355"/>
      <c r="M2821" s="241"/>
    </row>
    <row r="2822" spans="2:13" ht="18.75" customHeight="1" x14ac:dyDescent="0.25">
      <c r="B2822" s="356" t="s">
        <v>647</v>
      </c>
      <c r="C2822" s="363" t="s">
        <v>648</v>
      </c>
      <c r="D2822" s="435"/>
      <c r="E2822" s="92"/>
      <c r="F2822" s="183"/>
      <c r="G2822" s="295"/>
      <c r="H2822" s="357">
        <f>+H2819+H2816+H2810</f>
        <v>694320</v>
      </c>
      <c r="M2822" s="183"/>
    </row>
    <row r="2823" spans="2:13" ht="18.75" customHeight="1" x14ac:dyDescent="0.25">
      <c r="B2823" s="356" t="s">
        <v>649</v>
      </c>
      <c r="C2823" s="364" t="s">
        <v>650</v>
      </c>
      <c r="D2823" s="435"/>
      <c r="E2823" s="92"/>
      <c r="F2823" s="184" t="str">
        <f>$J$5</f>
        <v>8,0 % x D</v>
      </c>
      <c r="G2823" s="295"/>
      <c r="H2823" s="358">
        <f>+H2822*$K$5</f>
        <v>55545.599999999999</v>
      </c>
      <c r="M2823" s="184" t="str">
        <f>$J$5</f>
        <v>8,0 % x D</v>
      </c>
    </row>
    <row r="2824" spans="2:13" ht="18.75" customHeight="1" x14ac:dyDescent="0.25">
      <c r="B2824" s="356" t="s">
        <v>651</v>
      </c>
      <c r="C2824" s="365" t="s">
        <v>652</v>
      </c>
      <c r="D2824" s="435"/>
      <c r="E2824" s="91"/>
      <c r="F2824" s="185"/>
      <c r="G2824" s="296"/>
      <c r="H2824" s="359">
        <f>ROUNDUP((H2823+H2822)/100,0)*100</f>
        <v>749900</v>
      </c>
      <c r="M2824" s="185"/>
    </row>
    <row r="2825" spans="2:13" ht="18.75" customHeight="1" x14ac:dyDescent="0.25">
      <c r="B2825" s="360"/>
      <c r="C2825" s="366"/>
      <c r="D2825" s="245"/>
      <c r="E2825" s="246"/>
      <c r="F2825" s="247"/>
      <c r="G2825" s="299"/>
      <c r="H2825" s="361"/>
      <c r="M2825" s="247"/>
    </row>
    <row r="2826" spans="2:13" ht="18.75" customHeight="1" x14ac:dyDescent="0.25">
      <c r="B2826" s="92"/>
      <c r="C2826" s="104"/>
      <c r="D2826" s="435"/>
      <c r="E2826" s="91"/>
      <c r="F2826" s="185"/>
      <c r="G2826" s="168"/>
      <c r="H2826" s="139"/>
      <c r="M2826" s="185"/>
    </row>
    <row r="2827" spans="2:13" ht="18.75" customHeight="1" x14ac:dyDescent="0.25">
      <c r="B2827" s="19">
        <v>2</v>
      </c>
      <c r="C2827" s="93" t="s">
        <v>956</v>
      </c>
      <c r="D2827" s="19"/>
      <c r="E2827" s="21"/>
      <c r="F2827" s="176"/>
      <c r="G2827" s="165"/>
      <c r="H2827" s="119"/>
      <c r="M2827" s="176"/>
    </row>
    <row r="2828" spans="2:13" ht="18.75" customHeight="1" x14ac:dyDescent="0.25">
      <c r="B2828" s="618" t="s">
        <v>620</v>
      </c>
      <c r="C2828" s="620" t="s">
        <v>621</v>
      </c>
      <c r="D2828" s="618" t="s">
        <v>622</v>
      </c>
      <c r="E2828" s="618" t="s">
        <v>2</v>
      </c>
      <c r="F2828" s="615" t="s">
        <v>623</v>
      </c>
      <c r="G2828" s="289" t="s">
        <v>624</v>
      </c>
      <c r="H2828" s="256" t="s">
        <v>625</v>
      </c>
      <c r="M2828" s="615" t="s">
        <v>623</v>
      </c>
    </row>
    <row r="2829" spans="2:13" ht="18.75" customHeight="1" x14ac:dyDescent="0.25">
      <c r="B2829" s="619"/>
      <c r="C2829" s="621"/>
      <c r="D2829" s="619"/>
      <c r="E2829" s="619"/>
      <c r="F2829" s="616"/>
      <c r="G2829" s="289" t="s">
        <v>626</v>
      </c>
      <c r="H2829" s="256" t="s">
        <v>626</v>
      </c>
      <c r="M2829" s="616"/>
    </row>
    <row r="2830" spans="2:13" ht="18.75" customHeight="1" x14ac:dyDescent="0.25">
      <c r="B2830" s="221"/>
      <c r="C2830" s="222"/>
      <c r="D2830" s="221"/>
      <c r="E2830" s="550"/>
      <c r="F2830" s="555"/>
      <c r="G2830" s="551"/>
      <c r="H2830" s="220"/>
      <c r="M2830" s="590"/>
    </row>
    <row r="2831" spans="2:13" ht="18.75" customHeight="1" x14ac:dyDescent="0.25">
      <c r="B2831" s="550" t="s">
        <v>627</v>
      </c>
      <c r="C2831" s="223" t="s">
        <v>628</v>
      </c>
      <c r="D2831" s="550"/>
      <c r="E2831" s="224"/>
      <c r="F2831" s="225"/>
      <c r="G2831" s="290"/>
      <c r="H2831" s="226"/>
      <c r="M2831" s="225"/>
    </row>
    <row r="2832" spans="2:13" ht="18.75" customHeight="1" x14ac:dyDescent="0.25">
      <c r="B2832" s="550"/>
      <c r="C2832" s="227" t="s">
        <v>629</v>
      </c>
      <c r="D2832" s="550" t="s">
        <v>630</v>
      </c>
      <c r="E2832" s="224" t="s">
        <v>631</v>
      </c>
      <c r="F2832" s="228">
        <f t="shared" ref="F2832:F2835" si="143">$K$8*M2832</f>
        <v>0.55000000000000004</v>
      </c>
      <c r="G2832" s="229">
        <f>G2806</f>
        <v>95000</v>
      </c>
      <c r="H2832" s="230">
        <f>+G2832*F2832</f>
        <v>52250.000000000007</v>
      </c>
      <c r="M2832" s="228">
        <v>0.55000000000000004</v>
      </c>
    </row>
    <row r="2833" spans="2:13" ht="18.75" customHeight="1" x14ac:dyDescent="0.25">
      <c r="B2833" s="550"/>
      <c r="C2833" s="227" t="s">
        <v>1508</v>
      </c>
      <c r="D2833" s="550" t="s">
        <v>632</v>
      </c>
      <c r="E2833" s="224" t="s">
        <v>631</v>
      </c>
      <c r="F2833" s="228">
        <f t="shared" si="143"/>
        <v>0.2</v>
      </c>
      <c r="G2833" s="229">
        <f>G2807</f>
        <v>110000</v>
      </c>
      <c r="H2833" s="230">
        <f>+G2833*F2833</f>
        <v>22000</v>
      </c>
      <c r="M2833" s="228">
        <v>0.2</v>
      </c>
    </row>
    <row r="2834" spans="2:13" ht="18.75" customHeight="1" x14ac:dyDescent="0.25">
      <c r="B2834" s="550"/>
      <c r="C2834" s="227" t="s">
        <v>633</v>
      </c>
      <c r="D2834" s="550" t="s">
        <v>634</v>
      </c>
      <c r="E2834" s="224" t="s">
        <v>631</v>
      </c>
      <c r="F2834" s="228">
        <f t="shared" si="143"/>
        <v>0.02</v>
      </c>
      <c r="G2834" s="229">
        <f>G2808</f>
        <v>115000</v>
      </c>
      <c r="H2834" s="230">
        <f>+G2834*F2834</f>
        <v>2300</v>
      </c>
      <c r="M2834" s="228">
        <v>0.02</v>
      </c>
    </row>
    <row r="2835" spans="2:13" ht="18.75" customHeight="1" x14ac:dyDescent="0.25">
      <c r="B2835" s="550"/>
      <c r="C2835" s="227" t="s">
        <v>600</v>
      </c>
      <c r="D2835" s="550" t="s">
        <v>635</v>
      </c>
      <c r="E2835" s="224" t="s">
        <v>631</v>
      </c>
      <c r="F2835" s="228">
        <f t="shared" si="143"/>
        <v>0.03</v>
      </c>
      <c r="G2835" s="229">
        <f>G2809</f>
        <v>140000</v>
      </c>
      <c r="H2835" s="230">
        <f>+G2835*F2835</f>
        <v>4200</v>
      </c>
      <c r="M2835" s="228">
        <v>0.03</v>
      </c>
    </row>
    <row r="2836" spans="2:13" ht="18.75" customHeight="1" x14ac:dyDescent="0.25">
      <c r="B2836" s="550"/>
      <c r="C2836" s="223"/>
      <c r="D2836" s="550"/>
      <c r="E2836" s="224"/>
      <c r="F2836" s="233" t="s">
        <v>636</v>
      </c>
      <c r="G2836" s="290"/>
      <c r="H2836" s="231">
        <f>SUM(H2832:H2835)</f>
        <v>80750</v>
      </c>
      <c r="M2836" s="233" t="s">
        <v>636</v>
      </c>
    </row>
    <row r="2837" spans="2:13" ht="18.75" customHeight="1" x14ac:dyDescent="0.25">
      <c r="B2837" s="550"/>
      <c r="C2837" s="223"/>
      <c r="D2837" s="550"/>
      <c r="E2837" s="224"/>
      <c r="F2837" s="233"/>
      <c r="G2837" s="290"/>
      <c r="H2837" s="231"/>
      <c r="M2837" s="233"/>
    </row>
    <row r="2838" spans="2:13" ht="18.75" customHeight="1" x14ac:dyDescent="0.25">
      <c r="B2838" s="550" t="s">
        <v>637</v>
      </c>
      <c r="C2838" s="223" t="s">
        <v>638</v>
      </c>
      <c r="D2838" s="550"/>
      <c r="E2838" s="224"/>
      <c r="F2838" s="225"/>
      <c r="G2838" s="290"/>
      <c r="H2838" s="226"/>
      <c r="M2838" s="225"/>
    </row>
    <row r="2839" spans="2:13" ht="18.75" customHeight="1" x14ac:dyDescent="0.25">
      <c r="B2839" s="550"/>
      <c r="C2839" s="223" t="s">
        <v>663</v>
      </c>
      <c r="D2839" s="550"/>
      <c r="E2839" s="224" t="s">
        <v>66</v>
      </c>
      <c r="F2839" s="228">
        <v>140</v>
      </c>
      <c r="G2839" s="229">
        <f>G2813</f>
        <v>3750</v>
      </c>
      <c r="H2839" s="230">
        <f>+G2839*F2839</f>
        <v>525000</v>
      </c>
      <c r="M2839" s="228">
        <v>140</v>
      </c>
    </row>
    <row r="2840" spans="2:13" ht="18.75" customHeight="1" x14ac:dyDescent="0.25">
      <c r="B2840" s="550"/>
      <c r="C2840" s="223" t="s">
        <v>708</v>
      </c>
      <c r="D2840" s="550"/>
      <c r="E2840" s="224" t="s">
        <v>62</v>
      </c>
      <c r="F2840" s="228">
        <v>32.950000000000003</v>
      </c>
      <c r="G2840" s="229">
        <f>G2814</f>
        <v>1700</v>
      </c>
      <c r="H2840" s="230">
        <f>+G2840*F2840</f>
        <v>56015.000000000007</v>
      </c>
      <c r="M2840" s="228">
        <v>32.950000000000003</v>
      </c>
    </row>
    <row r="2841" spans="2:13" ht="18.75" customHeight="1" x14ac:dyDescent="0.25">
      <c r="B2841" s="550"/>
      <c r="C2841" s="223" t="s">
        <v>661</v>
      </c>
      <c r="D2841" s="550"/>
      <c r="E2841" s="224" t="s">
        <v>955</v>
      </c>
      <c r="F2841" s="228">
        <v>9.0999999999999998E-2</v>
      </c>
      <c r="G2841" s="229">
        <f>G2815</f>
        <v>230000</v>
      </c>
      <c r="H2841" s="230">
        <f>+G2841*F2841</f>
        <v>20930</v>
      </c>
      <c r="M2841" s="228">
        <v>9.0999999999999998E-2</v>
      </c>
    </row>
    <row r="2842" spans="2:13" ht="18.75" customHeight="1" x14ac:dyDescent="0.25">
      <c r="B2842" s="550"/>
      <c r="C2842" s="223"/>
      <c r="D2842" s="550"/>
      <c r="E2842" s="224"/>
      <c r="F2842" s="237" t="s">
        <v>643</v>
      </c>
      <c r="G2842" s="290"/>
      <c r="H2842" s="231">
        <f>SUM(H2839:H2841)</f>
        <v>601945</v>
      </c>
      <c r="M2842" s="237" t="s">
        <v>643</v>
      </c>
    </row>
    <row r="2843" spans="2:13" ht="18.75" customHeight="1" x14ac:dyDescent="0.25">
      <c r="B2843" s="550"/>
      <c r="C2843" s="223"/>
      <c r="D2843" s="550"/>
      <c r="E2843" s="224"/>
      <c r="F2843" s="225"/>
      <c r="G2843" s="290"/>
      <c r="H2843" s="226"/>
      <c r="M2843" s="225"/>
    </row>
    <row r="2844" spans="2:13" ht="18.75" customHeight="1" x14ac:dyDescent="0.25">
      <c r="B2844" s="550" t="s">
        <v>644</v>
      </c>
      <c r="C2844" s="223" t="s">
        <v>645</v>
      </c>
      <c r="D2844" s="550"/>
      <c r="E2844" s="224"/>
      <c r="F2844" s="225"/>
      <c r="G2844" s="290"/>
      <c r="H2844" s="235"/>
      <c r="M2844" s="225"/>
    </row>
    <row r="2845" spans="2:13" ht="18.75" customHeight="1" x14ac:dyDescent="0.25">
      <c r="B2845" s="236"/>
      <c r="C2845" s="232"/>
      <c r="D2845" s="550"/>
      <c r="E2845" s="224"/>
      <c r="F2845" s="237" t="s">
        <v>646</v>
      </c>
      <c r="G2845" s="290"/>
      <c r="H2845" s="230"/>
      <c r="M2845" s="237" t="s">
        <v>646</v>
      </c>
    </row>
    <row r="2846" spans="2:13" ht="18.75" customHeight="1" x14ac:dyDescent="0.25">
      <c r="B2846" s="236"/>
      <c r="C2846" s="232"/>
      <c r="D2846" s="550"/>
      <c r="E2846" s="224"/>
      <c r="F2846" s="237"/>
      <c r="G2846" s="290"/>
      <c r="H2846" s="226"/>
      <c r="M2846" s="237"/>
    </row>
    <row r="2847" spans="2:13" ht="18.75" customHeight="1" x14ac:dyDescent="0.25">
      <c r="B2847" s="354"/>
      <c r="C2847" s="362"/>
      <c r="D2847" s="239"/>
      <c r="E2847" s="240"/>
      <c r="F2847" s="241"/>
      <c r="G2847" s="293"/>
      <c r="H2847" s="355"/>
      <c r="M2847" s="241"/>
    </row>
    <row r="2848" spans="2:13" ht="18.75" customHeight="1" x14ac:dyDescent="0.25">
      <c r="B2848" s="356" t="s">
        <v>647</v>
      </c>
      <c r="C2848" s="363" t="s">
        <v>648</v>
      </c>
      <c r="D2848" s="435"/>
      <c r="E2848" s="92"/>
      <c r="F2848" s="183"/>
      <c r="G2848" s="295"/>
      <c r="H2848" s="357">
        <f>+H2845+H2842+H2836</f>
        <v>682695</v>
      </c>
      <c r="M2848" s="183"/>
    </row>
    <row r="2849" spans="2:13" ht="18.75" customHeight="1" x14ac:dyDescent="0.25">
      <c r="B2849" s="356" t="s">
        <v>649</v>
      </c>
      <c r="C2849" s="364" t="s">
        <v>650</v>
      </c>
      <c r="D2849" s="435"/>
      <c r="E2849" s="92"/>
      <c r="F2849" s="184" t="str">
        <f>$J$5</f>
        <v>8,0 % x D</v>
      </c>
      <c r="G2849" s="295"/>
      <c r="H2849" s="358">
        <f>+H2848*$K$5</f>
        <v>54615.6</v>
      </c>
      <c r="M2849" s="184" t="str">
        <f>$J$5</f>
        <v>8,0 % x D</v>
      </c>
    </row>
    <row r="2850" spans="2:13" ht="18.75" customHeight="1" x14ac:dyDescent="0.25">
      <c r="B2850" s="356" t="s">
        <v>651</v>
      </c>
      <c r="C2850" s="365" t="s">
        <v>652</v>
      </c>
      <c r="D2850" s="435"/>
      <c r="E2850" s="91"/>
      <c r="F2850" s="185"/>
      <c r="G2850" s="296"/>
      <c r="H2850" s="359">
        <f>ROUNDUP((H2849+H2848)/100,0)*100</f>
        <v>737400</v>
      </c>
      <c r="M2850" s="185"/>
    </row>
    <row r="2851" spans="2:13" ht="18.75" customHeight="1" x14ac:dyDescent="0.25">
      <c r="B2851" s="360"/>
      <c r="C2851" s="366"/>
      <c r="D2851" s="245"/>
      <c r="E2851" s="246"/>
      <c r="F2851" s="247"/>
      <c r="G2851" s="299"/>
      <c r="H2851" s="361"/>
      <c r="M2851" s="247"/>
    </row>
    <row r="2852" spans="2:13" ht="18.75" customHeight="1" x14ac:dyDescent="0.25">
      <c r="G2852" s="66"/>
      <c r="H2852" s="138"/>
    </row>
    <row r="2853" spans="2:13" ht="18.75" customHeight="1" x14ac:dyDescent="0.25">
      <c r="B2853" s="19">
        <v>3</v>
      </c>
      <c r="C2853" s="93" t="s">
        <v>957</v>
      </c>
      <c r="D2853" s="19"/>
      <c r="E2853" s="21"/>
      <c r="F2853" s="176"/>
      <c r="G2853" s="165"/>
      <c r="H2853" s="119"/>
      <c r="M2853" s="176"/>
    </row>
    <row r="2854" spans="2:13" ht="18.75" customHeight="1" x14ac:dyDescent="0.25">
      <c r="B2854" s="618" t="s">
        <v>620</v>
      </c>
      <c r="C2854" s="620" t="s">
        <v>621</v>
      </c>
      <c r="D2854" s="618" t="s">
        <v>622</v>
      </c>
      <c r="E2854" s="618" t="s">
        <v>2</v>
      </c>
      <c r="F2854" s="615" t="s">
        <v>623</v>
      </c>
      <c r="G2854" s="289" t="s">
        <v>624</v>
      </c>
      <c r="H2854" s="256" t="s">
        <v>625</v>
      </c>
      <c r="M2854" s="615" t="s">
        <v>623</v>
      </c>
    </row>
    <row r="2855" spans="2:13" ht="18.75" customHeight="1" x14ac:dyDescent="0.25">
      <c r="B2855" s="619"/>
      <c r="C2855" s="621"/>
      <c r="D2855" s="619"/>
      <c r="E2855" s="619"/>
      <c r="F2855" s="616"/>
      <c r="G2855" s="289" t="s">
        <v>626</v>
      </c>
      <c r="H2855" s="256" t="s">
        <v>626</v>
      </c>
      <c r="M2855" s="616"/>
    </row>
    <row r="2856" spans="2:13" ht="18.75" customHeight="1" x14ac:dyDescent="0.25">
      <c r="B2856" s="221"/>
      <c r="C2856" s="222"/>
      <c r="D2856" s="221"/>
      <c r="E2856" s="550"/>
      <c r="F2856" s="555"/>
      <c r="G2856" s="551"/>
      <c r="H2856" s="220"/>
      <c r="M2856" s="590"/>
    </row>
    <row r="2857" spans="2:13" ht="18.75" customHeight="1" x14ac:dyDescent="0.25">
      <c r="B2857" s="550" t="s">
        <v>627</v>
      </c>
      <c r="C2857" s="223" t="s">
        <v>628</v>
      </c>
      <c r="D2857" s="550"/>
      <c r="E2857" s="224"/>
      <c r="F2857" s="225"/>
      <c r="G2857" s="290"/>
      <c r="H2857" s="226"/>
      <c r="M2857" s="225"/>
    </row>
    <row r="2858" spans="2:13" ht="18.75" customHeight="1" x14ac:dyDescent="0.25">
      <c r="B2858" s="550"/>
      <c r="C2858" s="227" t="s">
        <v>629</v>
      </c>
      <c r="D2858" s="550" t="s">
        <v>630</v>
      </c>
      <c r="E2858" s="224" t="s">
        <v>631</v>
      </c>
      <c r="F2858" s="228">
        <f t="shared" ref="F2858:F2861" si="144">$K$8*M2858</f>
        <v>0.55000000000000004</v>
      </c>
      <c r="G2858" s="229">
        <f>G2832</f>
        <v>95000</v>
      </c>
      <c r="H2858" s="230">
        <f>+G2858*F2858</f>
        <v>52250.000000000007</v>
      </c>
      <c r="M2858" s="228">
        <v>0.55000000000000004</v>
      </c>
    </row>
    <row r="2859" spans="2:13" ht="18.75" customHeight="1" x14ac:dyDescent="0.25">
      <c r="B2859" s="550"/>
      <c r="C2859" s="227" t="s">
        <v>1508</v>
      </c>
      <c r="D2859" s="550" t="s">
        <v>632</v>
      </c>
      <c r="E2859" s="224" t="s">
        <v>631</v>
      </c>
      <c r="F2859" s="228">
        <f t="shared" si="144"/>
        <v>0.2</v>
      </c>
      <c r="G2859" s="229">
        <f>G2833</f>
        <v>110000</v>
      </c>
      <c r="H2859" s="230">
        <f>+G2859*F2859</f>
        <v>22000</v>
      </c>
      <c r="M2859" s="228">
        <v>0.2</v>
      </c>
    </row>
    <row r="2860" spans="2:13" ht="18.75" customHeight="1" x14ac:dyDescent="0.25">
      <c r="B2860" s="550"/>
      <c r="C2860" s="227" t="s">
        <v>633</v>
      </c>
      <c r="D2860" s="550" t="s">
        <v>634</v>
      </c>
      <c r="E2860" s="224" t="s">
        <v>631</v>
      </c>
      <c r="F2860" s="228">
        <f t="shared" si="144"/>
        <v>0.02</v>
      </c>
      <c r="G2860" s="229">
        <f>G2834</f>
        <v>115000</v>
      </c>
      <c r="H2860" s="230">
        <f>+G2860*F2860</f>
        <v>2300</v>
      </c>
      <c r="M2860" s="228">
        <v>0.02</v>
      </c>
    </row>
    <row r="2861" spans="2:13" ht="18.75" customHeight="1" x14ac:dyDescent="0.25">
      <c r="B2861" s="550"/>
      <c r="C2861" s="227" t="s">
        <v>600</v>
      </c>
      <c r="D2861" s="550" t="s">
        <v>635</v>
      </c>
      <c r="E2861" s="224" t="s">
        <v>631</v>
      </c>
      <c r="F2861" s="228">
        <f t="shared" si="144"/>
        <v>0.03</v>
      </c>
      <c r="G2861" s="229">
        <f>G2835</f>
        <v>140000</v>
      </c>
      <c r="H2861" s="230">
        <f>+G2861*F2861</f>
        <v>4200</v>
      </c>
      <c r="M2861" s="228">
        <v>0.03</v>
      </c>
    </row>
    <row r="2862" spans="2:13" ht="18.75" customHeight="1" x14ac:dyDescent="0.25">
      <c r="B2862" s="550"/>
      <c r="C2862" s="223"/>
      <c r="D2862" s="550"/>
      <c r="E2862" s="224"/>
      <c r="F2862" s="233" t="s">
        <v>636</v>
      </c>
      <c r="G2862" s="290"/>
      <c r="H2862" s="231">
        <f>SUM(H2858:H2861)</f>
        <v>80750</v>
      </c>
      <c r="M2862" s="233" t="s">
        <v>636</v>
      </c>
    </row>
    <row r="2863" spans="2:13" ht="18.75" customHeight="1" x14ac:dyDescent="0.25">
      <c r="B2863" s="550"/>
      <c r="C2863" s="223"/>
      <c r="D2863" s="550"/>
      <c r="E2863" s="224"/>
      <c r="F2863" s="233"/>
      <c r="G2863" s="290"/>
      <c r="H2863" s="231"/>
      <c r="M2863" s="233"/>
    </row>
    <row r="2864" spans="2:13" ht="18.75" customHeight="1" x14ac:dyDescent="0.25">
      <c r="B2864" s="550" t="s">
        <v>637</v>
      </c>
      <c r="C2864" s="223" t="s">
        <v>638</v>
      </c>
      <c r="D2864" s="550"/>
      <c r="E2864" s="224"/>
      <c r="F2864" s="225"/>
      <c r="G2864" s="290"/>
      <c r="H2864" s="226"/>
      <c r="M2864" s="225"/>
    </row>
    <row r="2865" spans="2:13" ht="18.75" customHeight="1" x14ac:dyDescent="0.25">
      <c r="B2865" s="550"/>
      <c r="C2865" s="223" t="s">
        <v>663</v>
      </c>
      <c r="D2865" s="550"/>
      <c r="E2865" s="224" t="s">
        <v>66</v>
      </c>
      <c r="F2865" s="228">
        <v>140</v>
      </c>
      <c r="G2865" s="229">
        <f>+G2839</f>
        <v>3750</v>
      </c>
      <c r="H2865" s="230">
        <f>+G2865*F2865</f>
        <v>525000</v>
      </c>
      <c r="M2865" s="228">
        <v>140</v>
      </c>
    </row>
    <row r="2866" spans="2:13" ht="18.75" customHeight="1" x14ac:dyDescent="0.25">
      <c r="B2866" s="550"/>
      <c r="C2866" s="223" t="s">
        <v>708</v>
      </c>
      <c r="D2866" s="550"/>
      <c r="E2866" s="224" t="s">
        <v>62</v>
      </c>
      <c r="F2866" s="228">
        <v>26.55</v>
      </c>
      <c r="G2866" s="229">
        <f>+G2840</f>
        <v>1700</v>
      </c>
      <c r="H2866" s="230">
        <f>+G2866*F2866</f>
        <v>45135</v>
      </c>
      <c r="M2866" s="228">
        <v>26.55</v>
      </c>
    </row>
    <row r="2867" spans="2:13" ht="18.75" customHeight="1" x14ac:dyDescent="0.25">
      <c r="B2867" s="550"/>
      <c r="C2867" s="223" t="s">
        <v>661</v>
      </c>
      <c r="D2867" s="550"/>
      <c r="E2867" s="224" t="s">
        <v>955</v>
      </c>
      <c r="F2867" s="228">
        <v>9.2999999999999999E-2</v>
      </c>
      <c r="G2867" s="229">
        <f>+G2841</f>
        <v>230000</v>
      </c>
      <c r="H2867" s="230">
        <f>+G2867*F2867</f>
        <v>21390</v>
      </c>
      <c r="M2867" s="228">
        <v>9.2999999999999999E-2</v>
      </c>
    </row>
    <row r="2868" spans="2:13" ht="18.75" customHeight="1" x14ac:dyDescent="0.25">
      <c r="B2868" s="550"/>
      <c r="C2868" s="223"/>
      <c r="D2868" s="550"/>
      <c r="E2868" s="224"/>
      <c r="F2868" s="237" t="s">
        <v>643</v>
      </c>
      <c r="G2868" s="290"/>
      <c r="H2868" s="231">
        <f>SUM(H2865:H2867)</f>
        <v>591525</v>
      </c>
      <c r="M2868" s="237" t="s">
        <v>643</v>
      </c>
    </row>
    <row r="2869" spans="2:13" ht="18.75" customHeight="1" x14ac:dyDescent="0.25">
      <c r="B2869" s="550"/>
      <c r="C2869" s="223"/>
      <c r="D2869" s="550"/>
      <c r="E2869" s="224"/>
      <c r="F2869" s="225"/>
      <c r="G2869" s="290"/>
      <c r="H2869" s="226"/>
      <c r="M2869" s="225"/>
    </row>
    <row r="2870" spans="2:13" ht="18.75" customHeight="1" x14ac:dyDescent="0.25">
      <c r="B2870" s="550" t="s">
        <v>644</v>
      </c>
      <c r="C2870" s="223" t="s">
        <v>645</v>
      </c>
      <c r="D2870" s="550"/>
      <c r="E2870" s="224"/>
      <c r="F2870" s="225"/>
      <c r="G2870" s="290"/>
      <c r="H2870" s="235"/>
      <c r="M2870" s="225"/>
    </row>
    <row r="2871" spans="2:13" ht="18.75" customHeight="1" x14ac:dyDescent="0.25">
      <c r="B2871" s="236"/>
      <c r="C2871" s="232"/>
      <c r="D2871" s="550"/>
      <c r="E2871" s="224"/>
      <c r="F2871" s="237" t="s">
        <v>646</v>
      </c>
      <c r="G2871" s="290"/>
      <c r="H2871" s="230"/>
      <c r="M2871" s="237" t="s">
        <v>646</v>
      </c>
    </row>
    <row r="2872" spans="2:13" ht="18.75" customHeight="1" x14ac:dyDescent="0.25">
      <c r="B2872" s="236"/>
      <c r="C2872" s="232"/>
      <c r="D2872" s="550"/>
      <c r="E2872" s="224"/>
      <c r="F2872" s="237"/>
      <c r="G2872" s="290"/>
      <c r="H2872" s="226"/>
      <c r="M2872" s="237"/>
    </row>
    <row r="2873" spans="2:13" ht="18.75" customHeight="1" x14ac:dyDescent="0.25">
      <c r="B2873" s="354"/>
      <c r="C2873" s="362"/>
      <c r="D2873" s="239"/>
      <c r="E2873" s="240"/>
      <c r="F2873" s="241"/>
      <c r="G2873" s="293"/>
      <c r="H2873" s="355"/>
      <c r="M2873" s="241"/>
    </row>
    <row r="2874" spans="2:13" ht="18.75" customHeight="1" x14ac:dyDescent="0.25">
      <c r="B2874" s="356" t="s">
        <v>647</v>
      </c>
      <c r="C2874" s="363" t="s">
        <v>648</v>
      </c>
      <c r="D2874" s="435"/>
      <c r="E2874" s="92"/>
      <c r="F2874" s="183"/>
      <c r="G2874" s="295"/>
      <c r="H2874" s="357">
        <f>+H2871+H2868+H2862</f>
        <v>672275</v>
      </c>
      <c r="M2874" s="183"/>
    </row>
    <row r="2875" spans="2:13" ht="18.75" customHeight="1" x14ac:dyDescent="0.25">
      <c r="B2875" s="356" t="s">
        <v>649</v>
      </c>
      <c r="C2875" s="364" t="s">
        <v>650</v>
      </c>
      <c r="D2875" s="435"/>
      <c r="E2875" s="92"/>
      <c r="F2875" s="184" t="str">
        <f>$J$5</f>
        <v>8,0 % x D</v>
      </c>
      <c r="G2875" s="295"/>
      <c r="H2875" s="358">
        <f>+H2874*$K$5</f>
        <v>53782</v>
      </c>
      <c r="M2875" s="184" t="str">
        <f>$J$5</f>
        <v>8,0 % x D</v>
      </c>
    </row>
    <row r="2876" spans="2:13" ht="18.75" customHeight="1" x14ac:dyDescent="0.25">
      <c r="B2876" s="356" t="s">
        <v>651</v>
      </c>
      <c r="C2876" s="365" t="s">
        <v>652</v>
      </c>
      <c r="D2876" s="435"/>
      <c r="E2876" s="91"/>
      <c r="F2876" s="185"/>
      <c r="G2876" s="296"/>
      <c r="H2876" s="359">
        <f>ROUNDUP((H2875+H2874)/100,0)*100</f>
        <v>726100</v>
      </c>
      <c r="M2876" s="185"/>
    </row>
    <row r="2877" spans="2:13" ht="18.75" customHeight="1" x14ac:dyDescent="0.25">
      <c r="B2877" s="360"/>
      <c r="C2877" s="366"/>
      <c r="D2877" s="245"/>
      <c r="E2877" s="246"/>
      <c r="F2877" s="247"/>
      <c r="G2877" s="299"/>
      <c r="H2877" s="361"/>
      <c r="M2877" s="247"/>
    </row>
    <row r="2878" spans="2:13" ht="18.75" customHeight="1" x14ac:dyDescent="0.25">
      <c r="G2878" s="66"/>
      <c r="H2878" s="138"/>
    </row>
    <row r="2879" spans="2:13" ht="18.75" customHeight="1" x14ac:dyDescent="0.25">
      <c r="B2879" s="19">
        <v>4</v>
      </c>
      <c r="C2879" s="93" t="s">
        <v>958</v>
      </c>
      <c r="D2879" s="19"/>
      <c r="E2879" s="21"/>
      <c r="F2879" s="176"/>
      <c r="G2879" s="165"/>
      <c r="H2879" s="119"/>
      <c r="M2879" s="176"/>
    </row>
    <row r="2880" spans="2:13" ht="18.75" customHeight="1" x14ac:dyDescent="0.25">
      <c r="B2880" s="618" t="s">
        <v>620</v>
      </c>
      <c r="C2880" s="620" t="s">
        <v>621</v>
      </c>
      <c r="D2880" s="618" t="s">
        <v>622</v>
      </c>
      <c r="E2880" s="618" t="s">
        <v>2</v>
      </c>
      <c r="F2880" s="615" t="s">
        <v>623</v>
      </c>
      <c r="G2880" s="289" t="s">
        <v>624</v>
      </c>
      <c r="H2880" s="256" t="s">
        <v>625</v>
      </c>
      <c r="M2880" s="615" t="s">
        <v>623</v>
      </c>
    </row>
    <row r="2881" spans="2:13" ht="18.75" customHeight="1" x14ac:dyDescent="0.25">
      <c r="B2881" s="619"/>
      <c r="C2881" s="621"/>
      <c r="D2881" s="619"/>
      <c r="E2881" s="619"/>
      <c r="F2881" s="616"/>
      <c r="G2881" s="289" t="s">
        <v>626</v>
      </c>
      <c r="H2881" s="256" t="s">
        <v>626</v>
      </c>
      <c r="M2881" s="616"/>
    </row>
    <row r="2882" spans="2:13" ht="18.75" customHeight="1" x14ac:dyDescent="0.25">
      <c r="B2882" s="221"/>
      <c r="C2882" s="222"/>
      <c r="D2882" s="221"/>
      <c r="E2882" s="550"/>
      <c r="F2882" s="555"/>
      <c r="G2882" s="551"/>
      <c r="H2882" s="220"/>
      <c r="M2882" s="590"/>
    </row>
    <row r="2883" spans="2:13" ht="18.75" customHeight="1" x14ac:dyDescent="0.25">
      <c r="B2883" s="550" t="s">
        <v>627</v>
      </c>
      <c r="C2883" s="223" t="s">
        <v>628</v>
      </c>
      <c r="D2883" s="550"/>
      <c r="E2883" s="224"/>
      <c r="F2883" s="225"/>
      <c r="G2883" s="290"/>
      <c r="H2883" s="226"/>
      <c r="M2883" s="225"/>
    </row>
    <row r="2884" spans="2:13" ht="18.75" customHeight="1" x14ac:dyDescent="0.25">
      <c r="B2884" s="550"/>
      <c r="C2884" s="227" t="s">
        <v>629</v>
      </c>
      <c r="D2884" s="550" t="s">
        <v>630</v>
      </c>
      <c r="E2884" s="224" t="s">
        <v>631</v>
      </c>
      <c r="F2884" s="228">
        <f t="shared" ref="F2884:F2887" si="145">$K$8*M2884</f>
        <v>0.55000000000000004</v>
      </c>
      <c r="G2884" s="229">
        <f>G2858</f>
        <v>95000</v>
      </c>
      <c r="H2884" s="230">
        <f>+G2884*F2884</f>
        <v>52250.000000000007</v>
      </c>
      <c r="M2884" s="228">
        <v>0.55000000000000004</v>
      </c>
    </row>
    <row r="2885" spans="2:13" ht="18.75" customHeight="1" x14ac:dyDescent="0.25">
      <c r="B2885" s="550"/>
      <c r="C2885" s="227" t="s">
        <v>1508</v>
      </c>
      <c r="D2885" s="550" t="s">
        <v>632</v>
      </c>
      <c r="E2885" s="224" t="s">
        <v>631</v>
      </c>
      <c r="F2885" s="228">
        <f t="shared" si="145"/>
        <v>0.2</v>
      </c>
      <c r="G2885" s="229">
        <f>G2859</f>
        <v>110000</v>
      </c>
      <c r="H2885" s="230">
        <f>+G2885*F2885</f>
        <v>22000</v>
      </c>
      <c r="M2885" s="228">
        <v>0.2</v>
      </c>
    </row>
    <row r="2886" spans="2:13" ht="18.75" customHeight="1" x14ac:dyDescent="0.25">
      <c r="B2886" s="550"/>
      <c r="C2886" s="227" t="s">
        <v>633</v>
      </c>
      <c r="D2886" s="550" t="s">
        <v>634</v>
      </c>
      <c r="E2886" s="224" t="s">
        <v>631</v>
      </c>
      <c r="F2886" s="228">
        <f t="shared" si="145"/>
        <v>0.02</v>
      </c>
      <c r="G2886" s="229">
        <f>G2860</f>
        <v>115000</v>
      </c>
      <c r="H2886" s="230">
        <f>+G2886*F2886</f>
        <v>2300</v>
      </c>
      <c r="M2886" s="228">
        <v>0.02</v>
      </c>
    </row>
    <row r="2887" spans="2:13" ht="18.75" customHeight="1" x14ac:dyDescent="0.25">
      <c r="B2887" s="550"/>
      <c r="C2887" s="227" t="s">
        <v>600</v>
      </c>
      <c r="D2887" s="550" t="s">
        <v>635</v>
      </c>
      <c r="E2887" s="224" t="s">
        <v>631</v>
      </c>
      <c r="F2887" s="228">
        <f t="shared" si="145"/>
        <v>0.03</v>
      </c>
      <c r="G2887" s="229">
        <f>G2861</f>
        <v>140000</v>
      </c>
      <c r="H2887" s="230">
        <f>+G2887*F2887</f>
        <v>4200</v>
      </c>
      <c r="M2887" s="228">
        <v>0.03</v>
      </c>
    </row>
    <row r="2888" spans="2:13" ht="18.75" customHeight="1" x14ac:dyDescent="0.25">
      <c r="B2888" s="550"/>
      <c r="C2888" s="223"/>
      <c r="D2888" s="550"/>
      <c r="E2888" s="224"/>
      <c r="F2888" s="233" t="s">
        <v>636</v>
      </c>
      <c r="G2888" s="290"/>
      <c r="H2888" s="231">
        <f>SUM(H2884:H2887)</f>
        <v>80750</v>
      </c>
      <c r="M2888" s="233" t="s">
        <v>636</v>
      </c>
    </row>
    <row r="2889" spans="2:13" ht="18.75" customHeight="1" x14ac:dyDescent="0.25">
      <c r="B2889" s="550"/>
      <c r="C2889" s="223"/>
      <c r="D2889" s="550"/>
      <c r="E2889" s="224"/>
      <c r="F2889" s="233"/>
      <c r="G2889" s="290"/>
      <c r="H2889" s="231"/>
      <c r="M2889" s="233"/>
    </row>
    <row r="2890" spans="2:13" ht="18.75" customHeight="1" x14ac:dyDescent="0.25">
      <c r="B2890" s="550" t="s">
        <v>637</v>
      </c>
      <c r="C2890" s="223" t="s">
        <v>638</v>
      </c>
      <c r="D2890" s="550"/>
      <c r="E2890" s="224"/>
      <c r="F2890" s="225"/>
      <c r="G2890" s="290"/>
      <c r="H2890" s="226"/>
      <c r="M2890" s="225"/>
    </row>
    <row r="2891" spans="2:13" ht="18.75" customHeight="1" x14ac:dyDescent="0.25">
      <c r="B2891" s="550"/>
      <c r="C2891" s="223" t="s">
        <v>663</v>
      </c>
      <c r="D2891" s="550"/>
      <c r="E2891" s="224" t="s">
        <v>66</v>
      </c>
      <c r="F2891" s="228">
        <v>140</v>
      </c>
      <c r="G2891" s="229">
        <f>+G2865</f>
        <v>3750</v>
      </c>
      <c r="H2891" s="230">
        <f>+G2891*F2891</f>
        <v>525000</v>
      </c>
      <c r="M2891" s="228">
        <v>140</v>
      </c>
    </row>
    <row r="2892" spans="2:13" ht="18.75" customHeight="1" x14ac:dyDescent="0.25">
      <c r="B2892" s="550"/>
      <c r="C2892" s="223" t="s">
        <v>708</v>
      </c>
      <c r="D2892" s="550"/>
      <c r="E2892" s="224" t="s">
        <v>62</v>
      </c>
      <c r="F2892" s="228">
        <v>22.2</v>
      </c>
      <c r="G2892" s="229">
        <f>+G2866</f>
        <v>1700</v>
      </c>
      <c r="H2892" s="230">
        <f>+G2892*F2892</f>
        <v>37740</v>
      </c>
      <c r="M2892" s="228">
        <v>22.2</v>
      </c>
    </row>
    <row r="2893" spans="2:13" ht="18.75" customHeight="1" x14ac:dyDescent="0.25">
      <c r="B2893" s="550"/>
      <c r="C2893" s="223" t="s">
        <v>661</v>
      </c>
      <c r="D2893" s="550"/>
      <c r="E2893" s="224" t="s">
        <v>955</v>
      </c>
      <c r="F2893" s="228">
        <v>0.10199999999999999</v>
      </c>
      <c r="G2893" s="229">
        <f>+G2867</f>
        <v>230000</v>
      </c>
      <c r="H2893" s="230">
        <f>+G2893*F2893</f>
        <v>23460</v>
      </c>
      <c r="M2893" s="228">
        <v>0.10199999999999999</v>
      </c>
    </row>
    <row r="2894" spans="2:13" ht="18.75" customHeight="1" x14ac:dyDescent="0.25">
      <c r="B2894" s="550"/>
      <c r="C2894" s="223"/>
      <c r="D2894" s="550"/>
      <c r="E2894" s="224"/>
      <c r="F2894" s="237" t="s">
        <v>643</v>
      </c>
      <c r="G2894" s="290"/>
      <c r="H2894" s="231">
        <f>SUM(H2891:H2893)</f>
        <v>586200</v>
      </c>
      <c r="M2894" s="237" t="s">
        <v>643</v>
      </c>
    </row>
    <row r="2895" spans="2:13" ht="18.75" customHeight="1" x14ac:dyDescent="0.25">
      <c r="B2895" s="550"/>
      <c r="C2895" s="223"/>
      <c r="D2895" s="550"/>
      <c r="E2895" s="224"/>
      <c r="F2895" s="225"/>
      <c r="G2895" s="290"/>
      <c r="H2895" s="226"/>
      <c r="M2895" s="225"/>
    </row>
    <row r="2896" spans="2:13" ht="18.75" customHeight="1" x14ac:dyDescent="0.25">
      <c r="B2896" s="550" t="s">
        <v>644</v>
      </c>
      <c r="C2896" s="223" t="s">
        <v>645</v>
      </c>
      <c r="D2896" s="550"/>
      <c r="E2896" s="224"/>
      <c r="F2896" s="225"/>
      <c r="G2896" s="290"/>
      <c r="H2896" s="235"/>
      <c r="M2896" s="225"/>
    </row>
    <row r="2897" spans="2:13" ht="18.75" customHeight="1" x14ac:dyDescent="0.25">
      <c r="B2897" s="236"/>
      <c r="C2897" s="232"/>
      <c r="D2897" s="550"/>
      <c r="E2897" s="224"/>
      <c r="F2897" s="237" t="s">
        <v>646</v>
      </c>
      <c r="G2897" s="290"/>
      <c r="H2897" s="230"/>
      <c r="M2897" s="237" t="s">
        <v>646</v>
      </c>
    </row>
    <row r="2898" spans="2:13" ht="18.75" customHeight="1" x14ac:dyDescent="0.25">
      <c r="B2898" s="236"/>
      <c r="C2898" s="232"/>
      <c r="D2898" s="550"/>
      <c r="E2898" s="224"/>
      <c r="F2898" s="237"/>
      <c r="G2898" s="290"/>
      <c r="H2898" s="226"/>
      <c r="M2898" s="237"/>
    </row>
    <row r="2899" spans="2:13" ht="18.75" customHeight="1" x14ac:dyDescent="0.25">
      <c r="B2899" s="354"/>
      <c r="C2899" s="362"/>
      <c r="D2899" s="239"/>
      <c r="E2899" s="240"/>
      <c r="F2899" s="241"/>
      <c r="G2899" s="293"/>
      <c r="H2899" s="355"/>
      <c r="M2899" s="241"/>
    </row>
    <row r="2900" spans="2:13" ht="18.75" customHeight="1" x14ac:dyDescent="0.25">
      <c r="B2900" s="356" t="s">
        <v>647</v>
      </c>
      <c r="C2900" s="363" t="s">
        <v>648</v>
      </c>
      <c r="D2900" s="435"/>
      <c r="E2900" s="92"/>
      <c r="F2900" s="183"/>
      <c r="G2900" s="295"/>
      <c r="H2900" s="357">
        <f>+H2897+H2894+H2888</f>
        <v>666950</v>
      </c>
      <c r="M2900" s="183"/>
    </row>
    <row r="2901" spans="2:13" ht="18.75" customHeight="1" x14ac:dyDescent="0.25">
      <c r="B2901" s="356" t="s">
        <v>649</v>
      </c>
      <c r="C2901" s="364" t="s">
        <v>650</v>
      </c>
      <c r="D2901" s="435"/>
      <c r="E2901" s="92"/>
      <c r="F2901" s="184" t="str">
        <f>$J$5</f>
        <v>8,0 % x D</v>
      </c>
      <c r="G2901" s="295"/>
      <c r="H2901" s="358">
        <f>+H2900*$K$5</f>
        <v>53356</v>
      </c>
      <c r="M2901" s="184" t="str">
        <f>$J$5</f>
        <v>8,0 % x D</v>
      </c>
    </row>
    <row r="2902" spans="2:13" ht="18.75" customHeight="1" x14ac:dyDescent="0.25">
      <c r="B2902" s="356" t="s">
        <v>651</v>
      </c>
      <c r="C2902" s="365" t="s">
        <v>652</v>
      </c>
      <c r="D2902" s="435"/>
      <c r="E2902" s="91"/>
      <c r="F2902" s="185"/>
      <c r="G2902" s="296"/>
      <c r="H2902" s="359">
        <f>ROUNDUP((H2901+H2900)/100,0)*100</f>
        <v>720400</v>
      </c>
      <c r="M2902" s="185"/>
    </row>
    <row r="2903" spans="2:13" ht="18.75" customHeight="1" x14ac:dyDescent="0.25">
      <c r="B2903" s="360"/>
      <c r="C2903" s="366"/>
      <c r="D2903" s="245"/>
      <c r="E2903" s="246"/>
      <c r="F2903" s="247"/>
      <c r="G2903" s="299"/>
      <c r="H2903" s="361"/>
      <c r="M2903" s="247"/>
    </row>
    <row r="2904" spans="2:13" ht="18.75" customHeight="1" x14ac:dyDescent="0.25">
      <c r="B2904" s="22"/>
      <c r="C2904" s="104"/>
      <c r="E2904" s="21"/>
      <c r="F2904" s="176"/>
      <c r="G2904" s="165"/>
      <c r="H2904" s="119"/>
      <c r="M2904" s="176"/>
    </row>
    <row r="2905" spans="2:13" ht="18.75" customHeight="1" x14ac:dyDescent="0.25">
      <c r="B2905" s="19">
        <v>5</v>
      </c>
      <c r="C2905" s="93" t="s">
        <v>959</v>
      </c>
      <c r="D2905" s="19"/>
      <c r="E2905" s="21"/>
      <c r="F2905" s="176"/>
      <c r="G2905" s="165"/>
      <c r="H2905" s="119"/>
      <c r="M2905" s="176"/>
    </row>
    <row r="2906" spans="2:13" ht="18.75" customHeight="1" x14ac:dyDescent="0.25">
      <c r="B2906" s="618" t="s">
        <v>620</v>
      </c>
      <c r="C2906" s="620" t="s">
        <v>621</v>
      </c>
      <c r="D2906" s="618" t="s">
        <v>622</v>
      </c>
      <c r="E2906" s="618" t="s">
        <v>2</v>
      </c>
      <c r="F2906" s="615" t="s">
        <v>623</v>
      </c>
      <c r="G2906" s="289" t="s">
        <v>624</v>
      </c>
      <c r="H2906" s="256" t="s">
        <v>625</v>
      </c>
      <c r="M2906" s="615" t="s">
        <v>623</v>
      </c>
    </row>
    <row r="2907" spans="2:13" ht="18.75" customHeight="1" x14ac:dyDescent="0.25">
      <c r="B2907" s="619"/>
      <c r="C2907" s="621"/>
      <c r="D2907" s="619"/>
      <c r="E2907" s="619"/>
      <c r="F2907" s="616"/>
      <c r="G2907" s="289" t="s">
        <v>626</v>
      </c>
      <c r="H2907" s="256" t="s">
        <v>626</v>
      </c>
      <c r="M2907" s="616"/>
    </row>
    <row r="2908" spans="2:13" ht="18.75" customHeight="1" x14ac:dyDescent="0.25">
      <c r="B2908" s="221"/>
      <c r="C2908" s="222"/>
      <c r="D2908" s="221"/>
      <c r="E2908" s="550"/>
      <c r="F2908" s="555"/>
      <c r="G2908" s="551"/>
      <c r="H2908" s="220"/>
      <c r="M2908" s="590"/>
    </row>
    <row r="2909" spans="2:13" ht="18.75" customHeight="1" x14ac:dyDescent="0.25">
      <c r="B2909" s="550" t="s">
        <v>627</v>
      </c>
      <c r="C2909" s="223" t="s">
        <v>628</v>
      </c>
      <c r="D2909" s="550"/>
      <c r="E2909" s="224"/>
      <c r="F2909" s="225"/>
      <c r="G2909" s="290"/>
      <c r="H2909" s="226"/>
      <c r="M2909" s="225"/>
    </row>
    <row r="2910" spans="2:13" ht="18.75" customHeight="1" x14ac:dyDescent="0.25">
      <c r="B2910" s="550"/>
      <c r="C2910" s="227" t="s">
        <v>629</v>
      </c>
      <c r="D2910" s="550" t="s">
        <v>630</v>
      </c>
      <c r="E2910" s="224" t="s">
        <v>631</v>
      </c>
      <c r="F2910" s="228">
        <f t="shared" ref="F2910:F2913" si="146">$K$8*M2910</f>
        <v>0.55000000000000004</v>
      </c>
      <c r="G2910" s="229">
        <f>G2884</f>
        <v>95000</v>
      </c>
      <c r="H2910" s="230">
        <f>+G2910*F2910</f>
        <v>52250.000000000007</v>
      </c>
      <c r="M2910" s="228">
        <v>0.55000000000000004</v>
      </c>
    </row>
    <row r="2911" spans="2:13" ht="18.75" customHeight="1" x14ac:dyDescent="0.25">
      <c r="B2911" s="550"/>
      <c r="C2911" s="227" t="s">
        <v>1508</v>
      </c>
      <c r="D2911" s="550" t="s">
        <v>632</v>
      </c>
      <c r="E2911" s="224" t="s">
        <v>631</v>
      </c>
      <c r="F2911" s="228">
        <f t="shared" si="146"/>
        <v>0.2</v>
      </c>
      <c r="G2911" s="229">
        <f>G2885</f>
        <v>110000</v>
      </c>
      <c r="H2911" s="230">
        <f>+G2911*F2911</f>
        <v>22000</v>
      </c>
      <c r="M2911" s="228">
        <v>0.2</v>
      </c>
    </row>
    <row r="2912" spans="2:13" ht="18.75" customHeight="1" x14ac:dyDescent="0.25">
      <c r="B2912" s="550"/>
      <c r="C2912" s="227" t="s">
        <v>633</v>
      </c>
      <c r="D2912" s="550" t="s">
        <v>634</v>
      </c>
      <c r="E2912" s="224" t="s">
        <v>631</v>
      </c>
      <c r="F2912" s="228">
        <f t="shared" si="146"/>
        <v>0.02</v>
      </c>
      <c r="G2912" s="229">
        <f>G2886</f>
        <v>115000</v>
      </c>
      <c r="H2912" s="230">
        <f>+G2912*F2912</f>
        <v>2300</v>
      </c>
      <c r="M2912" s="228">
        <v>0.02</v>
      </c>
    </row>
    <row r="2913" spans="2:13" ht="18.75" customHeight="1" x14ac:dyDescent="0.25">
      <c r="B2913" s="550"/>
      <c r="C2913" s="227" t="s">
        <v>600</v>
      </c>
      <c r="D2913" s="550" t="s">
        <v>635</v>
      </c>
      <c r="E2913" s="224" t="s">
        <v>631</v>
      </c>
      <c r="F2913" s="228">
        <f t="shared" si="146"/>
        <v>0.03</v>
      </c>
      <c r="G2913" s="229">
        <f>G2887</f>
        <v>140000</v>
      </c>
      <c r="H2913" s="230">
        <f>+G2913*F2913</f>
        <v>4200</v>
      </c>
      <c r="M2913" s="228">
        <v>0.03</v>
      </c>
    </row>
    <row r="2914" spans="2:13" ht="18.75" customHeight="1" x14ac:dyDescent="0.25">
      <c r="B2914" s="550"/>
      <c r="C2914" s="223"/>
      <c r="D2914" s="550"/>
      <c r="E2914" s="224"/>
      <c r="F2914" s="233" t="s">
        <v>636</v>
      </c>
      <c r="G2914" s="290"/>
      <c r="H2914" s="231">
        <f>SUM(H2910:H2913)</f>
        <v>80750</v>
      </c>
      <c r="M2914" s="233" t="s">
        <v>636</v>
      </c>
    </row>
    <row r="2915" spans="2:13" ht="18.75" customHeight="1" x14ac:dyDescent="0.25">
      <c r="B2915" s="550"/>
      <c r="C2915" s="223"/>
      <c r="D2915" s="550"/>
      <c r="E2915" s="224"/>
      <c r="F2915" s="233"/>
      <c r="G2915" s="290"/>
      <c r="H2915" s="231"/>
      <c r="M2915" s="233"/>
    </row>
    <row r="2916" spans="2:13" ht="18.75" customHeight="1" x14ac:dyDescent="0.25">
      <c r="B2916" s="550" t="s">
        <v>637</v>
      </c>
      <c r="C2916" s="223" t="s">
        <v>638</v>
      </c>
      <c r="D2916" s="550"/>
      <c r="E2916" s="224"/>
      <c r="F2916" s="225"/>
      <c r="G2916" s="290"/>
      <c r="H2916" s="226"/>
      <c r="M2916" s="225"/>
    </row>
    <row r="2917" spans="2:13" ht="18.75" customHeight="1" x14ac:dyDescent="0.25">
      <c r="B2917" s="550"/>
      <c r="C2917" s="223" t="s">
        <v>663</v>
      </c>
      <c r="D2917" s="550"/>
      <c r="E2917" s="224" t="s">
        <v>66</v>
      </c>
      <c r="F2917" s="228">
        <v>140</v>
      </c>
      <c r="G2917" s="229">
        <f>+G2891</f>
        <v>3750</v>
      </c>
      <c r="H2917" s="230">
        <f>+G2917*F2917</f>
        <v>525000</v>
      </c>
      <c r="M2917" s="228">
        <v>140</v>
      </c>
    </row>
    <row r="2918" spans="2:13" ht="18.75" customHeight="1" x14ac:dyDescent="0.25">
      <c r="B2918" s="550"/>
      <c r="C2918" s="223" t="s">
        <v>708</v>
      </c>
      <c r="D2918" s="550"/>
      <c r="E2918" s="224" t="s">
        <v>62</v>
      </c>
      <c r="F2918" s="228">
        <v>18.5</v>
      </c>
      <c r="G2918" s="229">
        <f>+G2892</f>
        <v>1700</v>
      </c>
      <c r="H2918" s="230">
        <f>+G2918*F2918</f>
        <v>31450</v>
      </c>
      <c r="M2918" s="228">
        <v>18.5</v>
      </c>
    </row>
    <row r="2919" spans="2:13" ht="18.75" customHeight="1" x14ac:dyDescent="0.25">
      <c r="B2919" s="550"/>
      <c r="C2919" s="223" t="s">
        <v>661</v>
      </c>
      <c r="D2919" s="550"/>
      <c r="E2919" s="224" t="s">
        <v>955</v>
      </c>
      <c r="F2919" s="228">
        <v>0.122</v>
      </c>
      <c r="G2919" s="229">
        <f>+G2893</f>
        <v>230000</v>
      </c>
      <c r="H2919" s="230">
        <f>+G2919*F2919</f>
        <v>28060</v>
      </c>
      <c r="M2919" s="228">
        <v>0.122</v>
      </c>
    </row>
    <row r="2920" spans="2:13" ht="18.75" customHeight="1" x14ac:dyDescent="0.25">
      <c r="B2920" s="550"/>
      <c r="C2920" s="223"/>
      <c r="D2920" s="550"/>
      <c r="E2920" s="224"/>
      <c r="F2920" s="237" t="s">
        <v>643</v>
      </c>
      <c r="G2920" s="290"/>
      <c r="H2920" s="231">
        <f>SUM(H2917:H2919)</f>
        <v>584510</v>
      </c>
      <c r="M2920" s="237" t="s">
        <v>643</v>
      </c>
    </row>
    <row r="2921" spans="2:13" ht="18.75" customHeight="1" x14ac:dyDescent="0.25">
      <c r="B2921" s="550"/>
      <c r="C2921" s="223"/>
      <c r="D2921" s="550"/>
      <c r="E2921" s="224"/>
      <c r="F2921" s="225"/>
      <c r="G2921" s="290"/>
      <c r="H2921" s="226"/>
      <c r="M2921" s="225"/>
    </row>
    <row r="2922" spans="2:13" ht="18.75" customHeight="1" x14ac:dyDescent="0.25">
      <c r="B2922" s="550" t="s">
        <v>644</v>
      </c>
      <c r="C2922" s="223" t="s">
        <v>645</v>
      </c>
      <c r="D2922" s="550"/>
      <c r="E2922" s="224"/>
      <c r="F2922" s="225"/>
      <c r="G2922" s="290"/>
      <c r="H2922" s="235"/>
      <c r="M2922" s="225"/>
    </row>
    <row r="2923" spans="2:13" ht="18.75" customHeight="1" x14ac:dyDescent="0.25">
      <c r="B2923" s="236"/>
      <c r="C2923" s="232"/>
      <c r="D2923" s="550"/>
      <c r="E2923" s="224"/>
      <c r="F2923" s="237" t="s">
        <v>646</v>
      </c>
      <c r="G2923" s="290"/>
      <c r="H2923" s="230"/>
      <c r="M2923" s="237" t="s">
        <v>646</v>
      </c>
    </row>
    <row r="2924" spans="2:13" ht="18.75" customHeight="1" x14ac:dyDescent="0.25">
      <c r="B2924" s="236"/>
      <c r="C2924" s="232"/>
      <c r="D2924" s="550"/>
      <c r="E2924" s="224"/>
      <c r="F2924" s="237"/>
      <c r="G2924" s="290"/>
      <c r="H2924" s="226"/>
      <c r="M2924" s="237"/>
    </row>
    <row r="2925" spans="2:13" ht="18.75" customHeight="1" x14ac:dyDescent="0.25">
      <c r="B2925" s="354"/>
      <c r="C2925" s="362"/>
      <c r="D2925" s="239"/>
      <c r="E2925" s="240"/>
      <c r="F2925" s="241"/>
      <c r="G2925" s="293"/>
      <c r="H2925" s="355"/>
      <c r="M2925" s="241"/>
    </row>
    <row r="2926" spans="2:13" ht="18.75" customHeight="1" x14ac:dyDescent="0.25">
      <c r="B2926" s="356" t="s">
        <v>647</v>
      </c>
      <c r="C2926" s="363" t="s">
        <v>648</v>
      </c>
      <c r="D2926" s="435"/>
      <c r="E2926" s="92"/>
      <c r="F2926" s="183"/>
      <c r="G2926" s="295"/>
      <c r="H2926" s="357">
        <f>+H2923+H2920+H2914</f>
        <v>665260</v>
      </c>
      <c r="M2926" s="183"/>
    </row>
    <row r="2927" spans="2:13" ht="18.75" customHeight="1" x14ac:dyDescent="0.25">
      <c r="B2927" s="356" t="s">
        <v>649</v>
      </c>
      <c r="C2927" s="364" t="s">
        <v>650</v>
      </c>
      <c r="D2927" s="435"/>
      <c r="E2927" s="92"/>
      <c r="F2927" s="184" t="str">
        <f>$J$5</f>
        <v>8,0 % x D</v>
      </c>
      <c r="G2927" s="295"/>
      <c r="H2927" s="358">
        <f>+H2926*$K$5</f>
        <v>53220.800000000003</v>
      </c>
      <c r="M2927" s="184" t="str">
        <f>$J$5</f>
        <v>8,0 % x D</v>
      </c>
    </row>
    <row r="2928" spans="2:13" ht="18.75" customHeight="1" x14ac:dyDescent="0.25">
      <c r="B2928" s="356" t="s">
        <v>651</v>
      </c>
      <c r="C2928" s="365" t="s">
        <v>652</v>
      </c>
      <c r="D2928" s="435"/>
      <c r="E2928" s="91"/>
      <c r="F2928" s="185"/>
      <c r="G2928" s="296"/>
      <c r="H2928" s="359">
        <f>ROUNDUP((H2927+H2926)/100,0)*100</f>
        <v>718500</v>
      </c>
      <c r="M2928" s="185"/>
    </row>
    <row r="2929" spans="2:13" ht="18.75" customHeight="1" x14ac:dyDescent="0.25">
      <c r="B2929" s="360"/>
      <c r="C2929" s="366"/>
      <c r="D2929" s="245"/>
      <c r="E2929" s="246"/>
      <c r="F2929" s="247"/>
      <c r="G2929" s="299"/>
      <c r="H2929" s="361"/>
      <c r="M2929" s="247"/>
    </row>
    <row r="2930" spans="2:13" ht="18.75" customHeight="1" x14ac:dyDescent="0.25">
      <c r="B2930" s="92"/>
      <c r="C2930" s="104"/>
      <c r="D2930" s="435"/>
      <c r="E2930" s="91"/>
      <c r="F2930" s="185"/>
      <c r="G2930" s="168"/>
      <c r="H2930" s="139"/>
      <c r="M2930" s="185"/>
    </row>
    <row r="2931" spans="2:13" ht="18.75" customHeight="1" x14ac:dyDescent="0.25">
      <c r="B2931" s="19">
        <v>6</v>
      </c>
      <c r="C2931" s="93" t="s">
        <v>960</v>
      </c>
      <c r="D2931" s="19"/>
      <c r="E2931" s="21"/>
      <c r="F2931" s="176"/>
      <c r="G2931" s="165"/>
      <c r="H2931" s="119"/>
      <c r="M2931" s="176"/>
    </row>
    <row r="2932" spans="2:13" ht="18.75" customHeight="1" x14ac:dyDescent="0.25">
      <c r="B2932" s="618" t="s">
        <v>620</v>
      </c>
      <c r="C2932" s="620" t="s">
        <v>621</v>
      </c>
      <c r="D2932" s="618" t="s">
        <v>622</v>
      </c>
      <c r="E2932" s="618" t="s">
        <v>2</v>
      </c>
      <c r="F2932" s="615" t="s">
        <v>623</v>
      </c>
      <c r="G2932" s="289" t="s">
        <v>624</v>
      </c>
      <c r="H2932" s="256" t="s">
        <v>625</v>
      </c>
      <c r="M2932" s="615" t="s">
        <v>623</v>
      </c>
    </row>
    <row r="2933" spans="2:13" ht="18.75" customHeight="1" x14ac:dyDescent="0.25">
      <c r="B2933" s="619"/>
      <c r="C2933" s="621"/>
      <c r="D2933" s="619"/>
      <c r="E2933" s="619"/>
      <c r="F2933" s="616"/>
      <c r="G2933" s="289" t="s">
        <v>626</v>
      </c>
      <c r="H2933" s="256" t="s">
        <v>626</v>
      </c>
      <c r="M2933" s="616"/>
    </row>
    <row r="2934" spans="2:13" ht="18.75" customHeight="1" x14ac:dyDescent="0.25">
      <c r="B2934" s="221"/>
      <c r="C2934" s="222"/>
      <c r="D2934" s="221"/>
      <c r="E2934" s="550"/>
      <c r="F2934" s="555"/>
      <c r="G2934" s="551"/>
      <c r="H2934" s="220"/>
      <c r="M2934" s="590"/>
    </row>
    <row r="2935" spans="2:13" ht="18.75" customHeight="1" x14ac:dyDescent="0.25">
      <c r="B2935" s="550" t="s">
        <v>627</v>
      </c>
      <c r="C2935" s="223" t="s">
        <v>628</v>
      </c>
      <c r="D2935" s="550"/>
      <c r="E2935" s="224"/>
      <c r="F2935" s="225"/>
      <c r="G2935" s="290"/>
      <c r="H2935" s="226"/>
      <c r="M2935" s="225"/>
    </row>
    <row r="2936" spans="2:13" ht="18.75" customHeight="1" x14ac:dyDescent="0.25">
      <c r="B2936" s="550"/>
      <c r="C2936" s="227" t="s">
        <v>629</v>
      </c>
      <c r="D2936" s="550" t="s">
        <v>630</v>
      </c>
      <c r="E2936" s="224" t="s">
        <v>631</v>
      </c>
      <c r="F2936" s="228">
        <f t="shared" ref="F2936:F2939" si="147">$K$8*M2936</f>
        <v>0.55000000000000004</v>
      </c>
      <c r="G2936" s="229">
        <f>G2910</f>
        <v>95000</v>
      </c>
      <c r="H2936" s="230">
        <f>+G2936*F2936</f>
        <v>52250.000000000007</v>
      </c>
      <c r="M2936" s="228">
        <v>0.55000000000000004</v>
      </c>
    </row>
    <row r="2937" spans="2:13" ht="18.75" customHeight="1" x14ac:dyDescent="0.25">
      <c r="B2937" s="550"/>
      <c r="C2937" s="227" t="s">
        <v>1508</v>
      </c>
      <c r="D2937" s="550" t="s">
        <v>632</v>
      </c>
      <c r="E2937" s="224" t="s">
        <v>631</v>
      </c>
      <c r="F2937" s="228">
        <f t="shared" si="147"/>
        <v>0.2</v>
      </c>
      <c r="G2937" s="229">
        <f>G2911</f>
        <v>110000</v>
      </c>
      <c r="H2937" s="230">
        <f>+G2937*F2937</f>
        <v>22000</v>
      </c>
      <c r="M2937" s="228">
        <v>0.2</v>
      </c>
    </row>
    <row r="2938" spans="2:13" ht="18.75" customHeight="1" x14ac:dyDescent="0.25">
      <c r="B2938" s="550"/>
      <c r="C2938" s="227" t="s">
        <v>633</v>
      </c>
      <c r="D2938" s="550" t="s">
        <v>634</v>
      </c>
      <c r="E2938" s="224" t="s">
        <v>631</v>
      </c>
      <c r="F2938" s="228">
        <f t="shared" si="147"/>
        <v>0.02</v>
      </c>
      <c r="G2938" s="229">
        <f>G2912</f>
        <v>115000</v>
      </c>
      <c r="H2938" s="230">
        <f>+G2938*F2938</f>
        <v>2300</v>
      </c>
      <c r="M2938" s="228">
        <v>0.02</v>
      </c>
    </row>
    <row r="2939" spans="2:13" ht="18.75" customHeight="1" x14ac:dyDescent="0.25">
      <c r="B2939" s="550"/>
      <c r="C2939" s="227" t="s">
        <v>600</v>
      </c>
      <c r="D2939" s="550" t="s">
        <v>635</v>
      </c>
      <c r="E2939" s="224" t="s">
        <v>631</v>
      </c>
      <c r="F2939" s="228">
        <f t="shared" si="147"/>
        <v>0.03</v>
      </c>
      <c r="G2939" s="229">
        <f>G2913</f>
        <v>140000</v>
      </c>
      <c r="H2939" s="230">
        <f>+G2939*F2939</f>
        <v>4200</v>
      </c>
      <c r="M2939" s="228">
        <v>0.03</v>
      </c>
    </row>
    <row r="2940" spans="2:13" ht="18.75" customHeight="1" x14ac:dyDescent="0.25">
      <c r="B2940" s="550"/>
      <c r="C2940" s="223"/>
      <c r="D2940" s="550"/>
      <c r="E2940" s="224"/>
      <c r="F2940" s="233" t="s">
        <v>636</v>
      </c>
      <c r="G2940" s="290"/>
      <c r="H2940" s="231">
        <f>SUM(H2936:H2939)</f>
        <v>80750</v>
      </c>
      <c r="M2940" s="233" t="s">
        <v>636</v>
      </c>
    </row>
    <row r="2941" spans="2:13" ht="18.75" customHeight="1" x14ac:dyDescent="0.25">
      <c r="B2941" s="550"/>
      <c r="C2941" s="223"/>
      <c r="D2941" s="550"/>
      <c r="E2941" s="224"/>
      <c r="F2941" s="233"/>
      <c r="G2941" s="290"/>
      <c r="H2941" s="230"/>
      <c r="M2941" s="233"/>
    </row>
    <row r="2942" spans="2:13" ht="18.75" customHeight="1" x14ac:dyDescent="0.25">
      <c r="B2942" s="550" t="s">
        <v>637</v>
      </c>
      <c r="C2942" s="223" t="s">
        <v>638</v>
      </c>
      <c r="D2942" s="550"/>
      <c r="E2942" s="224"/>
      <c r="F2942" s="225"/>
      <c r="G2942" s="290"/>
      <c r="H2942" s="226"/>
      <c r="M2942" s="225"/>
    </row>
    <row r="2943" spans="2:13" ht="18.75" customHeight="1" x14ac:dyDescent="0.25">
      <c r="B2943" s="550"/>
      <c r="C2943" s="223" t="s">
        <v>663</v>
      </c>
      <c r="D2943" s="550"/>
      <c r="E2943" s="224" t="s">
        <v>66</v>
      </c>
      <c r="F2943" s="228">
        <v>140</v>
      </c>
      <c r="G2943" s="229">
        <f>+G2917</f>
        <v>3750</v>
      </c>
      <c r="H2943" s="230">
        <f>+G2943*F2943</f>
        <v>525000</v>
      </c>
      <c r="M2943" s="228">
        <v>140</v>
      </c>
    </row>
    <row r="2944" spans="2:13" ht="18.75" customHeight="1" x14ac:dyDescent="0.25">
      <c r="B2944" s="550"/>
      <c r="C2944" s="223" t="s">
        <v>708</v>
      </c>
      <c r="D2944" s="550"/>
      <c r="E2944" s="224" t="s">
        <v>62</v>
      </c>
      <c r="F2944" s="228">
        <v>10.08</v>
      </c>
      <c r="G2944" s="229">
        <f>+G2918</f>
        <v>1700</v>
      </c>
      <c r="H2944" s="230">
        <f>+G2944*F2944</f>
        <v>17136</v>
      </c>
      <c r="M2944" s="228">
        <v>10.08</v>
      </c>
    </row>
    <row r="2945" spans="2:13" ht="18.75" customHeight="1" x14ac:dyDescent="0.25">
      <c r="B2945" s="550"/>
      <c r="C2945" s="223" t="s">
        <v>661</v>
      </c>
      <c r="D2945" s="550"/>
      <c r="E2945" s="224" t="s">
        <v>955</v>
      </c>
      <c r="F2945" s="228">
        <v>9.2499999999999999E-2</v>
      </c>
      <c r="G2945" s="234">
        <f>G2919</f>
        <v>230000</v>
      </c>
      <c r="H2945" s="230">
        <f>+G2945*F2945</f>
        <v>21275</v>
      </c>
      <c r="M2945" s="228">
        <v>9.2499999999999999E-2</v>
      </c>
    </row>
    <row r="2946" spans="2:13" ht="18.75" customHeight="1" x14ac:dyDescent="0.25">
      <c r="B2946" s="550"/>
      <c r="C2946" s="223" t="s">
        <v>64</v>
      </c>
      <c r="D2946" s="550"/>
      <c r="E2946" s="224" t="s">
        <v>52</v>
      </c>
      <c r="F2946" s="228">
        <v>2.75E-2</v>
      </c>
      <c r="G2946" s="234">
        <f>Bahan!D76</f>
        <v>125000</v>
      </c>
      <c r="H2946" s="230">
        <f>F2946*G2946</f>
        <v>3437.5</v>
      </c>
      <c r="M2946" s="228">
        <v>2.75E-2</v>
      </c>
    </row>
    <row r="2947" spans="2:13" ht="18.75" customHeight="1" x14ac:dyDescent="0.25">
      <c r="B2947" s="550"/>
      <c r="C2947" s="223"/>
      <c r="D2947" s="550"/>
      <c r="E2947" s="224"/>
      <c r="F2947" s="237" t="s">
        <v>643</v>
      </c>
      <c r="G2947" s="290"/>
      <c r="H2947" s="231">
        <f>SUM(H2943:H2946)</f>
        <v>566848.5</v>
      </c>
      <c r="M2947" s="237" t="s">
        <v>643</v>
      </c>
    </row>
    <row r="2948" spans="2:13" ht="18.75" customHeight="1" x14ac:dyDescent="0.25">
      <c r="B2948" s="550"/>
      <c r="C2948" s="223"/>
      <c r="D2948" s="550"/>
      <c r="E2948" s="224"/>
      <c r="F2948" s="225"/>
      <c r="G2948" s="290"/>
      <c r="H2948" s="226"/>
      <c r="M2948" s="225"/>
    </row>
    <row r="2949" spans="2:13" ht="18.75" customHeight="1" x14ac:dyDescent="0.25">
      <c r="B2949" s="550" t="s">
        <v>644</v>
      </c>
      <c r="C2949" s="223" t="s">
        <v>645</v>
      </c>
      <c r="D2949" s="550"/>
      <c r="E2949" s="224"/>
      <c r="F2949" s="225"/>
      <c r="G2949" s="290"/>
      <c r="H2949" s="235"/>
      <c r="M2949" s="225"/>
    </row>
    <row r="2950" spans="2:13" ht="18.75" customHeight="1" x14ac:dyDescent="0.25">
      <c r="B2950" s="236"/>
      <c r="C2950" s="232"/>
      <c r="D2950" s="550"/>
      <c r="E2950" s="224"/>
      <c r="F2950" s="237" t="s">
        <v>646</v>
      </c>
      <c r="G2950" s="290"/>
      <c r="H2950" s="230"/>
      <c r="M2950" s="237" t="s">
        <v>646</v>
      </c>
    </row>
    <row r="2951" spans="2:13" ht="18.75" customHeight="1" x14ac:dyDescent="0.25">
      <c r="B2951" s="236"/>
      <c r="C2951" s="232"/>
      <c r="D2951" s="550"/>
      <c r="E2951" s="224"/>
      <c r="F2951" s="237"/>
      <c r="G2951" s="290"/>
      <c r="H2951" s="226"/>
      <c r="M2951" s="237"/>
    </row>
    <row r="2952" spans="2:13" ht="18.75" customHeight="1" x14ac:dyDescent="0.25">
      <c r="B2952" s="354"/>
      <c r="C2952" s="362"/>
      <c r="D2952" s="239"/>
      <c r="E2952" s="240"/>
      <c r="F2952" s="241"/>
      <c r="G2952" s="293"/>
      <c r="H2952" s="355"/>
      <c r="M2952" s="241"/>
    </row>
    <row r="2953" spans="2:13" ht="18.75" customHeight="1" x14ac:dyDescent="0.25">
      <c r="B2953" s="356" t="s">
        <v>647</v>
      </c>
      <c r="C2953" s="363" t="s">
        <v>648</v>
      </c>
      <c r="D2953" s="435"/>
      <c r="E2953" s="92"/>
      <c r="F2953" s="183"/>
      <c r="G2953" s="295"/>
      <c r="H2953" s="357">
        <f>+H2950+H2947+H2940</f>
        <v>647598.5</v>
      </c>
      <c r="M2953" s="183"/>
    </row>
    <row r="2954" spans="2:13" ht="18.75" customHeight="1" x14ac:dyDescent="0.25">
      <c r="B2954" s="356" t="s">
        <v>649</v>
      </c>
      <c r="C2954" s="364" t="s">
        <v>650</v>
      </c>
      <c r="D2954" s="435"/>
      <c r="E2954" s="92"/>
      <c r="F2954" s="184" t="str">
        <f>$J$5</f>
        <v>8,0 % x D</v>
      </c>
      <c r="G2954" s="295"/>
      <c r="H2954" s="358">
        <f>+H2953*$K$5</f>
        <v>51807.880000000005</v>
      </c>
      <c r="M2954" s="184" t="str">
        <f>$J$5</f>
        <v>8,0 % x D</v>
      </c>
    </row>
    <row r="2955" spans="2:13" ht="18.75" customHeight="1" x14ac:dyDescent="0.25">
      <c r="B2955" s="356" t="s">
        <v>651</v>
      </c>
      <c r="C2955" s="365" t="s">
        <v>652</v>
      </c>
      <c r="D2955" s="435"/>
      <c r="E2955" s="91"/>
      <c r="F2955" s="185"/>
      <c r="G2955" s="296"/>
      <c r="H2955" s="359">
        <f>ROUNDUP((H2954+H2953)/100,0)*100</f>
        <v>699500</v>
      </c>
      <c r="M2955" s="185"/>
    </row>
    <row r="2956" spans="2:13" ht="18.75" customHeight="1" x14ac:dyDescent="0.25">
      <c r="B2956" s="360"/>
      <c r="C2956" s="366"/>
      <c r="D2956" s="245"/>
      <c r="E2956" s="246"/>
      <c r="F2956" s="247"/>
      <c r="G2956" s="299"/>
      <c r="H2956" s="361"/>
      <c r="M2956" s="247"/>
    </row>
    <row r="2957" spans="2:13" ht="18.75" customHeight="1" x14ac:dyDescent="0.25">
      <c r="B2957" s="22"/>
      <c r="C2957" s="104"/>
      <c r="E2957" s="21"/>
      <c r="F2957" s="176"/>
      <c r="G2957" s="165"/>
      <c r="H2957" s="119"/>
      <c r="M2957" s="176"/>
    </row>
    <row r="2958" spans="2:13" ht="18.75" customHeight="1" x14ac:dyDescent="0.25">
      <c r="B2958" s="19">
        <v>7</v>
      </c>
      <c r="C2958" s="93" t="s">
        <v>1453</v>
      </c>
      <c r="D2958" s="19"/>
      <c r="E2958" s="21"/>
      <c r="F2958" s="176"/>
      <c r="G2958" s="165"/>
      <c r="H2958" s="119"/>
      <c r="M2958" s="176"/>
    </row>
    <row r="2959" spans="2:13" ht="18.75" customHeight="1" x14ac:dyDescent="0.25">
      <c r="B2959" s="618" t="s">
        <v>620</v>
      </c>
      <c r="C2959" s="620" t="s">
        <v>621</v>
      </c>
      <c r="D2959" s="618" t="s">
        <v>622</v>
      </c>
      <c r="E2959" s="618" t="s">
        <v>2</v>
      </c>
      <c r="F2959" s="615" t="s">
        <v>623</v>
      </c>
      <c r="G2959" s="289" t="s">
        <v>624</v>
      </c>
      <c r="H2959" s="256" t="s">
        <v>625</v>
      </c>
      <c r="M2959" s="615" t="s">
        <v>623</v>
      </c>
    </row>
    <row r="2960" spans="2:13" ht="18.75" customHeight="1" x14ac:dyDescent="0.25">
      <c r="B2960" s="619"/>
      <c r="C2960" s="621"/>
      <c r="D2960" s="619"/>
      <c r="E2960" s="619"/>
      <c r="F2960" s="616"/>
      <c r="G2960" s="289" t="s">
        <v>626</v>
      </c>
      <c r="H2960" s="256" t="s">
        <v>626</v>
      </c>
      <c r="M2960" s="616"/>
    </row>
    <row r="2961" spans="2:13" ht="18.75" customHeight="1" x14ac:dyDescent="0.25">
      <c r="B2961" s="221"/>
      <c r="C2961" s="222"/>
      <c r="D2961" s="221"/>
      <c r="E2961" s="550"/>
      <c r="F2961" s="555"/>
      <c r="G2961" s="551"/>
      <c r="H2961" s="220"/>
      <c r="M2961" s="590"/>
    </row>
    <row r="2962" spans="2:13" ht="18.75" customHeight="1" x14ac:dyDescent="0.25">
      <c r="B2962" s="550" t="s">
        <v>627</v>
      </c>
      <c r="C2962" s="223" t="s">
        <v>628</v>
      </c>
      <c r="D2962" s="550"/>
      <c r="E2962" s="224"/>
      <c r="F2962" s="225"/>
      <c r="G2962" s="290"/>
      <c r="H2962" s="226"/>
      <c r="M2962" s="225"/>
    </row>
    <row r="2963" spans="2:13" ht="18.75" customHeight="1" x14ac:dyDescent="0.25">
      <c r="B2963" s="550"/>
      <c r="C2963" s="227" t="s">
        <v>629</v>
      </c>
      <c r="D2963" s="550" t="s">
        <v>630</v>
      </c>
      <c r="E2963" s="224" t="s">
        <v>631</v>
      </c>
      <c r="F2963" s="228">
        <f t="shared" ref="F2963:F2966" si="148">$K$8*M2963</f>
        <v>0.3</v>
      </c>
      <c r="G2963" s="229">
        <f>G2936</f>
        <v>95000</v>
      </c>
      <c r="H2963" s="230">
        <f>+G2963*F2963</f>
        <v>28500</v>
      </c>
      <c r="M2963" s="228">
        <v>0.3</v>
      </c>
    </row>
    <row r="2964" spans="2:13" ht="18.75" customHeight="1" x14ac:dyDescent="0.25">
      <c r="B2964" s="550"/>
      <c r="C2964" s="227" t="s">
        <v>1508</v>
      </c>
      <c r="D2964" s="550" t="s">
        <v>632</v>
      </c>
      <c r="E2964" s="224" t="s">
        <v>631</v>
      </c>
      <c r="F2964" s="228">
        <f t="shared" si="148"/>
        <v>0.1</v>
      </c>
      <c r="G2964" s="229">
        <f>G2937</f>
        <v>110000</v>
      </c>
      <c r="H2964" s="230">
        <f>+G2964*F2964</f>
        <v>11000</v>
      </c>
      <c r="M2964" s="228">
        <v>0.1</v>
      </c>
    </row>
    <row r="2965" spans="2:13" ht="18.75" customHeight="1" x14ac:dyDescent="0.25">
      <c r="B2965" s="550"/>
      <c r="C2965" s="227" t="s">
        <v>633</v>
      </c>
      <c r="D2965" s="550" t="s">
        <v>634</v>
      </c>
      <c r="E2965" s="224" t="s">
        <v>631</v>
      </c>
      <c r="F2965" s="228">
        <f t="shared" si="148"/>
        <v>0.01</v>
      </c>
      <c r="G2965" s="229">
        <f>G2938</f>
        <v>115000</v>
      </c>
      <c r="H2965" s="230">
        <f>+G2965*F2965</f>
        <v>1150</v>
      </c>
      <c r="M2965" s="228">
        <v>0.01</v>
      </c>
    </row>
    <row r="2966" spans="2:13" ht="18.75" customHeight="1" x14ac:dyDescent="0.25">
      <c r="B2966" s="550"/>
      <c r="C2966" s="227" t="s">
        <v>600</v>
      </c>
      <c r="D2966" s="550" t="s">
        <v>635</v>
      </c>
      <c r="E2966" s="224" t="s">
        <v>631</v>
      </c>
      <c r="F2966" s="228">
        <f t="shared" si="148"/>
        <v>1.4999999999999999E-2</v>
      </c>
      <c r="G2966" s="229">
        <f>G2939</f>
        <v>140000</v>
      </c>
      <c r="H2966" s="230">
        <f>+G2966*F2966</f>
        <v>2100</v>
      </c>
      <c r="M2966" s="228">
        <v>1.4999999999999999E-2</v>
      </c>
    </row>
    <row r="2967" spans="2:13" ht="18.75" customHeight="1" x14ac:dyDescent="0.25">
      <c r="B2967" s="550"/>
      <c r="C2967" s="223"/>
      <c r="D2967" s="550"/>
      <c r="E2967" s="224"/>
      <c r="F2967" s="233" t="s">
        <v>636</v>
      </c>
      <c r="G2967" s="290"/>
      <c r="H2967" s="231">
        <f>SUM(H2963:H2966)</f>
        <v>42750</v>
      </c>
      <c r="M2967" s="233" t="s">
        <v>636</v>
      </c>
    </row>
    <row r="2968" spans="2:13" ht="18.75" customHeight="1" x14ac:dyDescent="0.25">
      <c r="B2968" s="550"/>
      <c r="C2968" s="223"/>
      <c r="D2968" s="550"/>
      <c r="E2968" s="224"/>
      <c r="F2968" s="233"/>
      <c r="G2968" s="290"/>
      <c r="H2968" s="231"/>
      <c r="M2968" s="233"/>
    </row>
    <row r="2969" spans="2:13" ht="18.75" customHeight="1" x14ac:dyDescent="0.25">
      <c r="B2969" s="550" t="s">
        <v>637</v>
      </c>
      <c r="C2969" s="223" t="s">
        <v>638</v>
      </c>
      <c r="D2969" s="550"/>
      <c r="E2969" s="224"/>
      <c r="F2969" s="225"/>
      <c r="G2969" s="290"/>
      <c r="H2969" s="226"/>
      <c r="M2969" s="225"/>
    </row>
    <row r="2970" spans="2:13" ht="18.75" customHeight="1" x14ac:dyDescent="0.25">
      <c r="B2970" s="550"/>
      <c r="C2970" s="223" t="s">
        <v>663</v>
      </c>
      <c r="D2970" s="550"/>
      <c r="E2970" s="224" t="s">
        <v>66</v>
      </c>
      <c r="F2970" s="228">
        <v>70</v>
      </c>
      <c r="G2970" s="229">
        <f>G2943</f>
        <v>3750</v>
      </c>
      <c r="H2970" s="230">
        <f>+G2970*F2970</f>
        <v>262500</v>
      </c>
      <c r="M2970" s="228">
        <v>70</v>
      </c>
    </row>
    <row r="2971" spans="2:13" ht="18.75" customHeight="1" x14ac:dyDescent="0.25">
      <c r="B2971" s="550"/>
      <c r="C2971" s="223" t="s">
        <v>708</v>
      </c>
      <c r="D2971" s="550"/>
      <c r="E2971" s="224" t="s">
        <v>62</v>
      </c>
      <c r="F2971" s="228">
        <v>18.95</v>
      </c>
      <c r="G2971" s="234">
        <f>G2944</f>
        <v>1700</v>
      </c>
      <c r="H2971" s="230">
        <f t="shared" ref="H2971:H2972" si="149">+G2971*F2971</f>
        <v>32215</v>
      </c>
      <c r="M2971" s="228">
        <v>18.95</v>
      </c>
    </row>
    <row r="2972" spans="2:13" ht="18.75" customHeight="1" x14ac:dyDescent="0.25">
      <c r="B2972" s="550"/>
      <c r="C2972" s="223" t="s">
        <v>661</v>
      </c>
      <c r="D2972" s="550"/>
      <c r="E2972" s="224" t="s">
        <v>955</v>
      </c>
      <c r="F2972" s="228">
        <v>3.7999999999999999E-2</v>
      </c>
      <c r="G2972" s="234">
        <f>G2945</f>
        <v>230000</v>
      </c>
      <c r="H2972" s="230">
        <f t="shared" si="149"/>
        <v>8740</v>
      </c>
      <c r="M2972" s="228">
        <v>3.7999999999999999E-2</v>
      </c>
    </row>
    <row r="2973" spans="2:13" ht="18.75" customHeight="1" x14ac:dyDescent="0.25">
      <c r="B2973" s="550"/>
      <c r="C2973" s="223"/>
      <c r="D2973" s="550"/>
      <c r="E2973" s="224"/>
      <c r="F2973" s="237" t="s">
        <v>643</v>
      </c>
      <c r="G2973" s="290"/>
      <c r="H2973" s="231">
        <f>SUM(H2970:H2972)</f>
        <v>303455</v>
      </c>
      <c r="M2973" s="237" t="s">
        <v>643</v>
      </c>
    </row>
    <row r="2974" spans="2:13" ht="18.75" customHeight="1" x14ac:dyDescent="0.25">
      <c r="B2974" s="550"/>
      <c r="C2974" s="223"/>
      <c r="D2974" s="550"/>
      <c r="E2974" s="224"/>
      <c r="F2974" s="225"/>
      <c r="G2974" s="290"/>
      <c r="H2974" s="226"/>
      <c r="M2974" s="225"/>
    </row>
    <row r="2975" spans="2:13" ht="18.75" customHeight="1" x14ac:dyDescent="0.25">
      <c r="B2975" s="550" t="s">
        <v>644</v>
      </c>
      <c r="C2975" s="223" t="s">
        <v>645</v>
      </c>
      <c r="D2975" s="550"/>
      <c r="E2975" s="224"/>
      <c r="F2975" s="225"/>
      <c r="G2975" s="290"/>
      <c r="H2975" s="235"/>
      <c r="M2975" s="225"/>
    </row>
    <row r="2976" spans="2:13" ht="18.75" customHeight="1" x14ac:dyDescent="0.25">
      <c r="B2976" s="236"/>
      <c r="C2976" s="232"/>
      <c r="D2976" s="550"/>
      <c r="E2976" s="224"/>
      <c r="F2976" s="237" t="s">
        <v>646</v>
      </c>
      <c r="G2976" s="290"/>
      <c r="H2976" s="230"/>
      <c r="M2976" s="237" t="s">
        <v>646</v>
      </c>
    </row>
    <row r="2977" spans="2:13" ht="18.75" customHeight="1" x14ac:dyDescent="0.25">
      <c r="B2977" s="236"/>
      <c r="C2977" s="232"/>
      <c r="D2977" s="550"/>
      <c r="E2977" s="224"/>
      <c r="F2977" s="237"/>
      <c r="G2977" s="290"/>
      <c r="H2977" s="226"/>
      <c r="M2977" s="237"/>
    </row>
    <row r="2978" spans="2:13" ht="18.75" customHeight="1" x14ac:dyDescent="0.25">
      <c r="B2978" s="354"/>
      <c r="C2978" s="362"/>
      <c r="D2978" s="239"/>
      <c r="E2978" s="240"/>
      <c r="F2978" s="241"/>
      <c r="G2978" s="293"/>
      <c r="H2978" s="355"/>
      <c r="M2978" s="241"/>
    </row>
    <row r="2979" spans="2:13" ht="18.75" customHeight="1" x14ac:dyDescent="0.25">
      <c r="B2979" s="356" t="s">
        <v>647</v>
      </c>
      <c r="C2979" s="363" t="s">
        <v>648</v>
      </c>
      <c r="D2979" s="435"/>
      <c r="E2979" s="92"/>
      <c r="F2979" s="183"/>
      <c r="G2979" s="295"/>
      <c r="H2979" s="357">
        <f>+H2976+H2973+H2967</f>
        <v>346205</v>
      </c>
      <c r="M2979" s="183"/>
    </row>
    <row r="2980" spans="2:13" ht="18.75" customHeight="1" x14ac:dyDescent="0.25">
      <c r="B2980" s="356" t="s">
        <v>649</v>
      </c>
      <c r="C2980" s="364" t="s">
        <v>650</v>
      </c>
      <c r="D2980" s="435"/>
      <c r="E2980" s="92"/>
      <c r="F2980" s="184" t="str">
        <f>$J$5</f>
        <v>8,0 % x D</v>
      </c>
      <c r="G2980" s="295"/>
      <c r="H2980" s="358">
        <f>+H2979*$K$5</f>
        <v>27696.400000000001</v>
      </c>
      <c r="M2980" s="184" t="str">
        <f>$J$5</f>
        <v>8,0 % x D</v>
      </c>
    </row>
    <row r="2981" spans="2:13" ht="18.75" customHeight="1" x14ac:dyDescent="0.25">
      <c r="B2981" s="356" t="s">
        <v>651</v>
      </c>
      <c r="C2981" s="365" t="s">
        <v>652</v>
      </c>
      <c r="D2981" s="435"/>
      <c r="E2981" s="91"/>
      <c r="F2981" s="185"/>
      <c r="G2981" s="296"/>
      <c r="H2981" s="359">
        <f>ROUNDUP((H2980+H2979)/100,0)*100</f>
        <v>374000</v>
      </c>
      <c r="M2981" s="185"/>
    </row>
    <row r="2982" spans="2:13" ht="18.75" customHeight="1" x14ac:dyDescent="0.25">
      <c r="B2982" s="360"/>
      <c r="C2982" s="366"/>
      <c r="D2982" s="245"/>
      <c r="E2982" s="246"/>
      <c r="F2982" s="247"/>
      <c r="G2982" s="299"/>
      <c r="H2982" s="361"/>
      <c r="M2982" s="247"/>
    </row>
    <row r="2983" spans="2:13" ht="18.75" customHeight="1" x14ac:dyDescent="0.25">
      <c r="B2983" s="92"/>
      <c r="C2983" s="104"/>
      <c r="D2983" s="435"/>
      <c r="E2983" s="91"/>
      <c r="F2983" s="185"/>
      <c r="G2983" s="168"/>
      <c r="H2983" s="139"/>
      <c r="M2983" s="185"/>
    </row>
    <row r="2984" spans="2:13" ht="18.75" customHeight="1" x14ac:dyDescent="0.25">
      <c r="B2984" s="19">
        <f>+B2958+1</f>
        <v>8</v>
      </c>
      <c r="C2984" s="93" t="s">
        <v>1454</v>
      </c>
      <c r="D2984" s="19"/>
      <c r="E2984" s="21"/>
      <c r="F2984" s="176"/>
      <c r="G2984" s="165"/>
      <c r="H2984" s="119"/>
      <c r="M2984" s="176"/>
    </row>
    <row r="2985" spans="2:13" ht="18.75" customHeight="1" x14ac:dyDescent="0.25">
      <c r="B2985" s="618" t="s">
        <v>620</v>
      </c>
      <c r="C2985" s="620" t="s">
        <v>621</v>
      </c>
      <c r="D2985" s="618" t="s">
        <v>622</v>
      </c>
      <c r="E2985" s="618" t="s">
        <v>2</v>
      </c>
      <c r="F2985" s="615" t="s">
        <v>623</v>
      </c>
      <c r="G2985" s="289" t="s">
        <v>624</v>
      </c>
      <c r="H2985" s="256" t="s">
        <v>625</v>
      </c>
      <c r="M2985" s="615" t="s">
        <v>623</v>
      </c>
    </row>
    <row r="2986" spans="2:13" ht="18.75" customHeight="1" x14ac:dyDescent="0.25">
      <c r="B2986" s="619"/>
      <c r="C2986" s="621"/>
      <c r="D2986" s="619"/>
      <c r="E2986" s="619"/>
      <c r="F2986" s="616"/>
      <c r="G2986" s="289" t="s">
        <v>626</v>
      </c>
      <c r="H2986" s="256" t="s">
        <v>626</v>
      </c>
      <c r="M2986" s="616"/>
    </row>
    <row r="2987" spans="2:13" ht="18.75" customHeight="1" x14ac:dyDescent="0.25">
      <c r="B2987" s="221"/>
      <c r="C2987" s="222"/>
      <c r="D2987" s="221"/>
      <c r="E2987" s="550"/>
      <c r="F2987" s="555"/>
      <c r="G2987" s="551"/>
      <c r="H2987" s="220"/>
      <c r="M2987" s="590"/>
    </row>
    <row r="2988" spans="2:13" ht="18.75" customHeight="1" x14ac:dyDescent="0.25">
      <c r="B2988" s="550" t="s">
        <v>627</v>
      </c>
      <c r="C2988" s="223" t="s">
        <v>628</v>
      </c>
      <c r="D2988" s="550"/>
      <c r="E2988" s="224"/>
      <c r="F2988" s="225"/>
      <c r="G2988" s="290"/>
      <c r="H2988" s="226"/>
      <c r="M2988" s="225"/>
    </row>
    <row r="2989" spans="2:13" ht="18.75" customHeight="1" x14ac:dyDescent="0.25">
      <c r="B2989" s="550"/>
      <c r="C2989" s="227" t="s">
        <v>629</v>
      </c>
      <c r="D2989" s="550" t="s">
        <v>630</v>
      </c>
      <c r="E2989" s="224" t="s">
        <v>631</v>
      </c>
      <c r="F2989" s="228">
        <f t="shared" ref="F2989:F2992" si="150">$K$8*M2989</f>
        <v>0.3</v>
      </c>
      <c r="G2989" s="229">
        <f>G2963</f>
        <v>95000</v>
      </c>
      <c r="H2989" s="230">
        <f>+G2989*F2989</f>
        <v>28500</v>
      </c>
      <c r="M2989" s="228">
        <v>0.3</v>
      </c>
    </row>
    <row r="2990" spans="2:13" ht="18.75" customHeight="1" x14ac:dyDescent="0.25">
      <c r="B2990" s="550"/>
      <c r="C2990" s="227" t="s">
        <v>1508</v>
      </c>
      <c r="D2990" s="550" t="s">
        <v>632</v>
      </c>
      <c r="E2990" s="224" t="s">
        <v>631</v>
      </c>
      <c r="F2990" s="228">
        <f t="shared" si="150"/>
        <v>0.1</v>
      </c>
      <c r="G2990" s="229">
        <f>G2964</f>
        <v>110000</v>
      </c>
      <c r="H2990" s="230">
        <f>+G2990*F2990</f>
        <v>11000</v>
      </c>
      <c r="M2990" s="228">
        <v>0.1</v>
      </c>
    </row>
    <row r="2991" spans="2:13" ht="18.75" customHeight="1" x14ac:dyDescent="0.25">
      <c r="B2991" s="550"/>
      <c r="C2991" s="227" t="s">
        <v>633</v>
      </c>
      <c r="D2991" s="550" t="s">
        <v>634</v>
      </c>
      <c r="E2991" s="224" t="s">
        <v>631</v>
      </c>
      <c r="F2991" s="228">
        <f t="shared" si="150"/>
        <v>0.01</v>
      </c>
      <c r="G2991" s="229">
        <f>G2965</f>
        <v>115000</v>
      </c>
      <c r="H2991" s="230">
        <f>+G2991*F2991</f>
        <v>1150</v>
      </c>
      <c r="M2991" s="228">
        <v>0.01</v>
      </c>
    </row>
    <row r="2992" spans="2:13" ht="18.75" customHeight="1" x14ac:dyDescent="0.25">
      <c r="B2992" s="550"/>
      <c r="C2992" s="227" t="s">
        <v>600</v>
      </c>
      <c r="D2992" s="550" t="s">
        <v>635</v>
      </c>
      <c r="E2992" s="224" t="s">
        <v>631</v>
      </c>
      <c r="F2992" s="228">
        <f t="shared" si="150"/>
        <v>1.4999999999999999E-2</v>
      </c>
      <c r="G2992" s="229">
        <f>G2966</f>
        <v>140000</v>
      </c>
      <c r="H2992" s="230">
        <f>+G2992*F2992</f>
        <v>2100</v>
      </c>
      <c r="M2992" s="228">
        <v>1.4999999999999999E-2</v>
      </c>
    </row>
    <row r="2993" spans="2:13" ht="18.75" customHeight="1" x14ac:dyDescent="0.25">
      <c r="B2993" s="550"/>
      <c r="C2993" s="223"/>
      <c r="D2993" s="550"/>
      <c r="E2993" s="224"/>
      <c r="F2993" s="233" t="s">
        <v>636</v>
      </c>
      <c r="G2993" s="290"/>
      <c r="H2993" s="231">
        <f>SUM(H2989:H2992)</f>
        <v>42750</v>
      </c>
      <c r="M2993" s="233" t="s">
        <v>636</v>
      </c>
    </row>
    <row r="2994" spans="2:13" ht="18.75" customHeight="1" x14ac:dyDescent="0.25">
      <c r="B2994" s="550"/>
      <c r="C2994" s="223"/>
      <c r="D2994" s="550"/>
      <c r="E2994" s="224"/>
      <c r="F2994" s="233"/>
      <c r="G2994" s="290"/>
      <c r="H2994" s="231"/>
      <c r="M2994" s="233"/>
    </row>
    <row r="2995" spans="2:13" ht="18.75" customHeight="1" x14ac:dyDescent="0.25">
      <c r="B2995" s="550" t="s">
        <v>637</v>
      </c>
      <c r="C2995" s="223" t="s">
        <v>638</v>
      </c>
      <c r="D2995" s="550"/>
      <c r="E2995" s="224"/>
      <c r="F2995" s="225"/>
      <c r="G2995" s="290"/>
      <c r="H2995" s="226"/>
      <c r="M2995" s="225"/>
    </row>
    <row r="2996" spans="2:13" ht="18.75" customHeight="1" x14ac:dyDescent="0.25">
      <c r="B2996" s="550"/>
      <c r="C2996" s="223" t="s">
        <v>663</v>
      </c>
      <c r="D2996" s="550"/>
      <c r="E2996" s="224" t="s">
        <v>66</v>
      </c>
      <c r="F2996" s="228">
        <v>70</v>
      </c>
      <c r="G2996" s="229">
        <f>+G2970</f>
        <v>3750</v>
      </c>
      <c r="H2996" s="230">
        <f>+G2996*F2996</f>
        <v>262500</v>
      </c>
      <c r="M2996" s="228">
        <v>70</v>
      </c>
    </row>
    <row r="2997" spans="2:13" ht="18.75" customHeight="1" x14ac:dyDescent="0.25">
      <c r="B2997" s="550"/>
      <c r="C2997" s="223" t="s">
        <v>708</v>
      </c>
      <c r="D2997" s="550"/>
      <c r="E2997" s="224" t="s">
        <v>62</v>
      </c>
      <c r="F2997" s="228">
        <v>14.37</v>
      </c>
      <c r="G2997" s="234">
        <f>+G2971</f>
        <v>1700</v>
      </c>
      <c r="H2997" s="230">
        <f>+G2997*F2997</f>
        <v>24429</v>
      </c>
      <c r="M2997" s="228">
        <v>14.37</v>
      </c>
    </row>
    <row r="2998" spans="2:13" ht="18.75" customHeight="1" x14ac:dyDescent="0.25">
      <c r="B2998" s="550"/>
      <c r="C2998" s="223" t="s">
        <v>661</v>
      </c>
      <c r="D2998" s="550"/>
      <c r="E2998" s="224" t="s">
        <v>955</v>
      </c>
      <c r="F2998" s="228">
        <v>7.4999999999999997E-2</v>
      </c>
      <c r="G2998" s="234">
        <f>+G2972</f>
        <v>230000</v>
      </c>
      <c r="H2998" s="230">
        <f t="shared" ref="H2998" si="151">+G2998*F2998</f>
        <v>17250</v>
      </c>
      <c r="M2998" s="228">
        <v>7.4999999999999997E-2</v>
      </c>
    </row>
    <row r="2999" spans="2:13" ht="18.75" customHeight="1" x14ac:dyDescent="0.25">
      <c r="B2999" s="550"/>
      <c r="C2999" s="223"/>
      <c r="D2999" s="550"/>
      <c r="E2999" s="224"/>
      <c r="F2999" s="237" t="s">
        <v>643</v>
      </c>
      <c r="G2999" s="290"/>
      <c r="H2999" s="231">
        <f>SUM(H2996:H2998)</f>
        <v>304179</v>
      </c>
      <c r="M2999" s="237" t="s">
        <v>643</v>
      </c>
    </row>
    <row r="3000" spans="2:13" ht="18.75" customHeight="1" x14ac:dyDescent="0.25">
      <c r="B3000" s="550"/>
      <c r="C3000" s="223"/>
      <c r="D3000" s="550"/>
      <c r="E3000" s="224"/>
      <c r="F3000" s="225"/>
      <c r="G3000" s="290"/>
      <c r="H3000" s="226"/>
      <c r="M3000" s="225"/>
    </row>
    <row r="3001" spans="2:13" ht="18.75" customHeight="1" x14ac:dyDescent="0.25">
      <c r="B3001" s="550" t="s">
        <v>644</v>
      </c>
      <c r="C3001" s="223" t="s">
        <v>645</v>
      </c>
      <c r="D3001" s="550"/>
      <c r="E3001" s="224"/>
      <c r="F3001" s="225"/>
      <c r="G3001" s="290"/>
      <c r="H3001" s="235"/>
      <c r="M3001" s="225"/>
    </row>
    <row r="3002" spans="2:13" ht="18.75" customHeight="1" x14ac:dyDescent="0.25">
      <c r="B3002" s="236"/>
      <c r="C3002" s="232"/>
      <c r="D3002" s="550"/>
      <c r="E3002" s="224"/>
      <c r="F3002" s="237" t="s">
        <v>646</v>
      </c>
      <c r="G3002" s="290"/>
      <c r="H3002" s="230"/>
      <c r="M3002" s="237" t="s">
        <v>646</v>
      </c>
    </row>
    <row r="3003" spans="2:13" ht="18.75" customHeight="1" x14ac:dyDescent="0.25">
      <c r="B3003" s="236"/>
      <c r="C3003" s="232"/>
      <c r="D3003" s="550"/>
      <c r="E3003" s="224"/>
      <c r="F3003" s="237"/>
      <c r="G3003" s="290"/>
      <c r="H3003" s="226"/>
      <c r="M3003" s="237"/>
    </row>
    <row r="3004" spans="2:13" ht="18.75" customHeight="1" x14ac:dyDescent="0.25">
      <c r="B3004" s="354"/>
      <c r="C3004" s="362"/>
      <c r="D3004" s="239"/>
      <c r="E3004" s="240"/>
      <c r="F3004" s="241"/>
      <c r="G3004" s="293"/>
      <c r="H3004" s="355"/>
      <c r="M3004" s="241"/>
    </row>
    <row r="3005" spans="2:13" ht="18.75" customHeight="1" x14ac:dyDescent="0.25">
      <c r="B3005" s="356" t="s">
        <v>647</v>
      </c>
      <c r="C3005" s="363" t="s">
        <v>648</v>
      </c>
      <c r="D3005" s="435"/>
      <c r="E3005" s="92"/>
      <c r="F3005" s="183"/>
      <c r="G3005" s="295"/>
      <c r="H3005" s="357">
        <f>+H3002+H2999+H2993</f>
        <v>346929</v>
      </c>
      <c r="M3005" s="183"/>
    </row>
    <row r="3006" spans="2:13" ht="18.75" customHeight="1" x14ac:dyDescent="0.25">
      <c r="B3006" s="356" t="s">
        <v>649</v>
      </c>
      <c r="C3006" s="364" t="s">
        <v>650</v>
      </c>
      <c r="D3006" s="435"/>
      <c r="E3006" s="92"/>
      <c r="F3006" s="184" t="str">
        <f>$J$5</f>
        <v>8,0 % x D</v>
      </c>
      <c r="G3006" s="295"/>
      <c r="H3006" s="358">
        <f>+H3005*$K$5</f>
        <v>27754.32</v>
      </c>
      <c r="M3006" s="184" t="str">
        <f>$J$5</f>
        <v>8,0 % x D</v>
      </c>
    </row>
    <row r="3007" spans="2:13" ht="18.75" customHeight="1" x14ac:dyDescent="0.25">
      <c r="B3007" s="356" t="s">
        <v>651</v>
      </c>
      <c r="C3007" s="365" t="s">
        <v>652</v>
      </c>
      <c r="D3007" s="435"/>
      <c r="E3007" s="91"/>
      <c r="F3007" s="185"/>
      <c r="G3007" s="296"/>
      <c r="H3007" s="359">
        <f>ROUNDUP((H3006+H3005)/100,0)*100</f>
        <v>374700</v>
      </c>
      <c r="M3007" s="185"/>
    </row>
    <row r="3008" spans="2:13" ht="18.75" customHeight="1" x14ac:dyDescent="0.25">
      <c r="B3008" s="360"/>
      <c r="C3008" s="366"/>
      <c r="D3008" s="245"/>
      <c r="E3008" s="246"/>
      <c r="F3008" s="247"/>
      <c r="G3008" s="299"/>
      <c r="H3008" s="361"/>
      <c r="M3008" s="247"/>
    </row>
    <row r="3009" spans="2:13" ht="18.75" customHeight="1" x14ac:dyDescent="0.25">
      <c r="G3009" s="66"/>
      <c r="H3009" s="138"/>
    </row>
    <row r="3010" spans="2:13" ht="18.75" customHeight="1" x14ac:dyDescent="0.25">
      <c r="B3010" s="19">
        <v>9</v>
      </c>
      <c r="C3010" s="93" t="s">
        <v>1455</v>
      </c>
      <c r="D3010" s="19"/>
      <c r="E3010" s="21"/>
      <c r="F3010" s="176"/>
      <c r="G3010" s="165"/>
      <c r="H3010" s="119"/>
      <c r="M3010" s="176"/>
    </row>
    <row r="3011" spans="2:13" ht="18.75" customHeight="1" x14ac:dyDescent="0.25">
      <c r="B3011" s="618" t="s">
        <v>620</v>
      </c>
      <c r="C3011" s="620" t="s">
        <v>621</v>
      </c>
      <c r="D3011" s="618" t="s">
        <v>622</v>
      </c>
      <c r="E3011" s="618" t="s">
        <v>2</v>
      </c>
      <c r="F3011" s="615" t="s">
        <v>623</v>
      </c>
      <c r="G3011" s="289" t="s">
        <v>624</v>
      </c>
      <c r="H3011" s="256" t="s">
        <v>625</v>
      </c>
      <c r="M3011" s="615" t="s">
        <v>623</v>
      </c>
    </row>
    <row r="3012" spans="2:13" ht="18.75" customHeight="1" x14ac:dyDescent="0.25">
      <c r="B3012" s="619"/>
      <c r="C3012" s="621"/>
      <c r="D3012" s="619"/>
      <c r="E3012" s="619"/>
      <c r="F3012" s="616"/>
      <c r="G3012" s="289" t="s">
        <v>626</v>
      </c>
      <c r="H3012" s="256" t="s">
        <v>626</v>
      </c>
      <c r="M3012" s="616"/>
    </row>
    <row r="3013" spans="2:13" ht="18.75" customHeight="1" x14ac:dyDescent="0.25">
      <c r="B3013" s="221"/>
      <c r="C3013" s="222"/>
      <c r="D3013" s="221"/>
      <c r="E3013" s="550"/>
      <c r="F3013" s="555"/>
      <c r="G3013" s="551"/>
      <c r="H3013" s="220"/>
      <c r="M3013" s="590"/>
    </row>
    <row r="3014" spans="2:13" ht="18.75" customHeight="1" x14ac:dyDescent="0.25">
      <c r="B3014" s="550" t="s">
        <v>627</v>
      </c>
      <c r="C3014" s="223" t="s">
        <v>628</v>
      </c>
      <c r="D3014" s="550"/>
      <c r="E3014" s="224"/>
      <c r="F3014" s="225"/>
      <c r="G3014" s="290"/>
      <c r="H3014" s="226"/>
      <c r="M3014" s="225"/>
    </row>
    <row r="3015" spans="2:13" ht="18.75" customHeight="1" x14ac:dyDescent="0.25">
      <c r="B3015" s="550"/>
      <c r="C3015" s="227" t="s">
        <v>629</v>
      </c>
      <c r="D3015" s="550" t="s">
        <v>630</v>
      </c>
      <c r="E3015" s="224" t="s">
        <v>631</v>
      </c>
      <c r="F3015" s="228">
        <f>$K$8*M3015</f>
        <v>0.3</v>
      </c>
      <c r="G3015" s="229">
        <f>G2989</f>
        <v>95000</v>
      </c>
      <c r="H3015" s="230">
        <f>+G3015*F3015</f>
        <v>28500</v>
      </c>
      <c r="M3015" s="228">
        <v>0.3</v>
      </c>
    </row>
    <row r="3016" spans="2:13" ht="18.75" customHeight="1" x14ac:dyDescent="0.25">
      <c r="B3016" s="550"/>
      <c r="C3016" s="227" t="s">
        <v>1508</v>
      </c>
      <c r="D3016" s="550" t="s">
        <v>632</v>
      </c>
      <c r="E3016" s="224" t="s">
        <v>631</v>
      </c>
      <c r="F3016" s="228">
        <f t="shared" ref="F3016:F3018" si="152">$K$8*M3016</f>
        <v>0.1</v>
      </c>
      <c r="G3016" s="229">
        <f>G2990</f>
        <v>110000</v>
      </c>
      <c r="H3016" s="230">
        <f>+G3016*F3016</f>
        <v>11000</v>
      </c>
      <c r="M3016" s="228">
        <v>0.1</v>
      </c>
    </row>
    <row r="3017" spans="2:13" ht="18.75" customHeight="1" x14ac:dyDescent="0.25">
      <c r="B3017" s="550"/>
      <c r="C3017" s="227" t="s">
        <v>633</v>
      </c>
      <c r="D3017" s="550" t="s">
        <v>634</v>
      </c>
      <c r="E3017" s="224" t="s">
        <v>631</v>
      </c>
      <c r="F3017" s="228">
        <f t="shared" si="152"/>
        <v>0.01</v>
      </c>
      <c r="G3017" s="229">
        <f>G2991</f>
        <v>115000</v>
      </c>
      <c r="H3017" s="230">
        <f>+G3017*F3017</f>
        <v>1150</v>
      </c>
      <c r="M3017" s="228">
        <v>0.01</v>
      </c>
    </row>
    <row r="3018" spans="2:13" ht="18.75" customHeight="1" x14ac:dyDescent="0.25">
      <c r="B3018" s="550"/>
      <c r="C3018" s="227" t="s">
        <v>600</v>
      </c>
      <c r="D3018" s="550" t="s">
        <v>635</v>
      </c>
      <c r="E3018" s="224" t="s">
        <v>631</v>
      </c>
      <c r="F3018" s="228">
        <f t="shared" si="152"/>
        <v>1.4999999999999999E-2</v>
      </c>
      <c r="G3018" s="229">
        <f>G2992</f>
        <v>140000</v>
      </c>
      <c r="H3018" s="230">
        <f>+G3018*F3018</f>
        <v>2100</v>
      </c>
      <c r="M3018" s="228">
        <v>1.4999999999999999E-2</v>
      </c>
    </row>
    <row r="3019" spans="2:13" ht="18.75" customHeight="1" x14ac:dyDescent="0.25">
      <c r="B3019" s="550"/>
      <c r="C3019" s="223"/>
      <c r="D3019" s="550"/>
      <c r="E3019" s="224"/>
      <c r="F3019" s="233" t="s">
        <v>636</v>
      </c>
      <c r="G3019" s="290"/>
      <c r="H3019" s="231">
        <f>SUM(H3015:H3018)</f>
        <v>42750</v>
      </c>
      <c r="M3019" s="233" t="s">
        <v>636</v>
      </c>
    </row>
    <row r="3020" spans="2:13" ht="18.75" customHeight="1" x14ac:dyDescent="0.25">
      <c r="B3020" s="550"/>
      <c r="C3020" s="223"/>
      <c r="D3020" s="550"/>
      <c r="E3020" s="224"/>
      <c r="F3020" s="233"/>
      <c r="G3020" s="290"/>
      <c r="H3020" s="231"/>
      <c r="M3020" s="233"/>
    </row>
    <row r="3021" spans="2:13" ht="18.75" customHeight="1" x14ac:dyDescent="0.25">
      <c r="B3021" s="550" t="s">
        <v>637</v>
      </c>
      <c r="C3021" s="223" t="s">
        <v>638</v>
      </c>
      <c r="D3021" s="550"/>
      <c r="E3021" s="224"/>
      <c r="F3021" s="225"/>
      <c r="G3021" s="290"/>
      <c r="H3021" s="226"/>
      <c r="M3021" s="225"/>
    </row>
    <row r="3022" spans="2:13" ht="18.75" customHeight="1" x14ac:dyDescent="0.25">
      <c r="B3022" s="550"/>
      <c r="C3022" s="223" t="s">
        <v>663</v>
      </c>
      <c r="D3022" s="550"/>
      <c r="E3022" s="224" t="s">
        <v>66</v>
      </c>
      <c r="F3022" s="228">
        <v>70</v>
      </c>
      <c r="G3022" s="229">
        <f>+G2996</f>
        <v>3750</v>
      </c>
      <c r="H3022" s="230">
        <f>+G3022*F3022</f>
        <v>262500</v>
      </c>
      <c r="M3022" s="228">
        <v>70</v>
      </c>
    </row>
    <row r="3023" spans="2:13" ht="18.75" customHeight="1" x14ac:dyDescent="0.25">
      <c r="B3023" s="550"/>
      <c r="C3023" s="223" t="s">
        <v>708</v>
      </c>
      <c r="D3023" s="550"/>
      <c r="E3023" s="224" t="s">
        <v>62</v>
      </c>
      <c r="F3023" s="228">
        <v>11.5</v>
      </c>
      <c r="G3023" s="234">
        <f>+G2997</f>
        <v>1700</v>
      </c>
      <c r="H3023" s="230">
        <f>+G3023*F3023</f>
        <v>19550</v>
      </c>
      <c r="M3023" s="228">
        <v>11.5</v>
      </c>
    </row>
    <row r="3024" spans="2:13" ht="18.75" customHeight="1" x14ac:dyDescent="0.25">
      <c r="B3024" s="550"/>
      <c r="C3024" s="223" t="s">
        <v>661</v>
      </c>
      <c r="D3024" s="550"/>
      <c r="E3024" s="224" t="s">
        <v>955</v>
      </c>
      <c r="F3024" s="228">
        <v>7.5300000000000006E-2</v>
      </c>
      <c r="G3024" s="234">
        <f>+G2998</f>
        <v>230000</v>
      </c>
      <c r="H3024" s="230">
        <f>+G3024*F3024</f>
        <v>17319</v>
      </c>
      <c r="M3024" s="228">
        <v>7.5300000000000006E-2</v>
      </c>
    </row>
    <row r="3025" spans="2:13" ht="18.75" customHeight="1" x14ac:dyDescent="0.25">
      <c r="B3025" s="550"/>
      <c r="C3025" s="223"/>
      <c r="D3025" s="550"/>
      <c r="E3025" s="224"/>
      <c r="F3025" s="237" t="s">
        <v>643</v>
      </c>
      <c r="G3025" s="290"/>
      <c r="H3025" s="231">
        <f>SUM(H3022:H3024)</f>
        <v>299369</v>
      </c>
      <c r="M3025" s="237" t="s">
        <v>643</v>
      </c>
    </row>
    <row r="3026" spans="2:13" ht="18.75" customHeight="1" x14ac:dyDescent="0.25">
      <c r="B3026" s="550"/>
      <c r="C3026" s="223"/>
      <c r="D3026" s="550"/>
      <c r="E3026" s="224"/>
      <c r="F3026" s="225"/>
      <c r="G3026" s="290"/>
      <c r="H3026" s="226"/>
      <c r="M3026" s="225"/>
    </row>
    <row r="3027" spans="2:13" ht="18.75" customHeight="1" x14ac:dyDescent="0.25">
      <c r="B3027" s="550" t="s">
        <v>644</v>
      </c>
      <c r="C3027" s="223" t="s">
        <v>645</v>
      </c>
      <c r="D3027" s="550"/>
      <c r="E3027" s="224"/>
      <c r="F3027" s="225"/>
      <c r="G3027" s="290"/>
      <c r="H3027" s="235"/>
      <c r="M3027" s="225"/>
    </row>
    <row r="3028" spans="2:13" ht="18.75" customHeight="1" x14ac:dyDescent="0.25">
      <c r="B3028" s="236"/>
      <c r="C3028" s="232"/>
      <c r="D3028" s="550"/>
      <c r="E3028" s="224"/>
      <c r="F3028" s="237" t="s">
        <v>646</v>
      </c>
      <c r="G3028" s="290"/>
      <c r="H3028" s="230"/>
      <c r="M3028" s="237" t="s">
        <v>646</v>
      </c>
    </row>
    <row r="3029" spans="2:13" ht="18.75" customHeight="1" x14ac:dyDescent="0.25">
      <c r="B3029" s="236"/>
      <c r="C3029" s="232"/>
      <c r="D3029" s="550"/>
      <c r="E3029" s="224"/>
      <c r="F3029" s="237"/>
      <c r="G3029" s="290"/>
      <c r="H3029" s="226"/>
      <c r="M3029" s="237"/>
    </row>
    <row r="3030" spans="2:13" ht="18.75" customHeight="1" x14ac:dyDescent="0.25">
      <c r="B3030" s="354"/>
      <c r="C3030" s="362"/>
      <c r="D3030" s="239"/>
      <c r="E3030" s="240"/>
      <c r="F3030" s="241"/>
      <c r="G3030" s="293"/>
      <c r="H3030" s="355"/>
      <c r="M3030" s="241"/>
    </row>
    <row r="3031" spans="2:13" ht="18.75" customHeight="1" x14ac:dyDescent="0.25">
      <c r="B3031" s="356" t="s">
        <v>647</v>
      </c>
      <c r="C3031" s="363" t="s">
        <v>648</v>
      </c>
      <c r="D3031" s="435"/>
      <c r="E3031" s="92"/>
      <c r="F3031" s="183"/>
      <c r="G3031" s="295"/>
      <c r="H3031" s="357">
        <f>+H3028+H3025+H3019</f>
        <v>342119</v>
      </c>
      <c r="M3031" s="183"/>
    </row>
    <row r="3032" spans="2:13" ht="18.75" customHeight="1" x14ac:dyDescent="0.25">
      <c r="B3032" s="356" t="s">
        <v>649</v>
      </c>
      <c r="C3032" s="364" t="s">
        <v>650</v>
      </c>
      <c r="D3032" s="435"/>
      <c r="E3032" s="92"/>
      <c r="F3032" s="184" t="str">
        <f>$J$5</f>
        <v>8,0 % x D</v>
      </c>
      <c r="G3032" s="295"/>
      <c r="H3032" s="358">
        <f>+H3031*$K$5</f>
        <v>27369.52</v>
      </c>
      <c r="M3032" s="184" t="str">
        <f>$J$5</f>
        <v>8,0 % x D</v>
      </c>
    </row>
    <row r="3033" spans="2:13" ht="18.75" customHeight="1" x14ac:dyDescent="0.25">
      <c r="B3033" s="356" t="s">
        <v>651</v>
      </c>
      <c r="C3033" s="365" t="s">
        <v>652</v>
      </c>
      <c r="D3033" s="435"/>
      <c r="E3033" s="91"/>
      <c r="F3033" s="185"/>
      <c r="G3033" s="296"/>
      <c r="H3033" s="359">
        <f>ROUNDUP((H3032+H3031)/100,0)*100</f>
        <v>369500</v>
      </c>
      <c r="M3033" s="185"/>
    </row>
    <row r="3034" spans="2:13" ht="18.75" customHeight="1" x14ac:dyDescent="0.25">
      <c r="B3034" s="360"/>
      <c r="C3034" s="366"/>
      <c r="D3034" s="245"/>
      <c r="E3034" s="246"/>
      <c r="F3034" s="247"/>
      <c r="G3034" s="299"/>
      <c r="H3034" s="361"/>
      <c r="M3034" s="247"/>
    </row>
    <row r="3035" spans="2:13" ht="18.75" customHeight="1" x14ac:dyDescent="0.25">
      <c r="B3035" s="92"/>
      <c r="C3035" s="104"/>
      <c r="D3035" s="435"/>
      <c r="E3035" s="91"/>
      <c r="F3035" s="185"/>
      <c r="G3035" s="168"/>
      <c r="H3035" s="139"/>
      <c r="M3035" s="185"/>
    </row>
    <row r="3036" spans="2:13" ht="18.75" customHeight="1" x14ac:dyDescent="0.25">
      <c r="B3036" s="19">
        <f>B3010+1</f>
        <v>10</v>
      </c>
      <c r="C3036" s="93" t="s">
        <v>1456</v>
      </c>
      <c r="D3036" s="19"/>
      <c r="E3036" s="21"/>
      <c r="F3036" s="176"/>
      <c r="G3036" s="165"/>
      <c r="H3036" s="119"/>
      <c r="M3036" s="176"/>
    </row>
    <row r="3037" spans="2:13" ht="18.75" customHeight="1" x14ac:dyDescent="0.25">
      <c r="B3037" s="618" t="s">
        <v>620</v>
      </c>
      <c r="C3037" s="620" t="s">
        <v>621</v>
      </c>
      <c r="D3037" s="618" t="s">
        <v>622</v>
      </c>
      <c r="E3037" s="618" t="s">
        <v>2</v>
      </c>
      <c r="F3037" s="615" t="s">
        <v>623</v>
      </c>
      <c r="G3037" s="289" t="s">
        <v>624</v>
      </c>
      <c r="H3037" s="256" t="s">
        <v>625</v>
      </c>
      <c r="M3037" s="615" t="s">
        <v>623</v>
      </c>
    </row>
    <row r="3038" spans="2:13" ht="18.75" customHeight="1" x14ac:dyDescent="0.25">
      <c r="B3038" s="619"/>
      <c r="C3038" s="621"/>
      <c r="D3038" s="619"/>
      <c r="E3038" s="619"/>
      <c r="F3038" s="616"/>
      <c r="G3038" s="289" t="s">
        <v>626</v>
      </c>
      <c r="H3038" s="256" t="s">
        <v>626</v>
      </c>
      <c r="M3038" s="616"/>
    </row>
    <row r="3039" spans="2:13" ht="18.75" customHeight="1" x14ac:dyDescent="0.25">
      <c r="B3039" s="221"/>
      <c r="C3039" s="222"/>
      <c r="D3039" s="221"/>
      <c r="E3039" s="550"/>
      <c r="F3039" s="555"/>
      <c r="G3039" s="551"/>
      <c r="H3039" s="220"/>
      <c r="M3039" s="590"/>
    </row>
    <row r="3040" spans="2:13" ht="18.75" customHeight="1" x14ac:dyDescent="0.25">
      <c r="B3040" s="550" t="s">
        <v>627</v>
      </c>
      <c r="C3040" s="223" t="s">
        <v>628</v>
      </c>
      <c r="D3040" s="550"/>
      <c r="E3040" s="224"/>
      <c r="F3040" s="225"/>
      <c r="G3040" s="290"/>
      <c r="H3040" s="226"/>
      <c r="M3040" s="225"/>
    </row>
    <row r="3041" spans="2:13" ht="18.75" customHeight="1" x14ac:dyDescent="0.25">
      <c r="B3041" s="550"/>
      <c r="C3041" s="227" t="s">
        <v>629</v>
      </c>
      <c r="D3041" s="550" t="s">
        <v>630</v>
      </c>
      <c r="E3041" s="224" t="s">
        <v>631</v>
      </c>
      <c r="F3041" s="228">
        <f t="shared" ref="F3041:F3044" si="153">$K$8*M3041</f>
        <v>0.3</v>
      </c>
      <c r="G3041" s="229">
        <f>G3015</f>
        <v>95000</v>
      </c>
      <c r="H3041" s="230">
        <f>+G3041*F3041</f>
        <v>28500</v>
      </c>
      <c r="M3041" s="228">
        <v>0.3</v>
      </c>
    </row>
    <row r="3042" spans="2:13" ht="18.75" customHeight="1" x14ac:dyDescent="0.25">
      <c r="B3042" s="550"/>
      <c r="C3042" s="227" t="s">
        <v>1508</v>
      </c>
      <c r="D3042" s="550" t="s">
        <v>632</v>
      </c>
      <c r="E3042" s="224" t="s">
        <v>631</v>
      </c>
      <c r="F3042" s="228">
        <f t="shared" si="153"/>
        <v>0.1</v>
      </c>
      <c r="G3042" s="229">
        <f>G3016</f>
        <v>110000</v>
      </c>
      <c r="H3042" s="230">
        <f>+G3042*F3042</f>
        <v>11000</v>
      </c>
      <c r="M3042" s="228">
        <v>0.1</v>
      </c>
    </row>
    <row r="3043" spans="2:13" ht="18.75" customHeight="1" x14ac:dyDescent="0.25">
      <c r="B3043" s="550"/>
      <c r="C3043" s="227" t="s">
        <v>633</v>
      </c>
      <c r="D3043" s="550" t="s">
        <v>634</v>
      </c>
      <c r="E3043" s="224" t="s">
        <v>631</v>
      </c>
      <c r="F3043" s="228">
        <f t="shared" si="153"/>
        <v>0.01</v>
      </c>
      <c r="G3043" s="229">
        <f>G3017</f>
        <v>115000</v>
      </c>
      <c r="H3043" s="230">
        <f>+G3043*F3043</f>
        <v>1150</v>
      </c>
      <c r="M3043" s="228">
        <v>0.01</v>
      </c>
    </row>
    <row r="3044" spans="2:13" ht="18.75" customHeight="1" x14ac:dyDescent="0.25">
      <c r="B3044" s="550"/>
      <c r="C3044" s="227" t="s">
        <v>600</v>
      </c>
      <c r="D3044" s="550" t="s">
        <v>635</v>
      </c>
      <c r="E3044" s="224" t="s">
        <v>631</v>
      </c>
      <c r="F3044" s="228">
        <f t="shared" si="153"/>
        <v>1.4999999999999999E-2</v>
      </c>
      <c r="G3044" s="229">
        <f>G3018</f>
        <v>140000</v>
      </c>
      <c r="H3044" s="230">
        <f>+G3044*F3044</f>
        <v>2100</v>
      </c>
      <c r="M3044" s="228">
        <v>1.4999999999999999E-2</v>
      </c>
    </row>
    <row r="3045" spans="2:13" ht="18.75" customHeight="1" x14ac:dyDescent="0.25">
      <c r="B3045" s="550"/>
      <c r="C3045" s="223"/>
      <c r="D3045" s="550"/>
      <c r="E3045" s="224"/>
      <c r="F3045" s="233" t="s">
        <v>636</v>
      </c>
      <c r="G3045" s="290"/>
      <c r="H3045" s="231">
        <f>SUM(H3041:H3044)</f>
        <v>42750</v>
      </c>
      <c r="M3045" s="233" t="s">
        <v>636</v>
      </c>
    </row>
    <row r="3046" spans="2:13" ht="18.75" customHeight="1" x14ac:dyDescent="0.25">
      <c r="B3046" s="550" t="s">
        <v>637</v>
      </c>
      <c r="C3046" s="223" t="s">
        <v>638</v>
      </c>
      <c r="D3046" s="550"/>
      <c r="E3046" s="224"/>
      <c r="F3046" s="225"/>
      <c r="G3046" s="290"/>
      <c r="H3046" s="226"/>
      <c r="M3046" s="225"/>
    </row>
    <row r="3047" spans="2:13" ht="18.75" customHeight="1" x14ac:dyDescent="0.25">
      <c r="B3047" s="550"/>
      <c r="C3047" s="223" t="s">
        <v>663</v>
      </c>
      <c r="D3047" s="550"/>
      <c r="E3047" s="224" t="s">
        <v>66</v>
      </c>
      <c r="F3047" s="228">
        <v>70</v>
      </c>
      <c r="G3047" s="229">
        <f>+G2996</f>
        <v>3750</v>
      </c>
      <c r="H3047" s="230">
        <f>+G3047*F3047</f>
        <v>262500</v>
      </c>
      <c r="M3047" s="228">
        <v>70</v>
      </c>
    </row>
    <row r="3048" spans="2:13" ht="18.75" customHeight="1" x14ac:dyDescent="0.25">
      <c r="B3048" s="550"/>
      <c r="C3048" s="223" t="s">
        <v>708</v>
      </c>
      <c r="D3048" s="550"/>
      <c r="E3048" s="224" t="s">
        <v>62</v>
      </c>
      <c r="F3048" s="228">
        <v>9.5</v>
      </c>
      <c r="G3048" s="234">
        <f>+G2997</f>
        <v>1700</v>
      </c>
      <c r="H3048" s="230">
        <f>+G3048*F3048</f>
        <v>16150</v>
      </c>
      <c r="M3048" s="228">
        <v>9.5</v>
      </c>
    </row>
    <row r="3049" spans="2:13" ht="18.75" customHeight="1" x14ac:dyDescent="0.25">
      <c r="B3049" s="550"/>
      <c r="C3049" s="223" t="s">
        <v>661</v>
      </c>
      <c r="D3049" s="550"/>
      <c r="E3049" s="224" t="s">
        <v>955</v>
      </c>
      <c r="F3049" s="228">
        <v>7.4999999999999997E-2</v>
      </c>
      <c r="G3049" s="368">
        <f>+G2998</f>
        <v>230000</v>
      </c>
      <c r="H3049" s="230">
        <f>+G3049*F3049</f>
        <v>17250</v>
      </c>
      <c r="M3049" s="228">
        <v>7.4999999999999997E-2</v>
      </c>
    </row>
    <row r="3050" spans="2:13" ht="18.75" customHeight="1" x14ac:dyDescent="0.25">
      <c r="B3050" s="550"/>
      <c r="C3050" s="223"/>
      <c r="D3050" s="550"/>
      <c r="E3050" s="224"/>
      <c r="F3050" s="237" t="s">
        <v>643</v>
      </c>
      <c r="G3050" s="290"/>
      <c r="H3050" s="231">
        <f>SUM(H3047:H3049)</f>
        <v>295900</v>
      </c>
      <c r="M3050" s="237" t="s">
        <v>643</v>
      </c>
    </row>
    <row r="3051" spans="2:13" ht="18.75" customHeight="1" x14ac:dyDescent="0.25">
      <c r="B3051" s="550"/>
      <c r="C3051" s="223"/>
      <c r="D3051" s="550"/>
      <c r="E3051" s="224"/>
      <c r="F3051" s="225"/>
      <c r="G3051" s="290"/>
      <c r="H3051" s="226"/>
      <c r="M3051" s="225"/>
    </row>
    <row r="3052" spans="2:13" ht="18.75" customHeight="1" x14ac:dyDescent="0.25">
      <c r="B3052" s="550" t="s">
        <v>644</v>
      </c>
      <c r="C3052" s="223" t="s">
        <v>645</v>
      </c>
      <c r="D3052" s="550"/>
      <c r="E3052" s="224"/>
      <c r="F3052" s="225"/>
      <c r="G3052" s="290"/>
      <c r="H3052" s="235"/>
      <c r="M3052" s="225"/>
    </row>
    <row r="3053" spans="2:13" ht="18.75" customHeight="1" x14ac:dyDescent="0.25">
      <c r="B3053" s="236"/>
      <c r="C3053" s="232"/>
      <c r="D3053" s="550"/>
      <c r="E3053" s="224"/>
      <c r="F3053" s="237" t="s">
        <v>646</v>
      </c>
      <c r="G3053" s="290"/>
      <c r="H3053" s="230"/>
      <c r="M3053" s="237" t="s">
        <v>646</v>
      </c>
    </row>
    <row r="3054" spans="2:13" ht="18.75" customHeight="1" x14ac:dyDescent="0.25">
      <c r="B3054" s="236"/>
      <c r="C3054" s="232"/>
      <c r="D3054" s="550"/>
      <c r="E3054" s="224"/>
      <c r="F3054" s="237"/>
      <c r="G3054" s="290"/>
      <c r="H3054" s="226"/>
      <c r="M3054" s="237"/>
    </row>
    <row r="3055" spans="2:13" ht="18.75" customHeight="1" x14ac:dyDescent="0.25">
      <c r="B3055" s="354"/>
      <c r="C3055" s="362"/>
      <c r="D3055" s="239"/>
      <c r="E3055" s="240"/>
      <c r="F3055" s="241"/>
      <c r="G3055" s="293"/>
      <c r="H3055" s="355"/>
      <c r="M3055" s="241"/>
    </row>
    <row r="3056" spans="2:13" ht="18.75" customHeight="1" x14ac:dyDescent="0.25">
      <c r="B3056" s="356" t="s">
        <v>647</v>
      </c>
      <c r="C3056" s="363" t="s">
        <v>648</v>
      </c>
      <c r="D3056" s="435"/>
      <c r="E3056" s="92"/>
      <c r="F3056" s="183"/>
      <c r="G3056" s="295"/>
      <c r="H3056" s="357">
        <f>+H3053+H3050+H3045</f>
        <v>338650</v>
      </c>
      <c r="M3056" s="183"/>
    </row>
    <row r="3057" spans="2:13" ht="18.75" customHeight="1" x14ac:dyDescent="0.25">
      <c r="B3057" s="356" t="s">
        <v>649</v>
      </c>
      <c r="C3057" s="364" t="s">
        <v>650</v>
      </c>
      <c r="D3057" s="435"/>
      <c r="E3057" s="92"/>
      <c r="F3057" s="184" t="str">
        <f>$J$5</f>
        <v>8,0 % x D</v>
      </c>
      <c r="G3057" s="295"/>
      <c r="H3057" s="358">
        <f>+H3056*$K$5</f>
        <v>27092</v>
      </c>
      <c r="M3057" s="184" t="str">
        <f>$J$5</f>
        <v>8,0 % x D</v>
      </c>
    </row>
    <row r="3058" spans="2:13" ht="18.75" customHeight="1" x14ac:dyDescent="0.25">
      <c r="B3058" s="356" t="s">
        <v>651</v>
      </c>
      <c r="C3058" s="365" t="s">
        <v>652</v>
      </c>
      <c r="D3058" s="435"/>
      <c r="E3058" s="91"/>
      <c r="F3058" s="185"/>
      <c r="G3058" s="296"/>
      <c r="H3058" s="359">
        <f>ROUNDUP((H3057+H3056)/100,0)*100</f>
        <v>365800</v>
      </c>
      <c r="M3058" s="185"/>
    </row>
    <row r="3059" spans="2:13" ht="18.75" customHeight="1" x14ac:dyDescent="0.25">
      <c r="B3059" s="360"/>
      <c r="C3059" s="366"/>
      <c r="D3059" s="245"/>
      <c r="E3059" s="246"/>
      <c r="F3059" s="247"/>
      <c r="G3059" s="299"/>
      <c r="H3059" s="361"/>
      <c r="M3059" s="247"/>
    </row>
    <row r="3060" spans="2:13" ht="18.75" customHeight="1" x14ac:dyDescent="0.25">
      <c r="B3060" s="22"/>
      <c r="C3060" s="104"/>
      <c r="E3060" s="21"/>
      <c r="F3060" s="176"/>
      <c r="G3060" s="165"/>
      <c r="H3060" s="119"/>
      <c r="M3060" s="176"/>
    </row>
    <row r="3061" spans="2:13" ht="18.75" customHeight="1" x14ac:dyDescent="0.25">
      <c r="B3061" s="19">
        <f>+B3036+1</f>
        <v>11</v>
      </c>
      <c r="C3061" s="93" t="s">
        <v>1457</v>
      </c>
      <c r="D3061" s="19"/>
      <c r="E3061" s="21"/>
      <c r="F3061" s="176"/>
      <c r="G3061" s="165"/>
      <c r="H3061" s="119"/>
      <c r="M3061" s="176"/>
    </row>
    <row r="3062" spans="2:13" ht="18.75" customHeight="1" x14ac:dyDescent="0.25">
      <c r="B3062" s="618" t="s">
        <v>620</v>
      </c>
      <c r="C3062" s="620" t="s">
        <v>621</v>
      </c>
      <c r="D3062" s="618" t="s">
        <v>622</v>
      </c>
      <c r="E3062" s="618" t="s">
        <v>2</v>
      </c>
      <c r="F3062" s="615" t="s">
        <v>623</v>
      </c>
      <c r="G3062" s="289" t="s">
        <v>624</v>
      </c>
      <c r="H3062" s="256" t="s">
        <v>625</v>
      </c>
      <c r="M3062" s="615" t="s">
        <v>623</v>
      </c>
    </row>
    <row r="3063" spans="2:13" ht="18.75" customHeight="1" x14ac:dyDescent="0.25">
      <c r="B3063" s="619"/>
      <c r="C3063" s="621"/>
      <c r="D3063" s="619"/>
      <c r="E3063" s="619"/>
      <c r="F3063" s="616"/>
      <c r="G3063" s="289" t="s">
        <v>626</v>
      </c>
      <c r="H3063" s="256" t="s">
        <v>626</v>
      </c>
      <c r="M3063" s="616"/>
    </row>
    <row r="3064" spans="2:13" ht="18.75" customHeight="1" x14ac:dyDescent="0.25">
      <c r="B3064" s="221"/>
      <c r="C3064" s="222"/>
      <c r="D3064" s="221"/>
      <c r="E3064" s="550"/>
      <c r="F3064" s="555"/>
      <c r="G3064" s="551"/>
      <c r="H3064" s="220"/>
      <c r="M3064" s="590"/>
    </row>
    <row r="3065" spans="2:13" ht="18.75" customHeight="1" x14ac:dyDescent="0.25">
      <c r="B3065" s="550" t="s">
        <v>627</v>
      </c>
      <c r="C3065" s="223" t="s">
        <v>628</v>
      </c>
      <c r="D3065" s="550"/>
      <c r="E3065" s="224"/>
      <c r="F3065" s="225"/>
      <c r="G3065" s="290"/>
      <c r="H3065" s="226"/>
      <c r="M3065" s="225"/>
    </row>
    <row r="3066" spans="2:13" ht="18.75" customHeight="1" x14ac:dyDescent="0.25">
      <c r="B3066" s="550"/>
      <c r="C3066" s="227" t="s">
        <v>629</v>
      </c>
      <c r="D3066" s="550" t="s">
        <v>630</v>
      </c>
      <c r="E3066" s="224" t="s">
        <v>631</v>
      </c>
      <c r="F3066" s="228">
        <f t="shared" ref="F3066:F3069" si="154">$K$8*M3066</f>
        <v>0.3</v>
      </c>
      <c r="G3066" s="229">
        <f>G3041</f>
        <v>95000</v>
      </c>
      <c r="H3066" s="230">
        <f>+G3066*F3066</f>
        <v>28500</v>
      </c>
      <c r="M3066" s="228">
        <v>0.3</v>
      </c>
    </row>
    <row r="3067" spans="2:13" ht="18.75" customHeight="1" x14ac:dyDescent="0.25">
      <c r="B3067" s="550"/>
      <c r="C3067" s="227" t="s">
        <v>1508</v>
      </c>
      <c r="D3067" s="550" t="s">
        <v>632</v>
      </c>
      <c r="E3067" s="224" t="s">
        <v>631</v>
      </c>
      <c r="F3067" s="228">
        <f t="shared" si="154"/>
        <v>0.1</v>
      </c>
      <c r="G3067" s="229">
        <f>G3042</f>
        <v>110000</v>
      </c>
      <c r="H3067" s="230">
        <f>+G3067*F3067</f>
        <v>11000</v>
      </c>
      <c r="M3067" s="228">
        <v>0.1</v>
      </c>
    </row>
    <row r="3068" spans="2:13" ht="18.75" customHeight="1" x14ac:dyDescent="0.25">
      <c r="B3068" s="550"/>
      <c r="C3068" s="227" t="s">
        <v>633</v>
      </c>
      <c r="D3068" s="550" t="s">
        <v>634</v>
      </c>
      <c r="E3068" s="224" t="s">
        <v>631</v>
      </c>
      <c r="F3068" s="228">
        <f t="shared" si="154"/>
        <v>0.01</v>
      </c>
      <c r="G3068" s="229">
        <f>G3043</f>
        <v>115000</v>
      </c>
      <c r="H3068" s="230">
        <f>+G3068*F3068</f>
        <v>1150</v>
      </c>
      <c r="M3068" s="228">
        <v>0.01</v>
      </c>
    </row>
    <row r="3069" spans="2:13" ht="18.75" customHeight="1" x14ac:dyDescent="0.25">
      <c r="B3069" s="550"/>
      <c r="C3069" s="227" t="s">
        <v>600</v>
      </c>
      <c r="D3069" s="550" t="s">
        <v>635</v>
      </c>
      <c r="E3069" s="224" t="s">
        <v>631</v>
      </c>
      <c r="F3069" s="228">
        <f t="shared" si="154"/>
        <v>1.4999999999999999E-2</v>
      </c>
      <c r="G3069" s="229">
        <f>G3044</f>
        <v>140000</v>
      </c>
      <c r="H3069" s="230">
        <f>+G3069*F3069</f>
        <v>2100</v>
      </c>
      <c r="M3069" s="228">
        <v>1.4999999999999999E-2</v>
      </c>
    </row>
    <row r="3070" spans="2:13" ht="18.75" customHeight="1" x14ac:dyDescent="0.25">
      <c r="B3070" s="550"/>
      <c r="C3070" s="223"/>
      <c r="D3070" s="550"/>
      <c r="E3070" s="224"/>
      <c r="F3070" s="233" t="s">
        <v>636</v>
      </c>
      <c r="G3070" s="290"/>
      <c r="H3070" s="231">
        <f>SUM(H3066:H3069)</f>
        <v>42750</v>
      </c>
      <c r="M3070" s="233" t="s">
        <v>636</v>
      </c>
    </row>
    <row r="3071" spans="2:13" ht="18.75" customHeight="1" x14ac:dyDescent="0.25">
      <c r="B3071" s="550"/>
      <c r="C3071" s="223"/>
      <c r="D3071" s="550"/>
      <c r="E3071" s="224"/>
      <c r="F3071" s="233"/>
      <c r="G3071" s="290"/>
      <c r="H3071" s="231"/>
      <c r="M3071" s="233"/>
    </row>
    <row r="3072" spans="2:13" ht="18.75" customHeight="1" x14ac:dyDescent="0.25">
      <c r="B3072" s="550" t="s">
        <v>637</v>
      </c>
      <c r="C3072" s="223" t="s">
        <v>638</v>
      </c>
      <c r="D3072" s="550"/>
      <c r="E3072" s="224"/>
      <c r="F3072" s="225"/>
      <c r="G3072" s="290"/>
      <c r="H3072" s="226"/>
      <c r="M3072" s="225"/>
    </row>
    <row r="3073" spans="2:13" ht="18.75" customHeight="1" x14ac:dyDescent="0.25">
      <c r="B3073" s="550"/>
      <c r="C3073" s="223" t="s">
        <v>663</v>
      </c>
      <c r="D3073" s="550"/>
      <c r="E3073" s="224" t="s">
        <v>66</v>
      </c>
      <c r="F3073" s="228">
        <v>70</v>
      </c>
      <c r="G3073" s="229">
        <f>+G3047</f>
        <v>3750</v>
      </c>
      <c r="H3073" s="230">
        <f>+G3073*F3073</f>
        <v>262500</v>
      </c>
      <c r="M3073" s="228">
        <v>70</v>
      </c>
    </row>
    <row r="3074" spans="2:13" ht="18.75" customHeight="1" x14ac:dyDescent="0.25">
      <c r="B3074" s="550"/>
      <c r="C3074" s="223" t="s">
        <v>708</v>
      </c>
      <c r="D3074" s="550"/>
      <c r="E3074" s="224" t="s">
        <v>62</v>
      </c>
      <c r="F3074" s="228">
        <v>8.32</v>
      </c>
      <c r="G3074" s="234">
        <f>+G3048</f>
        <v>1700</v>
      </c>
      <c r="H3074" s="230">
        <f>+F3074*G3074</f>
        <v>14144</v>
      </c>
      <c r="M3074" s="228">
        <v>8.32</v>
      </c>
    </row>
    <row r="3075" spans="2:13" ht="18.75" customHeight="1" x14ac:dyDescent="0.25">
      <c r="B3075" s="550"/>
      <c r="C3075" s="223" t="s">
        <v>661</v>
      </c>
      <c r="D3075" s="550"/>
      <c r="E3075" s="224" t="s">
        <v>955</v>
      </c>
      <c r="F3075" s="228">
        <v>7.5800000000000006E-2</v>
      </c>
      <c r="G3075" s="234">
        <f>+G3049</f>
        <v>230000</v>
      </c>
      <c r="H3075" s="230">
        <f>+G3075*F3075</f>
        <v>17434</v>
      </c>
      <c r="M3075" s="228">
        <v>7.5800000000000006E-2</v>
      </c>
    </row>
    <row r="3076" spans="2:13" ht="18.75" customHeight="1" x14ac:dyDescent="0.25">
      <c r="B3076" s="550"/>
      <c r="C3076" s="223"/>
      <c r="D3076" s="550"/>
      <c r="E3076" s="224"/>
      <c r="F3076" s="237" t="s">
        <v>643</v>
      </c>
      <c r="G3076" s="290"/>
      <c r="H3076" s="231">
        <f>SUM(H3073:H3075)</f>
        <v>294078</v>
      </c>
      <c r="M3076" s="237" t="s">
        <v>643</v>
      </c>
    </row>
    <row r="3077" spans="2:13" ht="18.75" customHeight="1" x14ac:dyDescent="0.25">
      <c r="B3077" s="550"/>
      <c r="C3077" s="223"/>
      <c r="D3077" s="550"/>
      <c r="E3077" s="224"/>
      <c r="F3077" s="225"/>
      <c r="G3077" s="290"/>
      <c r="H3077" s="226"/>
      <c r="M3077" s="225"/>
    </row>
    <row r="3078" spans="2:13" ht="18.75" customHeight="1" x14ac:dyDescent="0.25">
      <c r="B3078" s="550" t="s">
        <v>644</v>
      </c>
      <c r="C3078" s="223" t="s">
        <v>645</v>
      </c>
      <c r="D3078" s="550"/>
      <c r="E3078" s="224"/>
      <c r="F3078" s="225"/>
      <c r="G3078" s="290"/>
      <c r="H3078" s="235"/>
      <c r="M3078" s="225"/>
    </row>
    <row r="3079" spans="2:13" ht="18.75" customHeight="1" x14ac:dyDescent="0.25">
      <c r="B3079" s="236"/>
      <c r="C3079" s="232"/>
      <c r="D3079" s="550"/>
      <c r="E3079" s="224"/>
      <c r="F3079" s="237" t="s">
        <v>646</v>
      </c>
      <c r="G3079" s="290"/>
      <c r="H3079" s="230"/>
      <c r="M3079" s="237" t="s">
        <v>646</v>
      </c>
    </row>
    <row r="3080" spans="2:13" ht="18.75" customHeight="1" x14ac:dyDescent="0.25">
      <c r="B3080" s="236"/>
      <c r="C3080" s="232"/>
      <c r="D3080" s="550"/>
      <c r="E3080" s="224"/>
      <c r="F3080" s="237"/>
      <c r="G3080" s="290"/>
      <c r="H3080" s="226"/>
      <c r="M3080" s="237"/>
    </row>
    <row r="3081" spans="2:13" ht="18.75" customHeight="1" x14ac:dyDescent="0.25">
      <c r="B3081" s="354"/>
      <c r="C3081" s="362"/>
      <c r="D3081" s="239"/>
      <c r="E3081" s="240"/>
      <c r="F3081" s="241"/>
      <c r="G3081" s="293"/>
      <c r="H3081" s="355"/>
      <c r="M3081" s="241"/>
    </row>
    <row r="3082" spans="2:13" ht="18.75" customHeight="1" x14ac:dyDescent="0.25">
      <c r="B3082" s="356" t="s">
        <v>647</v>
      </c>
      <c r="C3082" s="363" t="s">
        <v>648</v>
      </c>
      <c r="D3082" s="435"/>
      <c r="E3082" s="92"/>
      <c r="F3082" s="183"/>
      <c r="G3082" s="295"/>
      <c r="H3082" s="357">
        <f>+H3079+H3076+H3070</f>
        <v>336828</v>
      </c>
      <c r="M3082" s="183"/>
    </row>
    <row r="3083" spans="2:13" ht="18.75" customHeight="1" x14ac:dyDescent="0.25">
      <c r="B3083" s="356" t="s">
        <v>649</v>
      </c>
      <c r="C3083" s="364" t="s">
        <v>650</v>
      </c>
      <c r="D3083" s="435"/>
      <c r="E3083" s="92"/>
      <c r="F3083" s="184" t="str">
        <f>$J$5</f>
        <v>8,0 % x D</v>
      </c>
      <c r="G3083" s="295"/>
      <c r="H3083" s="358">
        <f>+H3082*$K$5</f>
        <v>26946.240000000002</v>
      </c>
      <c r="M3083" s="184" t="str">
        <f>$J$5</f>
        <v>8,0 % x D</v>
      </c>
    </row>
    <row r="3084" spans="2:13" ht="18.75" customHeight="1" x14ac:dyDescent="0.25">
      <c r="B3084" s="356" t="s">
        <v>651</v>
      </c>
      <c r="C3084" s="365" t="s">
        <v>652</v>
      </c>
      <c r="D3084" s="435"/>
      <c r="E3084" s="91"/>
      <c r="F3084" s="185"/>
      <c r="G3084" s="296"/>
      <c r="H3084" s="359">
        <f>ROUNDUP((H3083+H3082)/100,0)*100</f>
        <v>363800</v>
      </c>
      <c r="M3084" s="185"/>
    </row>
    <row r="3085" spans="2:13" ht="18.75" customHeight="1" x14ac:dyDescent="0.25">
      <c r="B3085" s="360"/>
      <c r="C3085" s="366"/>
      <c r="D3085" s="245"/>
      <c r="E3085" s="246"/>
      <c r="F3085" s="247"/>
      <c r="G3085" s="299"/>
      <c r="H3085" s="361"/>
      <c r="M3085" s="247"/>
    </row>
    <row r="3086" spans="2:13" ht="18.75" customHeight="1" x14ac:dyDescent="0.25">
      <c r="B3086" s="92"/>
      <c r="C3086" s="104"/>
      <c r="D3086" s="435"/>
      <c r="E3086" s="91"/>
      <c r="F3086" s="185"/>
      <c r="G3086" s="168"/>
      <c r="H3086" s="139"/>
      <c r="M3086" s="185"/>
    </row>
    <row r="3087" spans="2:13" ht="18.75" customHeight="1" x14ac:dyDescent="0.25">
      <c r="B3087" s="19">
        <v>12</v>
      </c>
      <c r="C3087" s="93" t="s">
        <v>1458</v>
      </c>
      <c r="D3087" s="19"/>
      <c r="E3087" s="21"/>
      <c r="F3087" s="176"/>
      <c r="G3087" s="165"/>
      <c r="H3087" s="119"/>
      <c r="M3087" s="176"/>
    </row>
    <row r="3088" spans="2:13" ht="18.75" customHeight="1" x14ac:dyDescent="0.25">
      <c r="B3088" s="618" t="s">
        <v>620</v>
      </c>
      <c r="C3088" s="620" t="s">
        <v>621</v>
      </c>
      <c r="D3088" s="618" t="s">
        <v>622</v>
      </c>
      <c r="E3088" s="618" t="s">
        <v>2</v>
      </c>
      <c r="F3088" s="615" t="s">
        <v>623</v>
      </c>
      <c r="G3088" s="289" t="s">
        <v>624</v>
      </c>
      <c r="H3088" s="256" t="s">
        <v>625</v>
      </c>
      <c r="M3088" s="615" t="s">
        <v>623</v>
      </c>
    </row>
    <row r="3089" spans="2:13" ht="18.75" customHeight="1" x14ac:dyDescent="0.25">
      <c r="B3089" s="619"/>
      <c r="C3089" s="621"/>
      <c r="D3089" s="619"/>
      <c r="E3089" s="619"/>
      <c r="F3089" s="616"/>
      <c r="G3089" s="289" t="s">
        <v>626</v>
      </c>
      <c r="H3089" s="256" t="s">
        <v>626</v>
      </c>
      <c r="M3089" s="616"/>
    </row>
    <row r="3090" spans="2:13" ht="18.75" customHeight="1" x14ac:dyDescent="0.25">
      <c r="B3090" s="221"/>
      <c r="C3090" s="222"/>
      <c r="D3090" s="221"/>
      <c r="E3090" s="550"/>
      <c r="F3090" s="555"/>
      <c r="G3090" s="551"/>
      <c r="H3090" s="220"/>
      <c r="M3090" s="590"/>
    </row>
    <row r="3091" spans="2:13" ht="18.75" customHeight="1" x14ac:dyDescent="0.25">
      <c r="B3091" s="550" t="s">
        <v>627</v>
      </c>
      <c r="C3091" s="223" t="s">
        <v>628</v>
      </c>
      <c r="D3091" s="550"/>
      <c r="E3091" s="224"/>
      <c r="F3091" s="225"/>
      <c r="G3091" s="290"/>
      <c r="H3091" s="226"/>
      <c r="M3091" s="225"/>
    </row>
    <row r="3092" spans="2:13" ht="18.75" customHeight="1" x14ac:dyDescent="0.25">
      <c r="B3092" s="550"/>
      <c r="C3092" s="227" t="s">
        <v>629</v>
      </c>
      <c r="D3092" s="550" t="s">
        <v>630</v>
      </c>
      <c r="E3092" s="224" t="s">
        <v>631</v>
      </c>
      <c r="F3092" s="228">
        <f t="shared" ref="F3092:F3095" si="155">$K$8*M3092</f>
        <v>0.1</v>
      </c>
      <c r="G3092" s="229">
        <f>G3066</f>
        <v>95000</v>
      </c>
      <c r="H3092" s="230">
        <f>+G3092*F3092</f>
        <v>9500</v>
      </c>
      <c r="M3092" s="228">
        <v>0.1</v>
      </c>
    </row>
    <row r="3093" spans="2:13" ht="18.75" customHeight="1" x14ac:dyDescent="0.25">
      <c r="B3093" s="550"/>
      <c r="C3093" s="227" t="s">
        <v>1508</v>
      </c>
      <c r="D3093" s="550" t="s">
        <v>632</v>
      </c>
      <c r="E3093" s="224" t="s">
        <v>631</v>
      </c>
      <c r="F3093" s="228">
        <f t="shared" si="155"/>
        <v>0.11</v>
      </c>
      <c r="G3093" s="229">
        <f>G3067</f>
        <v>110000</v>
      </c>
      <c r="H3093" s="230">
        <f>+G3093*F3093</f>
        <v>12100</v>
      </c>
      <c r="M3093" s="228">
        <v>0.11</v>
      </c>
    </row>
    <row r="3094" spans="2:13" ht="18.75" customHeight="1" x14ac:dyDescent="0.25">
      <c r="B3094" s="550"/>
      <c r="C3094" s="227" t="s">
        <v>633</v>
      </c>
      <c r="D3094" s="550" t="s">
        <v>634</v>
      </c>
      <c r="E3094" s="224" t="s">
        <v>631</v>
      </c>
      <c r="F3094" s="228">
        <f t="shared" si="155"/>
        <v>1.4200000000000001E-2</v>
      </c>
      <c r="G3094" s="229">
        <f>G3068</f>
        <v>115000</v>
      </c>
      <c r="H3094" s="230">
        <f>+G3094*F3094</f>
        <v>1633</v>
      </c>
      <c r="M3094" s="228">
        <v>1.4200000000000001E-2</v>
      </c>
    </row>
    <row r="3095" spans="2:13" ht="18.75" customHeight="1" x14ac:dyDescent="0.25">
      <c r="B3095" s="550"/>
      <c r="C3095" s="227" t="s">
        <v>600</v>
      </c>
      <c r="D3095" s="550" t="s">
        <v>635</v>
      </c>
      <c r="E3095" s="224" t="s">
        <v>631</v>
      </c>
      <c r="F3095" s="228">
        <f t="shared" si="155"/>
        <v>1.4999999999999999E-2</v>
      </c>
      <c r="G3095" s="229">
        <f>G3069</f>
        <v>140000</v>
      </c>
      <c r="H3095" s="230">
        <f>+G3095*F3095</f>
        <v>2100</v>
      </c>
      <c r="M3095" s="228">
        <v>1.4999999999999999E-2</v>
      </c>
    </row>
    <row r="3096" spans="2:13" ht="18.75" customHeight="1" x14ac:dyDescent="0.25">
      <c r="B3096" s="550"/>
      <c r="C3096" s="223"/>
      <c r="D3096" s="550"/>
      <c r="E3096" s="224"/>
      <c r="F3096" s="233" t="s">
        <v>636</v>
      </c>
      <c r="G3096" s="290"/>
      <c r="H3096" s="231">
        <f>SUM(H3092:H3095)</f>
        <v>25333</v>
      </c>
      <c r="M3096" s="233" t="s">
        <v>636</v>
      </c>
    </row>
    <row r="3097" spans="2:13" ht="18.75" customHeight="1" x14ac:dyDescent="0.25">
      <c r="B3097" s="550"/>
      <c r="C3097" s="223"/>
      <c r="D3097" s="550"/>
      <c r="E3097" s="224"/>
      <c r="F3097" s="233"/>
      <c r="G3097" s="290"/>
      <c r="H3097" s="231"/>
      <c r="M3097" s="233"/>
    </row>
    <row r="3098" spans="2:13" ht="18.75" customHeight="1" x14ac:dyDescent="0.25">
      <c r="B3098" s="550" t="s">
        <v>637</v>
      </c>
      <c r="C3098" s="223" t="s">
        <v>638</v>
      </c>
      <c r="D3098" s="550"/>
      <c r="E3098" s="224"/>
      <c r="F3098" s="225"/>
      <c r="G3098" s="290"/>
      <c r="H3098" s="226"/>
      <c r="M3098" s="225"/>
    </row>
    <row r="3099" spans="2:13" ht="18.75" customHeight="1" x14ac:dyDescent="0.25">
      <c r="B3099" s="550"/>
      <c r="C3099" s="223" t="s">
        <v>663</v>
      </c>
      <c r="D3099" s="550"/>
      <c r="E3099" s="224" t="s">
        <v>66</v>
      </c>
      <c r="F3099" s="228">
        <v>70</v>
      </c>
      <c r="G3099" s="229">
        <f>+G3073</f>
        <v>3750</v>
      </c>
      <c r="H3099" s="230">
        <f>+G3099*F3099</f>
        <v>262500</v>
      </c>
      <c r="M3099" s="228">
        <v>70</v>
      </c>
    </row>
    <row r="3100" spans="2:13" ht="18.75" customHeight="1" x14ac:dyDescent="0.25">
      <c r="B3100" s="550"/>
      <c r="C3100" s="223" t="s">
        <v>708</v>
      </c>
      <c r="D3100" s="550"/>
      <c r="E3100" s="224" t="s">
        <v>62</v>
      </c>
      <c r="F3100" s="228">
        <v>6.5</v>
      </c>
      <c r="G3100" s="234">
        <f>+G3074</f>
        <v>1700</v>
      </c>
      <c r="H3100" s="230">
        <f>+F3100*G3100</f>
        <v>11050</v>
      </c>
      <c r="M3100" s="228">
        <v>6.5</v>
      </c>
    </row>
    <row r="3101" spans="2:13" ht="18.75" customHeight="1" x14ac:dyDescent="0.25">
      <c r="B3101" s="550"/>
      <c r="C3101" s="223" t="s">
        <v>661</v>
      </c>
      <c r="D3101" s="550"/>
      <c r="E3101" s="224" t="s">
        <v>955</v>
      </c>
      <c r="F3101" s="228">
        <v>7.4999999999999997E-2</v>
      </c>
      <c r="G3101" s="234">
        <f>+G3075</f>
        <v>230000</v>
      </c>
      <c r="H3101" s="230">
        <f>+G3101*F3101</f>
        <v>17250</v>
      </c>
      <c r="M3101" s="228">
        <v>7.4999999999999997E-2</v>
      </c>
    </row>
    <row r="3102" spans="2:13" ht="18.75" customHeight="1" x14ac:dyDescent="0.25">
      <c r="B3102" s="550"/>
      <c r="C3102" s="223"/>
      <c r="D3102" s="550"/>
      <c r="E3102" s="224"/>
      <c r="F3102" s="237" t="s">
        <v>643</v>
      </c>
      <c r="G3102" s="290"/>
      <c r="H3102" s="231">
        <f>SUM(H3099:H3101)</f>
        <v>290800</v>
      </c>
      <c r="M3102" s="237" t="s">
        <v>643</v>
      </c>
    </row>
    <row r="3103" spans="2:13" ht="18.75" customHeight="1" x14ac:dyDescent="0.25">
      <c r="B3103" s="550"/>
      <c r="C3103" s="223"/>
      <c r="D3103" s="550"/>
      <c r="E3103" s="224"/>
      <c r="F3103" s="225"/>
      <c r="G3103" s="290"/>
      <c r="H3103" s="226"/>
      <c r="M3103" s="225"/>
    </row>
    <row r="3104" spans="2:13" ht="18.75" customHeight="1" x14ac:dyDescent="0.25">
      <c r="B3104" s="550" t="s">
        <v>644</v>
      </c>
      <c r="C3104" s="223" t="s">
        <v>645</v>
      </c>
      <c r="D3104" s="550"/>
      <c r="E3104" s="224"/>
      <c r="F3104" s="225"/>
      <c r="G3104" s="290"/>
      <c r="H3104" s="235"/>
      <c r="M3104" s="225"/>
    </row>
    <row r="3105" spans="2:13" ht="18.75" customHeight="1" x14ac:dyDescent="0.25">
      <c r="B3105" s="236"/>
      <c r="C3105" s="232"/>
      <c r="D3105" s="550"/>
      <c r="E3105" s="224"/>
      <c r="F3105" s="237" t="s">
        <v>646</v>
      </c>
      <c r="G3105" s="290"/>
      <c r="H3105" s="230"/>
      <c r="M3105" s="237" t="s">
        <v>646</v>
      </c>
    </row>
    <row r="3106" spans="2:13" ht="18.75" customHeight="1" x14ac:dyDescent="0.25">
      <c r="B3106" s="236"/>
      <c r="C3106" s="232"/>
      <c r="D3106" s="550"/>
      <c r="E3106" s="224"/>
      <c r="F3106" s="237"/>
      <c r="G3106" s="290"/>
      <c r="H3106" s="226"/>
      <c r="M3106" s="237"/>
    </row>
    <row r="3107" spans="2:13" ht="18.75" customHeight="1" x14ac:dyDescent="0.25">
      <c r="B3107" s="354"/>
      <c r="C3107" s="362"/>
      <c r="D3107" s="239"/>
      <c r="E3107" s="240"/>
      <c r="F3107" s="241"/>
      <c r="G3107" s="293"/>
      <c r="H3107" s="355"/>
      <c r="M3107" s="241"/>
    </row>
    <row r="3108" spans="2:13" ht="18.75" customHeight="1" x14ac:dyDescent="0.25">
      <c r="B3108" s="356" t="s">
        <v>647</v>
      </c>
      <c r="C3108" s="363" t="s">
        <v>648</v>
      </c>
      <c r="D3108" s="435"/>
      <c r="E3108" s="92"/>
      <c r="F3108" s="183"/>
      <c r="G3108" s="295"/>
      <c r="H3108" s="357">
        <f>+H3105+H3102+H3096</f>
        <v>316133</v>
      </c>
      <c r="M3108" s="183"/>
    </row>
    <row r="3109" spans="2:13" ht="18.75" customHeight="1" x14ac:dyDescent="0.25">
      <c r="B3109" s="356" t="s">
        <v>649</v>
      </c>
      <c r="C3109" s="364" t="s">
        <v>650</v>
      </c>
      <c r="D3109" s="435"/>
      <c r="E3109" s="92"/>
      <c r="F3109" s="184" t="str">
        <f>$J$5</f>
        <v>8,0 % x D</v>
      </c>
      <c r="G3109" s="295"/>
      <c r="H3109" s="358">
        <f>+H3108*$K$5</f>
        <v>25290.639999999999</v>
      </c>
      <c r="M3109" s="184" t="str">
        <f>$J$5</f>
        <v>8,0 % x D</v>
      </c>
    </row>
    <row r="3110" spans="2:13" ht="18.75" customHeight="1" x14ac:dyDescent="0.25">
      <c r="B3110" s="356" t="s">
        <v>651</v>
      </c>
      <c r="C3110" s="365" t="s">
        <v>652</v>
      </c>
      <c r="D3110" s="435"/>
      <c r="E3110" s="91"/>
      <c r="F3110" s="185"/>
      <c r="G3110" s="296"/>
      <c r="H3110" s="359">
        <f>ROUNDUP((H3109+H3108)/100,0)*100</f>
        <v>341500</v>
      </c>
      <c r="M3110" s="185"/>
    </row>
    <row r="3111" spans="2:13" ht="18.75" customHeight="1" x14ac:dyDescent="0.25">
      <c r="B3111" s="360"/>
      <c r="C3111" s="366"/>
      <c r="D3111" s="245"/>
      <c r="E3111" s="246"/>
      <c r="F3111" s="247"/>
      <c r="G3111" s="299"/>
      <c r="H3111" s="361"/>
      <c r="M3111" s="247"/>
    </row>
    <row r="3112" spans="2:13" ht="18.75" customHeight="1" x14ac:dyDescent="0.25">
      <c r="B3112" s="22"/>
      <c r="C3112" s="104"/>
      <c r="E3112" s="21"/>
      <c r="F3112" s="176"/>
      <c r="G3112" s="165"/>
      <c r="H3112" s="119"/>
      <c r="M3112" s="176"/>
    </row>
    <row r="3113" spans="2:13" ht="18.75" customHeight="1" x14ac:dyDescent="0.25">
      <c r="B3113" s="19">
        <v>13</v>
      </c>
      <c r="C3113" s="93" t="s">
        <v>1459</v>
      </c>
      <c r="D3113" s="19"/>
      <c r="E3113" s="21"/>
      <c r="F3113" s="176"/>
      <c r="G3113" s="165"/>
      <c r="H3113" s="119"/>
      <c r="M3113" s="176"/>
    </row>
    <row r="3114" spans="2:13" ht="18.75" customHeight="1" x14ac:dyDescent="0.25">
      <c r="B3114" s="618" t="s">
        <v>620</v>
      </c>
      <c r="C3114" s="620" t="s">
        <v>621</v>
      </c>
      <c r="D3114" s="618" t="s">
        <v>622</v>
      </c>
      <c r="E3114" s="618" t="s">
        <v>2</v>
      </c>
      <c r="F3114" s="615" t="s">
        <v>623</v>
      </c>
      <c r="G3114" s="289" t="s">
        <v>624</v>
      </c>
      <c r="H3114" s="256" t="s">
        <v>625</v>
      </c>
      <c r="M3114" s="615" t="s">
        <v>623</v>
      </c>
    </row>
    <row r="3115" spans="2:13" ht="18.75" customHeight="1" x14ac:dyDescent="0.25">
      <c r="B3115" s="619"/>
      <c r="C3115" s="621"/>
      <c r="D3115" s="619"/>
      <c r="E3115" s="619"/>
      <c r="F3115" s="616"/>
      <c r="G3115" s="289" t="s">
        <v>626</v>
      </c>
      <c r="H3115" s="256" t="s">
        <v>626</v>
      </c>
      <c r="M3115" s="616"/>
    </row>
    <row r="3116" spans="2:13" ht="18.75" customHeight="1" x14ac:dyDescent="0.25">
      <c r="B3116" s="221"/>
      <c r="C3116" s="222"/>
      <c r="D3116" s="221"/>
      <c r="E3116" s="550"/>
      <c r="F3116" s="555"/>
      <c r="G3116" s="551"/>
      <c r="H3116" s="220"/>
      <c r="M3116" s="590"/>
    </row>
    <row r="3117" spans="2:13" ht="18.75" customHeight="1" x14ac:dyDescent="0.25">
      <c r="B3117" s="550" t="s">
        <v>627</v>
      </c>
      <c r="C3117" s="223" t="s">
        <v>628</v>
      </c>
      <c r="D3117" s="550"/>
      <c r="E3117" s="224"/>
      <c r="F3117" s="225"/>
      <c r="G3117" s="290"/>
      <c r="H3117" s="226"/>
      <c r="M3117" s="225"/>
    </row>
    <row r="3118" spans="2:13" ht="18.75" customHeight="1" x14ac:dyDescent="0.25">
      <c r="B3118" s="550"/>
      <c r="C3118" s="227" t="s">
        <v>629</v>
      </c>
      <c r="D3118" s="550" t="s">
        <v>630</v>
      </c>
      <c r="E3118" s="224" t="s">
        <v>631</v>
      </c>
      <c r="F3118" s="228">
        <f t="shared" ref="F3118:F3121" si="156">$K$8*M3118</f>
        <v>0.3</v>
      </c>
      <c r="G3118" s="229">
        <f>G3066</f>
        <v>95000</v>
      </c>
      <c r="H3118" s="230">
        <f>+G3118*F3118</f>
        <v>28500</v>
      </c>
      <c r="M3118" s="228">
        <v>0.3</v>
      </c>
    </row>
    <row r="3119" spans="2:13" ht="18.75" customHeight="1" x14ac:dyDescent="0.25">
      <c r="B3119" s="550"/>
      <c r="C3119" s="227" t="s">
        <v>1508</v>
      </c>
      <c r="D3119" s="550" t="s">
        <v>632</v>
      </c>
      <c r="E3119" s="224" t="s">
        <v>631</v>
      </c>
      <c r="F3119" s="228">
        <f t="shared" si="156"/>
        <v>0.1</v>
      </c>
      <c r="G3119" s="229">
        <f>G3067</f>
        <v>110000</v>
      </c>
      <c r="H3119" s="230">
        <f>+G3119*F3119</f>
        <v>11000</v>
      </c>
      <c r="M3119" s="228">
        <v>0.1</v>
      </c>
    </row>
    <row r="3120" spans="2:13" ht="18.75" customHeight="1" x14ac:dyDescent="0.25">
      <c r="B3120" s="550"/>
      <c r="C3120" s="227" t="s">
        <v>633</v>
      </c>
      <c r="D3120" s="550" t="s">
        <v>634</v>
      </c>
      <c r="E3120" s="224" t="s">
        <v>631</v>
      </c>
      <c r="F3120" s="228">
        <f t="shared" si="156"/>
        <v>0.01</v>
      </c>
      <c r="G3120" s="229">
        <f>G3068</f>
        <v>115000</v>
      </c>
      <c r="H3120" s="230">
        <f>+G3120*F3120</f>
        <v>1150</v>
      </c>
      <c r="M3120" s="228">
        <v>0.01</v>
      </c>
    </row>
    <row r="3121" spans="2:13" ht="18.75" customHeight="1" x14ac:dyDescent="0.25">
      <c r="B3121" s="550"/>
      <c r="C3121" s="227" t="s">
        <v>600</v>
      </c>
      <c r="D3121" s="550" t="s">
        <v>635</v>
      </c>
      <c r="E3121" s="224" t="s">
        <v>631</v>
      </c>
      <c r="F3121" s="228">
        <f t="shared" si="156"/>
        <v>1.4999999999999999E-2</v>
      </c>
      <c r="G3121" s="229">
        <f>G3069</f>
        <v>140000</v>
      </c>
      <c r="H3121" s="230">
        <f>+G3121*F3121</f>
        <v>2100</v>
      </c>
      <c r="M3121" s="228">
        <v>1.4999999999999999E-2</v>
      </c>
    </row>
    <row r="3122" spans="2:13" ht="18.75" customHeight="1" x14ac:dyDescent="0.25">
      <c r="B3122" s="550"/>
      <c r="C3122" s="223"/>
      <c r="D3122" s="550"/>
      <c r="E3122" s="224"/>
      <c r="F3122" s="233" t="s">
        <v>636</v>
      </c>
      <c r="G3122" s="290"/>
      <c r="H3122" s="231">
        <f>SUM(H3118:H3121)</f>
        <v>42750</v>
      </c>
      <c r="M3122" s="233" t="s">
        <v>636</v>
      </c>
    </row>
    <row r="3123" spans="2:13" ht="18.75" customHeight="1" x14ac:dyDescent="0.25">
      <c r="B3123" s="550"/>
      <c r="C3123" s="223"/>
      <c r="D3123" s="550"/>
      <c r="E3123" s="224"/>
      <c r="F3123" s="233"/>
      <c r="G3123" s="290"/>
      <c r="H3123" s="231"/>
      <c r="M3123" s="233"/>
    </row>
    <row r="3124" spans="2:13" ht="18.75" customHeight="1" x14ac:dyDescent="0.25">
      <c r="B3124" s="550" t="s">
        <v>637</v>
      </c>
      <c r="C3124" s="223" t="s">
        <v>638</v>
      </c>
      <c r="D3124" s="550"/>
      <c r="E3124" s="224"/>
      <c r="F3124" s="225"/>
      <c r="G3124" s="290"/>
      <c r="H3124" s="226"/>
      <c r="M3124" s="225"/>
    </row>
    <row r="3125" spans="2:13" ht="18.75" customHeight="1" x14ac:dyDescent="0.25">
      <c r="B3125" s="550"/>
      <c r="C3125" s="223" t="s">
        <v>663</v>
      </c>
      <c r="D3125" s="550"/>
      <c r="E3125" s="224" t="s">
        <v>66</v>
      </c>
      <c r="F3125" s="228">
        <v>70</v>
      </c>
      <c r="G3125" s="229">
        <f>+G3099</f>
        <v>3750</v>
      </c>
      <c r="H3125" s="230">
        <f>+G3125*F3125</f>
        <v>262500</v>
      </c>
      <c r="M3125" s="228">
        <v>70</v>
      </c>
    </row>
    <row r="3126" spans="2:13" ht="18.75" customHeight="1" x14ac:dyDescent="0.25">
      <c r="B3126" s="550"/>
      <c r="C3126" s="223" t="s">
        <v>708</v>
      </c>
      <c r="D3126" s="550"/>
      <c r="E3126" s="224" t="s">
        <v>62</v>
      </c>
      <c r="F3126" s="228">
        <v>1.7999999999999999E-2</v>
      </c>
      <c r="G3126" s="234">
        <f>+G3100</f>
        <v>1700</v>
      </c>
      <c r="H3126" s="230">
        <f>+F3126*G3126</f>
        <v>30.599999999999998</v>
      </c>
      <c r="M3126" s="228">
        <v>1.7999999999999999E-2</v>
      </c>
    </row>
    <row r="3127" spans="2:13" ht="18.75" customHeight="1" x14ac:dyDescent="0.25">
      <c r="B3127" s="550"/>
      <c r="C3127" s="223" t="s">
        <v>64</v>
      </c>
      <c r="D3127" s="550"/>
      <c r="E3127" s="224" t="s">
        <v>955</v>
      </c>
      <c r="F3127" s="228">
        <v>1.7999999999999999E-2</v>
      </c>
      <c r="G3127" s="234">
        <f>G2946</f>
        <v>125000</v>
      </c>
      <c r="H3127" s="230">
        <f>+G3127*F3127</f>
        <v>2250</v>
      </c>
      <c r="M3127" s="228">
        <v>1.7999999999999999E-2</v>
      </c>
    </row>
    <row r="3128" spans="2:13" ht="18.75" customHeight="1" x14ac:dyDescent="0.25">
      <c r="B3128" s="550"/>
      <c r="C3128" s="223" t="s">
        <v>661</v>
      </c>
      <c r="D3128" s="550"/>
      <c r="E3128" s="224" t="s">
        <v>955</v>
      </c>
      <c r="F3128" s="228">
        <v>1.7999999999999999E-2</v>
      </c>
      <c r="G3128" s="234">
        <f>G3101</f>
        <v>230000</v>
      </c>
      <c r="H3128" s="230">
        <f>+G3128*F3128</f>
        <v>4140</v>
      </c>
      <c r="M3128" s="228">
        <v>1.7999999999999999E-2</v>
      </c>
    </row>
    <row r="3129" spans="2:13" ht="18.75" customHeight="1" x14ac:dyDescent="0.25">
      <c r="B3129" s="550"/>
      <c r="C3129" s="223"/>
      <c r="D3129" s="550"/>
      <c r="E3129" s="224"/>
      <c r="F3129" s="237" t="s">
        <v>643</v>
      </c>
      <c r="G3129" s="290"/>
      <c r="H3129" s="231">
        <f>SUM(H3125:H3128)</f>
        <v>268920.59999999998</v>
      </c>
      <c r="M3129" s="237" t="s">
        <v>643</v>
      </c>
    </row>
    <row r="3130" spans="2:13" ht="18.75" customHeight="1" x14ac:dyDescent="0.25">
      <c r="B3130" s="550"/>
      <c r="C3130" s="223"/>
      <c r="D3130" s="550"/>
      <c r="E3130" s="224"/>
      <c r="F3130" s="225"/>
      <c r="G3130" s="290"/>
      <c r="H3130" s="226"/>
      <c r="M3130" s="225"/>
    </row>
    <row r="3131" spans="2:13" ht="18.75" customHeight="1" x14ac:dyDescent="0.25">
      <c r="B3131" s="550" t="s">
        <v>644</v>
      </c>
      <c r="C3131" s="223" t="s">
        <v>645</v>
      </c>
      <c r="D3131" s="550"/>
      <c r="E3131" s="224"/>
      <c r="F3131" s="225"/>
      <c r="G3131" s="290"/>
      <c r="H3131" s="235"/>
      <c r="M3131" s="225"/>
    </row>
    <row r="3132" spans="2:13" ht="18.75" customHeight="1" x14ac:dyDescent="0.25">
      <c r="B3132" s="236"/>
      <c r="C3132" s="232"/>
      <c r="D3132" s="550"/>
      <c r="E3132" s="224"/>
      <c r="F3132" s="237" t="s">
        <v>646</v>
      </c>
      <c r="G3132" s="290"/>
      <c r="H3132" s="230"/>
      <c r="M3132" s="237" t="s">
        <v>646</v>
      </c>
    </row>
    <row r="3133" spans="2:13" ht="18.75" customHeight="1" x14ac:dyDescent="0.25">
      <c r="B3133" s="236"/>
      <c r="C3133" s="232"/>
      <c r="D3133" s="550"/>
      <c r="E3133" s="224"/>
      <c r="F3133" s="237"/>
      <c r="G3133" s="290"/>
      <c r="H3133" s="226"/>
      <c r="M3133" s="237"/>
    </row>
    <row r="3134" spans="2:13" ht="18.75" customHeight="1" x14ac:dyDescent="0.25">
      <c r="B3134" s="354"/>
      <c r="C3134" s="362"/>
      <c r="D3134" s="239"/>
      <c r="E3134" s="266"/>
      <c r="F3134" s="241"/>
      <c r="G3134" s="370"/>
      <c r="H3134" s="369"/>
      <c r="M3134" s="241"/>
    </row>
    <row r="3135" spans="2:13" ht="18.75" customHeight="1" x14ac:dyDescent="0.25">
      <c r="B3135" s="356" t="s">
        <v>647</v>
      </c>
      <c r="C3135" s="363" t="s">
        <v>648</v>
      </c>
      <c r="D3135" s="435"/>
      <c r="E3135" s="92"/>
      <c r="F3135" s="183"/>
      <c r="G3135" s="295"/>
      <c r="H3135" s="357">
        <f>+H3132+H3129+H3122</f>
        <v>311670.59999999998</v>
      </c>
      <c r="M3135" s="183"/>
    </row>
    <row r="3136" spans="2:13" ht="18.75" customHeight="1" x14ac:dyDescent="0.25">
      <c r="B3136" s="356" t="s">
        <v>649</v>
      </c>
      <c r="C3136" s="364" t="s">
        <v>650</v>
      </c>
      <c r="D3136" s="435"/>
      <c r="E3136" s="92"/>
      <c r="F3136" s="184" t="str">
        <f>$J$5</f>
        <v>8,0 % x D</v>
      </c>
      <c r="G3136" s="295"/>
      <c r="H3136" s="358">
        <f>+H3135*$K$5</f>
        <v>24933.647999999997</v>
      </c>
      <c r="M3136" s="184" t="str">
        <f>$J$5</f>
        <v>8,0 % x D</v>
      </c>
    </row>
    <row r="3137" spans="2:13" ht="18.75" customHeight="1" x14ac:dyDescent="0.25">
      <c r="B3137" s="356" t="s">
        <v>651</v>
      </c>
      <c r="C3137" s="365" t="s">
        <v>652</v>
      </c>
      <c r="D3137" s="435"/>
      <c r="E3137" s="91"/>
      <c r="F3137" s="185"/>
      <c r="G3137" s="296"/>
      <c r="H3137" s="359">
        <f>ROUNDUP((H3136+H3135)/100,0)*100</f>
        <v>336700</v>
      </c>
      <c r="M3137" s="185"/>
    </row>
    <row r="3138" spans="2:13" ht="18.75" customHeight="1" x14ac:dyDescent="0.25">
      <c r="B3138" s="360"/>
      <c r="C3138" s="366"/>
      <c r="D3138" s="245"/>
      <c r="E3138" s="246"/>
      <c r="F3138" s="247"/>
      <c r="G3138" s="299"/>
      <c r="H3138" s="361"/>
      <c r="M3138" s="247"/>
    </row>
    <row r="3139" spans="2:13" ht="18.75" customHeight="1" x14ac:dyDescent="0.25">
      <c r="B3139" s="92"/>
      <c r="C3139" s="104"/>
      <c r="D3139" s="435"/>
      <c r="E3139" s="91"/>
      <c r="F3139" s="185"/>
      <c r="G3139" s="168"/>
      <c r="H3139" s="139"/>
      <c r="M3139" s="185"/>
    </row>
    <row r="3140" spans="2:13" ht="18.75" customHeight="1" x14ac:dyDescent="0.25">
      <c r="B3140" s="19">
        <v>14</v>
      </c>
      <c r="C3140" s="93" t="s">
        <v>1460</v>
      </c>
      <c r="D3140" s="19"/>
      <c r="E3140" s="21"/>
      <c r="F3140" s="176"/>
      <c r="G3140" s="165"/>
      <c r="H3140" s="119"/>
      <c r="M3140" s="176"/>
    </row>
    <row r="3141" spans="2:13" ht="18.75" customHeight="1" x14ac:dyDescent="0.25">
      <c r="B3141" s="618" t="s">
        <v>620</v>
      </c>
      <c r="C3141" s="620" t="s">
        <v>621</v>
      </c>
      <c r="D3141" s="618" t="s">
        <v>622</v>
      </c>
      <c r="E3141" s="618" t="s">
        <v>2</v>
      </c>
      <c r="F3141" s="615" t="s">
        <v>623</v>
      </c>
      <c r="G3141" s="289" t="s">
        <v>624</v>
      </c>
      <c r="H3141" s="256" t="s">
        <v>625</v>
      </c>
      <c r="M3141" s="615" t="s">
        <v>623</v>
      </c>
    </row>
    <row r="3142" spans="2:13" ht="18.75" customHeight="1" x14ac:dyDescent="0.25">
      <c r="B3142" s="619"/>
      <c r="C3142" s="621"/>
      <c r="D3142" s="619"/>
      <c r="E3142" s="619"/>
      <c r="F3142" s="616"/>
      <c r="G3142" s="289" t="s">
        <v>626</v>
      </c>
      <c r="H3142" s="256" t="s">
        <v>626</v>
      </c>
      <c r="M3142" s="616"/>
    </row>
    <row r="3143" spans="2:13" ht="18.75" customHeight="1" x14ac:dyDescent="0.25">
      <c r="B3143" s="221"/>
      <c r="C3143" s="222"/>
      <c r="D3143" s="221"/>
      <c r="E3143" s="550"/>
      <c r="F3143" s="555"/>
      <c r="G3143" s="551"/>
      <c r="H3143" s="220"/>
      <c r="M3143" s="590"/>
    </row>
    <row r="3144" spans="2:13" ht="18.75" customHeight="1" x14ac:dyDescent="0.25">
      <c r="B3144" s="550" t="s">
        <v>627</v>
      </c>
      <c r="C3144" s="223" t="s">
        <v>628</v>
      </c>
      <c r="D3144" s="550"/>
      <c r="E3144" s="224"/>
      <c r="F3144" s="225"/>
      <c r="G3144" s="290"/>
      <c r="H3144" s="226"/>
      <c r="M3144" s="225"/>
    </row>
    <row r="3145" spans="2:13" ht="18.75" customHeight="1" x14ac:dyDescent="0.25">
      <c r="B3145" s="550"/>
      <c r="C3145" s="227" t="s">
        <v>629</v>
      </c>
      <c r="D3145" s="550" t="s">
        <v>630</v>
      </c>
      <c r="E3145" s="224" t="s">
        <v>631</v>
      </c>
      <c r="F3145" s="228">
        <f t="shared" ref="F3145:F3148" si="157">$K$8*M3145</f>
        <v>0.3</v>
      </c>
      <c r="G3145" s="229">
        <f>G3118</f>
        <v>95000</v>
      </c>
      <c r="H3145" s="230">
        <f>+G3145*F3145</f>
        <v>28500</v>
      </c>
      <c r="M3145" s="228">
        <v>0.3</v>
      </c>
    </row>
    <row r="3146" spans="2:13" ht="18.75" customHeight="1" x14ac:dyDescent="0.25">
      <c r="B3146" s="550"/>
      <c r="C3146" s="227" t="s">
        <v>1508</v>
      </c>
      <c r="D3146" s="550" t="s">
        <v>632</v>
      </c>
      <c r="E3146" s="224" t="s">
        <v>631</v>
      </c>
      <c r="F3146" s="228">
        <f t="shared" si="157"/>
        <v>0.1</v>
      </c>
      <c r="G3146" s="229">
        <f>G3119</f>
        <v>110000</v>
      </c>
      <c r="H3146" s="230">
        <f>+G3146*F3146</f>
        <v>11000</v>
      </c>
      <c r="M3146" s="228">
        <v>0.1</v>
      </c>
    </row>
    <row r="3147" spans="2:13" ht="18.75" customHeight="1" x14ac:dyDescent="0.25">
      <c r="B3147" s="550"/>
      <c r="C3147" s="227" t="s">
        <v>633</v>
      </c>
      <c r="D3147" s="550" t="s">
        <v>634</v>
      </c>
      <c r="E3147" s="224" t="s">
        <v>631</v>
      </c>
      <c r="F3147" s="228">
        <f t="shared" si="157"/>
        <v>0.01</v>
      </c>
      <c r="G3147" s="229">
        <f>G3120</f>
        <v>115000</v>
      </c>
      <c r="H3147" s="230">
        <f>+G3147*F3147</f>
        <v>1150</v>
      </c>
      <c r="M3147" s="228">
        <v>0.01</v>
      </c>
    </row>
    <row r="3148" spans="2:13" ht="18.75" customHeight="1" x14ac:dyDescent="0.25">
      <c r="B3148" s="550"/>
      <c r="C3148" s="227" t="s">
        <v>600</v>
      </c>
      <c r="D3148" s="550" t="s">
        <v>635</v>
      </c>
      <c r="E3148" s="224" t="s">
        <v>631</v>
      </c>
      <c r="F3148" s="228">
        <f t="shared" si="157"/>
        <v>1.4999999999999999E-2</v>
      </c>
      <c r="G3148" s="229">
        <f>G3121</f>
        <v>140000</v>
      </c>
      <c r="H3148" s="230">
        <f>+G3148*F3148</f>
        <v>2100</v>
      </c>
      <c r="M3148" s="228">
        <v>1.4999999999999999E-2</v>
      </c>
    </row>
    <row r="3149" spans="2:13" ht="18.75" customHeight="1" x14ac:dyDescent="0.25">
      <c r="B3149" s="550"/>
      <c r="C3149" s="223"/>
      <c r="D3149" s="550"/>
      <c r="E3149" s="224"/>
      <c r="F3149" s="233" t="s">
        <v>636</v>
      </c>
      <c r="G3149" s="290"/>
      <c r="H3149" s="231">
        <f>SUM(H3145:H3148)</f>
        <v>42750</v>
      </c>
      <c r="M3149" s="233" t="s">
        <v>636</v>
      </c>
    </row>
    <row r="3150" spans="2:13" ht="18.75" customHeight="1" x14ac:dyDescent="0.25">
      <c r="B3150" s="550"/>
      <c r="C3150" s="223"/>
      <c r="D3150" s="550"/>
      <c r="E3150" s="224"/>
      <c r="F3150" s="233"/>
      <c r="G3150" s="290"/>
      <c r="H3150" s="231"/>
      <c r="M3150" s="233"/>
    </row>
    <row r="3151" spans="2:13" ht="18.75" customHeight="1" x14ac:dyDescent="0.25">
      <c r="B3151" s="550" t="s">
        <v>637</v>
      </c>
      <c r="C3151" s="223" t="s">
        <v>638</v>
      </c>
      <c r="D3151" s="550"/>
      <c r="E3151" s="224"/>
      <c r="F3151" s="225"/>
      <c r="G3151" s="290"/>
      <c r="H3151" s="226"/>
      <c r="M3151" s="225"/>
    </row>
    <row r="3152" spans="2:13" ht="18.75" customHeight="1" x14ac:dyDescent="0.25">
      <c r="B3152" s="550"/>
      <c r="C3152" s="223" t="s">
        <v>663</v>
      </c>
      <c r="D3152" s="550"/>
      <c r="E3152" s="224" t="s">
        <v>66</v>
      </c>
      <c r="F3152" s="228">
        <v>70</v>
      </c>
      <c r="G3152" s="229">
        <f>+G3125</f>
        <v>3750</v>
      </c>
      <c r="H3152" s="230">
        <f>+G3152*F3152</f>
        <v>262500</v>
      </c>
      <c r="M3152" s="228">
        <v>70</v>
      </c>
    </row>
    <row r="3153" spans="2:13" ht="18.75" customHeight="1" x14ac:dyDescent="0.25">
      <c r="B3153" s="550"/>
      <c r="C3153" s="223" t="s">
        <v>961</v>
      </c>
      <c r="D3153" s="550"/>
      <c r="E3153" s="224" t="s">
        <v>62</v>
      </c>
      <c r="F3153" s="228">
        <v>1.4E-2</v>
      </c>
      <c r="G3153" s="229">
        <f>Bahan!D581</f>
        <v>14500</v>
      </c>
      <c r="H3153" s="230">
        <f>+G3153*F3153</f>
        <v>203</v>
      </c>
      <c r="M3153" s="228">
        <v>1.4E-2</v>
      </c>
    </row>
    <row r="3154" spans="2:13" ht="18.75" customHeight="1" x14ac:dyDescent="0.25">
      <c r="B3154" s="550"/>
      <c r="C3154" s="223" t="s">
        <v>64</v>
      </c>
      <c r="D3154" s="550"/>
      <c r="E3154" s="224" t="s">
        <v>955</v>
      </c>
      <c r="F3154" s="228">
        <v>1.4E-2</v>
      </c>
      <c r="G3154" s="229">
        <f>G3127</f>
        <v>125000</v>
      </c>
      <c r="H3154" s="230">
        <f>+G3154*F3154</f>
        <v>1750</v>
      </c>
      <c r="M3154" s="228">
        <v>1.4E-2</v>
      </c>
    </row>
    <row r="3155" spans="2:13" ht="18.75" customHeight="1" x14ac:dyDescent="0.25">
      <c r="B3155" s="550"/>
      <c r="C3155" s="223" t="s">
        <v>661</v>
      </c>
      <c r="D3155" s="550"/>
      <c r="E3155" s="224" t="s">
        <v>955</v>
      </c>
      <c r="F3155" s="228">
        <v>2.8000000000000001E-2</v>
      </c>
      <c r="G3155" s="234">
        <f>G3128</f>
        <v>230000</v>
      </c>
      <c r="H3155" s="230">
        <f>+G3155*F3155</f>
        <v>6440</v>
      </c>
      <c r="M3155" s="228">
        <v>2.8000000000000001E-2</v>
      </c>
    </row>
    <row r="3156" spans="2:13" ht="18.75" customHeight="1" x14ac:dyDescent="0.25">
      <c r="B3156" s="550"/>
      <c r="C3156" s="223"/>
      <c r="D3156" s="550"/>
      <c r="E3156" s="224"/>
      <c r="F3156" s="237" t="s">
        <v>643</v>
      </c>
      <c r="G3156" s="290"/>
      <c r="H3156" s="231">
        <f>SUM(H3152:H3155)</f>
        <v>270893</v>
      </c>
      <c r="M3156" s="237" t="s">
        <v>643</v>
      </c>
    </row>
    <row r="3157" spans="2:13" ht="18.75" customHeight="1" x14ac:dyDescent="0.25">
      <c r="B3157" s="550"/>
      <c r="C3157" s="223"/>
      <c r="D3157" s="550"/>
      <c r="E3157" s="224"/>
      <c r="F3157" s="225"/>
      <c r="G3157" s="290"/>
      <c r="H3157" s="226"/>
      <c r="M3157" s="225"/>
    </row>
    <row r="3158" spans="2:13" ht="18.75" customHeight="1" x14ac:dyDescent="0.25">
      <c r="B3158" s="550" t="s">
        <v>644</v>
      </c>
      <c r="C3158" s="223" t="s">
        <v>645</v>
      </c>
      <c r="D3158" s="550"/>
      <c r="E3158" s="224"/>
      <c r="F3158" s="225"/>
      <c r="G3158" s="290"/>
      <c r="H3158" s="235"/>
      <c r="M3158" s="225"/>
    </row>
    <row r="3159" spans="2:13" ht="18.75" customHeight="1" x14ac:dyDescent="0.25">
      <c r="B3159" s="236"/>
      <c r="C3159" s="232"/>
      <c r="D3159" s="550"/>
      <c r="E3159" s="224"/>
      <c r="F3159" s="237" t="s">
        <v>646</v>
      </c>
      <c r="G3159" s="290"/>
      <c r="H3159" s="230"/>
      <c r="M3159" s="237" t="s">
        <v>646</v>
      </c>
    </row>
    <row r="3160" spans="2:13" ht="18.75" customHeight="1" x14ac:dyDescent="0.25">
      <c r="B3160" s="236"/>
      <c r="C3160" s="232"/>
      <c r="D3160" s="550"/>
      <c r="E3160" s="224"/>
      <c r="F3160" s="237"/>
      <c r="G3160" s="290"/>
      <c r="H3160" s="226"/>
      <c r="M3160" s="237"/>
    </row>
    <row r="3161" spans="2:13" ht="18.75" customHeight="1" x14ac:dyDescent="0.25">
      <c r="B3161" s="354"/>
      <c r="C3161" s="362"/>
      <c r="D3161" s="239"/>
      <c r="E3161" s="266"/>
      <c r="F3161" s="241"/>
      <c r="G3161" s="370"/>
      <c r="H3161" s="369"/>
      <c r="M3161" s="241"/>
    </row>
    <row r="3162" spans="2:13" ht="18.75" customHeight="1" x14ac:dyDescent="0.25">
      <c r="B3162" s="356" t="s">
        <v>647</v>
      </c>
      <c r="C3162" s="363" t="s">
        <v>648</v>
      </c>
      <c r="D3162" s="435"/>
      <c r="E3162" s="92"/>
      <c r="F3162" s="183"/>
      <c r="G3162" s="295"/>
      <c r="H3162" s="357">
        <f>+H3159+H3156+H3149</f>
        <v>313643</v>
      </c>
      <c r="M3162" s="183"/>
    </row>
    <row r="3163" spans="2:13" ht="18.75" customHeight="1" x14ac:dyDescent="0.25">
      <c r="B3163" s="356" t="s">
        <v>649</v>
      </c>
      <c r="C3163" s="364" t="s">
        <v>650</v>
      </c>
      <c r="D3163" s="435"/>
      <c r="E3163" s="92"/>
      <c r="F3163" s="184" t="str">
        <f>$J$5</f>
        <v>8,0 % x D</v>
      </c>
      <c r="G3163" s="295"/>
      <c r="H3163" s="358">
        <f>+H3162*$K$5</f>
        <v>25091.440000000002</v>
      </c>
      <c r="M3163" s="184" t="str">
        <f>$J$5</f>
        <v>8,0 % x D</v>
      </c>
    </row>
    <row r="3164" spans="2:13" ht="18.75" customHeight="1" x14ac:dyDescent="0.25">
      <c r="B3164" s="356" t="s">
        <v>651</v>
      </c>
      <c r="C3164" s="365" t="s">
        <v>652</v>
      </c>
      <c r="D3164" s="435"/>
      <c r="E3164" s="91"/>
      <c r="F3164" s="185"/>
      <c r="G3164" s="296"/>
      <c r="H3164" s="359">
        <f>ROUNDUP((H3163+H3162)/100,0)*100</f>
        <v>338800</v>
      </c>
      <c r="M3164" s="185"/>
    </row>
    <row r="3165" spans="2:13" ht="18.75" customHeight="1" x14ac:dyDescent="0.25">
      <c r="B3165" s="360"/>
      <c r="C3165" s="366"/>
      <c r="D3165" s="245"/>
      <c r="E3165" s="246"/>
      <c r="F3165" s="247"/>
      <c r="G3165" s="299"/>
      <c r="H3165" s="361"/>
      <c r="M3165" s="247"/>
    </row>
    <row r="3166" spans="2:13" ht="18.75" customHeight="1" x14ac:dyDescent="0.25">
      <c r="B3166" s="22"/>
      <c r="C3166" s="104"/>
      <c r="D3166" s="435"/>
      <c r="E3166" s="91"/>
      <c r="F3166" s="185"/>
      <c r="G3166" s="168"/>
      <c r="H3166" s="119"/>
      <c r="M3166" s="185"/>
    </row>
    <row r="3167" spans="2:13" ht="18.75" customHeight="1" x14ac:dyDescent="0.25">
      <c r="B3167" s="19">
        <f>B3140+1</f>
        <v>15</v>
      </c>
      <c r="C3167" s="93" t="s">
        <v>962</v>
      </c>
      <c r="D3167" s="19"/>
      <c r="E3167" s="21"/>
      <c r="F3167" s="176"/>
      <c r="G3167" s="165"/>
      <c r="H3167" s="119"/>
      <c r="M3167" s="176"/>
    </row>
    <row r="3168" spans="2:13" ht="18.75" customHeight="1" x14ac:dyDescent="0.25">
      <c r="B3168" s="618" t="s">
        <v>620</v>
      </c>
      <c r="C3168" s="620" t="s">
        <v>621</v>
      </c>
      <c r="D3168" s="618" t="s">
        <v>622</v>
      </c>
      <c r="E3168" s="618" t="s">
        <v>2</v>
      </c>
      <c r="F3168" s="615" t="s">
        <v>623</v>
      </c>
      <c r="G3168" s="289" t="s">
        <v>624</v>
      </c>
      <c r="H3168" s="256" t="s">
        <v>625</v>
      </c>
      <c r="M3168" s="615" t="s">
        <v>623</v>
      </c>
    </row>
    <row r="3169" spans="2:13" ht="18.75" customHeight="1" x14ac:dyDescent="0.25">
      <c r="B3169" s="619"/>
      <c r="C3169" s="621"/>
      <c r="D3169" s="619"/>
      <c r="E3169" s="619"/>
      <c r="F3169" s="616"/>
      <c r="G3169" s="289" t="s">
        <v>626</v>
      </c>
      <c r="H3169" s="256" t="s">
        <v>626</v>
      </c>
      <c r="M3169" s="616"/>
    </row>
    <row r="3170" spans="2:13" ht="18.75" customHeight="1" x14ac:dyDescent="0.25">
      <c r="B3170" s="221"/>
      <c r="C3170" s="222"/>
      <c r="D3170" s="221"/>
      <c r="E3170" s="550"/>
      <c r="F3170" s="555"/>
      <c r="G3170" s="551"/>
      <c r="H3170" s="220"/>
      <c r="M3170" s="590"/>
    </row>
    <row r="3171" spans="2:13" ht="18.75" customHeight="1" x14ac:dyDescent="0.25">
      <c r="B3171" s="550" t="s">
        <v>627</v>
      </c>
      <c r="C3171" s="223" t="s">
        <v>628</v>
      </c>
      <c r="D3171" s="550"/>
      <c r="E3171" s="224"/>
      <c r="F3171" s="225"/>
      <c r="G3171" s="290"/>
      <c r="H3171" s="226"/>
      <c r="M3171" s="225"/>
    </row>
    <row r="3172" spans="2:13" ht="18.75" customHeight="1" x14ac:dyDescent="0.25">
      <c r="B3172" s="550"/>
      <c r="C3172" s="227" t="s">
        <v>629</v>
      </c>
      <c r="D3172" s="550" t="s">
        <v>630</v>
      </c>
      <c r="E3172" s="224" t="s">
        <v>631</v>
      </c>
      <c r="F3172" s="228">
        <f t="shared" ref="F3172:F3175" si="158">$K$8*M3172</f>
        <v>0.35</v>
      </c>
      <c r="G3172" s="229">
        <f>G3145</f>
        <v>95000</v>
      </c>
      <c r="H3172" s="230">
        <f>+G3172*F3172</f>
        <v>33250</v>
      </c>
      <c r="M3172" s="228">
        <v>0.35</v>
      </c>
    </row>
    <row r="3173" spans="2:13" ht="18.75" customHeight="1" x14ac:dyDescent="0.25">
      <c r="B3173" s="550"/>
      <c r="C3173" s="227" t="s">
        <v>1508</v>
      </c>
      <c r="D3173" s="550" t="s">
        <v>632</v>
      </c>
      <c r="E3173" s="224" t="s">
        <v>631</v>
      </c>
      <c r="F3173" s="228">
        <f t="shared" si="158"/>
        <v>0.15</v>
      </c>
      <c r="G3173" s="229">
        <f>G3146</f>
        <v>110000</v>
      </c>
      <c r="H3173" s="230">
        <f>+G3173*F3173</f>
        <v>16500</v>
      </c>
      <c r="M3173" s="228">
        <v>0.15</v>
      </c>
    </row>
    <row r="3174" spans="2:13" ht="18.75" customHeight="1" x14ac:dyDescent="0.25">
      <c r="B3174" s="550"/>
      <c r="C3174" s="227" t="s">
        <v>633</v>
      </c>
      <c r="D3174" s="550" t="s">
        <v>634</v>
      </c>
      <c r="E3174" s="224" t="s">
        <v>631</v>
      </c>
      <c r="F3174" s="228">
        <f t="shared" si="158"/>
        <v>1.4999999999999999E-2</v>
      </c>
      <c r="G3174" s="229">
        <f>G3147</f>
        <v>115000</v>
      </c>
      <c r="H3174" s="230">
        <f>+G3174*F3174</f>
        <v>1725</v>
      </c>
      <c r="M3174" s="228">
        <v>1.4999999999999999E-2</v>
      </c>
    </row>
    <row r="3175" spans="2:13" ht="18.75" customHeight="1" x14ac:dyDescent="0.25">
      <c r="B3175" s="550"/>
      <c r="C3175" s="227" t="s">
        <v>600</v>
      </c>
      <c r="D3175" s="550" t="s">
        <v>635</v>
      </c>
      <c r="E3175" s="224" t="s">
        <v>631</v>
      </c>
      <c r="F3175" s="228">
        <f t="shared" si="158"/>
        <v>1.7999999999999999E-2</v>
      </c>
      <c r="G3175" s="229">
        <f>G3148</f>
        <v>140000</v>
      </c>
      <c r="H3175" s="230">
        <f>+G3175*F3175</f>
        <v>2520</v>
      </c>
      <c r="M3175" s="228">
        <v>1.7999999999999999E-2</v>
      </c>
    </row>
    <row r="3176" spans="2:13" ht="18.75" customHeight="1" x14ac:dyDescent="0.25">
      <c r="B3176" s="550"/>
      <c r="C3176" s="223"/>
      <c r="D3176" s="550"/>
      <c r="E3176" s="224"/>
      <c r="F3176" s="233" t="s">
        <v>636</v>
      </c>
      <c r="G3176" s="290"/>
      <c r="H3176" s="231">
        <f>SUM(H3172:H3175)</f>
        <v>53995</v>
      </c>
      <c r="M3176" s="233" t="s">
        <v>636</v>
      </c>
    </row>
    <row r="3177" spans="2:13" ht="18.75" customHeight="1" x14ac:dyDescent="0.25">
      <c r="B3177" s="550"/>
      <c r="C3177" s="223"/>
      <c r="D3177" s="550"/>
      <c r="E3177" s="224"/>
      <c r="F3177" s="233"/>
      <c r="G3177" s="290"/>
      <c r="H3177" s="230"/>
      <c r="M3177" s="233"/>
    </row>
    <row r="3178" spans="2:13" ht="18.75" customHeight="1" x14ac:dyDescent="0.25">
      <c r="B3178" s="550" t="s">
        <v>637</v>
      </c>
      <c r="C3178" s="223" t="s">
        <v>638</v>
      </c>
      <c r="D3178" s="550"/>
      <c r="E3178" s="224"/>
      <c r="F3178" s="225"/>
      <c r="G3178" s="290"/>
      <c r="H3178" s="226"/>
      <c r="M3178" s="225"/>
    </row>
    <row r="3179" spans="2:13" ht="18.75" customHeight="1" x14ac:dyDescent="0.25">
      <c r="B3179" s="550"/>
      <c r="C3179" s="223" t="s">
        <v>963</v>
      </c>
      <c r="D3179" s="550"/>
      <c r="E3179" s="224" t="s">
        <v>66</v>
      </c>
      <c r="F3179" s="228">
        <v>12.5</v>
      </c>
      <c r="G3179" s="229">
        <f>Bahan!D85</f>
        <v>25000</v>
      </c>
      <c r="H3179" s="230">
        <f>+G3179*F3179</f>
        <v>312500</v>
      </c>
      <c r="M3179" s="228">
        <v>12.5</v>
      </c>
    </row>
    <row r="3180" spans="2:13" ht="18.75" customHeight="1" x14ac:dyDescent="0.25">
      <c r="B3180" s="550"/>
      <c r="C3180" s="223" t="s">
        <v>708</v>
      </c>
      <c r="D3180" s="550"/>
      <c r="E3180" s="224" t="s">
        <v>62</v>
      </c>
      <c r="F3180" s="228">
        <v>30.32</v>
      </c>
      <c r="G3180" s="234">
        <f>G3126</f>
        <v>1700</v>
      </c>
      <c r="H3180" s="230">
        <f>+G3180*F3180</f>
        <v>51544</v>
      </c>
      <c r="M3180" s="228">
        <v>30.32</v>
      </c>
    </row>
    <row r="3181" spans="2:13" ht="18.75" customHeight="1" x14ac:dyDescent="0.25">
      <c r="B3181" s="550"/>
      <c r="C3181" s="223" t="s">
        <v>661</v>
      </c>
      <c r="D3181" s="550"/>
      <c r="E3181" s="224" t="s">
        <v>955</v>
      </c>
      <c r="F3181" s="228">
        <v>0.72799999999999998</v>
      </c>
      <c r="G3181" s="234">
        <f>G3155</f>
        <v>230000</v>
      </c>
      <c r="H3181" s="230">
        <f>+G3181*F3181</f>
        <v>167440</v>
      </c>
      <c r="M3181" s="228">
        <v>0.72799999999999998</v>
      </c>
    </row>
    <row r="3182" spans="2:13" ht="18.75" customHeight="1" x14ac:dyDescent="0.25">
      <c r="B3182" s="550"/>
      <c r="C3182" s="223" t="s">
        <v>964</v>
      </c>
      <c r="D3182" s="550"/>
      <c r="E3182" s="224" t="s">
        <v>62</v>
      </c>
      <c r="F3182" s="228">
        <v>0.28000000000000003</v>
      </c>
      <c r="G3182" s="229">
        <f>Bahan!D130</f>
        <v>225000</v>
      </c>
      <c r="H3182" s="230">
        <f>+G3182*F3182</f>
        <v>63000.000000000007</v>
      </c>
      <c r="M3182" s="228">
        <v>0.28000000000000003</v>
      </c>
    </row>
    <row r="3183" spans="2:13" ht="18.75" customHeight="1" x14ac:dyDescent="0.25">
      <c r="B3183" s="550"/>
      <c r="C3183" s="223"/>
      <c r="D3183" s="550"/>
      <c r="E3183" s="224"/>
      <c r="F3183" s="237" t="s">
        <v>643</v>
      </c>
      <c r="G3183" s="290"/>
      <c r="H3183" s="231">
        <f>SUM(H3179:H3182)</f>
        <v>594484</v>
      </c>
      <c r="M3183" s="237" t="s">
        <v>643</v>
      </c>
    </row>
    <row r="3184" spans="2:13" ht="18.75" customHeight="1" x14ac:dyDescent="0.25">
      <c r="B3184" s="550"/>
      <c r="C3184" s="223"/>
      <c r="D3184" s="550"/>
      <c r="E3184" s="224"/>
      <c r="F3184" s="225"/>
      <c r="G3184" s="290"/>
      <c r="H3184" s="226"/>
      <c r="M3184" s="225"/>
    </row>
    <row r="3185" spans="2:13" ht="18.75" customHeight="1" x14ac:dyDescent="0.25">
      <c r="B3185" s="550" t="s">
        <v>644</v>
      </c>
      <c r="C3185" s="223" t="s">
        <v>645</v>
      </c>
      <c r="D3185" s="550"/>
      <c r="E3185" s="224"/>
      <c r="F3185" s="225"/>
      <c r="G3185" s="290"/>
      <c r="H3185" s="235"/>
      <c r="M3185" s="225"/>
    </row>
    <row r="3186" spans="2:13" ht="18.75" customHeight="1" x14ac:dyDescent="0.25">
      <c r="B3186" s="236"/>
      <c r="C3186" s="232"/>
      <c r="D3186" s="550"/>
      <c r="E3186" s="224"/>
      <c r="F3186" s="237" t="s">
        <v>646</v>
      </c>
      <c r="G3186" s="290"/>
      <c r="H3186" s="230"/>
      <c r="M3186" s="237" t="s">
        <v>646</v>
      </c>
    </row>
    <row r="3187" spans="2:13" ht="18.75" customHeight="1" x14ac:dyDescent="0.25">
      <c r="B3187" s="236"/>
      <c r="C3187" s="232"/>
      <c r="D3187" s="550"/>
      <c r="E3187" s="224"/>
      <c r="F3187" s="237"/>
      <c r="G3187" s="290"/>
      <c r="H3187" s="226"/>
      <c r="M3187" s="237"/>
    </row>
    <row r="3188" spans="2:13" ht="18.75" customHeight="1" x14ac:dyDescent="0.25">
      <c r="B3188" s="354"/>
      <c r="C3188" s="362"/>
      <c r="D3188" s="239"/>
      <c r="E3188" s="266"/>
      <c r="F3188" s="241"/>
      <c r="G3188" s="370"/>
      <c r="H3188" s="369"/>
      <c r="M3188" s="241"/>
    </row>
    <row r="3189" spans="2:13" ht="18.75" customHeight="1" x14ac:dyDescent="0.25">
      <c r="B3189" s="356" t="s">
        <v>647</v>
      </c>
      <c r="C3189" s="363" t="s">
        <v>648</v>
      </c>
      <c r="D3189" s="435"/>
      <c r="E3189" s="92"/>
      <c r="F3189" s="183"/>
      <c r="G3189" s="295"/>
      <c r="H3189" s="357">
        <f>+H3186+H3183+H3176</f>
        <v>648479</v>
      </c>
      <c r="M3189" s="183"/>
    </row>
    <row r="3190" spans="2:13" ht="18.75" customHeight="1" x14ac:dyDescent="0.25">
      <c r="B3190" s="356" t="s">
        <v>649</v>
      </c>
      <c r="C3190" s="364" t="s">
        <v>650</v>
      </c>
      <c r="D3190" s="435"/>
      <c r="E3190" s="92"/>
      <c r="F3190" s="184" t="str">
        <f>$J$5</f>
        <v>8,0 % x D</v>
      </c>
      <c r="G3190" s="295"/>
      <c r="H3190" s="358">
        <f>+H3189*$K$5</f>
        <v>51878.32</v>
      </c>
      <c r="M3190" s="184" t="str">
        <f>$J$5</f>
        <v>8,0 % x D</v>
      </c>
    </row>
    <row r="3191" spans="2:13" ht="18.75" customHeight="1" x14ac:dyDescent="0.25">
      <c r="B3191" s="356" t="s">
        <v>651</v>
      </c>
      <c r="C3191" s="365" t="s">
        <v>652</v>
      </c>
      <c r="D3191" s="435"/>
      <c r="E3191" s="91"/>
      <c r="F3191" s="185"/>
      <c r="G3191" s="296"/>
      <c r="H3191" s="359">
        <f>ROUNDUP((H3190+H3189)/100,0)*100</f>
        <v>700400</v>
      </c>
      <c r="M3191" s="185"/>
    </row>
    <row r="3192" spans="2:13" ht="18.75" customHeight="1" x14ac:dyDescent="0.25">
      <c r="B3192" s="360"/>
      <c r="C3192" s="366"/>
      <c r="D3192" s="245"/>
      <c r="E3192" s="246"/>
      <c r="F3192" s="247"/>
      <c r="G3192" s="299"/>
      <c r="H3192" s="361"/>
      <c r="M3192" s="247"/>
    </row>
    <row r="3193" spans="2:13" ht="18.75" customHeight="1" x14ac:dyDescent="0.25">
      <c r="B3193" s="92"/>
      <c r="C3193" s="104"/>
      <c r="D3193" s="435"/>
      <c r="E3193" s="91"/>
      <c r="F3193" s="185"/>
      <c r="G3193" s="168"/>
      <c r="H3193" s="139"/>
      <c r="M3193" s="185"/>
    </row>
    <row r="3194" spans="2:13" ht="18.75" customHeight="1" x14ac:dyDescent="0.25">
      <c r="B3194" s="19">
        <f>B3167+1</f>
        <v>16</v>
      </c>
      <c r="C3194" s="93" t="s">
        <v>965</v>
      </c>
      <c r="D3194" s="19"/>
      <c r="E3194" s="21"/>
      <c r="F3194" s="176"/>
      <c r="G3194" s="165"/>
      <c r="H3194" s="119"/>
      <c r="M3194" s="176"/>
    </row>
    <row r="3195" spans="2:13" ht="18.75" customHeight="1" x14ac:dyDescent="0.25">
      <c r="B3195" s="618" t="s">
        <v>620</v>
      </c>
      <c r="C3195" s="620" t="s">
        <v>621</v>
      </c>
      <c r="D3195" s="618" t="s">
        <v>622</v>
      </c>
      <c r="E3195" s="618" t="s">
        <v>2</v>
      </c>
      <c r="F3195" s="615" t="s">
        <v>623</v>
      </c>
      <c r="G3195" s="289" t="s">
        <v>624</v>
      </c>
      <c r="H3195" s="256" t="s">
        <v>625</v>
      </c>
      <c r="M3195" s="615" t="s">
        <v>623</v>
      </c>
    </row>
    <row r="3196" spans="2:13" ht="18.75" customHeight="1" x14ac:dyDescent="0.25">
      <c r="B3196" s="619"/>
      <c r="C3196" s="621"/>
      <c r="D3196" s="619"/>
      <c r="E3196" s="619"/>
      <c r="F3196" s="616"/>
      <c r="G3196" s="289" t="s">
        <v>626</v>
      </c>
      <c r="H3196" s="256" t="s">
        <v>626</v>
      </c>
      <c r="M3196" s="616"/>
    </row>
    <row r="3197" spans="2:13" ht="18.75" customHeight="1" x14ac:dyDescent="0.25">
      <c r="B3197" s="23"/>
      <c r="C3197" s="95"/>
      <c r="D3197" s="24"/>
      <c r="E3197" s="25"/>
      <c r="F3197" s="177"/>
      <c r="G3197" s="166"/>
      <c r="H3197" s="120"/>
      <c r="M3197" s="177"/>
    </row>
    <row r="3198" spans="2:13" ht="18.75" customHeight="1" x14ac:dyDescent="0.25">
      <c r="B3198" s="26" t="s">
        <v>627</v>
      </c>
      <c r="C3198" s="89" t="s">
        <v>628</v>
      </c>
      <c r="D3198" s="27"/>
      <c r="E3198" s="28"/>
      <c r="F3198" s="178"/>
      <c r="G3198" s="72"/>
      <c r="H3198" s="121"/>
      <c r="M3198" s="178"/>
    </row>
    <row r="3199" spans="2:13" ht="18.75" customHeight="1" x14ac:dyDescent="0.25">
      <c r="B3199" s="26"/>
      <c r="C3199" s="96" t="s">
        <v>629</v>
      </c>
      <c r="D3199" s="27" t="s">
        <v>630</v>
      </c>
      <c r="E3199" s="28" t="s">
        <v>631</v>
      </c>
      <c r="F3199" s="228">
        <f t="shared" ref="F3199:F3202" si="159">$K$8*M3199</f>
        <v>0.35</v>
      </c>
      <c r="G3199" s="367">
        <f>G3172</f>
        <v>95000</v>
      </c>
      <c r="H3199" s="122">
        <f>+G3199*F3199</f>
        <v>33250</v>
      </c>
      <c r="M3199" s="61">
        <v>0.35</v>
      </c>
    </row>
    <row r="3200" spans="2:13" ht="18.75" customHeight="1" x14ac:dyDescent="0.25">
      <c r="B3200" s="26"/>
      <c r="C3200" s="96" t="s">
        <v>1508</v>
      </c>
      <c r="D3200" s="27" t="s">
        <v>632</v>
      </c>
      <c r="E3200" s="28" t="s">
        <v>631</v>
      </c>
      <c r="F3200" s="228">
        <f t="shared" si="159"/>
        <v>0.15</v>
      </c>
      <c r="G3200" s="367">
        <f>G3173</f>
        <v>110000</v>
      </c>
      <c r="H3200" s="122">
        <f>+G3200*F3200</f>
        <v>16500</v>
      </c>
      <c r="M3200" s="61">
        <v>0.15</v>
      </c>
    </row>
    <row r="3201" spans="2:13" ht="18.75" customHeight="1" x14ac:dyDescent="0.25">
      <c r="B3201" s="26"/>
      <c r="C3201" s="96" t="s">
        <v>633</v>
      </c>
      <c r="D3201" s="27" t="s">
        <v>634</v>
      </c>
      <c r="E3201" s="28" t="s">
        <v>631</v>
      </c>
      <c r="F3201" s="228">
        <f t="shared" si="159"/>
        <v>1.4999999999999999E-2</v>
      </c>
      <c r="G3201" s="367">
        <f>G3174</f>
        <v>115000</v>
      </c>
      <c r="H3201" s="122">
        <f>+G3201*F3201</f>
        <v>1725</v>
      </c>
      <c r="M3201" s="61">
        <v>1.4999999999999999E-2</v>
      </c>
    </row>
    <row r="3202" spans="2:13" ht="18.75" customHeight="1" x14ac:dyDescent="0.25">
      <c r="B3202" s="26"/>
      <c r="C3202" s="96" t="s">
        <v>600</v>
      </c>
      <c r="D3202" s="56" t="s">
        <v>635</v>
      </c>
      <c r="E3202" s="36" t="s">
        <v>631</v>
      </c>
      <c r="F3202" s="228">
        <f t="shared" si="159"/>
        <v>1.7999999999999999E-2</v>
      </c>
      <c r="G3202" s="367">
        <f>G3175</f>
        <v>140000</v>
      </c>
      <c r="H3202" s="123">
        <f>+G3202*F3202</f>
        <v>2520</v>
      </c>
      <c r="M3202" s="193">
        <v>1.7999999999999999E-2</v>
      </c>
    </row>
    <row r="3203" spans="2:13" ht="18.75" customHeight="1" x14ac:dyDescent="0.25">
      <c r="B3203" s="26"/>
      <c r="C3203" s="89"/>
      <c r="D3203" s="63"/>
      <c r="E3203" s="30"/>
      <c r="F3203" s="192" t="s">
        <v>636</v>
      </c>
      <c r="G3203" s="310"/>
      <c r="H3203" s="124">
        <f>SUM(H3199:H3202)</f>
        <v>53995</v>
      </c>
      <c r="M3203" s="192" t="s">
        <v>636</v>
      </c>
    </row>
    <row r="3204" spans="2:13" ht="18.75" customHeight="1" x14ac:dyDescent="0.25">
      <c r="B3204" s="26"/>
      <c r="C3204" s="89"/>
      <c r="D3204" s="58"/>
      <c r="E3204" s="62"/>
      <c r="F3204" s="52"/>
      <c r="G3204" s="76"/>
      <c r="H3204" s="140"/>
      <c r="M3204" s="52"/>
    </row>
    <row r="3205" spans="2:13" ht="18.75" customHeight="1" x14ac:dyDescent="0.25">
      <c r="B3205" s="26" t="s">
        <v>637</v>
      </c>
      <c r="C3205" s="89" t="s">
        <v>638</v>
      </c>
      <c r="D3205" s="64"/>
      <c r="E3205" s="31"/>
      <c r="F3205" s="180"/>
      <c r="G3205" s="75"/>
      <c r="H3205" s="125"/>
      <c r="M3205" s="180"/>
    </row>
    <row r="3206" spans="2:13" ht="18.75" customHeight="1" x14ac:dyDescent="0.25">
      <c r="B3206" s="26"/>
      <c r="C3206" s="89" t="s">
        <v>963</v>
      </c>
      <c r="D3206" s="27"/>
      <c r="E3206" s="28" t="s">
        <v>66</v>
      </c>
      <c r="F3206" s="61">
        <v>12.5</v>
      </c>
      <c r="G3206" s="367">
        <f>G3179</f>
        <v>25000</v>
      </c>
      <c r="H3206" s="122">
        <f>+G3206*F3206</f>
        <v>312500</v>
      </c>
      <c r="M3206" s="61">
        <v>12.5</v>
      </c>
    </row>
    <row r="3207" spans="2:13" ht="18.75" customHeight="1" x14ac:dyDescent="0.25">
      <c r="B3207" s="26"/>
      <c r="C3207" s="89" t="s">
        <v>708</v>
      </c>
      <c r="D3207" s="27"/>
      <c r="E3207" s="28" t="s">
        <v>62</v>
      </c>
      <c r="F3207" s="61">
        <v>24.26</v>
      </c>
      <c r="G3207" s="328">
        <f>G3180</f>
        <v>1700</v>
      </c>
      <c r="H3207" s="122">
        <f>+G3207*F3207</f>
        <v>41242</v>
      </c>
      <c r="M3207" s="61">
        <v>24.26</v>
      </c>
    </row>
    <row r="3208" spans="2:13" ht="18.75" customHeight="1" x14ac:dyDescent="0.25">
      <c r="B3208" s="26"/>
      <c r="C3208" s="89" t="s">
        <v>661</v>
      </c>
      <c r="D3208" s="27"/>
      <c r="E3208" s="28" t="s">
        <v>955</v>
      </c>
      <c r="F3208" s="61">
        <v>0.77200000000000002</v>
      </c>
      <c r="G3208" s="328">
        <f>G3181</f>
        <v>230000</v>
      </c>
      <c r="H3208" s="122">
        <f>+G3208*F3208</f>
        <v>177560</v>
      </c>
      <c r="M3208" s="61">
        <v>0.77200000000000002</v>
      </c>
    </row>
    <row r="3209" spans="2:13" ht="18.75" customHeight="1" x14ac:dyDescent="0.25">
      <c r="B3209" s="26"/>
      <c r="C3209" s="89" t="s">
        <v>964</v>
      </c>
      <c r="D3209" s="27"/>
      <c r="E3209" s="28" t="s">
        <v>62</v>
      </c>
      <c r="F3209" s="61">
        <v>0.28000000000000003</v>
      </c>
      <c r="G3209" s="367">
        <f>G3182</f>
        <v>225000</v>
      </c>
      <c r="H3209" s="122">
        <f>+G3209*F3209</f>
        <v>63000.000000000007</v>
      </c>
      <c r="M3209" s="61">
        <v>0.28000000000000003</v>
      </c>
    </row>
    <row r="3210" spans="2:13" ht="18.75" customHeight="1" x14ac:dyDescent="0.25">
      <c r="B3210" s="26"/>
      <c r="C3210" s="89"/>
      <c r="D3210" s="63"/>
      <c r="E3210" s="30"/>
      <c r="F3210" s="179" t="s">
        <v>643</v>
      </c>
      <c r="G3210" s="310"/>
      <c r="H3210" s="124">
        <f>SUM(H3206:H3209)</f>
        <v>594302</v>
      </c>
      <c r="M3210" s="179" t="s">
        <v>643</v>
      </c>
    </row>
    <row r="3211" spans="2:13" ht="18.75" customHeight="1" x14ac:dyDescent="0.25">
      <c r="B3211" s="26"/>
      <c r="C3211" s="89"/>
      <c r="D3211" s="64"/>
      <c r="E3211" s="31"/>
      <c r="F3211" s="180"/>
      <c r="G3211" s="75"/>
      <c r="H3211" s="125"/>
      <c r="M3211" s="180"/>
    </row>
    <row r="3212" spans="2:13" ht="18.75" customHeight="1" x14ac:dyDescent="0.25">
      <c r="B3212" s="26" t="s">
        <v>644</v>
      </c>
      <c r="C3212" s="89" t="s">
        <v>645</v>
      </c>
      <c r="D3212" s="56"/>
      <c r="E3212" s="36"/>
      <c r="F3212" s="194"/>
      <c r="G3212" s="88"/>
      <c r="H3212" s="127"/>
      <c r="M3212" s="194"/>
    </row>
    <row r="3213" spans="2:13" ht="18.75" customHeight="1" x14ac:dyDescent="0.25">
      <c r="B3213" s="35"/>
      <c r="C3213" s="97"/>
      <c r="D3213" s="63"/>
      <c r="E3213" s="30"/>
      <c r="F3213" s="179" t="s">
        <v>646</v>
      </c>
      <c r="G3213" s="310"/>
      <c r="H3213" s="128"/>
      <c r="M3213" s="179" t="s">
        <v>646</v>
      </c>
    </row>
    <row r="3214" spans="2:13" ht="18.75" customHeight="1" x14ac:dyDescent="0.25">
      <c r="B3214" s="37"/>
      <c r="C3214" s="98"/>
      <c r="D3214" s="411"/>
      <c r="E3214" s="42"/>
      <c r="F3214" s="181"/>
      <c r="G3214" s="311"/>
      <c r="H3214" s="129"/>
      <c r="M3214" s="181"/>
    </row>
    <row r="3215" spans="2:13" ht="18.75" customHeight="1" x14ac:dyDescent="0.25">
      <c r="B3215" s="50"/>
      <c r="C3215" s="100"/>
      <c r="E3215" s="21"/>
      <c r="F3215" s="189"/>
      <c r="G3215" s="90"/>
      <c r="H3215" s="137"/>
      <c r="M3215" s="189"/>
    </row>
    <row r="3216" spans="2:13" ht="18.75" customHeight="1" x14ac:dyDescent="0.25">
      <c r="B3216" s="46" t="s">
        <v>647</v>
      </c>
      <c r="C3216" s="101" t="s">
        <v>648</v>
      </c>
      <c r="E3216" s="22"/>
      <c r="F3216" s="189"/>
      <c r="G3216" s="308"/>
      <c r="H3216" s="131">
        <f>+H3213+H3210+H3203</f>
        <v>648297</v>
      </c>
      <c r="M3216" s="189"/>
    </row>
    <row r="3217" spans="2:13" ht="18.75" customHeight="1" x14ac:dyDescent="0.25">
      <c r="B3217" s="249" t="s">
        <v>649</v>
      </c>
      <c r="C3217" s="242" t="s">
        <v>650</v>
      </c>
      <c r="D3217" s="435"/>
      <c r="E3217" s="92"/>
      <c r="F3217" s="184" t="str">
        <f>$J$5</f>
        <v>8,0 % x D</v>
      </c>
      <c r="G3217" s="167"/>
      <c r="H3217" s="253">
        <f>+H3216*$K$5</f>
        <v>51863.76</v>
      </c>
      <c r="M3217" s="184" t="str">
        <f>$J$5</f>
        <v>8,0 % x D</v>
      </c>
    </row>
    <row r="3218" spans="2:13" ht="18.75" customHeight="1" x14ac:dyDescent="0.25">
      <c r="B3218" s="249" t="s">
        <v>651</v>
      </c>
      <c r="C3218" s="111" t="s">
        <v>652</v>
      </c>
      <c r="D3218" s="435"/>
      <c r="E3218" s="91"/>
      <c r="F3218" s="185"/>
      <c r="G3218" s="168"/>
      <c r="H3218" s="254">
        <f>ROUNDUP((H3217+H3216)/100,0)*100</f>
        <v>700200</v>
      </c>
      <c r="M3218" s="185"/>
    </row>
    <row r="3219" spans="2:13" ht="18.75" customHeight="1" thickBot="1" x14ac:dyDescent="0.3">
      <c r="B3219" s="47"/>
      <c r="C3219" s="103"/>
      <c r="D3219" s="48"/>
      <c r="E3219" s="49"/>
      <c r="F3219" s="186"/>
      <c r="G3219" s="309"/>
      <c r="H3219" s="136"/>
      <c r="M3219" s="186"/>
    </row>
    <row r="3220" spans="2:13" ht="18.75" customHeight="1" x14ac:dyDescent="0.25">
      <c r="B3220" s="22"/>
      <c r="C3220" s="104"/>
      <c r="E3220" s="21"/>
      <c r="F3220" s="176"/>
      <c r="G3220" s="165"/>
      <c r="H3220" s="119"/>
      <c r="M3220" s="176"/>
    </row>
    <row r="3221" spans="2:13" ht="18.75" customHeight="1" x14ac:dyDescent="0.25">
      <c r="B3221" s="19">
        <f>B3194+1</f>
        <v>17</v>
      </c>
      <c r="C3221" s="93" t="s">
        <v>966</v>
      </c>
      <c r="D3221" s="19"/>
      <c r="E3221" s="21"/>
      <c r="F3221" s="176"/>
      <c r="G3221" s="165"/>
      <c r="H3221" s="119"/>
      <c r="M3221" s="176"/>
    </row>
    <row r="3222" spans="2:13" ht="18.75" customHeight="1" x14ac:dyDescent="0.25">
      <c r="B3222" s="618" t="s">
        <v>620</v>
      </c>
      <c r="C3222" s="620" t="s">
        <v>621</v>
      </c>
      <c r="D3222" s="618" t="s">
        <v>622</v>
      </c>
      <c r="E3222" s="618" t="s">
        <v>2</v>
      </c>
      <c r="F3222" s="615" t="s">
        <v>623</v>
      </c>
      <c r="G3222" s="289" t="s">
        <v>624</v>
      </c>
      <c r="H3222" s="256" t="s">
        <v>625</v>
      </c>
      <c r="M3222" s="615" t="s">
        <v>623</v>
      </c>
    </row>
    <row r="3223" spans="2:13" ht="18.75" customHeight="1" x14ac:dyDescent="0.25">
      <c r="B3223" s="619"/>
      <c r="C3223" s="621"/>
      <c r="D3223" s="619"/>
      <c r="E3223" s="619"/>
      <c r="F3223" s="616"/>
      <c r="G3223" s="289" t="s">
        <v>626</v>
      </c>
      <c r="H3223" s="256" t="s">
        <v>626</v>
      </c>
      <c r="M3223" s="616"/>
    </row>
    <row r="3224" spans="2:13" ht="18.75" customHeight="1" x14ac:dyDescent="0.25">
      <c r="B3224" s="221"/>
      <c r="C3224" s="222"/>
      <c r="D3224" s="221"/>
      <c r="E3224" s="550"/>
      <c r="F3224" s="555"/>
      <c r="G3224" s="551"/>
      <c r="H3224" s="220"/>
      <c r="M3224" s="590"/>
    </row>
    <row r="3225" spans="2:13" ht="18.75" customHeight="1" x14ac:dyDescent="0.25">
      <c r="B3225" s="550" t="s">
        <v>627</v>
      </c>
      <c r="C3225" s="223" t="s">
        <v>628</v>
      </c>
      <c r="D3225" s="550"/>
      <c r="E3225" s="224"/>
      <c r="F3225" s="225"/>
      <c r="G3225" s="290"/>
      <c r="H3225" s="226"/>
      <c r="M3225" s="225"/>
    </row>
    <row r="3226" spans="2:13" ht="18.75" customHeight="1" x14ac:dyDescent="0.25">
      <c r="B3226" s="550"/>
      <c r="C3226" s="227" t="s">
        <v>629</v>
      </c>
      <c r="D3226" s="550" t="s">
        <v>630</v>
      </c>
      <c r="E3226" s="224" t="s">
        <v>631</v>
      </c>
      <c r="F3226" s="228">
        <f t="shared" ref="F3226:F3229" si="160">$K$8*M3226</f>
        <v>0.32</v>
      </c>
      <c r="G3226" s="229">
        <f>G3199</f>
        <v>95000</v>
      </c>
      <c r="H3226" s="230">
        <f>+G3226*F3226</f>
        <v>30400</v>
      </c>
      <c r="M3226" s="228">
        <v>0.32</v>
      </c>
    </row>
    <row r="3227" spans="2:13" ht="18.75" customHeight="1" x14ac:dyDescent="0.25">
      <c r="B3227" s="550"/>
      <c r="C3227" s="227" t="s">
        <v>1508</v>
      </c>
      <c r="D3227" s="550" t="s">
        <v>632</v>
      </c>
      <c r="E3227" s="224" t="s">
        <v>631</v>
      </c>
      <c r="F3227" s="228">
        <f t="shared" si="160"/>
        <v>0.12</v>
      </c>
      <c r="G3227" s="229">
        <f>G3200</f>
        <v>110000</v>
      </c>
      <c r="H3227" s="230">
        <f>+G3227*F3227</f>
        <v>13200</v>
      </c>
      <c r="M3227" s="228">
        <v>0.12</v>
      </c>
    </row>
    <row r="3228" spans="2:13" ht="18.75" customHeight="1" x14ac:dyDescent="0.25">
      <c r="B3228" s="550"/>
      <c r="C3228" s="227" t="s">
        <v>633</v>
      </c>
      <c r="D3228" s="550" t="s">
        <v>634</v>
      </c>
      <c r="E3228" s="224" t="s">
        <v>631</v>
      </c>
      <c r="F3228" s="228">
        <f t="shared" si="160"/>
        <v>1.2E-2</v>
      </c>
      <c r="G3228" s="229">
        <f>G3201</f>
        <v>115000</v>
      </c>
      <c r="H3228" s="230">
        <f>+G3228*F3228</f>
        <v>1380</v>
      </c>
      <c r="M3228" s="228">
        <v>1.2E-2</v>
      </c>
    </row>
    <row r="3229" spans="2:13" ht="18.75" customHeight="1" x14ac:dyDescent="0.25">
      <c r="B3229" s="550"/>
      <c r="C3229" s="227" t="s">
        <v>600</v>
      </c>
      <c r="D3229" s="550" t="s">
        <v>635</v>
      </c>
      <c r="E3229" s="224" t="s">
        <v>631</v>
      </c>
      <c r="F3229" s="228">
        <f t="shared" si="160"/>
        <v>1.6E-2</v>
      </c>
      <c r="G3229" s="229">
        <f>G3202</f>
        <v>140000</v>
      </c>
      <c r="H3229" s="230">
        <f>+G3229*F3229</f>
        <v>2240</v>
      </c>
      <c r="M3229" s="228">
        <v>1.6E-2</v>
      </c>
    </row>
    <row r="3230" spans="2:13" ht="18.75" customHeight="1" x14ac:dyDescent="0.25">
      <c r="B3230" s="550"/>
      <c r="C3230" s="223"/>
      <c r="D3230" s="550"/>
      <c r="E3230" s="224"/>
      <c r="F3230" s="233" t="s">
        <v>636</v>
      </c>
      <c r="G3230" s="290"/>
      <c r="H3230" s="231">
        <f>SUM(H3226:H3229)</f>
        <v>47220</v>
      </c>
      <c r="M3230" s="233" t="s">
        <v>636</v>
      </c>
    </row>
    <row r="3231" spans="2:13" ht="18.75" customHeight="1" x14ac:dyDescent="0.25">
      <c r="B3231" s="550"/>
      <c r="C3231" s="223"/>
      <c r="D3231" s="550"/>
      <c r="E3231" s="224"/>
      <c r="F3231" s="233"/>
      <c r="G3231" s="290"/>
      <c r="H3231" s="231"/>
      <c r="M3231" s="233"/>
    </row>
    <row r="3232" spans="2:13" ht="18.75" customHeight="1" x14ac:dyDescent="0.25">
      <c r="B3232" s="550" t="s">
        <v>637</v>
      </c>
      <c r="C3232" s="223" t="s">
        <v>638</v>
      </c>
      <c r="D3232" s="550"/>
      <c r="E3232" s="224"/>
      <c r="F3232" s="225"/>
      <c r="G3232" s="290"/>
      <c r="H3232" s="226"/>
      <c r="M3232" s="225"/>
    </row>
    <row r="3233" spans="2:13" ht="18.75" customHeight="1" x14ac:dyDescent="0.25">
      <c r="B3233" s="550"/>
      <c r="C3233" s="223" t="s">
        <v>967</v>
      </c>
      <c r="D3233" s="550"/>
      <c r="E3233" s="224" t="s">
        <v>66</v>
      </c>
      <c r="F3233" s="228">
        <v>12.5</v>
      </c>
      <c r="G3233" s="229">
        <f>Bahan!D86</f>
        <v>20000</v>
      </c>
      <c r="H3233" s="230">
        <f>+G3233*F3233</f>
        <v>250000</v>
      </c>
      <c r="M3233" s="228">
        <v>12.5</v>
      </c>
    </row>
    <row r="3234" spans="2:13" ht="18.75" customHeight="1" x14ac:dyDescent="0.25">
      <c r="B3234" s="550"/>
      <c r="C3234" s="223" t="s">
        <v>708</v>
      </c>
      <c r="D3234" s="550"/>
      <c r="E3234" s="224" t="s">
        <v>62</v>
      </c>
      <c r="F3234" s="228">
        <v>22.74</v>
      </c>
      <c r="G3234" s="234">
        <f>G3207</f>
        <v>1700</v>
      </c>
      <c r="H3234" s="230">
        <f>+G3234*F3234</f>
        <v>38658</v>
      </c>
      <c r="M3234" s="228">
        <v>22.74</v>
      </c>
    </row>
    <row r="3235" spans="2:13" ht="18.75" customHeight="1" x14ac:dyDescent="0.25">
      <c r="B3235" s="550"/>
      <c r="C3235" s="223" t="s">
        <v>661</v>
      </c>
      <c r="D3235" s="550"/>
      <c r="E3235" s="224" t="s">
        <v>955</v>
      </c>
      <c r="F3235" s="228">
        <v>0.55000000000000004</v>
      </c>
      <c r="G3235" s="234">
        <f>G3208</f>
        <v>230000</v>
      </c>
      <c r="H3235" s="230">
        <f>+G3235*F3235</f>
        <v>126500.00000000001</v>
      </c>
      <c r="M3235" s="228">
        <v>0.55000000000000004</v>
      </c>
    </row>
    <row r="3236" spans="2:13" ht="18.75" customHeight="1" x14ac:dyDescent="0.25">
      <c r="B3236" s="550"/>
      <c r="C3236" s="223" t="s">
        <v>964</v>
      </c>
      <c r="D3236" s="550"/>
      <c r="E3236" s="224" t="s">
        <v>62</v>
      </c>
      <c r="F3236" s="228">
        <v>0.28000000000000003</v>
      </c>
      <c r="G3236" s="229">
        <f>+G3209</f>
        <v>225000</v>
      </c>
      <c r="H3236" s="230">
        <f>+G3236*F3236</f>
        <v>63000.000000000007</v>
      </c>
      <c r="M3236" s="228">
        <v>0.28000000000000003</v>
      </c>
    </row>
    <row r="3237" spans="2:13" ht="18.75" customHeight="1" x14ac:dyDescent="0.25">
      <c r="B3237" s="550"/>
      <c r="C3237" s="223"/>
      <c r="D3237" s="550"/>
      <c r="E3237" s="224"/>
      <c r="F3237" s="237" t="s">
        <v>643</v>
      </c>
      <c r="G3237" s="290"/>
      <c r="H3237" s="231">
        <f>SUM(H3233:H3236)</f>
        <v>478158</v>
      </c>
      <c r="M3237" s="237" t="s">
        <v>643</v>
      </c>
    </row>
    <row r="3238" spans="2:13" ht="18.75" customHeight="1" x14ac:dyDescent="0.25">
      <c r="B3238" s="550"/>
      <c r="C3238" s="223"/>
      <c r="D3238" s="550"/>
      <c r="E3238" s="224"/>
      <c r="F3238" s="225"/>
      <c r="G3238" s="290"/>
      <c r="H3238" s="226"/>
      <c r="M3238" s="225"/>
    </row>
    <row r="3239" spans="2:13" ht="18.75" customHeight="1" x14ac:dyDescent="0.25">
      <c r="B3239" s="550" t="s">
        <v>644</v>
      </c>
      <c r="C3239" s="223" t="s">
        <v>645</v>
      </c>
      <c r="D3239" s="550"/>
      <c r="E3239" s="224"/>
      <c r="F3239" s="225"/>
      <c r="G3239" s="290"/>
      <c r="H3239" s="235"/>
      <c r="M3239" s="225"/>
    </row>
    <row r="3240" spans="2:13" ht="18.75" customHeight="1" x14ac:dyDescent="0.25">
      <c r="B3240" s="236"/>
      <c r="C3240" s="232"/>
      <c r="D3240" s="550"/>
      <c r="E3240" s="224"/>
      <c r="F3240" s="237" t="s">
        <v>646</v>
      </c>
      <c r="G3240" s="290"/>
      <c r="H3240" s="230"/>
      <c r="M3240" s="237" t="s">
        <v>646</v>
      </c>
    </row>
    <row r="3241" spans="2:13" ht="18.75" customHeight="1" x14ac:dyDescent="0.25">
      <c r="B3241" s="236"/>
      <c r="C3241" s="232"/>
      <c r="D3241" s="550"/>
      <c r="E3241" s="224"/>
      <c r="F3241" s="237"/>
      <c r="G3241" s="290"/>
      <c r="H3241" s="226"/>
      <c r="M3241" s="237"/>
    </row>
    <row r="3242" spans="2:13" ht="18.75" customHeight="1" x14ac:dyDescent="0.25">
      <c r="B3242" s="354"/>
      <c r="C3242" s="362"/>
      <c r="D3242" s="239"/>
      <c r="E3242" s="266"/>
      <c r="F3242" s="241"/>
      <c r="G3242" s="370"/>
      <c r="H3242" s="369"/>
      <c r="M3242" s="241"/>
    </row>
    <row r="3243" spans="2:13" ht="18.75" customHeight="1" x14ac:dyDescent="0.25">
      <c r="B3243" s="356" t="s">
        <v>647</v>
      </c>
      <c r="C3243" s="363" t="s">
        <v>648</v>
      </c>
      <c r="D3243" s="435"/>
      <c r="E3243" s="92"/>
      <c r="F3243" s="183"/>
      <c r="G3243" s="295"/>
      <c r="H3243" s="357">
        <f>+H3240+H3237+H3230</f>
        <v>525378</v>
      </c>
      <c r="M3243" s="183"/>
    </row>
    <row r="3244" spans="2:13" ht="18.75" customHeight="1" x14ac:dyDescent="0.25">
      <c r="B3244" s="356" t="s">
        <v>649</v>
      </c>
      <c r="C3244" s="364" t="s">
        <v>650</v>
      </c>
      <c r="D3244" s="435"/>
      <c r="E3244" s="92"/>
      <c r="F3244" s="184" t="str">
        <f>$J$5</f>
        <v>8,0 % x D</v>
      </c>
      <c r="G3244" s="295"/>
      <c r="H3244" s="358">
        <f>+H3243*$K$5</f>
        <v>42030.239999999998</v>
      </c>
      <c r="M3244" s="184" t="str">
        <f>$J$5</f>
        <v>8,0 % x D</v>
      </c>
    </row>
    <row r="3245" spans="2:13" ht="18.75" customHeight="1" x14ac:dyDescent="0.25">
      <c r="B3245" s="356" t="s">
        <v>651</v>
      </c>
      <c r="C3245" s="365" t="s">
        <v>652</v>
      </c>
      <c r="D3245" s="435"/>
      <c r="E3245" s="91"/>
      <c r="F3245" s="185"/>
      <c r="G3245" s="296"/>
      <c r="H3245" s="359">
        <f>ROUNDUP((H3244+H3243)/100,0)*100</f>
        <v>567500</v>
      </c>
      <c r="M3245" s="185"/>
    </row>
    <row r="3246" spans="2:13" ht="18.75" customHeight="1" x14ac:dyDescent="0.25">
      <c r="B3246" s="360"/>
      <c r="C3246" s="366"/>
      <c r="D3246" s="245"/>
      <c r="E3246" s="246"/>
      <c r="F3246" s="247"/>
      <c r="G3246" s="299"/>
      <c r="H3246" s="361"/>
      <c r="M3246" s="247"/>
    </row>
    <row r="3247" spans="2:13" ht="18.75" customHeight="1" x14ac:dyDescent="0.25">
      <c r="B3247" s="92"/>
      <c r="C3247" s="104"/>
      <c r="D3247" s="435"/>
      <c r="E3247" s="91"/>
      <c r="F3247" s="185"/>
      <c r="G3247" s="168"/>
      <c r="H3247" s="139"/>
      <c r="M3247" s="185"/>
    </row>
    <row r="3248" spans="2:13" ht="18.75" customHeight="1" x14ac:dyDescent="0.25">
      <c r="B3248" s="19">
        <f>B3221+1</f>
        <v>18</v>
      </c>
      <c r="C3248" s="93" t="s">
        <v>968</v>
      </c>
      <c r="D3248" s="19"/>
      <c r="E3248" s="21"/>
      <c r="F3248" s="176"/>
      <c r="G3248" s="165"/>
      <c r="H3248" s="119"/>
      <c r="M3248" s="176"/>
    </row>
    <row r="3249" spans="2:13" ht="18.75" customHeight="1" x14ac:dyDescent="0.25">
      <c r="B3249" s="618" t="s">
        <v>620</v>
      </c>
      <c r="C3249" s="620" t="s">
        <v>621</v>
      </c>
      <c r="D3249" s="618" t="s">
        <v>622</v>
      </c>
      <c r="E3249" s="618" t="s">
        <v>2</v>
      </c>
      <c r="F3249" s="615" t="s">
        <v>623</v>
      </c>
      <c r="G3249" s="289" t="s">
        <v>624</v>
      </c>
      <c r="H3249" s="256" t="s">
        <v>625</v>
      </c>
      <c r="M3249" s="615" t="s">
        <v>623</v>
      </c>
    </row>
    <row r="3250" spans="2:13" ht="18.75" customHeight="1" x14ac:dyDescent="0.25">
      <c r="B3250" s="619"/>
      <c r="C3250" s="621"/>
      <c r="D3250" s="619"/>
      <c r="E3250" s="619"/>
      <c r="F3250" s="616"/>
      <c r="G3250" s="289" t="s">
        <v>626</v>
      </c>
      <c r="H3250" s="256" t="s">
        <v>626</v>
      </c>
      <c r="M3250" s="616"/>
    </row>
    <row r="3251" spans="2:13" ht="18.75" customHeight="1" x14ac:dyDescent="0.25">
      <c r="B3251" s="221"/>
      <c r="C3251" s="222"/>
      <c r="D3251" s="221"/>
      <c r="E3251" s="550"/>
      <c r="F3251" s="555"/>
      <c r="G3251" s="551"/>
      <c r="H3251" s="220"/>
      <c r="M3251" s="590"/>
    </row>
    <row r="3252" spans="2:13" ht="18.75" customHeight="1" x14ac:dyDescent="0.25">
      <c r="B3252" s="550" t="s">
        <v>627</v>
      </c>
      <c r="C3252" s="223" t="s">
        <v>628</v>
      </c>
      <c r="D3252" s="550"/>
      <c r="E3252" s="224"/>
      <c r="F3252" s="225"/>
      <c r="G3252" s="290"/>
      <c r="H3252" s="226"/>
      <c r="M3252" s="225"/>
    </row>
    <row r="3253" spans="2:13" ht="18.75" customHeight="1" x14ac:dyDescent="0.25">
      <c r="B3253" s="550"/>
      <c r="C3253" s="227" t="s">
        <v>629</v>
      </c>
      <c r="D3253" s="550" t="s">
        <v>630</v>
      </c>
      <c r="E3253" s="224" t="s">
        <v>631</v>
      </c>
      <c r="F3253" s="228">
        <f t="shared" ref="F3253:F3256" si="161">$K$8*M3253</f>
        <v>0.32</v>
      </c>
      <c r="G3253" s="229">
        <f>G3199</f>
        <v>95000</v>
      </c>
      <c r="H3253" s="230">
        <f>+G3253*F3253</f>
        <v>30400</v>
      </c>
      <c r="M3253" s="228">
        <v>0.32</v>
      </c>
    </row>
    <row r="3254" spans="2:13" ht="18.75" customHeight="1" x14ac:dyDescent="0.25">
      <c r="B3254" s="550"/>
      <c r="C3254" s="227" t="s">
        <v>1508</v>
      </c>
      <c r="D3254" s="550" t="s">
        <v>632</v>
      </c>
      <c r="E3254" s="224" t="s">
        <v>631</v>
      </c>
      <c r="F3254" s="228">
        <f t="shared" si="161"/>
        <v>0.12</v>
      </c>
      <c r="G3254" s="229">
        <f>G3200</f>
        <v>110000</v>
      </c>
      <c r="H3254" s="230">
        <f>+G3254*F3254</f>
        <v>13200</v>
      </c>
      <c r="M3254" s="228">
        <v>0.12</v>
      </c>
    </row>
    <row r="3255" spans="2:13" ht="18.75" customHeight="1" x14ac:dyDescent="0.25">
      <c r="B3255" s="550"/>
      <c r="C3255" s="227" t="s">
        <v>633</v>
      </c>
      <c r="D3255" s="550" t="s">
        <v>634</v>
      </c>
      <c r="E3255" s="224" t="s">
        <v>631</v>
      </c>
      <c r="F3255" s="228">
        <f t="shared" si="161"/>
        <v>1.2E-2</v>
      </c>
      <c r="G3255" s="229">
        <f>G3201</f>
        <v>115000</v>
      </c>
      <c r="H3255" s="230">
        <f>+G3255*F3255</f>
        <v>1380</v>
      </c>
      <c r="M3255" s="228">
        <v>1.2E-2</v>
      </c>
    </row>
    <row r="3256" spans="2:13" ht="18.75" customHeight="1" x14ac:dyDescent="0.25">
      <c r="B3256" s="550"/>
      <c r="C3256" s="227" t="s">
        <v>600</v>
      </c>
      <c r="D3256" s="550" t="s">
        <v>635</v>
      </c>
      <c r="E3256" s="224" t="s">
        <v>631</v>
      </c>
      <c r="F3256" s="228">
        <f t="shared" si="161"/>
        <v>1.6E-2</v>
      </c>
      <c r="G3256" s="229">
        <f>G3202</f>
        <v>140000</v>
      </c>
      <c r="H3256" s="230">
        <f>+G3256*F3256</f>
        <v>2240</v>
      </c>
      <c r="M3256" s="228">
        <v>1.6E-2</v>
      </c>
    </row>
    <row r="3257" spans="2:13" ht="18.75" customHeight="1" x14ac:dyDescent="0.25">
      <c r="B3257" s="550"/>
      <c r="C3257" s="223"/>
      <c r="D3257" s="550"/>
      <c r="E3257" s="224"/>
      <c r="F3257" s="233" t="s">
        <v>636</v>
      </c>
      <c r="G3257" s="290"/>
      <c r="H3257" s="231">
        <f>SUM(H3253:H3256)</f>
        <v>47220</v>
      </c>
      <c r="M3257" s="233" t="s">
        <v>636</v>
      </c>
    </row>
    <row r="3258" spans="2:13" ht="18.75" customHeight="1" x14ac:dyDescent="0.25">
      <c r="B3258" s="550" t="s">
        <v>637</v>
      </c>
      <c r="C3258" s="223" t="s">
        <v>638</v>
      </c>
      <c r="D3258" s="550"/>
      <c r="E3258" s="224"/>
      <c r="F3258" s="225"/>
      <c r="G3258" s="290"/>
      <c r="H3258" s="226"/>
      <c r="M3258" s="225"/>
    </row>
    <row r="3259" spans="2:13" ht="18.75" customHeight="1" x14ac:dyDescent="0.25">
      <c r="B3259" s="550"/>
      <c r="C3259" s="223" t="s">
        <v>967</v>
      </c>
      <c r="D3259" s="550"/>
      <c r="E3259" s="224" t="s">
        <v>66</v>
      </c>
      <c r="F3259" s="228">
        <v>12.5</v>
      </c>
      <c r="G3259" s="229">
        <f>G3233</f>
        <v>20000</v>
      </c>
      <c r="H3259" s="230">
        <f>+G3259*F3259</f>
        <v>250000</v>
      </c>
      <c r="M3259" s="228">
        <v>12.5</v>
      </c>
    </row>
    <row r="3260" spans="2:13" ht="18.75" customHeight="1" x14ac:dyDescent="0.25">
      <c r="B3260" s="550"/>
      <c r="C3260" s="223" t="s">
        <v>708</v>
      </c>
      <c r="D3260" s="550"/>
      <c r="E3260" s="224" t="s">
        <v>62</v>
      </c>
      <c r="F3260" s="228">
        <v>18.2</v>
      </c>
      <c r="G3260" s="234">
        <f>G3234</f>
        <v>1700</v>
      </c>
      <c r="H3260" s="230">
        <f>+G3260*F3260</f>
        <v>30940</v>
      </c>
      <c r="M3260" s="228">
        <v>18.2</v>
      </c>
    </row>
    <row r="3261" spans="2:13" ht="18.75" customHeight="1" x14ac:dyDescent="0.25">
      <c r="B3261" s="550"/>
      <c r="C3261" s="223" t="s">
        <v>661</v>
      </c>
      <c r="D3261" s="550"/>
      <c r="E3261" s="224" t="s">
        <v>955</v>
      </c>
      <c r="F3261" s="228">
        <v>0.58199999999999996</v>
      </c>
      <c r="G3261" s="234">
        <f>G3235</f>
        <v>230000</v>
      </c>
      <c r="H3261" s="230">
        <f>+G3261*F3261</f>
        <v>133860</v>
      </c>
      <c r="M3261" s="228">
        <v>0.58199999999999996</v>
      </c>
    </row>
    <row r="3262" spans="2:13" ht="18.75" customHeight="1" x14ac:dyDescent="0.25">
      <c r="B3262" s="550"/>
      <c r="C3262" s="223" t="s">
        <v>964</v>
      </c>
      <c r="D3262" s="550"/>
      <c r="E3262" s="224" t="s">
        <v>62</v>
      </c>
      <c r="F3262" s="228">
        <v>0.28000000000000003</v>
      </c>
      <c r="G3262" s="229">
        <f>+G3236</f>
        <v>225000</v>
      </c>
      <c r="H3262" s="230">
        <f>+G3262*F3262</f>
        <v>63000.000000000007</v>
      </c>
      <c r="M3262" s="228">
        <v>0.28000000000000003</v>
      </c>
    </row>
    <row r="3263" spans="2:13" ht="18.75" customHeight="1" x14ac:dyDescent="0.25">
      <c r="B3263" s="550"/>
      <c r="C3263" s="223"/>
      <c r="D3263" s="550"/>
      <c r="E3263" s="224"/>
      <c r="F3263" s="237" t="s">
        <v>643</v>
      </c>
      <c r="G3263" s="290"/>
      <c r="H3263" s="231">
        <f>SUM(H3259:H3262)</f>
        <v>477800</v>
      </c>
      <c r="M3263" s="237" t="s">
        <v>643</v>
      </c>
    </row>
    <row r="3264" spans="2:13" ht="18.75" customHeight="1" x14ac:dyDescent="0.25">
      <c r="B3264" s="550"/>
      <c r="C3264" s="223"/>
      <c r="D3264" s="550"/>
      <c r="E3264" s="224"/>
      <c r="F3264" s="225"/>
      <c r="G3264" s="290"/>
      <c r="H3264" s="226"/>
      <c r="M3264" s="225"/>
    </row>
    <row r="3265" spans="2:13" ht="18.75" customHeight="1" x14ac:dyDescent="0.25">
      <c r="B3265" s="550" t="s">
        <v>644</v>
      </c>
      <c r="C3265" s="223" t="s">
        <v>645</v>
      </c>
      <c r="D3265" s="550"/>
      <c r="E3265" s="224"/>
      <c r="F3265" s="225"/>
      <c r="G3265" s="290"/>
      <c r="H3265" s="235"/>
      <c r="M3265" s="225"/>
    </row>
    <row r="3266" spans="2:13" ht="18.75" customHeight="1" x14ac:dyDescent="0.25">
      <c r="B3266" s="236"/>
      <c r="C3266" s="232"/>
      <c r="D3266" s="550"/>
      <c r="E3266" s="224"/>
      <c r="F3266" s="237" t="s">
        <v>646</v>
      </c>
      <c r="G3266" s="290"/>
      <c r="H3266" s="230"/>
      <c r="M3266" s="237" t="s">
        <v>646</v>
      </c>
    </row>
    <row r="3267" spans="2:13" ht="18.75" customHeight="1" x14ac:dyDescent="0.25">
      <c r="B3267" s="236"/>
      <c r="C3267" s="232"/>
      <c r="D3267" s="550"/>
      <c r="E3267" s="224"/>
      <c r="F3267" s="237"/>
      <c r="G3267" s="290"/>
      <c r="H3267" s="226"/>
      <c r="M3267" s="237"/>
    </row>
    <row r="3268" spans="2:13" ht="18.75" customHeight="1" x14ac:dyDescent="0.25">
      <c r="B3268" s="354"/>
      <c r="C3268" s="362"/>
      <c r="D3268" s="239"/>
      <c r="E3268" s="240"/>
      <c r="F3268" s="241"/>
      <c r="G3268" s="293"/>
      <c r="H3268" s="355"/>
      <c r="M3268" s="241"/>
    </row>
    <row r="3269" spans="2:13" ht="18.75" customHeight="1" x14ac:dyDescent="0.25">
      <c r="B3269" s="356" t="s">
        <v>647</v>
      </c>
      <c r="C3269" s="363" t="s">
        <v>648</v>
      </c>
      <c r="D3269" s="435"/>
      <c r="E3269" s="92"/>
      <c r="F3269" s="183"/>
      <c r="G3269" s="295"/>
      <c r="H3269" s="357">
        <f>+H3266+H3263+H3257</f>
        <v>525020</v>
      </c>
      <c r="M3269" s="183"/>
    </row>
    <row r="3270" spans="2:13" ht="18.75" customHeight="1" x14ac:dyDescent="0.25">
      <c r="B3270" s="356" t="s">
        <v>649</v>
      </c>
      <c r="C3270" s="364" t="s">
        <v>650</v>
      </c>
      <c r="D3270" s="435"/>
      <c r="E3270" s="92"/>
      <c r="F3270" s="184" t="str">
        <f>$J$5</f>
        <v>8,0 % x D</v>
      </c>
      <c r="G3270" s="295"/>
      <c r="H3270" s="358">
        <f>+H3269*$K$5</f>
        <v>42001.599999999999</v>
      </c>
      <c r="M3270" s="184" t="str">
        <f>$J$5</f>
        <v>8,0 % x D</v>
      </c>
    </row>
    <row r="3271" spans="2:13" ht="18.75" customHeight="1" x14ac:dyDescent="0.25">
      <c r="B3271" s="356" t="s">
        <v>651</v>
      </c>
      <c r="C3271" s="365" t="s">
        <v>652</v>
      </c>
      <c r="D3271" s="435"/>
      <c r="E3271" s="91"/>
      <c r="F3271" s="185"/>
      <c r="G3271" s="296"/>
      <c r="H3271" s="359">
        <f>ROUNDUP((H3270+H3269)/100,0)*100</f>
        <v>567100</v>
      </c>
      <c r="M3271" s="185"/>
    </row>
    <row r="3272" spans="2:13" ht="18.75" customHeight="1" x14ac:dyDescent="0.25">
      <c r="B3272" s="360"/>
      <c r="C3272" s="366"/>
      <c r="D3272" s="245"/>
      <c r="E3272" s="246"/>
      <c r="F3272" s="247"/>
      <c r="G3272" s="299"/>
      <c r="H3272" s="361"/>
      <c r="M3272" s="247"/>
    </row>
    <row r="3273" spans="2:13" ht="18.75" customHeight="1" x14ac:dyDescent="0.25">
      <c r="B3273" s="22"/>
      <c r="C3273" s="104"/>
      <c r="E3273" s="21"/>
      <c r="F3273" s="176"/>
      <c r="G3273" s="165"/>
      <c r="H3273" s="119"/>
      <c r="M3273" s="176"/>
    </row>
    <row r="3274" spans="2:13" ht="18.75" customHeight="1" x14ac:dyDescent="0.25">
      <c r="B3274" s="19">
        <f>B3248+1</f>
        <v>19</v>
      </c>
      <c r="C3274" s="93" t="s">
        <v>969</v>
      </c>
      <c r="D3274" s="19"/>
      <c r="E3274" s="21"/>
      <c r="F3274" s="176"/>
      <c r="G3274" s="165"/>
      <c r="H3274" s="119"/>
      <c r="M3274" s="176"/>
    </row>
    <row r="3275" spans="2:13" ht="18.75" customHeight="1" x14ac:dyDescent="0.25">
      <c r="B3275" s="618" t="s">
        <v>620</v>
      </c>
      <c r="C3275" s="620" t="s">
        <v>621</v>
      </c>
      <c r="D3275" s="618" t="s">
        <v>622</v>
      </c>
      <c r="E3275" s="618" t="s">
        <v>2</v>
      </c>
      <c r="F3275" s="615" t="s">
        <v>623</v>
      </c>
      <c r="G3275" s="289" t="s">
        <v>624</v>
      </c>
      <c r="H3275" s="256" t="s">
        <v>625</v>
      </c>
      <c r="M3275" s="615" t="s">
        <v>623</v>
      </c>
    </row>
    <row r="3276" spans="2:13" ht="18.75" customHeight="1" x14ac:dyDescent="0.25">
      <c r="B3276" s="619"/>
      <c r="C3276" s="621"/>
      <c r="D3276" s="619"/>
      <c r="E3276" s="619"/>
      <c r="F3276" s="616"/>
      <c r="G3276" s="289" t="s">
        <v>626</v>
      </c>
      <c r="H3276" s="256" t="s">
        <v>626</v>
      </c>
      <c r="M3276" s="616"/>
    </row>
    <row r="3277" spans="2:13" ht="18.75" customHeight="1" x14ac:dyDescent="0.25">
      <c r="B3277" s="221"/>
      <c r="C3277" s="222"/>
      <c r="D3277" s="221"/>
      <c r="E3277" s="550"/>
      <c r="F3277" s="555"/>
      <c r="G3277" s="551"/>
      <c r="H3277" s="220"/>
      <c r="M3277" s="590"/>
    </row>
    <row r="3278" spans="2:13" ht="18.75" customHeight="1" x14ac:dyDescent="0.25">
      <c r="B3278" s="550" t="s">
        <v>627</v>
      </c>
      <c r="C3278" s="223" t="s">
        <v>628</v>
      </c>
      <c r="D3278" s="550"/>
      <c r="E3278" s="224"/>
      <c r="F3278" s="225"/>
      <c r="G3278" s="290"/>
      <c r="H3278" s="226"/>
      <c r="M3278" s="225"/>
    </row>
    <row r="3279" spans="2:13" ht="18.75" customHeight="1" x14ac:dyDescent="0.25">
      <c r="B3279" s="550"/>
      <c r="C3279" s="227" t="s">
        <v>629</v>
      </c>
      <c r="D3279" s="550" t="s">
        <v>630</v>
      </c>
      <c r="E3279" s="224" t="s">
        <v>631</v>
      </c>
      <c r="F3279" s="228">
        <f t="shared" ref="F3279:F3282" si="162">$K$8*M3279</f>
        <v>0.3</v>
      </c>
      <c r="G3279" s="229">
        <f>G3253</f>
        <v>95000</v>
      </c>
      <c r="H3279" s="230">
        <f>+G3279*F3279</f>
        <v>28500</v>
      </c>
      <c r="M3279" s="228">
        <v>0.3</v>
      </c>
    </row>
    <row r="3280" spans="2:13" ht="18.75" customHeight="1" x14ac:dyDescent="0.25">
      <c r="B3280" s="550"/>
      <c r="C3280" s="227" t="s">
        <v>1508</v>
      </c>
      <c r="D3280" s="550" t="s">
        <v>632</v>
      </c>
      <c r="E3280" s="224" t="s">
        <v>631</v>
      </c>
      <c r="F3280" s="228">
        <f t="shared" si="162"/>
        <v>0.1</v>
      </c>
      <c r="G3280" s="229">
        <f>G3254</f>
        <v>110000</v>
      </c>
      <c r="H3280" s="230">
        <f>+G3280*F3280</f>
        <v>11000</v>
      </c>
      <c r="M3280" s="228">
        <v>0.1</v>
      </c>
    </row>
    <row r="3281" spans="2:13" ht="18.75" customHeight="1" x14ac:dyDescent="0.25">
      <c r="B3281" s="550"/>
      <c r="C3281" s="227" t="s">
        <v>633</v>
      </c>
      <c r="D3281" s="550" t="s">
        <v>634</v>
      </c>
      <c r="E3281" s="224" t="s">
        <v>631</v>
      </c>
      <c r="F3281" s="228">
        <f t="shared" si="162"/>
        <v>0.01</v>
      </c>
      <c r="G3281" s="229">
        <f>G3255</f>
        <v>115000</v>
      </c>
      <c r="H3281" s="230">
        <f>+G3281*F3281</f>
        <v>1150</v>
      </c>
      <c r="M3281" s="228">
        <v>0.01</v>
      </c>
    </row>
    <row r="3282" spans="2:13" ht="18.75" customHeight="1" x14ac:dyDescent="0.25">
      <c r="B3282" s="550"/>
      <c r="C3282" s="227" t="s">
        <v>600</v>
      </c>
      <c r="D3282" s="550" t="s">
        <v>635</v>
      </c>
      <c r="E3282" s="224" t="s">
        <v>631</v>
      </c>
      <c r="F3282" s="228">
        <f t="shared" si="162"/>
        <v>1.4999999999999999E-2</v>
      </c>
      <c r="G3282" s="229">
        <f>G3256</f>
        <v>140000</v>
      </c>
      <c r="H3282" s="230">
        <f>+G3282*F3282</f>
        <v>2100</v>
      </c>
      <c r="M3282" s="228">
        <v>1.4999999999999999E-2</v>
      </c>
    </row>
    <row r="3283" spans="2:13" ht="18.75" customHeight="1" x14ac:dyDescent="0.25">
      <c r="B3283" s="550"/>
      <c r="C3283" s="223"/>
      <c r="D3283" s="550"/>
      <c r="E3283" s="224"/>
      <c r="F3283" s="233" t="s">
        <v>636</v>
      </c>
      <c r="G3283" s="290"/>
      <c r="H3283" s="231">
        <f>SUM(H3279:H3282)</f>
        <v>42750</v>
      </c>
      <c r="M3283" s="233" t="s">
        <v>636</v>
      </c>
    </row>
    <row r="3284" spans="2:13" ht="18.75" customHeight="1" x14ac:dyDescent="0.25">
      <c r="B3284" s="550"/>
      <c r="C3284" s="223"/>
      <c r="D3284" s="550"/>
      <c r="E3284" s="224"/>
      <c r="F3284" s="233"/>
      <c r="G3284" s="290"/>
      <c r="H3284" s="231"/>
      <c r="M3284" s="233"/>
    </row>
    <row r="3285" spans="2:13" ht="18.75" customHeight="1" x14ac:dyDescent="0.25">
      <c r="B3285" s="550" t="s">
        <v>637</v>
      </c>
      <c r="C3285" s="223" t="s">
        <v>638</v>
      </c>
      <c r="D3285" s="550"/>
      <c r="E3285" s="224"/>
      <c r="F3285" s="225"/>
      <c r="G3285" s="290"/>
      <c r="H3285" s="226"/>
      <c r="M3285" s="225"/>
    </row>
    <row r="3286" spans="2:13" ht="18.75" customHeight="1" x14ac:dyDescent="0.25">
      <c r="B3286" s="550"/>
      <c r="C3286" s="223" t="s">
        <v>970</v>
      </c>
      <c r="D3286" s="550"/>
      <c r="E3286" s="224" t="s">
        <v>66</v>
      </c>
      <c r="F3286" s="228">
        <v>12.5</v>
      </c>
      <c r="G3286" s="229">
        <f>Bahan!D87</f>
        <v>15000</v>
      </c>
      <c r="H3286" s="230">
        <f>+G3286*F3286</f>
        <v>187500</v>
      </c>
      <c r="M3286" s="228">
        <v>12.5</v>
      </c>
    </row>
    <row r="3287" spans="2:13" ht="18.75" customHeight="1" x14ac:dyDescent="0.25">
      <c r="B3287" s="550"/>
      <c r="C3287" s="223" t="s">
        <v>708</v>
      </c>
      <c r="D3287" s="550"/>
      <c r="E3287" s="224" t="s">
        <v>62</v>
      </c>
      <c r="F3287" s="228">
        <v>15.16</v>
      </c>
      <c r="G3287" s="234">
        <f>G3260</f>
        <v>1700</v>
      </c>
      <c r="H3287" s="230">
        <f>+G3287*F3287</f>
        <v>25772</v>
      </c>
      <c r="M3287" s="228">
        <v>15.16</v>
      </c>
    </row>
    <row r="3288" spans="2:13" ht="18.75" customHeight="1" x14ac:dyDescent="0.25">
      <c r="B3288" s="550"/>
      <c r="C3288" s="223" t="s">
        <v>661</v>
      </c>
      <c r="D3288" s="550"/>
      <c r="E3288" s="224" t="s">
        <v>955</v>
      </c>
      <c r="F3288" s="228">
        <v>0.36399999999999999</v>
      </c>
      <c r="G3288" s="234">
        <f>G3261</f>
        <v>230000</v>
      </c>
      <c r="H3288" s="230">
        <f>+G3288*F3288</f>
        <v>83720</v>
      </c>
      <c r="M3288" s="228">
        <v>0.36399999999999999</v>
      </c>
    </row>
    <row r="3289" spans="2:13" ht="18.75" customHeight="1" x14ac:dyDescent="0.25">
      <c r="B3289" s="550"/>
      <c r="C3289" s="223" t="s">
        <v>964</v>
      </c>
      <c r="D3289" s="550"/>
      <c r="E3289" s="224" t="s">
        <v>62</v>
      </c>
      <c r="F3289" s="228">
        <v>0.28000000000000003</v>
      </c>
      <c r="G3289" s="234">
        <f>G3262</f>
        <v>225000</v>
      </c>
      <c r="H3289" s="230">
        <f>F3289*G3289</f>
        <v>63000.000000000007</v>
      </c>
      <c r="M3289" s="228">
        <v>0.28000000000000003</v>
      </c>
    </row>
    <row r="3290" spans="2:13" ht="18.75" customHeight="1" x14ac:dyDescent="0.25">
      <c r="B3290" s="550"/>
      <c r="C3290" s="223"/>
      <c r="D3290" s="550"/>
      <c r="E3290" s="224"/>
      <c r="F3290" s="237" t="s">
        <v>643</v>
      </c>
      <c r="G3290" s="290"/>
      <c r="H3290" s="231">
        <f>SUM(H3286:H3289)</f>
        <v>359992</v>
      </c>
      <c r="M3290" s="237" t="s">
        <v>643</v>
      </c>
    </row>
    <row r="3291" spans="2:13" ht="18.75" customHeight="1" x14ac:dyDescent="0.25">
      <c r="B3291" s="550"/>
      <c r="C3291" s="223"/>
      <c r="D3291" s="550"/>
      <c r="E3291" s="224"/>
      <c r="F3291" s="225"/>
      <c r="G3291" s="290"/>
      <c r="H3291" s="226"/>
      <c r="M3291" s="225"/>
    </row>
    <row r="3292" spans="2:13" ht="18.75" customHeight="1" x14ac:dyDescent="0.25">
      <c r="B3292" s="550" t="s">
        <v>644</v>
      </c>
      <c r="C3292" s="223" t="s">
        <v>645</v>
      </c>
      <c r="D3292" s="550"/>
      <c r="E3292" s="224"/>
      <c r="F3292" s="225"/>
      <c r="G3292" s="290"/>
      <c r="H3292" s="235"/>
      <c r="M3292" s="225"/>
    </row>
    <row r="3293" spans="2:13" ht="18.75" customHeight="1" x14ac:dyDescent="0.25">
      <c r="B3293" s="236"/>
      <c r="C3293" s="232"/>
      <c r="D3293" s="550"/>
      <c r="E3293" s="224"/>
      <c r="F3293" s="237" t="s">
        <v>646</v>
      </c>
      <c r="G3293" s="290"/>
      <c r="H3293" s="230"/>
      <c r="M3293" s="237" t="s">
        <v>646</v>
      </c>
    </row>
    <row r="3294" spans="2:13" ht="18.75" customHeight="1" x14ac:dyDescent="0.25">
      <c r="B3294" s="236"/>
      <c r="C3294" s="232"/>
      <c r="D3294" s="550"/>
      <c r="E3294" s="224"/>
      <c r="F3294" s="237"/>
      <c r="G3294" s="290"/>
      <c r="H3294" s="226"/>
      <c r="M3294" s="237"/>
    </row>
    <row r="3295" spans="2:13" ht="18.75" customHeight="1" x14ac:dyDescent="0.25">
      <c r="B3295" s="354"/>
      <c r="C3295" s="362"/>
      <c r="D3295" s="239"/>
      <c r="E3295" s="240"/>
      <c r="F3295" s="241"/>
      <c r="G3295" s="293"/>
      <c r="H3295" s="355"/>
      <c r="M3295" s="241"/>
    </row>
    <row r="3296" spans="2:13" ht="18.75" customHeight="1" x14ac:dyDescent="0.25">
      <c r="B3296" s="356" t="s">
        <v>647</v>
      </c>
      <c r="C3296" s="363" t="s">
        <v>648</v>
      </c>
      <c r="D3296" s="435"/>
      <c r="E3296" s="92"/>
      <c r="F3296" s="183"/>
      <c r="G3296" s="295"/>
      <c r="H3296" s="357">
        <f>+H3293+H3290+H3283</f>
        <v>402742</v>
      </c>
      <c r="M3296" s="183"/>
    </row>
    <row r="3297" spans="2:13" ht="18.75" customHeight="1" x14ac:dyDescent="0.25">
      <c r="B3297" s="356" t="s">
        <v>649</v>
      </c>
      <c r="C3297" s="364" t="s">
        <v>650</v>
      </c>
      <c r="D3297" s="435"/>
      <c r="E3297" s="92"/>
      <c r="F3297" s="184" t="str">
        <f>$J$5</f>
        <v>8,0 % x D</v>
      </c>
      <c r="G3297" s="295"/>
      <c r="H3297" s="358">
        <f>+H3296*$K$5</f>
        <v>32219.360000000001</v>
      </c>
      <c r="M3297" s="184" t="str">
        <f>$J$5</f>
        <v>8,0 % x D</v>
      </c>
    </row>
    <row r="3298" spans="2:13" ht="18.75" customHeight="1" x14ac:dyDescent="0.25">
      <c r="B3298" s="356" t="s">
        <v>651</v>
      </c>
      <c r="C3298" s="365" t="s">
        <v>652</v>
      </c>
      <c r="D3298" s="435"/>
      <c r="E3298" s="91"/>
      <c r="F3298" s="185"/>
      <c r="G3298" s="296"/>
      <c r="H3298" s="359">
        <f>ROUNDUP((H3297+H3296)/100,0)*100</f>
        <v>435000</v>
      </c>
      <c r="M3298" s="185"/>
    </row>
    <row r="3299" spans="2:13" ht="18.75" customHeight="1" x14ac:dyDescent="0.25">
      <c r="B3299" s="360"/>
      <c r="C3299" s="366"/>
      <c r="D3299" s="245"/>
      <c r="E3299" s="246"/>
      <c r="F3299" s="247"/>
      <c r="G3299" s="299"/>
      <c r="H3299" s="361"/>
      <c r="M3299" s="247"/>
    </row>
    <row r="3300" spans="2:13" ht="18.75" customHeight="1" x14ac:dyDescent="0.25">
      <c r="B3300" s="92"/>
      <c r="C3300" s="104"/>
      <c r="D3300" s="435"/>
      <c r="E3300" s="91"/>
      <c r="F3300" s="185"/>
      <c r="G3300" s="168"/>
      <c r="H3300" s="139"/>
      <c r="M3300" s="185"/>
    </row>
    <row r="3301" spans="2:13" ht="18.75" customHeight="1" x14ac:dyDescent="0.25">
      <c r="B3301" s="19">
        <f>B3274+1</f>
        <v>20</v>
      </c>
      <c r="C3301" s="93" t="s">
        <v>971</v>
      </c>
      <c r="D3301" s="19"/>
      <c r="E3301" s="21"/>
      <c r="F3301" s="176"/>
      <c r="G3301" s="165"/>
      <c r="H3301" s="119"/>
      <c r="M3301" s="176"/>
    </row>
    <row r="3302" spans="2:13" ht="18.75" customHeight="1" x14ac:dyDescent="0.25">
      <c r="B3302" s="618" t="s">
        <v>620</v>
      </c>
      <c r="C3302" s="620" t="s">
        <v>621</v>
      </c>
      <c r="D3302" s="618" t="s">
        <v>622</v>
      </c>
      <c r="E3302" s="618" t="s">
        <v>2</v>
      </c>
      <c r="F3302" s="615" t="s">
        <v>623</v>
      </c>
      <c r="G3302" s="289" t="s">
        <v>624</v>
      </c>
      <c r="H3302" s="256" t="s">
        <v>625</v>
      </c>
      <c r="M3302" s="615" t="s">
        <v>623</v>
      </c>
    </row>
    <row r="3303" spans="2:13" ht="18.75" customHeight="1" x14ac:dyDescent="0.25">
      <c r="B3303" s="619"/>
      <c r="C3303" s="621"/>
      <c r="D3303" s="619"/>
      <c r="E3303" s="619"/>
      <c r="F3303" s="616"/>
      <c r="G3303" s="289" t="s">
        <v>626</v>
      </c>
      <c r="H3303" s="256" t="s">
        <v>626</v>
      </c>
      <c r="M3303" s="616"/>
    </row>
    <row r="3304" spans="2:13" ht="18.75" customHeight="1" x14ac:dyDescent="0.25">
      <c r="B3304" s="221"/>
      <c r="C3304" s="222"/>
      <c r="D3304" s="221"/>
      <c r="E3304" s="550"/>
      <c r="F3304" s="555"/>
      <c r="G3304" s="551"/>
      <c r="H3304" s="220"/>
      <c r="M3304" s="590"/>
    </row>
    <row r="3305" spans="2:13" ht="18.75" customHeight="1" x14ac:dyDescent="0.25">
      <c r="B3305" s="550" t="s">
        <v>627</v>
      </c>
      <c r="C3305" s="223" t="s">
        <v>628</v>
      </c>
      <c r="D3305" s="550"/>
      <c r="E3305" s="224"/>
      <c r="F3305" s="225"/>
      <c r="G3305" s="290"/>
      <c r="H3305" s="226"/>
      <c r="M3305" s="225"/>
    </row>
    <row r="3306" spans="2:13" ht="18.75" customHeight="1" x14ac:dyDescent="0.25">
      <c r="B3306" s="550"/>
      <c r="C3306" s="227" t="s">
        <v>629</v>
      </c>
      <c r="D3306" s="550" t="s">
        <v>630</v>
      </c>
      <c r="E3306" s="224" t="s">
        <v>631</v>
      </c>
      <c r="F3306" s="228">
        <f t="shared" ref="F3306:F3309" si="163">$K$8*M3306</f>
        <v>0.3</v>
      </c>
      <c r="G3306" s="229">
        <f>G3279</f>
        <v>95000</v>
      </c>
      <c r="H3306" s="230">
        <f>+G3306*F3306</f>
        <v>28500</v>
      </c>
      <c r="M3306" s="228">
        <v>0.3</v>
      </c>
    </row>
    <row r="3307" spans="2:13" ht="18.75" customHeight="1" x14ac:dyDescent="0.25">
      <c r="B3307" s="550"/>
      <c r="C3307" s="227" t="s">
        <v>1508</v>
      </c>
      <c r="D3307" s="550" t="s">
        <v>632</v>
      </c>
      <c r="E3307" s="224" t="s">
        <v>631</v>
      </c>
      <c r="F3307" s="228">
        <f t="shared" si="163"/>
        <v>0.1</v>
      </c>
      <c r="G3307" s="229">
        <f>G3280</f>
        <v>110000</v>
      </c>
      <c r="H3307" s="230">
        <f>+G3307*F3307</f>
        <v>11000</v>
      </c>
      <c r="M3307" s="228">
        <v>0.1</v>
      </c>
    </row>
    <row r="3308" spans="2:13" ht="18.75" customHeight="1" x14ac:dyDescent="0.25">
      <c r="B3308" s="550"/>
      <c r="C3308" s="227" t="s">
        <v>633</v>
      </c>
      <c r="D3308" s="550" t="s">
        <v>634</v>
      </c>
      <c r="E3308" s="224" t="s">
        <v>631</v>
      </c>
      <c r="F3308" s="228">
        <f t="shared" si="163"/>
        <v>0.01</v>
      </c>
      <c r="G3308" s="229">
        <f>G3281</f>
        <v>115000</v>
      </c>
      <c r="H3308" s="230">
        <f>+G3308*F3308</f>
        <v>1150</v>
      </c>
      <c r="M3308" s="228">
        <v>0.01</v>
      </c>
    </row>
    <row r="3309" spans="2:13" ht="18.75" customHeight="1" x14ac:dyDescent="0.25">
      <c r="B3309" s="550"/>
      <c r="C3309" s="227" t="s">
        <v>600</v>
      </c>
      <c r="D3309" s="550" t="s">
        <v>635</v>
      </c>
      <c r="E3309" s="224" t="s">
        <v>631</v>
      </c>
      <c r="F3309" s="228">
        <f t="shared" si="163"/>
        <v>1.4999999999999999E-2</v>
      </c>
      <c r="G3309" s="229">
        <f>G3282</f>
        <v>140000</v>
      </c>
      <c r="H3309" s="230">
        <f>+G3309*F3309</f>
        <v>2100</v>
      </c>
      <c r="M3309" s="228">
        <v>1.4999999999999999E-2</v>
      </c>
    </row>
    <row r="3310" spans="2:13" ht="18.75" customHeight="1" x14ac:dyDescent="0.25">
      <c r="B3310" s="550"/>
      <c r="C3310" s="223"/>
      <c r="D3310" s="550"/>
      <c r="E3310" s="224"/>
      <c r="F3310" s="233" t="s">
        <v>636</v>
      </c>
      <c r="G3310" s="290"/>
      <c r="H3310" s="231">
        <f>SUM(H3306:H3309)</f>
        <v>42750</v>
      </c>
      <c r="M3310" s="233" t="s">
        <v>636</v>
      </c>
    </row>
    <row r="3311" spans="2:13" ht="18.75" customHeight="1" x14ac:dyDescent="0.25">
      <c r="B3311" s="550"/>
      <c r="C3311" s="223"/>
      <c r="D3311" s="550"/>
      <c r="E3311" s="224"/>
      <c r="F3311" s="233"/>
      <c r="G3311" s="290"/>
      <c r="H3311" s="231"/>
      <c r="M3311" s="233"/>
    </row>
    <row r="3312" spans="2:13" ht="18.75" customHeight="1" x14ac:dyDescent="0.25">
      <c r="B3312" s="550" t="s">
        <v>637</v>
      </c>
      <c r="C3312" s="223" t="s">
        <v>638</v>
      </c>
      <c r="D3312" s="550"/>
      <c r="E3312" s="224"/>
      <c r="F3312" s="225"/>
      <c r="G3312" s="290"/>
      <c r="H3312" s="226"/>
      <c r="M3312" s="225"/>
    </row>
    <row r="3313" spans="2:13" ht="18.75" customHeight="1" x14ac:dyDescent="0.25">
      <c r="B3313" s="550"/>
      <c r="C3313" s="223" t="s">
        <v>970</v>
      </c>
      <c r="D3313" s="550"/>
      <c r="E3313" s="224" t="s">
        <v>66</v>
      </c>
      <c r="F3313" s="228">
        <v>12.5</v>
      </c>
      <c r="G3313" s="229">
        <f>G3286</f>
        <v>15000</v>
      </c>
      <c r="H3313" s="230">
        <f>+G3313*F3313</f>
        <v>187500</v>
      </c>
      <c r="M3313" s="228">
        <v>12.5</v>
      </c>
    </row>
    <row r="3314" spans="2:13" ht="18.75" customHeight="1" x14ac:dyDescent="0.25">
      <c r="B3314" s="550"/>
      <c r="C3314" s="223" t="s">
        <v>708</v>
      </c>
      <c r="D3314" s="550"/>
      <c r="E3314" s="224" t="s">
        <v>62</v>
      </c>
      <c r="F3314" s="228">
        <v>12.13</v>
      </c>
      <c r="G3314" s="234">
        <f>G3287</f>
        <v>1700</v>
      </c>
      <c r="H3314" s="230">
        <f>+G3314*F3314</f>
        <v>20621</v>
      </c>
      <c r="M3314" s="228">
        <v>12.13</v>
      </c>
    </row>
    <row r="3315" spans="2:13" ht="18.75" customHeight="1" x14ac:dyDescent="0.25">
      <c r="B3315" s="550"/>
      <c r="C3315" s="223" t="s">
        <v>661</v>
      </c>
      <c r="D3315" s="550"/>
      <c r="E3315" s="224" t="s">
        <v>955</v>
      </c>
      <c r="F3315" s="228">
        <v>0.38800000000000001</v>
      </c>
      <c r="G3315" s="234">
        <f>G3288</f>
        <v>230000</v>
      </c>
      <c r="H3315" s="230">
        <f>+G3315*F3315</f>
        <v>89240</v>
      </c>
      <c r="M3315" s="228">
        <v>0.38800000000000001</v>
      </c>
    </row>
    <row r="3316" spans="2:13" ht="18.75" customHeight="1" x14ac:dyDescent="0.25">
      <c r="B3316" s="550"/>
      <c r="C3316" s="223" t="s">
        <v>964</v>
      </c>
      <c r="D3316" s="550"/>
      <c r="E3316" s="224" t="s">
        <v>62</v>
      </c>
      <c r="F3316" s="228">
        <v>0.28000000000000003</v>
      </c>
      <c r="G3316" s="229">
        <f>+G3289</f>
        <v>225000</v>
      </c>
      <c r="H3316" s="230">
        <f>+G3316*F3316</f>
        <v>63000.000000000007</v>
      </c>
      <c r="M3316" s="228">
        <v>0.28000000000000003</v>
      </c>
    </row>
    <row r="3317" spans="2:13" ht="18.75" customHeight="1" x14ac:dyDescent="0.25">
      <c r="B3317" s="550"/>
      <c r="C3317" s="223"/>
      <c r="D3317" s="550"/>
      <c r="E3317" s="224"/>
      <c r="F3317" s="237" t="s">
        <v>643</v>
      </c>
      <c r="G3317" s="290"/>
      <c r="H3317" s="231">
        <f>SUM(H3313:H3316)</f>
        <v>360361</v>
      </c>
      <c r="M3317" s="237" t="s">
        <v>643</v>
      </c>
    </row>
    <row r="3318" spans="2:13" ht="18.75" customHeight="1" x14ac:dyDescent="0.25">
      <c r="B3318" s="550"/>
      <c r="C3318" s="223"/>
      <c r="D3318" s="550"/>
      <c r="E3318" s="224"/>
      <c r="F3318" s="225"/>
      <c r="G3318" s="290"/>
      <c r="H3318" s="226"/>
      <c r="M3318" s="225"/>
    </row>
    <row r="3319" spans="2:13" ht="18.75" customHeight="1" x14ac:dyDescent="0.25">
      <c r="B3319" s="550" t="s">
        <v>644</v>
      </c>
      <c r="C3319" s="223" t="s">
        <v>645</v>
      </c>
      <c r="D3319" s="550"/>
      <c r="E3319" s="224"/>
      <c r="F3319" s="225"/>
      <c r="G3319" s="290"/>
      <c r="H3319" s="235"/>
      <c r="M3319" s="225"/>
    </row>
    <row r="3320" spans="2:13" ht="18.75" customHeight="1" x14ac:dyDescent="0.25">
      <c r="B3320" s="236"/>
      <c r="C3320" s="232"/>
      <c r="D3320" s="550"/>
      <c r="E3320" s="224"/>
      <c r="F3320" s="237" t="s">
        <v>646</v>
      </c>
      <c r="G3320" s="290"/>
      <c r="H3320" s="230"/>
      <c r="M3320" s="237" t="s">
        <v>646</v>
      </c>
    </row>
    <row r="3321" spans="2:13" ht="18.75" customHeight="1" x14ac:dyDescent="0.25">
      <c r="B3321" s="236"/>
      <c r="C3321" s="232"/>
      <c r="D3321" s="550"/>
      <c r="E3321" s="224"/>
      <c r="F3321" s="237"/>
      <c r="G3321" s="290"/>
      <c r="H3321" s="226"/>
      <c r="M3321" s="237"/>
    </row>
    <row r="3322" spans="2:13" ht="18.75" customHeight="1" x14ac:dyDescent="0.25">
      <c r="B3322" s="354"/>
      <c r="C3322" s="362"/>
      <c r="D3322" s="239"/>
      <c r="E3322" s="240"/>
      <c r="F3322" s="241"/>
      <c r="G3322" s="293"/>
      <c r="H3322" s="355"/>
      <c r="M3322" s="241"/>
    </row>
    <row r="3323" spans="2:13" ht="18.75" customHeight="1" x14ac:dyDescent="0.25">
      <c r="B3323" s="356" t="s">
        <v>647</v>
      </c>
      <c r="C3323" s="363" t="s">
        <v>648</v>
      </c>
      <c r="D3323" s="435"/>
      <c r="E3323" s="92"/>
      <c r="F3323" s="183"/>
      <c r="G3323" s="295"/>
      <c r="H3323" s="357">
        <f>+H3320+H3317+H3310</f>
        <v>403111</v>
      </c>
      <c r="M3323" s="183"/>
    </row>
    <row r="3324" spans="2:13" ht="18.75" customHeight="1" x14ac:dyDescent="0.25">
      <c r="B3324" s="356" t="s">
        <v>649</v>
      </c>
      <c r="C3324" s="364" t="s">
        <v>650</v>
      </c>
      <c r="D3324" s="435"/>
      <c r="E3324" s="92"/>
      <c r="F3324" s="184" t="str">
        <f>$J$5</f>
        <v>8,0 % x D</v>
      </c>
      <c r="G3324" s="295"/>
      <c r="H3324" s="358">
        <f>+H3323*$K$5</f>
        <v>32248.880000000001</v>
      </c>
      <c r="M3324" s="184" t="str">
        <f>$J$5</f>
        <v>8,0 % x D</v>
      </c>
    </row>
    <row r="3325" spans="2:13" ht="18.75" customHeight="1" x14ac:dyDescent="0.25">
      <c r="B3325" s="356" t="s">
        <v>651</v>
      </c>
      <c r="C3325" s="365" t="s">
        <v>652</v>
      </c>
      <c r="D3325" s="435"/>
      <c r="E3325" s="91"/>
      <c r="F3325" s="185"/>
      <c r="G3325" s="296"/>
      <c r="H3325" s="359">
        <f>ROUNDUP((H3324+H3323)/100,0)*100</f>
        <v>435400</v>
      </c>
      <c r="M3325" s="185"/>
    </row>
    <row r="3326" spans="2:13" ht="18.75" customHeight="1" x14ac:dyDescent="0.25">
      <c r="B3326" s="360"/>
      <c r="C3326" s="366"/>
      <c r="D3326" s="245"/>
      <c r="E3326" s="246"/>
      <c r="F3326" s="247"/>
      <c r="G3326" s="299"/>
      <c r="H3326" s="361"/>
      <c r="M3326" s="247"/>
    </row>
    <row r="3327" spans="2:13" ht="18.75" customHeight="1" x14ac:dyDescent="0.25">
      <c r="B3327" s="22"/>
      <c r="C3327" s="104"/>
      <c r="E3327" s="21"/>
      <c r="F3327" s="176"/>
      <c r="G3327" s="165"/>
      <c r="H3327" s="119"/>
      <c r="M3327" s="176"/>
    </row>
    <row r="3328" spans="2:13" ht="18.75" customHeight="1" x14ac:dyDescent="0.25">
      <c r="B3328" s="22"/>
      <c r="C3328" s="104"/>
      <c r="E3328" s="21"/>
      <c r="F3328" s="176"/>
      <c r="G3328" s="165"/>
      <c r="H3328" s="119"/>
      <c r="M3328" s="176"/>
    </row>
    <row r="3329" spans="2:13" ht="18.75" customHeight="1" x14ac:dyDescent="0.25">
      <c r="B3329" s="19" t="s">
        <v>1600</v>
      </c>
      <c r="C3329" s="93" t="s">
        <v>1598</v>
      </c>
      <c r="D3329" s="19"/>
      <c r="E3329" s="21"/>
      <c r="F3329" s="176"/>
      <c r="G3329" s="165"/>
      <c r="H3329" s="119"/>
      <c r="M3329" s="176"/>
    </row>
    <row r="3330" spans="2:13" ht="18.75" customHeight="1" x14ac:dyDescent="0.25">
      <c r="B3330" s="19" t="s">
        <v>1601</v>
      </c>
      <c r="C3330" s="93" t="s">
        <v>1599</v>
      </c>
      <c r="D3330" s="19"/>
      <c r="E3330" s="21"/>
      <c r="F3330" s="176"/>
      <c r="G3330" s="165"/>
      <c r="H3330" s="119"/>
      <c r="M3330" s="176"/>
    </row>
    <row r="3331" spans="2:13" ht="18.75" customHeight="1" x14ac:dyDescent="0.25">
      <c r="B3331" s="618" t="s">
        <v>620</v>
      </c>
      <c r="C3331" s="620" t="s">
        <v>621</v>
      </c>
      <c r="D3331" s="618" t="s">
        <v>622</v>
      </c>
      <c r="E3331" s="618" t="s">
        <v>2</v>
      </c>
      <c r="F3331" s="615" t="s">
        <v>623</v>
      </c>
      <c r="G3331" s="289" t="s">
        <v>624</v>
      </c>
      <c r="H3331" s="256" t="s">
        <v>625</v>
      </c>
      <c r="M3331" s="615" t="s">
        <v>623</v>
      </c>
    </row>
    <row r="3332" spans="2:13" ht="18.75" customHeight="1" x14ac:dyDescent="0.25">
      <c r="B3332" s="619"/>
      <c r="C3332" s="621"/>
      <c r="D3332" s="619"/>
      <c r="E3332" s="619"/>
      <c r="F3332" s="616"/>
      <c r="G3332" s="289" t="s">
        <v>626</v>
      </c>
      <c r="H3332" s="256" t="s">
        <v>626</v>
      </c>
      <c r="M3332" s="616"/>
    </row>
    <row r="3333" spans="2:13" ht="18.75" customHeight="1" x14ac:dyDescent="0.25">
      <c r="B3333" s="221"/>
      <c r="C3333" s="222"/>
      <c r="D3333" s="221"/>
      <c r="E3333" s="550"/>
      <c r="F3333" s="555"/>
      <c r="G3333" s="551"/>
      <c r="H3333" s="220"/>
      <c r="M3333" s="590"/>
    </row>
    <row r="3334" spans="2:13" ht="18.75" customHeight="1" x14ac:dyDescent="0.25">
      <c r="B3334" s="550" t="s">
        <v>627</v>
      </c>
      <c r="C3334" s="223" t="s">
        <v>628</v>
      </c>
      <c r="D3334" s="550"/>
      <c r="E3334" s="224"/>
      <c r="F3334" s="225"/>
      <c r="G3334" s="290"/>
      <c r="H3334" s="226"/>
      <c r="M3334" s="225"/>
    </row>
    <row r="3335" spans="2:13" ht="18.75" customHeight="1" x14ac:dyDescent="0.25">
      <c r="B3335" s="550"/>
      <c r="C3335" s="227" t="s">
        <v>629</v>
      </c>
      <c r="D3335" s="550" t="s">
        <v>630</v>
      </c>
      <c r="E3335" s="224" t="s">
        <v>631</v>
      </c>
      <c r="F3335" s="228">
        <f t="shared" ref="F3335:F3338" si="164">$K$8*M3335</f>
        <v>0.3</v>
      </c>
      <c r="G3335" s="229">
        <f>G3306</f>
        <v>95000</v>
      </c>
      <c r="H3335" s="230">
        <f>+G3335*F3335</f>
        <v>28500</v>
      </c>
      <c r="M3335" s="414">
        <v>0.3</v>
      </c>
    </row>
    <row r="3336" spans="2:13" ht="18.75" customHeight="1" x14ac:dyDescent="0.25">
      <c r="B3336" s="550"/>
      <c r="C3336" s="227" t="s">
        <v>1508</v>
      </c>
      <c r="D3336" s="550" t="s">
        <v>632</v>
      </c>
      <c r="E3336" s="224" t="s">
        <v>631</v>
      </c>
      <c r="F3336" s="228">
        <f t="shared" si="164"/>
        <v>0.1</v>
      </c>
      <c r="G3336" s="229">
        <f>G3307</f>
        <v>110000</v>
      </c>
      <c r="H3336" s="230">
        <f>+G3336*F3336</f>
        <v>11000</v>
      </c>
      <c r="M3336" s="414">
        <v>0.1</v>
      </c>
    </row>
    <row r="3337" spans="2:13" ht="18.75" customHeight="1" x14ac:dyDescent="0.25">
      <c r="B3337" s="550"/>
      <c r="C3337" s="227" t="s">
        <v>633</v>
      </c>
      <c r="D3337" s="550" t="s">
        <v>634</v>
      </c>
      <c r="E3337" s="224" t="s">
        <v>631</v>
      </c>
      <c r="F3337" s="228">
        <f t="shared" si="164"/>
        <v>0.01</v>
      </c>
      <c r="G3337" s="229">
        <f>G3308</f>
        <v>115000</v>
      </c>
      <c r="H3337" s="230">
        <f>+G3337*F3337</f>
        <v>1150</v>
      </c>
      <c r="M3337" s="414">
        <v>0.01</v>
      </c>
    </row>
    <row r="3338" spans="2:13" ht="18.75" customHeight="1" x14ac:dyDescent="0.25">
      <c r="B3338" s="550"/>
      <c r="C3338" s="227" t="s">
        <v>600</v>
      </c>
      <c r="D3338" s="550" t="s">
        <v>635</v>
      </c>
      <c r="E3338" s="224" t="s">
        <v>631</v>
      </c>
      <c r="F3338" s="228">
        <f t="shared" si="164"/>
        <v>1.4999999999999999E-2</v>
      </c>
      <c r="G3338" s="229">
        <f>G3309</f>
        <v>140000</v>
      </c>
      <c r="H3338" s="230">
        <f>+G3338*F3338</f>
        <v>2100</v>
      </c>
      <c r="M3338" s="414">
        <v>1.4999999999999999E-2</v>
      </c>
    </row>
    <row r="3339" spans="2:13" ht="18.75" customHeight="1" x14ac:dyDescent="0.25">
      <c r="B3339" s="550"/>
      <c r="C3339" s="223"/>
      <c r="D3339" s="550"/>
      <c r="E3339" s="224"/>
      <c r="F3339" s="233" t="s">
        <v>636</v>
      </c>
      <c r="G3339" s="290"/>
      <c r="H3339" s="231">
        <f>SUM(H3335:H3338)</f>
        <v>42750</v>
      </c>
      <c r="L3339" s="415"/>
      <c r="M3339" s="233" t="s">
        <v>636</v>
      </c>
    </row>
    <row r="3340" spans="2:13" ht="18.75" customHeight="1" x14ac:dyDescent="0.25">
      <c r="B3340" s="550" t="s">
        <v>637</v>
      </c>
      <c r="C3340" s="223" t="s">
        <v>638</v>
      </c>
      <c r="D3340" s="550"/>
      <c r="E3340" s="224"/>
      <c r="F3340" s="225"/>
      <c r="G3340" s="290"/>
      <c r="H3340" s="226"/>
      <c r="L3340" s="415"/>
      <c r="M3340" s="225"/>
    </row>
    <row r="3341" spans="2:13" ht="18.75" customHeight="1" x14ac:dyDescent="0.25">
      <c r="B3341" s="550"/>
      <c r="C3341" s="223" t="s">
        <v>972</v>
      </c>
      <c r="D3341" s="550"/>
      <c r="E3341" s="224" t="s">
        <v>66</v>
      </c>
      <c r="F3341" s="228">
        <v>12.5</v>
      </c>
      <c r="G3341" s="229">
        <f>Bahan!D67</f>
        <v>4000</v>
      </c>
      <c r="H3341" s="230">
        <f>+G3341*F3341</f>
        <v>50000</v>
      </c>
      <c r="L3341" s="415"/>
      <c r="M3341" s="228">
        <v>12.5</v>
      </c>
    </row>
    <row r="3342" spans="2:13" ht="18.75" customHeight="1" x14ac:dyDescent="0.25">
      <c r="B3342" s="550"/>
      <c r="C3342" s="223" t="s">
        <v>973</v>
      </c>
      <c r="D3342" s="550"/>
      <c r="E3342" s="224" t="s">
        <v>66</v>
      </c>
      <c r="F3342" s="228">
        <v>12.5</v>
      </c>
      <c r="G3342" s="229">
        <f>Bahan!D66</f>
        <v>3600</v>
      </c>
      <c r="H3342" s="230">
        <f>+G3342*F3342</f>
        <v>45000</v>
      </c>
      <c r="L3342" s="415"/>
      <c r="M3342" s="228">
        <v>12.5</v>
      </c>
    </row>
    <row r="3343" spans="2:13" ht="18.75" customHeight="1" x14ac:dyDescent="0.25">
      <c r="B3343" s="550"/>
      <c r="C3343" s="223" t="s">
        <v>708</v>
      </c>
      <c r="D3343" s="550"/>
      <c r="E3343" s="224" t="s">
        <v>62</v>
      </c>
      <c r="F3343" s="228">
        <v>7.5</v>
      </c>
      <c r="G3343" s="234">
        <f>G3314</f>
        <v>1700</v>
      </c>
      <c r="H3343" s="230">
        <f>+G3343*F3343</f>
        <v>12750</v>
      </c>
      <c r="M3343" s="228">
        <v>7.5</v>
      </c>
    </row>
    <row r="3344" spans="2:13" ht="18.75" customHeight="1" x14ac:dyDescent="0.25">
      <c r="B3344" s="550"/>
      <c r="C3344" s="223" t="s">
        <v>661</v>
      </c>
      <c r="D3344" s="550"/>
      <c r="E3344" s="224" t="s">
        <v>955</v>
      </c>
      <c r="F3344" s="228">
        <v>2.86E-2</v>
      </c>
      <c r="G3344" s="234">
        <f>G3315</f>
        <v>230000</v>
      </c>
      <c r="H3344" s="230">
        <f>+G3344*F3344</f>
        <v>6578</v>
      </c>
      <c r="M3344" s="228">
        <v>2.86E-2</v>
      </c>
    </row>
    <row r="3345" spans="2:14" ht="18.75" customHeight="1" x14ac:dyDescent="0.25">
      <c r="B3345" s="550"/>
      <c r="C3345" s="223" t="s">
        <v>964</v>
      </c>
      <c r="D3345" s="550"/>
      <c r="E3345" s="224" t="s">
        <v>62</v>
      </c>
      <c r="F3345" s="228">
        <v>1.95</v>
      </c>
      <c r="G3345" s="234">
        <f>G3316</f>
        <v>225000</v>
      </c>
      <c r="H3345" s="230">
        <f>+G3345*F3345</f>
        <v>438750</v>
      </c>
      <c r="M3345" s="228">
        <v>1.95</v>
      </c>
    </row>
    <row r="3346" spans="2:14" ht="18.75" customHeight="1" x14ac:dyDescent="0.25">
      <c r="B3346" s="550"/>
      <c r="C3346" s="223"/>
      <c r="D3346" s="550"/>
      <c r="E3346" s="224"/>
      <c r="F3346" s="237" t="s">
        <v>643</v>
      </c>
      <c r="G3346" s="275"/>
      <c r="H3346" s="231">
        <f>H3341+H3343+H3344+H3345</f>
        <v>508078</v>
      </c>
      <c r="M3346" s="237" t="s">
        <v>643</v>
      </c>
      <c r="N3346" s="415"/>
    </row>
    <row r="3347" spans="2:14" ht="18.75" customHeight="1" x14ac:dyDescent="0.25">
      <c r="B3347" s="550"/>
      <c r="C3347" s="223"/>
      <c r="D3347" s="550"/>
      <c r="E3347" s="224"/>
      <c r="F3347" s="237" t="s">
        <v>643</v>
      </c>
      <c r="G3347" s="290"/>
      <c r="H3347" s="231">
        <f>H3342+H3343+H3344+H3345</f>
        <v>503078</v>
      </c>
      <c r="M3347" s="237" t="s">
        <v>643</v>
      </c>
      <c r="N3347" s="415"/>
    </row>
    <row r="3348" spans="2:14" ht="18.75" customHeight="1" x14ac:dyDescent="0.25">
      <c r="B3348" s="550"/>
      <c r="C3348" s="223"/>
      <c r="D3348" s="550"/>
      <c r="E3348" s="224"/>
      <c r="F3348" s="225"/>
      <c r="G3348" s="290"/>
      <c r="H3348" s="226"/>
      <c r="M3348" s="225"/>
      <c r="N3348" s="415"/>
    </row>
    <row r="3349" spans="2:14" ht="18.75" customHeight="1" x14ac:dyDescent="0.25">
      <c r="B3349" s="550" t="s">
        <v>644</v>
      </c>
      <c r="C3349" s="223" t="s">
        <v>645</v>
      </c>
      <c r="D3349" s="550"/>
      <c r="E3349" s="224"/>
      <c r="F3349" s="225"/>
      <c r="G3349" s="290"/>
      <c r="H3349" s="235"/>
      <c r="M3349" s="225"/>
      <c r="N3349" s="415"/>
    </row>
    <row r="3350" spans="2:14" ht="18.75" customHeight="1" x14ac:dyDescent="0.25">
      <c r="B3350" s="236"/>
      <c r="C3350" s="232"/>
      <c r="D3350" s="550"/>
      <c r="E3350" s="224"/>
      <c r="F3350" s="237" t="s">
        <v>646</v>
      </c>
      <c r="G3350" s="290"/>
      <c r="H3350" s="230"/>
      <c r="M3350" s="237" t="s">
        <v>646</v>
      </c>
    </row>
    <row r="3351" spans="2:14" ht="18.75" customHeight="1" x14ac:dyDescent="0.25">
      <c r="B3351" s="236"/>
      <c r="C3351" s="232"/>
      <c r="D3351" s="550"/>
      <c r="E3351" s="224"/>
      <c r="F3351" s="237"/>
      <c r="G3351" s="290"/>
      <c r="H3351" s="226"/>
      <c r="M3351" s="237"/>
    </row>
    <row r="3352" spans="2:14" ht="18.75" customHeight="1" x14ac:dyDescent="0.25">
      <c r="B3352" s="354"/>
      <c r="C3352" s="362"/>
      <c r="D3352" s="239"/>
      <c r="E3352" s="240"/>
      <c r="F3352" s="241"/>
      <c r="G3352" s="293"/>
      <c r="H3352" s="355"/>
      <c r="M3352" s="241"/>
    </row>
    <row r="3353" spans="2:14" ht="18.75" customHeight="1" x14ac:dyDescent="0.25">
      <c r="B3353" s="356" t="s">
        <v>647</v>
      </c>
      <c r="C3353" s="363" t="s">
        <v>648</v>
      </c>
      <c r="D3353" s="435"/>
      <c r="E3353" s="92"/>
      <c r="F3353" s="183"/>
      <c r="G3353" s="295"/>
      <c r="H3353" s="357">
        <f>H3339+H3346</f>
        <v>550828</v>
      </c>
      <c r="M3353" s="183"/>
    </row>
    <row r="3354" spans="2:14" ht="18.75" customHeight="1" x14ac:dyDescent="0.25">
      <c r="B3354" s="356" t="s">
        <v>649</v>
      </c>
      <c r="C3354" s="364" t="s">
        <v>650</v>
      </c>
      <c r="D3354" s="435"/>
      <c r="E3354" s="92"/>
      <c r="F3354" s="184" t="str">
        <f>$J$5</f>
        <v>8,0 % x D</v>
      </c>
      <c r="G3354" s="295"/>
      <c r="H3354" s="358">
        <f>+H3353*$K$5</f>
        <v>44066.239999999998</v>
      </c>
      <c r="M3354" s="184" t="str">
        <f>$J$5</f>
        <v>8,0 % x D</v>
      </c>
    </row>
    <row r="3355" spans="2:14" ht="18.75" customHeight="1" x14ac:dyDescent="0.25">
      <c r="B3355" s="356" t="s">
        <v>651</v>
      </c>
      <c r="C3355" s="365" t="s">
        <v>974</v>
      </c>
      <c r="D3355" s="435"/>
      <c r="E3355" s="91"/>
      <c r="F3355" s="185"/>
      <c r="G3355" s="296"/>
      <c r="H3355" s="359">
        <f>ROUNDUP((H3354+H3353)/100,0)*100</f>
        <v>594900</v>
      </c>
      <c r="M3355" s="185"/>
    </row>
    <row r="3356" spans="2:14" ht="18.75" customHeight="1" x14ac:dyDescent="0.25">
      <c r="B3356" s="356"/>
      <c r="C3356" s="363"/>
      <c r="D3356" s="435"/>
      <c r="E3356" s="92"/>
      <c r="F3356" s="183"/>
      <c r="G3356" s="295"/>
      <c r="H3356" s="357"/>
      <c r="M3356" s="183"/>
    </row>
    <row r="3357" spans="2:14" ht="18.75" customHeight="1" x14ac:dyDescent="0.25">
      <c r="B3357" s="356" t="s">
        <v>825</v>
      </c>
      <c r="C3357" s="363" t="s">
        <v>648</v>
      </c>
      <c r="D3357" s="435"/>
      <c r="E3357" s="92"/>
      <c r="F3357" s="183"/>
      <c r="G3357" s="295"/>
      <c r="H3357" s="357">
        <f>H3339+H3347</f>
        <v>545828</v>
      </c>
      <c r="M3357" s="183"/>
    </row>
    <row r="3358" spans="2:14" ht="18.75" customHeight="1" x14ac:dyDescent="0.25">
      <c r="B3358" s="356" t="s">
        <v>827</v>
      </c>
      <c r="C3358" s="364" t="s">
        <v>650</v>
      </c>
      <c r="D3358" s="435"/>
      <c r="E3358" s="92"/>
      <c r="F3358" s="184" t="str">
        <f>$J$5</f>
        <v>8,0 % x D</v>
      </c>
      <c r="G3358" s="295"/>
      <c r="H3358" s="358">
        <f>+H3357*$K$5</f>
        <v>43666.239999999998</v>
      </c>
      <c r="M3358" s="184" t="str">
        <f>$J$5</f>
        <v>8,0 % x D</v>
      </c>
    </row>
    <row r="3359" spans="2:14" ht="18.75" customHeight="1" x14ac:dyDescent="0.25">
      <c r="B3359" s="356" t="s">
        <v>617</v>
      </c>
      <c r="C3359" s="365" t="s">
        <v>1597</v>
      </c>
      <c r="D3359" s="435"/>
      <c r="E3359" s="91"/>
      <c r="F3359" s="185"/>
      <c r="G3359" s="296"/>
      <c r="H3359" s="359">
        <f>ROUNDUP((H3358+H3357)/100,0)*100</f>
        <v>589500</v>
      </c>
      <c r="M3359" s="185"/>
    </row>
    <row r="3360" spans="2:14" ht="18.75" customHeight="1" x14ac:dyDescent="0.25">
      <c r="B3360" s="371"/>
      <c r="C3360" s="373"/>
      <c r="D3360" s="245"/>
      <c r="E3360" s="246"/>
      <c r="F3360" s="247"/>
      <c r="G3360" s="299"/>
      <c r="H3360" s="372"/>
      <c r="M3360" s="247"/>
    </row>
    <row r="3361" spans="2:13" ht="18.75" customHeight="1" x14ac:dyDescent="0.25">
      <c r="B3361" s="322"/>
      <c r="C3361" s="322"/>
      <c r="D3361" s="322"/>
      <c r="E3361" s="322"/>
      <c r="F3361" s="322"/>
      <c r="G3361" s="323"/>
      <c r="H3361" s="353"/>
      <c r="M3361" s="322"/>
    </row>
    <row r="3362" spans="2:13" ht="18.75" customHeight="1" x14ac:dyDescent="0.25">
      <c r="B3362" s="19">
        <f>B3301+2</f>
        <v>22</v>
      </c>
      <c r="C3362" s="93" t="s">
        <v>975</v>
      </c>
      <c r="D3362" s="19"/>
      <c r="E3362" s="21"/>
      <c r="F3362" s="176"/>
      <c r="G3362" s="165"/>
      <c r="H3362" s="119"/>
      <c r="M3362" s="176"/>
    </row>
    <row r="3363" spans="2:13" ht="18.75" customHeight="1" x14ac:dyDescent="0.25">
      <c r="B3363" s="618" t="s">
        <v>620</v>
      </c>
      <c r="C3363" s="620" t="s">
        <v>621</v>
      </c>
      <c r="D3363" s="618" t="s">
        <v>622</v>
      </c>
      <c r="E3363" s="618" t="s">
        <v>2</v>
      </c>
      <c r="F3363" s="615" t="s">
        <v>623</v>
      </c>
      <c r="G3363" s="289" t="s">
        <v>624</v>
      </c>
      <c r="H3363" s="256" t="s">
        <v>625</v>
      </c>
      <c r="M3363" s="615" t="s">
        <v>623</v>
      </c>
    </row>
    <row r="3364" spans="2:13" ht="18.75" customHeight="1" x14ac:dyDescent="0.25">
      <c r="B3364" s="619"/>
      <c r="C3364" s="621"/>
      <c r="D3364" s="619"/>
      <c r="E3364" s="619"/>
      <c r="F3364" s="616"/>
      <c r="G3364" s="289" t="s">
        <v>626</v>
      </c>
      <c r="H3364" s="256" t="s">
        <v>626</v>
      </c>
      <c r="M3364" s="616"/>
    </row>
    <row r="3365" spans="2:13" ht="18.75" customHeight="1" x14ac:dyDescent="0.25">
      <c r="B3365" s="221"/>
      <c r="C3365" s="222"/>
      <c r="D3365" s="221"/>
      <c r="E3365" s="550"/>
      <c r="F3365" s="555"/>
      <c r="G3365" s="551"/>
      <c r="H3365" s="220"/>
      <c r="M3365" s="590"/>
    </row>
    <row r="3366" spans="2:13" ht="18.75" customHeight="1" x14ac:dyDescent="0.25">
      <c r="B3366" s="550" t="s">
        <v>627</v>
      </c>
      <c r="C3366" s="223" t="s">
        <v>628</v>
      </c>
      <c r="D3366" s="550"/>
      <c r="E3366" s="224"/>
      <c r="F3366" s="225"/>
      <c r="G3366" s="290"/>
      <c r="H3366" s="226"/>
      <c r="M3366" s="225"/>
    </row>
    <row r="3367" spans="2:13" ht="18.75" customHeight="1" x14ac:dyDescent="0.25">
      <c r="B3367" s="550"/>
      <c r="C3367" s="227" t="s">
        <v>629</v>
      </c>
      <c r="D3367" s="550" t="s">
        <v>630</v>
      </c>
      <c r="E3367" s="224" t="s">
        <v>631</v>
      </c>
      <c r="F3367" s="228">
        <f t="shared" ref="F3367:F3370" si="165">$K$8*M3367</f>
        <v>0.3</v>
      </c>
      <c r="G3367" s="229">
        <f>G3335</f>
        <v>95000</v>
      </c>
      <c r="H3367" s="230">
        <f>+G3367*F3367</f>
        <v>28500</v>
      </c>
      <c r="M3367" s="228">
        <v>0.3</v>
      </c>
    </row>
    <row r="3368" spans="2:13" ht="18.75" customHeight="1" x14ac:dyDescent="0.25">
      <c r="B3368" s="550"/>
      <c r="C3368" s="227" t="s">
        <v>1508</v>
      </c>
      <c r="D3368" s="550" t="s">
        <v>632</v>
      </c>
      <c r="E3368" s="224" t="s">
        <v>631</v>
      </c>
      <c r="F3368" s="228">
        <f t="shared" si="165"/>
        <v>0.1</v>
      </c>
      <c r="G3368" s="229">
        <f>G3336</f>
        <v>110000</v>
      </c>
      <c r="H3368" s="230">
        <f>+G3368*F3368</f>
        <v>11000</v>
      </c>
      <c r="M3368" s="228">
        <v>0.1</v>
      </c>
    </row>
    <row r="3369" spans="2:13" ht="18.75" customHeight="1" x14ac:dyDescent="0.25">
      <c r="B3369" s="550"/>
      <c r="C3369" s="227" t="s">
        <v>633</v>
      </c>
      <c r="D3369" s="550" t="s">
        <v>634</v>
      </c>
      <c r="E3369" s="224" t="s">
        <v>631</v>
      </c>
      <c r="F3369" s="228">
        <f t="shared" si="165"/>
        <v>0.01</v>
      </c>
      <c r="G3369" s="229">
        <f>G3337</f>
        <v>115000</v>
      </c>
      <c r="H3369" s="230">
        <f>+G3369*F3369</f>
        <v>1150</v>
      </c>
      <c r="M3369" s="228">
        <v>0.01</v>
      </c>
    </row>
    <row r="3370" spans="2:13" ht="18.75" customHeight="1" x14ac:dyDescent="0.25">
      <c r="B3370" s="550"/>
      <c r="C3370" s="227" t="s">
        <v>600</v>
      </c>
      <c r="D3370" s="550" t="s">
        <v>635</v>
      </c>
      <c r="E3370" s="224" t="s">
        <v>631</v>
      </c>
      <c r="F3370" s="228">
        <f t="shared" si="165"/>
        <v>1.4999999999999999E-2</v>
      </c>
      <c r="G3370" s="229">
        <f>G3338</f>
        <v>140000</v>
      </c>
      <c r="H3370" s="230">
        <f>+G3370*F3370</f>
        <v>2100</v>
      </c>
      <c r="M3370" s="228">
        <v>1.4999999999999999E-2</v>
      </c>
    </row>
    <row r="3371" spans="2:13" ht="18.75" customHeight="1" x14ac:dyDescent="0.25">
      <c r="B3371" s="550"/>
      <c r="C3371" s="223"/>
      <c r="D3371" s="550"/>
      <c r="E3371" s="224"/>
      <c r="F3371" s="233" t="s">
        <v>636</v>
      </c>
      <c r="G3371" s="290"/>
      <c r="H3371" s="231">
        <f>SUM(H3367:H3370)</f>
        <v>42750</v>
      </c>
      <c r="M3371" s="233" t="s">
        <v>636</v>
      </c>
    </row>
    <row r="3372" spans="2:13" ht="18.75" customHeight="1" x14ac:dyDescent="0.25">
      <c r="B3372" s="550"/>
      <c r="C3372" s="223"/>
      <c r="D3372" s="550"/>
      <c r="E3372" s="224"/>
      <c r="F3372" s="233"/>
      <c r="G3372" s="290"/>
      <c r="H3372" s="231"/>
      <c r="M3372" s="233"/>
    </row>
    <row r="3373" spans="2:13" ht="18.75" customHeight="1" x14ac:dyDescent="0.25">
      <c r="B3373" s="550" t="s">
        <v>637</v>
      </c>
      <c r="C3373" s="223" t="s">
        <v>638</v>
      </c>
      <c r="D3373" s="550"/>
      <c r="E3373" s="224"/>
      <c r="F3373" s="225"/>
      <c r="G3373" s="290"/>
      <c r="H3373" s="226"/>
      <c r="M3373" s="225"/>
    </row>
    <row r="3374" spans="2:13" ht="18.75" customHeight="1" x14ac:dyDescent="0.25">
      <c r="B3374" s="550"/>
      <c r="C3374" s="223" t="s">
        <v>976</v>
      </c>
      <c r="D3374" s="550"/>
      <c r="E3374" s="224" t="s">
        <v>66</v>
      </c>
      <c r="F3374" s="228">
        <v>36</v>
      </c>
      <c r="G3374" s="229">
        <f>Bahan!D176</f>
        <v>25000</v>
      </c>
      <c r="H3374" s="230">
        <f>+G3374*F3374</f>
        <v>900000</v>
      </c>
      <c r="M3374" s="228">
        <v>36</v>
      </c>
    </row>
    <row r="3375" spans="2:13" ht="18.75" customHeight="1" x14ac:dyDescent="0.25">
      <c r="B3375" s="550"/>
      <c r="C3375" s="223" t="s">
        <v>708</v>
      </c>
      <c r="D3375" s="550"/>
      <c r="E3375" s="224" t="s">
        <v>62</v>
      </c>
      <c r="F3375" s="228">
        <v>14</v>
      </c>
      <c r="G3375" s="234">
        <f>+G3287</f>
        <v>1700</v>
      </c>
      <c r="H3375" s="230">
        <f>+G3375*F3375</f>
        <v>23800</v>
      </c>
      <c r="M3375" s="228">
        <v>14</v>
      </c>
    </row>
    <row r="3376" spans="2:13" ht="18.75" customHeight="1" x14ac:dyDescent="0.25">
      <c r="B3376" s="550"/>
      <c r="C3376" s="223" t="s">
        <v>661</v>
      </c>
      <c r="D3376" s="550"/>
      <c r="E3376" s="224" t="s">
        <v>955</v>
      </c>
      <c r="F3376" s="228">
        <v>3.5000000000000003E-2</v>
      </c>
      <c r="G3376" s="234">
        <f>+G3288</f>
        <v>230000</v>
      </c>
      <c r="H3376" s="230">
        <f>+G3376*F3376</f>
        <v>8050.0000000000009</v>
      </c>
      <c r="M3376" s="228">
        <v>3.5000000000000003E-2</v>
      </c>
    </row>
    <row r="3377" spans="2:13" ht="18.75" customHeight="1" x14ac:dyDescent="0.25">
      <c r="B3377" s="550"/>
      <c r="C3377" s="223"/>
      <c r="D3377" s="550"/>
      <c r="E3377" s="224"/>
      <c r="F3377" s="237" t="s">
        <v>643</v>
      </c>
      <c r="G3377" s="290"/>
      <c r="H3377" s="231">
        <f>SUM(H3374:H3376)</f>
        <v>931850</v>
      </c>
      <c r="M3377" s="237" t="s">
        <v>643</v>
      </c>
    </row>
    <row r="3378" spans="2:13" ht="18.75" customHeight="1" x14ac:dyDescent="0.25">
      <c r="B3378" s="550"/>
      <c r="C3378" s="223"/>
      <c r="D3378" s="550"/>
      <c r="E3378" s="224"/>
      <c r="F3378" s="225"/>
      <c r="G3378" s="290"/>
      <c r="H3378" s="226"/>
      <c r="M3378" s="225"/>
    </row>
    <row r="3379" spans="2:13" ht="18.75" customHeight="1" x14ac:dyDescent="0.25">
      <c r="B3379" s="550" t="s">
        <v>644</v>
      </c>
      <c r="C3379" s="223" t="s">
        <v>645</v>
      </c>
      <c r="D3379" s="550"/>
      <c r="E3379" s="224"/>
      <c r="F3379" s="225"/>
      <c r="G3379" s="290"/>
      <c r="H3379" s="235"/>
      <c r="M3379" s="225"/>
    </row>
    <row r="3380" spans="2:13" ht="18.75" customHeight="1" x14ac:dyDescent="0.25">
      <c r="B3380" s="236"/>
      <c r="C3380" s="232"/>
      <c r="D3380" s="550"/>
      <c r="E3380" s="224"/>
      <c r="F3380" s="237" t="s">
        <v>646</v>
      </c>
      <c r="G3380" s="290"/>
      <c r="H3380" s="230"/>
      <c r="M3380" s="237" t="s">
        <v>646</v>
      </c>
    </row>
    <row r="3381" spans="2:13" ht="18.75" customHeight="1" x14ac:dyDescent="0.25">
      <c r="B3381" s="236"/>
      <c r="C3381" s="232"/>
      <c r="D3381" s="550"/>
      <c r="E3381" s="224"/>
      <c r="F3381" s="237"/>
      <c r="G3381" s="290"/>
      <c r="H3381" s="226"/>
      <c r="M3381" s="237"/>
    </row>
    <row r="3382" spans="2:13" ht="18.75" customHeight="1" x14ac:dyDescent="0.25">
      <c r="B3382" s="354"/>
      <c r="C3382" s="362"/>
      <c r="D3382" s="239"/>
      <c r="E3382" s="240"/>
      <c r="F3382" s="241"/>
      <c r="G3382" s="293"/>
      <c r="H3382" s="355"/>
      <c r="M3382" s="241"/>
    </row>
    <row r="3383" spans="2:13" ht="18.75" customHeight="1" x14ac:dyDescent="0.25">
      <c r="B3383" s="356" t="s">
        <v>647</v>
      </c>
      <c r="C3383" s="363" t="s">
        <v>648</v>
      </c>
      <c r="D3383" s="435"/>
      <c r="E3383" s="92"/>
      <c r="F3383" s="183"/>
      <c r="G3383" s="295"/>
      <c r="H3383" s="357">
        <f>+H3380+H3377+H3371</f>
        <v>974600</v>
      </c>
      <c r="M3383" s="183"/>
    </row>
    <row r="3384" spans="2:13" ht="18.75" customHeight="1" x14ac:dyDescent="0.25">
      <c r="B3384" s="356" t="s">
        <v>649</v>
      </c>
      <c r="C3384" s="364" t="s">
        <v>650</v>
      </c>
      <c r="D3384" s="435"/>
      <c r="E3384" s="92"/>
      <c r="F3384" s="184" t="str">
        <f>$J$5</f>
        <v>8,0 % x D</v>
      </c>
      <c r="G3384" s="295"/>
      <c r="H3384" s="358">
        <f>+H3383*$K$5</f>
        <v>77968</v>
      </c>
      <c r="M3384" s="184" t="str">
        <f>$J$5</f>
        <v>8,0 % x D</v>
      </c>
    </row>
    <row r="3385" spans="2:13" ht="18.75" customHeight="1" x14ac:dyDescent="0.25">
      <c r="B3385" s="356" t="s">
        <v>651</v>
      </c>
      <c r="C3385" s="365" t="s">
        <v>652</v>
      </c>
      <c r="D3385" s="435"/>
      <c r="E3385" s="91"/>
      <c r="F3385" s="185"/>
      <c r="G3385" s="296"/>
      <c r="H3385" s="359">
        <f>ROUNDUP((H3384+H3383)/100,0)*100</f>
        <v>1052600</v>
      </c>
      <c r="M3385" s="185"/>
    </row>
    <row r="3386" spans="2:13" ht="18.75" customHeight="1" x14ac:dyDescent="0.25">
      <c r="B3386" s="360"/>
      <c r="C3386" s="366"/>
      <c r="D3386" s="245"/>
      <c r="E3386" s="246"/>
      <c r="F3386" s="247"/>
      <c r="G3386" s="299"/>
      <c r="H3386" s="361"/>
      <c r="M3386" s="247"/>
    </row>
    <row r="3387" spans="2:13" ht="18.75" customHeight="1" x14ac:dyDescent="0.25">
      <c r="G3387" s="66"/>
      <c r="H3387" s="138"/>
    </row>
    <row r="3388" spans="2:13" ht="18.75" customHeight="1" x14ac:dyDescent="0.25">
      <c r="B3388" s="19">
        <v>23</v>
      </c>
      <c r="C3388" s="93" t="s">
        <v>977</v>
      </c>
      <c r="D3388" s="19"/>
      <c r="E3388" s="21"/>
      <c r="F3388" s="176"/>
      <c r="G3388" s="165"/>
      <c r="H3388" s="119"/>
      <c r="M3388" s="176"/>
    </row>
    <row r="3389" spans="2:13" ht="18.75" customHeight="1" x14ac:dyDescent="0.25">
      <c r="B3389" s="618" t="s">
        <v>620</v>
      </c>
      <c r="C3389" s="620" t="s">
        <v>621</v>
      </c>
      <c r="D3389" s="618" t="s">
        <v>622</v>
      </c>
      <c r="E3389" s="618" t="s">
        <v>2</v>
      </c>
      <c r="F3389" s="615" t="s">
        <v>623</v>
      </c>
      <c r="G3389" s="289" t="s">
        <v>624</v>
      </c>
      <c r="H3389" s="256" t="s">
        <v>625</v>
      </c>
      <c r="M3389" s="615" t="s">
        <v>623</v>
      </c>
    </row>
    <row r="3390" spans="2:13" ht="18.75" customHeight="1" x14ac:dyDescent="0.25">
      <c r="B3390" s="619"/>
      <c r="C3390" s="621"/>
      <c r="D3390" s="619"/>
      <c r="E3390" s="619"/>
      <c r="F3390" s="616"/>
      <c r="G3390" s="289" t="s">
        <v>626</v>
      </c>
      <c r="H3390" s="256" t="s">
        <v>626</v>
      </c>
      <c r="M3390" s="616"/>
    </row>
    <row r="3391" spans="2:13" ht="18.75" customHeight="1" x14ac:dyDescent="0.25">
      <c r="B3391" s="221"/>
      <c r="C3391" s="222"/>
      <c r="D3391" s="221"/>
      <c r="E3391" s="550"/>
      <c r="F3391" s="555"/>
      <c r="G3391" s="551"/>
      <c r="H3391" s="220"/>
      <c r="M3391" s="590"/>
    </row>
    <row r="3392" spans="2:13" ht="18.75" customHeight="1" x14ac:dyDescent="0.25">
      <c r="B3392" s="550" t="s">
        <v>627</v>
      </c>
      <c r="C3392" s="223" t="s">
        <v>628</v>
      </c>
      <c r="D3392" s="550"/>
      <c r="E3392" s="224"/>
      <c r="F3392" s="225"/>
      <c r="G3392" s="290"/>
      <c r="H3392" s="226"/>
      <c r="M3392" s="225"/>
    </row>
    <row r="3393" spans="2:13" ht="18.75" customHeight="1" x14ac:dyDescent="0.25">
      <c r="B3393" s="550"/>
      <c r="C3393" s="227" t="s">
        <v>629</v>
      </c>
      <c r="D3393" s="550" t="s">
        <v>630</v>
      </c>
      <c r="E3393" s="224" t="s">
        <v>631</v>
      </c>
      <c r="F3393" s="228">
        <f t="shared" ref="F3393:F3396" si="166">$K$8*M3393</f>
        <v>0.3</v>
      </c>
      <c r="G3393" s="229">
        <f>G3367</f>
        <v>95000</v>
      </c>
      <c r="H3393" s="230">
        <f>+G3393*F3393</f>
        <v>28500</v>
      </c>
      <c r="M3393" s="228">
        <v>0.3</v>
      </c>
    </row>
    <row r="3394" spans="2:13" ht="18.75" customHeight="1" x14ac:dyDescent="0.25">
      <c r="B3394" s="550"/>
      <c r="C3394" s="227" t="s">
        <v>1508</v>
      </c>
      <c r="D3394" s="550" t="s">
        <v>632</v>
      </c>
      <c r="E3394" s="224" t="s">
        <v>631</v>
      </c>
      <c r="F3394" s="228">
        <f t="shared" si="166"/>
        <v>0.1</v>
      </c>
      <c r="G3394" s="229">
        <f>G3368</f>
        <v>110000</v>
      </c>
      <c r="H3394" s="230">
        <f>+G3394*F3394</f>
        <v>11000</v>
      </c>
      <c r="M3394" s="228">
        <v>0.1</v>
      </c>
    </row>
    <row r="3395" spans="2:13" ht="18.75" customHeight="1" x14ac:dyDescent="0.25">
      <c r="B3395" s="550"/>
      <c r="C3395" s="227" t="s">
        <v>633</v>
      </c>
      <c r="D3395" s="550" t="s">
        <v>634</v>
      </c>
      <c r="E3395" s="224" t="s">
        <v>631</v>
      </c>
      <c r="F3395" s="228">
        <f t="shared" si="166"/>
        <v>0.01</v>
      </c>
      <c r="G3395" s="229">
        <f>G3369</f>
        <v>115000</v>
      </c>
      <c r="H3395" s="230">
        <f>+G3395*F3395</f>
        <v>1150</v>
      </c>
      <c r="M3395" s="228">
        <v>0.01</v>
      </c>
    </row>
    <row r="3396" spans="2:13" ht="18.75" customHeight="1" x14ac:dyDescent="0.25">
      <c r="B3396" s="550"/>
      <c r="C3396" s="227" t="s">
        <v>600</v>
      </c>
      <c r="D3396" s="550" t="s">
        <v>635</v>
      </c>
      <c r="E3396" s="224" t="s">
        <v>631</v>
      </c>
      <c r="F3396" s="228">
        <f t="shared" si="166"/>
        <v>1.4999999999999999E-2</v>
      </c>
      <c r="G3396" s="229">
        <f>G3370</f>
        <v>140000</v>
      </c>
      <c r="H3396" s="230">
        <f>+G3396*F3396</f>
        <v>2100</v>
      </c>
      <c r="M3396" s="228">
        <v>1.4999999999999999E-2</v>
      </c>
    </row>
    <row r="3397" spans="2:13" ht="18.75" customHeight="1" x14ac:dyDescent="0.25">
      <c r="B3397" s="550"/>
      <c r="C3397" s="223"/>
      <c r="D3397" s="550"/>
      <c r="E3397" s="224"/>
      <c r="F3397" s="233" t="s">
        <v>636</v>
      </c>
      <c r="G3397" s="290"/>
      <c r="H3397" s="231">
        <f>SUM(H3393:H3396)</f>
        <v>42750</v>
      </c>
      <c r="M3397" s="233" t="s">
        <v>636</v>
      </c>
    </row>
    <row r="3398" spans="2:13" ht="18.75" customHeight="1" x14ac:dyDescent="0.25">
      <c r="B3398" s="550"/>
      <c r="C3398" s="223"/>
      <c r="D3398" s="550"/>
      <c r="E3398" s="224"/>
      <c r="F3398" s="233"/>
      <c r="G3398" s="290"/>
      <c r="H3398" s="231"/>
      <c r="M3398" s="233"/>
    </row>
    <row r="3399" spans="2:13" ht="18.75" customHeight="1" x14ac:dyDescent="0.25">
      <c r="B3399" s="550" t="s">
        <v>637</v>
      </c>
      <c r="C3399" s="223" t="s">
        <v>638</v>
      </c>
      <c r="D3399" s="550"/>
      <c r="E3399" s="224"/>
      <c r="F3399" s="225"/>
      <c r="G3399" s="290"/>
      <c r="H3399" s="226"/>
      <c r="M3399" s="225"/>
    </row>
    <row r="3400" spans="2:13" ht="18.75" customHeight="1" x14ac:dyDescent="0.25">
      <c r="B3400" s="550"/>
      <c r="C3400" s="223" t="s">
        <v>978</v>
      </c>
      <c r="D3400" s="550"/>
      <c r="E3400" s="224" t="s">
        <v>66</v>
      </c>
      <c r="F3400" s="228">
        <v>36</v>
      </c>
      <c r="G3400" s="229">
        <f>G3374</f>
        <v>25000</v>
      </c>
      <c r="H3400" s="230">
        <f>+G3400*F3400</f>
        <v>900000</v>
      </c>
      <c r="M3400" s="228">
        <v>36</v>
      </c>
    </row>
    <row r="3401" spans="2:13" ht="18.75" customHeight="1" x14ac:dyDescent="0.25">
      <c r="B3401" s="550"/>
      <c r="C3401" s="223" t="s">
        <v>708</v>
      </c>
      <c r="D3401" s="550"/>
      <c r="E3401" s="224" t="s">
        <v>62</v>
      </c>
      <c r="F3401" s="228">
        <v>12.8</v>
      </c>
      <c r="G3401" s="234">
        <f>G3375</f>
        <v>1700</v>
      </c>
      <c r="H3401" s="230">
        <f>+G3401*F3401</f>
        <v>21760</v>
      </c>
      <c r="M3401" s="228">
        <v>12.8</v>
      </c>
    </row>
    <row r="3402" spans="2:13" ht="18.75" customHeight="1" x14ac:dyDescent="0.25">
      <c r="B3402" s="550"/>
      <c r="C3402" s="223" t="s">
        <v>661</v>
      </c>
      <c r="D3402" s="550"/>
      <c r="E3402" s="224" t="s">
        <v>955</v>
      </c>
      <c r="F3402" s="228">
        <v>3.5000000000000003E-2</v>
      </c>
      <c r="G3402" s="234">
        <f>G3376</f>
        <v>230000</v>
      </c>
      <c r="H3402" s="230">
        <f>+G3402*F3402</f>
        <v>8050.0000000000009</v>
      </c>
      <c r="M3402" s="228">
        <v>3.5000000000000003E-2</v>
      </c>
    </row>
    <row r="3403" spans="2:13" ht="18.75" customHeight="1" x14ac:dyDescent="0.25">
      <c r="B3403" s="550"/>
      <c r="C3403" s="223"/>
      <c r="D3403" s="550"/>
      <c r="E3403" s="224"/>
      <c r="F3403" s="237" t="s">
        <v>643</v>
      </c>
      <c r="G3403" s="290"/>
      <c r="H3403" s="231">
        <f>SUM(H3400:H3402)</f>
        <v>929810</v>
      </c>
      <c r="M3403" s="237" t="s">
        <v>643</v>
      </c>
    </row>
    <row r="3404" spans="2:13" ht="18.75" customHeight="1" x14ac:dyDescent="0.25">
      <c r="B3404" s="550"/>
      <c r="C3404" s="223"/>
      <c r="D3404" s="550"/>
      <c r="E3404" s="224"/>
      <c r="F3404" s="225"/>
      <c r="G3404" s="290"/>
      <c r="H3404" s="226"/>
      <c r="M3404" s="225"/>
    </row>
    <row r="3405" spans="2:13" ht="18.75" customHeight="1" x14ac:dyDescent="0.25">
      <c r="B3405" s="550" t="s">
        <v>644</v>
      </c>
      <c r="C3405" s="223" t="s">
        <v>645</v>
      </c>
      <c r="D3405" s="550"/>
      <c r="E3405" s="224"/>
      <c r="F3405" s="225"/>
      <c r="G3405" s="290"/>
      <c r="H3405" s="235"/>
      <c r="M3405" s="225"/>
    </row>
    <row r="3406" spans="2:13" ht="18.75" customHeight="1" x14ac:dyDescent="0.25">
      <c r="B3406" s="236"/>
      <c r="C3406" s="232"/>
      <c r="D3406" s="550"/>
      <c r="E3406" s="224"/>
      <c r="F3406" s="237" t="s">
        <v>646</v>
      </c>
      <c r="G3406" s="290"/>
      <c r="H3406" s="230"/>
      <c r="M3406" s="237" t="s">
        <v>646</v>
      </c>
    </row>
    <row r="3407" spans="2:13" ht="18.75" customHeight="1" x14ac:dyDescent="0.25">
      <c r="B3407" s="236"/>
      <c r="C3407" s="232"/>
      <c r="D3407" s="550"/>
      <c r="E3407" s="224"/>
      <c r="F3407" s="237"/>
      <c r="G3407" s="290"/>
      <c r="H3407" s="226"/>
      <c r="M3407" s="237"/>
    </row>
    <row r="3408" spans="2:13" ht="18.75" customHeight="1" x14ac:dyDescent="0.25">
      <c r="B3408" s="354"/>
      <c r="C3408" s="362"/>
      <c r="D3408" s="239"/>
      <c r="E3408" s="240"/>
      <c r="F3408" s="241"/>
      <c r="G3408" s="293"/>
      <c r="H3408" s="355"/>
      <c r="M3408" s="241"/>
    </row>
    <row r="3409" spans="2:13" ht="18.75" customHeight="1" x14ac:dyDescent="0.25">
      <c r="B3409" s="356" t="s">
        <v>647</v>
      </c>
      <c r="C3409" s="363" t="s">
        <v>648</v>
      </c>
      <c r="D3409" s="435"/>
      <c r="E3409" s="92"/>
      <c r="F3409" s="183"/>
      <c r="G3409" s="295"/>
      <c r="H3409" s="357">
        <f>+H3406+H3403+H3397</f>
        <v>972560</v>
      </c>
      <c r="M3409" s="183"/>
    </row>
    <row r="3410" spans="2:13" ht="18.75" customHeight="1" x14ac:dyDescent="0.25">
      <c r="B3410" s="356" t="s">
        <v>649</v>
      </c>
      <c r="C3410" s="364" t="s">
        <v>650</v>
      </c>
      <c r="D3410" s="435"/>
      <c r="E3410" s="92"/>
      <c r="F3410" s="184" t="str">
        <f>$J$5</f>
        <v>8,0 % x D</v>
      </c>
      <c r="G3410" s="295"/>
      <c r="H3410" s="358">
        <f>+H3409*$K$5</f>
        <v>77804.800000000003</v>
      </c>
      <c r="M3410" s="184" t="str">
        <f>$J$5</f>
        <v>8,0 % x D</v>
      </c>
    </row>
    <row r="3411" spans="2:13" ht="18.75" customHeight="1" x14ac:dyDescent="0.25">
      <c r="B3411" s="356" t="s">
        <v>651</v>
      </c>
      <c r="C3411" s="365" t="s">
        <v>652</v>
      </c>
      <c r="D3411" s="435"/>
      <c r="E3411" s="91"/>
      <c r="F3411" s="185"/>
      <c r="G3411" s="296"/>
      <c r="H3411" s="359">
        <f>ROUNDUP((H3410+H3409)/100,0)*100</f>
        <v>1050400</v>
      </c>
      <c r="M3411" s="185"/>
    </row>
    <row r="3412" spans="2:13" ht="18.75" customHeight="1" x14ac:dyDescent="0.25">
      <c r="B3412" s="360"/>
      <c r="C3412" s="366"/>
      <c r="D3412" s="245"/>
      <c r="E3412" s="246"/>
      <c r="F3412" s="247"/>
      <c r="G3412" s="299"/>
      <c r="H3412" s="361"/>
      <c r="M3412" s="247"/>
    </row>
    <row r="3413" spans="2:13" ht="18.75" customHeight="1" x14ac:dyDescent="0.25">
      <c r="B3413" s="92"/>
      <c r="C3413" s="104"/>
      <c r="D3413" s="435"/>
      <c r="E3413" s="91"/>
      <c r="F3413" s="185"/>
      <c r="G3413" s="168"/>
      <c r="H3413" s="139"/>
      <c r="M3413" s="185"/>
    </row>
    <row r="3414" spans="2:13" ht="18.75" customHeight="1" x14ac:dyDescent="0.25">
      <c r="B3414" s="19">
        <v>24</v>
      </c>
      <c r="C3414" s="93" t="s">
        <v>979</v>
      </c>
      <c r="D3414" s="19"/>
      <c r="E3414" s="21"/>
      <c r="F3414" s="176"/>
      <c r="G3414" s="165"/>
      <c r="H3414" s="119"/>
      <c r="M3414" s="176"/>
    </row>
    <row r="3415" spans="2:13" ht="18.75" customHeight="1" x14ac:dyDescent="0.25">
      <c r="B3415" s="618" t="s">
        <v>620</v>
      </c>
      <c r="C3415" s="620" t="s">
        <v>621</v>
      </c>
      <c r="D3415" s="618" t="s">
        <v>622</v>
      </c>
      <c r="E3415" s="618" t="s">
        <v>2</v>
      </c>
      <c r="F3415" s="615" t="s">
        <v>623</v>
      </c>
      <c r="G3415" s="289" t="s">
        <v>624</v>
      </c>
      <c r="H3415" s="256" t="s">
        <v>625</v>
      </c>
      <c r="M3415" s="615" t="s">
        <v>623</v>
      </c>
    </row>
    <row r="3416" spans="2:13" ht="18.75" customHeight="1" x14ac:dyDescent="0.25">
      <c r="B3416" s="619"/>
      <c r="C3416" s="621"/>
      <c r="D3416" s="619"/>
      <c r="E3416" s="619"/>
      <c r="F3416" s="616"/>
      <c r="G3416" s="289" t="s">
        <v>626</v>
      </c>
      <c r="H3416" s="256" t="s">
        <v>626</v>
      </c>
      <c r="M3416" s="616"/>
    </row>
    <row r="3417" spans="2:13" ht="18.75" customHeight="1" x14ac:dyDescent="0.25">
      <c r="B3417" s="221"/>
      <c r="C3417" s="222"/>
      <c r="D3417" s="221"/>
      <c r="E3417" s="550"/>
      <c r="F3417" s="555"/>
      <c r="G3417" s="551"/>
      <c r="H3417" s="220"/>
      <c r="M3417" s="590"/>
    </row>
    <row r="3418" spans="2:13" ht="18.75" customHeight="1" x14ac:dyDescent="0.25">
      <c r="B3418" s="550" t="s">
        <v>627</v>
      </c>
      <c r="C3418" s="223" t="s">
        <v>628</v>
      </c>
      <c r="D3418" s="550"/>
      <c r="E3418" s="224"/>
      <c r="F3418" s="225"/>
      <c r="G3418" s="290"/>
      <c r="H3418" s="226"/>
      <c r="M3418" s="225"/>
    </row>
    <row r="3419" spans="2:13" ht="18.75" customHeight="1" x14ac:dyDescent="0.25">
      <c r="B3419" s="550"/>
      <c r="C3419" s="227" t="s">
        <v>629</v>
      </c>
      <c r="D3419" s="550" t="s">
        <v>630</v>
      </c>
      <c r="E3419" s="224" t="s">
        <v>631</v>
      </c>
      <c r="F3419" s="228">
        <f t="shared" ref="F3419:F3422" si="167">$K$8*M3419</f>
        <v>7.4999999999999997E-2</v>
      </c>
      <c r="G3419" s="229">
        <f>G3393</f>
        <v>95000</v>
      </c>
      <c r="H3419" s="230">
        <f>+G3419*F3419</f>
        <v>7125</v>
      </c>
      <c r="M3419" s="228">
        <v>7.4999999999999997E-2</v>
      </c>
    </row>
    <row r="3420" spans="2:13" ht="18.75" customHeight="1" x14ac:dyDescent="0.25">
      <c r="B3420" s="550"/>
      <c r="C3420" s="227" t="s">
        <v>1508</v>
      </c>
      <c r="D3420" s="550" t="s">
        <v>632</v>
      </c>
      <c r="E3420" s="224" t="s">
        <v>631</v>
      </c>
      <c r="F3420" s="228">
        <f t="shared" si="167"/>
        <v>7.4999999999999997E-2</v>
      </c>
      <c r="G3420" s="229">
        <f t="shared" ref="G3420:G3422" si="168">G3394</f>
        <v>110000</v>
      </c>
      <c r="H3420" s="230">
        <f>+G3420*F3420</f>
        <v>8250</v>
      </c>
      <c r="M3420" s="228">
        <v>7.4999999999999997E-2</v>
      </c>
    </row>
    <row r="3421" spans="2:13" ht="18.75" customHeight="1" x14ac:dyDescent="0.25">
      <c r="B3421" s="550"/>
      <c r="C3421" s="227" t="s">
        <v>633</v>
      </c>
      <c r="D3421" s="550" t="s">
        <v>634</v>
      </c>
      <c r="E3421" s="224" t="s">
        <v>631</v>
      </c>
      <c r="F3421" s="228">
        <f t="shared" si="167"/>
        <v>0.01</v>
      </c>
      <c r="G3421" s="229">
        <f t="shared" si="168"/>
        <v>115000</v>
      </c>
      <c r="H3421" s="230">
        <f>+G3421*F3421</f>
        <v>1150</v>
      </c>
      <c r="M3421" s="228">
        <v>0.01</v>
      </c>
    </row>
    <row r="3422" spans="2:13" ht="18.75" customHeight="1" x14ac:dyDescent="0.25">
      <c r="B3422" s="550"/>
      <c r="C3422" s="227" t="s">
        <v>600</v>
      </c>
      <c r="D3422" s="550" t="s">
        <v>635</v>
      </c>
      <c r="E3422" s="224" t="s">
        <v>631</v>
      </c>
      <c r="F3422" s="228">
        <f t="shared" si="167"/>
        <v>0.01</v>
      </c>
      <c r="G3422" s="229">
        <f t="shared" si="168"/>
        <v>140000</v>
      </c>
      <c r="H3422" s="230">
        <f>+G3422*F3422</f>
        <v>1400</v>
      </c>
      <c r="M3422" s="228">
        <v>0.01</v>
      </c>
    </row>
    <row r="3423" spans="2:13" ht="18.75" customHeight="1" x14ac:dyDescent="0.25">
      <c r="B3423" s="550"/>
      <c r="C3423" s="223"/>
      <c r="D3423" s="550"/>
      <c r="E3423" s="224"/>
      <c r="F3423" s="233" t="s">
        <v>636</v>
      </c>
      <c r="G3423" s="290"/>
      <c r="H3423" s="231">
        <f>SUM(H3419:H3422)</f>
        <v>17925</v>
      </c>
      <c r="M3423" s="233" t="s">
        <v>636</v>
      </c>
    </row>
    <row r="3424" spans="2:13" ht="18.75" customHeight="1" x14ac:dyDescent="0.25">
      <c r="B3424" s="550"/>
      <c r="C3424" s="223"/>
      <c r="D3424" s="550"/>
      <c r="E3424" s="224"/>
      <c r="F3424" s="233"/>
      <c r="G3424" s="290"/>
      <c r="H3424" s="231"/>
      <c r="M3424" s="233"/>
    </row>
    <row r="3425" spans="2:13" ht="18.75" customHeight="1" x14ac:dyDescent="0.25">
      <c r="B3425" s="550" t="s">
        <v>637</v>
      </c>
      <c r="C3425" s="223" t="s">
        <v>638</v>
      </c>
      <c r="D3425" s="550"/>
      <c r="E3425" s="224"/>
      <c r="F3425" s="225"/>
      <c r="G3425" s="290"/>
      <c r="H3425" s="226"/>
      <c r="M3425" s="225"/>
    </row>
    <row r="3426" spans="2:13" ht="18.75" customHeight="1" x14ac:dyDescent="0.25">
      <c r="B3426" s="550"/>
      <c r="C3426" s="117" t="s">
        <v>163</v>
      </c>
      <c r="D3426" s="550"/>
      <c r="E3426" s="224" t="s">
        <v>66</v>
      </c>
      <c r="F3426" s="228">
        <v>25</v>
      </c>
      <c r="G3426" s="229">
        <f>Bahan!D173</f>
        <v>40000</v>
      </c>
      <c r="H3426" s="230">
        <f>+G3426*F3426</f>
        <v>1000000</v>
      </c>
      <c r="M3426" s="228">
        <v>25</v>
      </c>
    </row>
    <row r="3427" spans="2:13" ht="18.75" customHeight="1" x14ac:dyDescent="0.25">
      <c r="B3427" s="550"/>
      <c r="C3427" s="223" t="s">
        <v>708</v>
      </c>
      <c r="D3427" s="550"/>
      <c r="E3427" s="224" t="s">
        <v>62</v>
      </c>
      <c r="F3427" s="228">
        <v>14</v>
      </c>
      <c r="G3427" s="234">
        <f>G3401</f>
        <v>1700</v>
      </c>
      <c r="H3427" s="230">
        <f>+G3427*F3427</f>
        <v>23800</v>
      </c>
      <c r="M3427" s="228">
        <v>14</v>
      </c>
    </row>
    <row r="3428" spans="2:13" ht="18.75" customHeight="1" x14ac:dyDescent="0.25">
      <c r="B3428" s="550"/>
      <c r="C3428" s="223" t="s">
        <v>661</v>
      </c>
      <c r="D3428" s="550"/>
      <c r="E3428" s="224" t="s">
        <v>955</v>
      </c>
      <c r="F3428" s="228">
        <v>3.2000000000000001E-2</v>
      </c>
      <c r="G3428" s="234">
        <f>G3402</f>
        <v>230000</v>
      </c>
      <c r="H3428" s="230">
        <f>+G3428*F3428</f>
        <v>7360</v>
      </c>
      <c r="M3428" s="228">
        <v>3.2000000000000001E-2</v>
      </c>
    </row>
    <row r="3429" spans="2:13" ht="18.75" customHeight="1" x14ac:dyDescent="0.25">
      <c r="B3429" s="550"/>
      <c r="C3429" s="223"/>
      <c r="D3429" s="550"/>
      <c r="E3429" s="224"/>
      <c r="F3429" s="237" t="s">
        <v>643</v>
      </c>
      <c r="G3429" s="290"/>
      <c r="H3429" s="231">
        <f>SUM(H3426:H3428)</f>
        <v>1031160</v>
      </c>
      <c r="M3429" s="237" t="s">
        <v>643</v>
      </c>
    </row>
    <row r="3430" spans="2:13" ht="18.75" customHeight="1" x14ac:dyDescent="0.25">
      <c r="B3430" s="550"/>
      <c r="C3430" s="223" t="s">
        <v>980</v>
      </c>
      <c r="D3430" s="550"/>
      <c r="E3430" s="224"/>
      <c r="F3430" s="225"/>
      <c r="G3430" s="290"/>
      <c r="H3430" s="226"/>
      <c r="M3430" s="225"/>
    </row>
    <row r="3431" spans="2:13" ht="18.75" customHeight="1" x14ac:dyDescent="0.25">
      <c r="B3431" s="550" t="s">
        <v>644</v>
      </c>
      <c r="C3431" s="223" t="s">
        <v>645</v>
      </c>
      <c r="D3431" s="550"/>
      <c r="E3431" s="224"/>
      <c r="F3431" s="225"/>
      <c r="G3431" s="290"/>
      <c r="H3431" s="235"/>
      <c r="M3431" s="225"/>
    </row>
    <row r="3432" spans="2:13" ht="18.75" customHeight="1" x14ac:dyDescent="0.25">
      <c r="B3432" s="236"/>
      <c r="C3432" s="232"/>
      <c r="D3432" s="550"/>
      <c r="E3432" s="224"/>
      <c r="F3432" s="237" t="s">
        <v>646</v>
      </c>
      <c r="G3432" s="290"/>
      <c r="H3432" s="230"/>
      <c r="M3432" s="237" t="s">
        <v>646</v>
      </c>
    </row>
    <row r="3433" spans="2:13" ht="18.75" customHeight="1" x14ac:dyDescent="0.25">
      <c r="B3433" s="236"/>
      <c r="C3433" s="232"/>
      <c r="D3433" s="550"/>
      <c r="E3433" s="224"/>
      <c r="F3433" s="237"/>
      <c r="G3433" s="290"/>
      <c r="H3433" s="226"/>
      <c r="M3433" s="237"/>
    </row>
    <row r="3434" spans="2:13" ht="18.75" customHeight="1" x14ac:dyDescent="0.25">
      <c r="B3434" s="354"/>
      <c r="C3434" s="362"/>
      <c r="D3434" s="239"/>
      <c r="E3434" s="240"/>
      <c r="F3434" s="241"/>
      <c r="G3434" s="293"/>
      <c r="H3434" s="355"/>
      <c r="M3434" s="241"/>
    </row>
    <row r="3435" spans="2:13" ht="18.75" customHeight="1" x14ac:dyDescent="0.25">
      <c r="B3435" s="356" t="s">
        <v>647</v>
      </c>
      <c r="C3435" s="363" t="s">
        <v>648</v>
      </c>
      <c r="D3435" s="435"/>
      <c r="E3435" s="92"/>
      <c r="F3435" s="183"/>
      <c r="G3435" s="295"/>
      <c r="H3435" s="357">
        <f>+H3432+H3429+H3423</f>
        <v>1049085</v>
      </c>
      <c r="M3435" s="183"/>
    </row>
    <row r="3436" spans="2:13" ht="18.75" customHeight="1" x14ac:dyDescent="0.25">
      <c r="B3436" s="356" t="s">
        <v>649</v>
      </c>
      <c r="C3436" s="364" t="s">
        <v>650</v>
      </c>
      <c r="D3436" s="435"/>
      <c r="E3436" s="92"/>
      <c r="F3436" s="184" t="str">
        <f>$J$5</f>
        <v>8,0 % x D</v>
      </c>
      <c r="G3436" s="295"/>
      <c r="H3436" s="358">
        <f>+H3435*$K$5</f>
        <v>83926.8</v>
      </c>
      <c r="M3436" s="184" t="str">
        <f>$J$5</f>
        <v>8,0 % x D</v>
      </c>
    </row>
    <row r="3437" spans="2:13" ht="18.75" customHeight="1" x14ac:dyDescent="0.25">
      <c r="B3437" s="356" t="s">
        <v>651</v>
      </c>
      <c r="C3437" s="365" t="s">
        <v>652</v>
      </c>
      <c r="D3437" s="435"/>
      <c r="E3437" s="91"/>
      <c r="F3437" s="185"/>
      <c r="G3437" s="296"/>
      <c r="H3437" s="359">
        <f>ROUNDUP((H3436+H3435)/100,0)*100</f>
        <v>1133100</v>
      </c>
      <c r="M3437" s="185"/>
    </row>
    <row r="3438" spans="2:13" ht="18.75" customHeight="1" x14ac:dyDescent="0.25">
      <c r="B3438" s="360"/>
      <c r="C3438" s="366"/>
      <c r="D3438" s="245"/>
      <c r="E3438" s="246"/>
      <c r="F3438" s="247"/>
      <c r="G3438" s="299"/>
      <c r="H3438" s="361"/>
      <c r="M3438" s="247"/>
    </row>
    <row r="3439" spans="2:13" ht="18.75" customHeight="1" x14ac:dyDescent="0.25">
      <c r="B3439" s="92"/>
      <c r="C3439" s="104"/>
      <c r="D3439" s="435"/>
      <c r="E3439" s="91"/>
      <c r="F3439" s="185"/>
      <c r="G3439" s="168"/>
      <c r="H3439" s="139"/>
      <c r="M3439" s="185"/>
    </row>
    <row r="3440" spans="2:13" ht="18.75" customHeight="1" x14ac:dyDescent="0.25">
      <c r="B3440" s="22"/>
      <c r="C3440" s="104"/>
      <c r="E3440" s="21"/>
      <c r="F3440" s="176"/>
      <c r="G3440" s="165"/>
      <c r="H3440" s="119"/>
      <c r="M3440" s="176"/>
    </row>
    <row r="3441" spans="1:13" ht="18.75" customHeight="1" x14ac:dyDescent="0.25">
      <c r="A3441" s="388" t="s">
        <v>1602</v>
      </c>
      <c r="B3441" s="389" t="s">
        <v>981</v>
      </c>
      <c r="C3441" s="390"/>
      <c r="D3441" s="391"/>
      <c r="E3441" s="392"/>
      <c r="F3441" s="393"/>
      <c r="G3441" s="394"/>
      <c r="H3441" s="391"/>
      <c r="M3441" s="393"/>
    </row>
    <row r="3442" spans="1:13" s="217" customFormat="1" ht="18.75" customHeight="1" x14ac:dyDescent="0.25">
      <c r="B3442" s="214"/>
      <c r="C3442" s="215"/>
      <c r="D3442" s="216"/>
      <c r="F3442" s="218"/>
      <c r="G3442" s="307"/>
      <c r="H3442" s="162"/>
      <c r="J3442" s="219"/>
      <c r="M3442" s="218"/>
    </row>
    <row r="3443" spans="1:13" ht="18.75" customHeight="1" x14ac:dyDescent="0.25">
      <c r="B3443" s="19">
        <v>1</v>
      </c>
      <c r="C3443" s="93" t="s">
        <v>982</v>
      </c>
      <c r="D3443" s="19"/>
      <c r="E3443" s="21"/>
      <c r="F3443" s="176"/>
      <c r="G3443" s="165"/>
      <c r="H3443" s="119"/>
      <c r="M3443" s="176"/>
    </row>
    <row r="3444" spans="1:13" ht="18.75" customHeight="1" x14ac:dyDescent="0.25">
      <c r="B3444" s="618" t="s">
        <v>620</v>
      </c>
      <c r="C3444" s="620" t="s">
        <v>621</v>
      </c>
      <c r="D3444" s="618" t="s">
        <v>622</v>
      </c>
      <c r="E3444" s="618" t="s">
        <v>2</v>
      </c>
      <c r="F3444" s="615" t="s">
        <v>623</v>
      </c>
      <c r="G3444" s="289" t="s">
        <v>624</v>
      </c>
      <c r="H3444" s="256" t="s">
        <v>625</v>
      </c>
      <c r="M3444" s="615" t="s">
        <v>623</v>
      </c>
    </row>
    <row r="3445" spans="1:13" ht="18.75" customHeight="1" x14ac:dyDescent="0.25">
      <c r="B3445" s="619"/>
      <c r="C3445" s="621"/>
      <c r="D3445" s="619"/>
      <c r="E3445" s="619"/>
      <c r="F3445" s="616"/>
      <c r="G3445" s="289" t="s">
        <v>626</v>
      </c>
      <c r="H3445" s="256" t="s">
        <v>626</v>
      </c>
      <c r="M3445" s="616"/>
    </row>
    <row r="3446" spans="1:13" ht="18.75" customHeight="1" x14ac:dyDescent="0.25">
      <c r="B3446" s="221"/>
      <c r="C3446" s="222"/>
      <c r="D3446" s="221"/>
      <c r="E3446" s="550"/>
      <c r="F3446" s="555"/>
      <c r="G3446" s="551"/>
      <c r="H3446" s="220"/>
      <c r="M3446" s="590"/>
    </row>
    <row r="3447" spans="1:13" ht="18.75" customHeight="1" x14ac:dyDescent="0.25">
      <c r="B3447" s="550" t="s">
        <v>627</v>
      </c>
      <c r="C3447" s="223" t="s">
        <v>628</v>
      </c>
      <c r="D3447" s="550"/>
      <c r="E3447" s="224"/>
      <c r="F3447" s="225"/>
      <c r="G3447" s="290"/>
      <c r="H3447" s="226"/>
      <c r="M3447" s="225"/>
    </row>
    <row r="3448" spans="1:13" ht="18.75" customHeight="1" x14ac:dyDescent="0.25">
      <c r="B3448" s="550"/>
      <c r="C3448" s="227" t="s">
        <v>629</v>
      </c>
      <c r="D3448" s="550" t="s">
        <v>630</v>
      </c>
      <c r="E3448" s="224" t="s">
        <v>631</v>
      </c>
      <c r="F3448" s="228">
        <f t="shared" ref="F3448:F3451" si="169">$K$8*M3448</f>
        <v>0.3</v>
      </c>
      <c r="G3448" s="229">
        <f>G3419</f>
        <v>95000</v>
      </c>
      <c r="H3448" s="230">
        <f>+G3448*F3448</f>
        <v>28500</v>
      </c>
      <c r="M3448" s="228">
        <v>0.3</v>
      </c>
    </row>
    <row r="3449" spans="1:13" ht="18.75" customHeight="1" x14ac:dyDescent="0.25">
      <c r="B3449" s="550"/>
      <c r="C3449" s="227" t="s">
        <v>1508</v>
      </c>
      <c r="D3449" s="550" t="s">
        <v>632</v>
      </c>
      <c r="E3449" s="224" t="s">
        <v>631</v>
      </c>
      <c r="F3449" s="228">
        <f t="shared" si="169"/>
        <v>0.15</v>
      </c>
      <c r="G3449" s="229">
        <f>G3420</f>
        <v>110000</v>
      </c>
      <c r="H3449" s="230">
        <f>+G3449*F3449</f>
        <v>16500</v>
      </c>
      <c r="M3449" s="228">
        <v>0.15</v>
      </c>
    </row>
    <row r="3450" spans="1:13" ht="18.75" customHeight="1" x14ac:dyDescent="0.25">
      <c r="B3450" s="550"/>
      <c r="C3450" s="227" t="s">
        <v>633</v>
      </c>
      <c r="D3450" s="550" t="s">
        <v>634</v>
      </c>
      <c r="E3450" s="224" t="s">
        <v>631</v>
      </c>
      <c r="F3450" s="228">
        <f t="shared" si="169"/>
        <v>1.4999999999999999E-2</v>
      </c>
      <c r="G3450" s="229">
        <f>G3421</f>
        <v>115000</v>
      </c>
      <c r="H3450" s="230">
        <f>+G3450*F3450</f>
        <v>1725</v>
      </c>
      <c r="M3450" s="228">
        <v>1.4999999999999999E-2</v>
      </c>
    </row>
    <row r="3451" spans="1:13" ht="18.75" customHeight="1" x14ac:dyDescent="0.25">
      <c r="B3451" s="550"/>
      <c r="C3451" s="227" t="s">
        <v>600</v>
      </c>
      <c r="D3451" s="550" t="s">
        <v>635</v>
      </c>
      <c r="E3451" s="224" t="s">
        <v>631</v>
      </c>
      <c r="F3451" s="228">
        <f t="shared" si="169"/>
        <v>1.4999999999999999E-2</v>
      </c>
      <c r="G3451" s="229">
        <f>G3422</f>
        <v>140000</v>
      </c>
      <c r="H3451" s="230">
        <f>+G3451*F3451</f>
        <v>2100</v>
      </c>
      <c r="M3451" s="228">
        <v>1.4999999999999999E-2</v>
      </c>
    </row>
    <row r="3452" spans="1:13" ht="18.75" customHeight="1" x14ac:dyDescent="0.25">
      <c r="B3452" s="550"/>
      <c r="C3452" s="223"/>
      <c r="D3452" s="550"/>
      <c r="E3452" s="224"/>
      <c r="F3452" s="233" t="s">
        <v>636</v>
      </c>
      <c r="G3452" s="290"/>
      <c r="H3452" s="231">
        <f>SUM(H3448:H3451)</f>
        <v>48825</v>
      </c>
      <c r="M3452" s="233" t="s">
        <v>636</v>
      </c>
    </row>
    <row r="3453" spans="1:13" ht="18.75" customHeight="1" x14ac:dyDescent="0.25">
      <c r="B3453" s="550"/>
      <c r="C3453" s="223"/>
      <c r="D3453" s="550"/>
      <c r="E3453" s="224"/>
      <c r="F3453" s="233"/>
      <c r="G3453" s="290"/>
      <c r="H3453" s="231"/>
      <c r="M3453" s="233"/>
    </row>
    <row r="3454" spans="1:13" ht="18.75" customHeight="1" x14ac:dyDescent="0.25">
      <c r="B3454" s="550" t="s">
        <v>637</v>
      </c>
      <c r="C3454" s="223" t="s">
        <v>638</v>
      </c>
      <c r="D3454" s="550"/>
      <c r="E3454" s="224"/>
      <c r="F3454" s="225"/>
      <c r="G3454" s="290"/>
      <c r="H3454" s="226"/>
      <c r="M3454" s="225"/>
    </row>
    <row r="3455" spans="1:13" ht="18.75" customHeight="1" x14ac:dyDescent="0.25">
      <c r="B3455" s="550"/>
      <c r="C3455" s="223" t="s">
        <v>708</v>
      </c>
      <c r="D3455" s="550"/>
      <c r="E3455" s="224" t="s">
        <v>62</v>
      </c>
      <c r="F3455" s="228">
        <v>15.504</v>
      </c>
      <c r="G3455" s="234">
        <f>+G3375</f>
        <v>1700</v>
      </c>
      <c r="H3455" s="230">
        <f>+G3455*F3455</f>
        <v>26356.799999999999</v>
      </c>
      <c r="M3455" s="228">
        <v>15.504</v>
      </c>
    </row>
    <row r="3456" spans="1:13" ht="18.75" customHeight="1" x14ac:dyDescent="0.25">
      <c r="B3456" s="550"/>
      <c r="C3456" s="223" t="s">
        <v>661</v>
      </c>
      <c r="D3456" s="550"/>
      <c r="E3456" s="224" t="s">
        <v>955</v>
      </c>
      <c r="F3456" s="228">
        <v>1.6E-2</v>
      </c>
      <c r="G3456" s="229">
        <f>+G3376</f>
        <v>230000</v>
      </c>
      <c r="H3456" s="230">
        <f>+G3456*F3456</f>
        <v>3680</v>
      </c>
      <c r="M3456" s="228">
        <v>1.6E-2</v>
      </c>
    </row>
    <row r="3457" spans="2:13" ht="18.75" customHeight="1" x14ac:dyDescent="0.25">
      <c r="B3457" s="550"/>
      <c r="C3457" s="223"/>
      <c r="D3457" s="550"/>
      <c r="E3457" s="224"/>
      <c r="F3457" s="237" t="s">
        <v>643</v>
      </c>
      <c r="G3457" s="290"/>
      <c r="H3457" s="231">
        <f>SUM(H3455:H3456)</f>
        <v>30036.799999999999</v>
      </c>
      <c r="M3457" s="237" t="s">
        <v>643</v>
      </c>
    </row>
    <row r="3458" spans="2:13" ht="18.75" customHeight="1" x14ac:dyDescent="0.25">
      <c r="B3458" s="550"/>
      <c r="C3458" s="223"/>
      <c r="D3458" s="550"/>
      <c r="E3458" s="224"/>
      <c r="F3458" s="225"/>
      <c r="G3458" s="290"/>
      <c r="H3458" s="226"/>
      <c r="M3458" s="225"/>
    </row>
    <row r="3459" spans="2:13" ht="18.75" customHeight="1" x14ac:dyDescent="0.25">
      <c r="B3459" s="550" t="s">
        <v>644</v>
      </c>
      <c r="C3459" s="223" t="s">
        <v>645</v>
      </c>
      <c r="D3459" s="550"/>
      <c r="E3459" s="224"/>
      <c r="F3459" s="225"/>
      <c r="G3459" s="290"/>
      <c r="H3459" s="235"/>
      <c r="M3459" s="225"/>
    </row>
    <row r="3460" spans="2:13" ht="18.75" customHeight="1" x14ac:dyDescent="0.25">
      <c r="B3460" s="236"/>
      <c r="C3460" s="232"/>
      <c r="D3460" s="550"/>
      <c r="E3460" s="224"/>
      <c r="F3460" s="237" t="s">
        <v>646</v>
      </c>
      <c r="G3460" s="290"/>
      <c r="H3460" s="230"/>
      <c r="M3460" s="237" t="s">
        <v>646</v>
      </c>
    </row>
    <row r="3461" spans="2:13" ht="18.75" customHeight="1" x14ac:dyDescent="0.25">
      <c r="B3461" s="236"/>
      <c r="C3461" s="232"/>
      <c r="D3461" s="550"/>
      <c r="E3461" s="224"/>
      <c r="F3461" s="237"/>
      <c r="G3461" s="290"/>
      <c r="H3461" s="226"/>
      <c r="M3461" s="237"/>
    </row>
    <row r="3462" spans="2:13" ht="18.75" customHeight="1" x14ac:dyDescent="0.25">
      <c r="B3462" s="354"/>
      <c r="C3462" s="362"/>
      <c r="D3462" s="239"/>
      <c r="E3462" s="266"/>
      <c r="F3462" s="241"/>
      <c r="G3462" s="370"/>
      <c r="H3462" s="369"/>
      <c r="M3462" s="241"/>
    </row>
    <row r="3463" spans="2:13" ht="18.75" customHeight="1" x14ac:dyDescent="0.25">
      <c r="B3463" s="356" t="s">
        <v>647</v>
      </c>
      <c r="C3463" s="363" t="s">
        <v>648</v>
      </c>
      <c r="D3463" s="435"/>
      <c r="E3463" s="92"/>
      <c r="F3463" s="183"/>
      <c r="G3463" s="295"/>
      <c r="H3463" s="357">
        <f>+H3460+H3457+H3452</f>
        <v>78861.8</v>
      </c>
      <c r="M3463" s="183"/>
    </row>
    <row r="3464" spans="2:13" ht="18.75" customHeight="1" x14ac:dyDescent="0.25">
      <c r="B3464" s="356" t="s">
        <v>649</v>
      </c>
      <c r="C3464" s="364" t="s">
        <v>650</v>
      </c>
      <c r="D3464" s="435"/>
      <c r="E3464" s="92"/>
      <c r="F3464" s="184" t="str">
        <f>$J$5</f>
        <v>8,0 % x D</v>
      </c>
      <c r="G3464" s="295"/>
      <c r="H3464" s="358">
        <f>+H3463*$K$5</f>
        <v>6308.9440000000004</v>
      </c>
      <c r="M3464" s="184" t="str">
        <f>$J$5</f>
        <v>8,0 % x D</v>
      </c>
    </row>
    <row r="3465" spans="2:13" ht="18.75" customHeight="1" x14ac:dyDescent="0.25">
      <c r="B3465" s="356" t="s">
        <v>651</v>
      </c>
      <c r="C3465" s="365" t="s">
        <v>652</v>
      </c>
      <c r="D3465" s="435"/>
      <c r="E3465" s="91"/>
      <c r="F3465" s="185"/>
      <c r="G3465" s="296"/>
      <c r="H3465" s="359">
        <f>ROUNDUP((H3464+H3463)/100,0)*100</f>
        <v>85200</v>
      </c>
      <c r="M3465" s="185"/>
    </row>
    <row r="3466" spans="2:13" ht="18.75" customHeight="1" x14ac:dyDescent="0.25">
      <c r="B3466" s="360"/>
      <c r="C3466" s="366"/>
      <c r="D3466" s="245"/>
      <c r="E3466" s="246"/>
      <c r="F3466" s="247"/>
      <c r="G3466" s="299"/>
      <c r="H3466" s="361"/>
      <c r="M3466" s="247"/>
    </row>
    <row r="3467" spans="2:13" ht="18.75" customHeight="1" x14ac:dyDescent="0.25">
      <c r="B3467" s="92"/>
      <c r="C3467" s="104"/>
      <c r="D3467" s="435"/>
      <c r="E3467" s="91"/>
      <c r="F3467" s="185"/>
      <c r="G3467" s="168"/>
      <c r="H3467" s="139"/>
      <c r="M3467" s="185"/>
    </row>
    <row r="3468" spans="2:13" ht="18.75" customHeight="1" x14ac:dyDescent="0.25">
      <c r="B3468" s="19">
        <v>2</v>
      </c>
      <c r="C3468" s="93" t="s">
        <v>983</v>
      </c>
      <c r="D3468" s="19"/>
      <c r="E3468" s="21"/>
      <c r="F3468" s="176"/>
      <c r="G3468" s="165"/>
      <c r="H3468" s="119"/>
      <c r="M3468" s="176"/>
    </row>
    <row r="3469" spans="2:13" ht="18.75" customHeight="1" x14ac:dyDescent="0.25">
      <c r="B3469" s="618" t="s">
        <v>620</v>
      </c>
      <c r="C3469" s="620" t="s">
        <v>621</v>
      </c>
      <c r="D3469" s="618" t="s">
        <v>622</v>
      </c>
      <c r="E3469" s="618" t="s">
        <v>2</v>
      </c>
      <c r="F3469" s="615" t="s">
        <v>623</v>
      </c>
      <c r="G3469" s="289" t="s">
        <v>624</v>
      </c>
      <c r="H3469" s="256" t="s">
        <v>625</v>
      </c>
      <c r="M3469" s="615" t="s">
        <v>623</v>
      </c>
    </row>
    <row r="3470" spans="2:13" ht="18.75" customHeight="1" x14ac:dyDescent="0.25">
      <c r="B3470" s="619"/>
      <c r="C3470" s="621"/>
      <c r="D3470" s="619"/>
      <c r="E3470" s="619"/>
      <c r="F3470" s="616"/>
      <c r="G3470" s="289" t="s">
        <v>626</v>
      </c>
      <c r="H3470" s="256" t="s">
        <v>626</v>
      </c>
      <c r="M3470" s="616"/>
    </row>
    <row r="3471" spans="2:13" ht="18.75" customHeight="1" x14ac:dyDescent="0.25">
      <c r="B3471" s="221"/>
      <c r="C3471" s="222"/>
      <c r="D3471" s="221"/>
      <c r="E3471" s="550"/>
      <c r="F3471" s="555"/>
      <c r="G3471" s="551"/>
      <c r="H3471" s="220"/>
      <c r="M3471" s="590"/>
    </row>
    <row r="3472" spans="2:13" ht="18.75" customHeight="1" x14ac:dyDescent="0.25">
      <c r="B3472" s="550" t="s">
        <v>627</v>
      </c>
      <c r="C3472" s="223" t="s">
        <v>628</v>
      </c>
      <c r="D3472" s="550"/>
      <c r="E3472" s="224"/>
      <c r="F3472" s="225"/>
      <c r="G3472" s="290"/>
      <c r="H3472" s="226"/>
      <c r="M3472" s="225"/>
    </row>
    <row r="3473" spans="2:13" ht="18.75" customHeight="1" x14ac:dyDescent="0.25">
      <c r="B3473" s="550"/>
      <c r="C3473" s="227" t="s">
        <v>629</v>
      </c>
      <c r="D3473" s="550" t="s">
        <v>630</v>
      </c>
      <c r="E3473" s="224" t="s">
        <v>631</v>
      </c>
      <c r="F3473" s="228">
        <f t="shared" ref="F3473:F3476" si="170">$K$8*M3473</f>
        <v>0.3</v>
      </c>
      <c r="G3473" s="229">
        <f>G3448</f>
        <v>95000</v>
      </c>
      <c r="H3473" s="230">
        <f>+G3473*F3473</f>
        <v>28500</v>
      </c>
      <c r="M3473" s="228">
        <v>0.3</v>
      </c>
    </row>
    <row r="3474" spans="2:13" ht="18.75" customHeight="1" x14ac:dyDescent="0.25">
      <c r="B3474" s="550"/>
      <c r="C3474" s="227" t="s">
        <v>1508</v>
      </c>
      <c r="D3474" s="550" t="s">
        <v>632</v>
      </c>
      <c r="E3474" s="224" t="s">
        <v>631</v>
      </c>
      <c r="F3474" s="228">
        <f t="shared" si="170"/>
        <v>0.15</v>
      </c>
      <c r="G3474" s="229">
        <f>G3449</f>
        <v>110000</v>
      </c>
      <c r="H3474" s="230">
        <f>+G3474*F3474</f>
        <v>16500</v>
      </c>
      <c r="M3474" s="228">
        <v>0.15</v>
      </c>
    </row>
    <row r="3475" spans="2:13" ht="18.75" customHeight="1" x14ac:dyDescent="0.25">
      <c r="B3475" s="550"/>
      <c r="C3475" s="227" t="s">
        <v>633</v>
      </c>
      <c r="D3475" s="550" t="s">
        <v>634</v>
      </c>
      <c r="E3475" s="224" t="s">
        <v>631</v>
      </c>
      <c r="F3475" s="228">
        <f t="shared" si="170"/>
        <v>1.4999999999999999E-2</v>
      </c>
      <c r="G3475" s="229">
        <f>G3450</f>
        <v>115000</v>
      </c>
      <c r="H3475" s="230">
        <f>+G3475*F3475</f>
        <v>1725</v>
      </c>
      <c r="M3475" s="228">
        <v>1.4999999999999999E-2</v>
      </c>
    </row>
    <row r="3476" spans="2:13" ht="18.75" customHeight="1" x14ac:dyDescent="0.25">
      <c r="B3476" s="550"/>
      <c r="C3476" s="227" t="s">
        <v>600</v>
      </c>
      <c r="D3476" s="550" t="s">
        <v>635</v>
      </c>
      <c r="E3476" s="224" t="s">
        <v>631</v>
      </c>
      <c r="F3476" s="228">
        <f t="shared" si="170"/>
        <v>1.4999999999999999E-2</v>
      </c>
      <c r="G3476" s="229">
        <f>G3451</f>
        <v>140000</v>
      </c>
      <c r="H3476" s="230">
        <f>+G3476*F3476</f>
        <v>2100</v>
      </c>
      <c r="M3476" s="228">
        <v>1.4999999999999999E-2</v>
      </c>
    </row>
    <row r="3477" spans="2:13" ht="18.75" customHeight="1" x14ac:dyDescent="0.25">
      <c r="B3477" s="550"/>
      <c r="C3477" s="223"/>
      <c r="D3477" s="550"/>
      <c r="E3477" s="224"/>
      <c r="F3477" s="233" t="s">
        <v>636</v>
      </c>
      <c r="G3477" s="290"/>
      <c r="H3477" s="231">
        <f>SUM(H3473:H3476)</f>
        <v>48825</v>
      </c>
      <c r="M3477" s="233" t="s">
        <v>636</v>
      </c>
    </row>
    <row r="3478" spans="2:13" ht="18.75" customHeight="1" x14ac:dyDescent="0.25">
      <c r="B3478" s="550" t="s">
        <v>637</v>
      </c>
      <c r="C3478" s="223" t="s">
        <v>638</v>
      </c>
      <c r="D3478" s="550"/>
      <c r="E3478" s="224"/>
      <c r="F3478" s="225"/>
      <c r="G3478" s="290"/>
      <c r="H3478" s="226"/>
      <c r="M3478" s="225"/>
    </row>
    <row r="3479" spans="2:13" ht="18.75" customHeight="1" x14ac:dyDescent="0.25">
      <c r="B3479" s="550"/>
      <c r="C3479" s="223" t="s">
        <v>708</v>
      </c>
      <c r="D3479" s="550"/>
      <c r="E3479" s="224" t="s">
        <v>62</v>
      </c>
      <c r="F3479" s="228">
        <v>10.224</v>
      </c>
      <c r="G3479" s="234">
        <f>+G3455</f>
        <v>1700</v>
      </c>
      <c r="H3479" s="230">
        <f>+G3479*F3479</f>
        <v>17380.8</v>
      </c>
      <c r="M3479" s="228">
        <v>10.224</v>
      </c>
    </row>
    <row r="3480" spans="2:13" ht="18.75" customHeight="1" x14ac:dyDescent="0.25">
      <c r="B3480" s="550"/>
      <c r="C3480" s="223" t="s">
        <v>661</v>
      </c>
      <c r="D3480" s="550"/>
      <c r="E3480" s="224" t="s">
        <v>955</v>
      </c>
      <c r="F3480" s="228">
        <v>0.02</v>
      </c>
      <c r="G3480" s="229">
        <f>+G3456</f>
        <v>230000</v>
      </c>
      <c r="H3480" s="230">
        <f>+G3480*F3480</f>
        <v>4600</v>
      </c>
      <c r="M3480" s="228">
        <v>0.02</v>
      </c>
    </row>
    <row r="3481" spans="2:13" ht="18.75" customHeight="1" x14ac:dyDescent="0.25">
      <c r="B3481" s="550"/>
      <c r="C3481" s="223"/>
      <c r="D3481" s="550"/>
      <c r="E3481" s="224"/>
      <c r="F3481" s="237" t="s">
        <v>643</v>
      </c>
      <c r="G3481" s="290"/>
      <c r="H3481" s="231">
        <f>SUM(H3479:H3480)</f>
        <v>21980.799999999999</v>
      </c>
      <c r="M3481" s="237" t="s">
        <v>643</v>
      </c>
    </row>
    <row r="3482" spans="2:13" ht="18.75" customHeight="1" x14ac:dyDescent="0.25">
      <c r="B3482" s="550"/>
      <c r="C3482" s="223"/>
      <c r="D3482" s="550"/>
      <c r="E3482" s="224"/>
      <c r="F3482" s="225"/>
      <c r="G3482" s="290"/>
      <c r="H3482" s="226"/>
      <c r="M3482" s="225"/>
    </row>
    <row r="3483" spans="2:13" ht="18.75" customHeight="1" x14ac:dyDescent="0.25">
      <c r="B3483" s="550" t="s">
        <v>644</v>
      </c>
      <c r="C3483" s="223" t="s">
        <v>645</v>
      </c>
      <c r="D3483" s="550"/>
      <c r="E3483" s="224"/>
      <c r="F3483" s="225"/>
      <c r="G3483" s="290"/>
      <c r="H3483" s="235"/>
      <c r="M3483" s="225"/>
    </row>
    <row r="3484" spans="2:13" ht="18.75" customHeight="1" x14ac:dyDescent="0.25">
      <c r="B3484" s="236"/>
      <c r="C3484" s="232"/>
      <c r="D3484" s="550"/>
      <c r="E3484" s="224"/>
      <c r="F3484" s="237" t="s">
        <v>646</v>
      </c>
      <c r="G3484" s="290"/>
      <c r="H3484" s="230"/>
      <c r="M3484" s="237" t="s">
        <v>646</v>
      </c>
    </row>
    <row r="3485" spans="2:13" ht="18.75" customHeight="1" x14ac:dyDescent="0.25">
      <c r="B3485" s="236"/>
      <c r="C3485" s="232"/>
      <c r="D3485" s="550"/>
      <c r="E3485" s="224"/>
      <c r="F3485" s="237"/>
      <c r="G3485" s="290"/>
      <c r="H3485" s="226"/>
      <c r="M3485" s="237"/>
    </row>
    <row r="3486" spans="2:13" ht="18.75" customHeight="1" x14ac:dyDescent="0.25">
      <c r="B3486" s="354"/>
      <c r="C3486" s="362"/>
      <c r="D3486" s="239"/>
      <c r="E3486" s="266"/>
      <c r="F3486" s="241"/>
      <c r="G3486" s="370"/>
      <c r="H3486" s="369"/>
      <c r="M3486" s="241"/>
    </row>
    <row r="3487" spans="2:13" ht="18.75" customHeight="1" x14ac:dyDescent="0.25">
      <c r="B3487" s="356" t="s">
        <v>647</v>
      </c>
      <c r="C3487" s="363" t="s">
        <v>648</v>
      </c>
      <c r="D3487" s="435"/>
      <c r="E3487" s="92"/>
      <c r="F3487" s="183"/>
      <c r="G3487" s="295"/>
      <c r="H3487" s="357">
        <f>+H3484+H3481+H3477</f>
        <v>70805.8</v>
      </c>
      <c r="M3487" s="183"/>
    </row>
    <row r="3488" spans="2:13" ht="18.75" customHeight="1" x14ac:dyDescent="0.25">
      <c r="B3488" s="356" t="s">
        <v>649</v>
      </c>
      <c r="C3488" s="364" t="s">
        <v>650</v>
      </c>
      <c r="D3488" s="435"/>
      <c r="E3488" s="92"/>
      <c r="F3488" s="184" t="str">
        <f>$J$5</f>
        <v>8,0 % x D</v>
      </c>
      <c r="G3488" s="295"/>
      <c r="H3488" s="358">
        <f>+H3487*$K$5</f>
        <v>5664.4639999999999</v>
      </c>
      <c r="M3488" s="184" t="str">
        <f>$J$5</f>
        <v>8,0 % x D</v>
      </c>
    </row>
    <row r="3489" spans="2:13" ht="18.75" customHeight="1" x14ac:dyDescent="0.25">
      <c r="B3489" s="356" t="s">
        <v>651</v>
      </c>
      <c r="C3489" s="365" t="s">
        <v>652</v>
      </c>
      <c r="D3489" s="435"/>
      <c r="E3489" s="91"/>
      <c r="F3489" s="185"/>
      <c r="G3489" s="296"/>
      <c r="H3489" s="359">
        <f>ROUNDUP((H3488+H3487)/100,0)*100</f>
        <v>76500</v>
      </c>
      <c r="M3489" s="185"/>
    </row>
    <row r="3490" spans="2:13" ht="18.75" customHeight="1" x14ac:dyDescent="0.25">
      <c r="B3490" s="360"/>
      <c r="C3490" s="366"/>
      <c r="D3490" s="245"/>
      <c r="E3490" s="246"/>
      <c r="F3490" s="247"/>
      <c r="G3490" s="299"/>
      <c r="H3490" s="361"/>
      <c r="M3490" s="247"/>
    </row>
    <row r="3491" spans="2:13" ht="18.75" customHeight="1" x14ac:dyDescent="0.25">
      <c r="B3491" s="22"/>
      <c r="C3491" s="104"/>
      <c r="E3491" s="21"/>
      <c r="F3491" s="176"/>
      <c r="G3491" s="165"/>
      <c r="H3491" s="119"/>
      <c r="M3491" s="176"/>
    </row>
    <row r="3492" spans="2:13" ht="18.75" customHeight="1" x14ac:dyDescent="0.25">
      <c r="B3492" s="19">
        <v>3</v>
      </c>
      <c r="C3492" s="93" t="s">
        <v>984</v>
      </c>
      <c r="D3492" s="19"/>
      <c r="E3492" s="21"/>
      <c r="F3492" s="176"/>
      <c r="G3492" s="165"/>
      <c r="H3492" s="119"/>
      <c r="M3492" s="176"/>
    </row>
    <row r="3493" spans="2:13" ht="18.75" customHeight="1" x14ac:dyDescent="0.25">
      <c r="B3493" s="618" t="s">
        <v>620</v>
      </c>
      <c r="C3493" s="620" t="s">
        <v>621</v>
      </c>
      <c r="D3493" s="618" t="s">
        <v>622</v>
      </c>
      <c r="E3493" s="618" t="s">
        <v>2</v>
      </c>
      <c r="F3493" s="615" t="s">
        <v>623</v>
      </c>
      <c r="G3493" s="289" t="s">
        <v>624</v>
      </c>
      <c r="H3493" s="256" t="s">
        <v>625</v>
      </c>
      <c r="M3493" s="615" t="s">
        <v>623</v>
      </c>
    </row>
    <row r="3494" spans="2:13" ht="18.75" customHeight="1" x14ac:dyDescent="0.25">
      <c r="B3494" s="619"/>
      <c r="C3494" s="621"/>
      <c r="D3494" s="619"/>
      <c r="E3494" s="619"/>
      <c r="F3494" s="616"/>
      <c r="G3494" s="289" t="s">
        <v>626</v>
      </c>
      <c r="H3494" s="256" t="s">
        <v>626</v>
      </c>
      <c r="M3494" s="616"/>
    </row>
    <row r="3495" spans="2:13" ht="18.75" customHeight="1" x14ac:dyDescent="0.25">
      <c r="B3495" s="221"/>
      <c r="C3495" s="222"/>
      <c r="D3495" s="221"/>
      <c r="E3495" s="550"/>
      <c r="F3495" s="555"/>
      <c r="G3495" s="551"/>
      <c r="H3495" s="220"/>
      <c r="M3495" s="590"/>
    </row>
    <row r="3496" spans="2:13" ht="18.75" customHeight="1" x14ac:dyDescent="0.25">
      <c r="B3496" s="550" t="s">
        <v>627</v>
      </c>
      <c r="C3496" s="223" t="s">
        <v>628</v>
      </c>
      <c r="D3496" s="550"/>
      <c r="E3496" s="224"/>
      <c r="F3496" s="225"/>
      <c r="G3496" s="290"/>
      <c r="H3496" s="226"/>
      <c r="M3496" s="225"/>
    </row>
    <row r="3497" spans="2:13" ht="18.75" customHeight="1" x14ac:dyDescent="0.25">
      <c r="B3497" s="550"/>
      <c r="C3497" s="227" t="s">
        <v>629</v>
      </c>
      <c r="D3497" s="550" t="s">
        <v>630</v>
      </c>
      <c r="E3497" s="224" t="s">
        <v>631</v>
      </c>
      <c r="F3497" s="228">
        <f t="shared" ref="F3497:F3500" si="171">$K$8*M3497</f>
        <v>0.3</v>
      </c>
      <c r="G3497" s="229">
        <f>G3473</f>
        <v>95000</v>
      </c>
      <c r="H3497" s="230">
        <f>+G3497*F3497</f>
        <v>28500</v>
      </c>
      <c r="M3497" s="228">
        <v>0.3</v>
      </c>
    </row>
    <row r="3498" spans="2:13" ht="18.75" customHeight="1" x14ac:dyDescent="0.25">
      <c r="B3498" s="550"/>
      <c r="C3498" s="227" t="s">
        <v>1508</v>
      </c>
      <c r="D3498" s="550" t="s">
        <v>634</v>
      </c>
      <c r="E3498" s="224" t="s">
        <v>631</v>
      </c>
      <c r="F3498" s="228">
        <f t="shared" si="171"/>
        <v>0.15</v>
      </c>
      <c r="G3498" s="229">
        <f>G3474</f>
        <v>110000</v>
      </c>
      <c r="H3498" s="230">
        <f>+G3498*F3498</f>
        <v>16500</v>
      </c>
      <c r="M3498" s="228">
        <v>0.15</v>
      </c>
    </row>
    <row r="3499" spans="2:13" ht="18.75" customHeight="1" x14ac:dyDescent="0.25">
      <c r="B3499" s="550"/>
      <c r="C3499" s="227" t="s">
        <v>633</v>
      </c>
      <c r="D3499" s="550" t="s">
        <v>634</v>
      </c>
      <c r="E3499" s="224" t="s">
        <v>631</v>
      </c>
      <c r="F3499" s="228">
        <f t="shared" si="171"/>
        <v>1.4999999999999999E-2</v>
      </c>
      <c r="G3499" s="229">
        <f>G3475</f>
        <v>115000</v>
      </c>
      <c r="H3499" s="230">
        <f>+G3499*F3499</f>
        <v>1725</v>
      </c>
      <c r="M3499" s="228">
        <v>1.4999999999999999E-2</v>
      </c>
    </row>
    <row r="3500" spans="2:13" ht="18.75" customHeight="1" x14ac:dyDescent="0.25">
      <c r="B3500" s="550"/>
      <c r="C3500" s="227" t="s">
        <v>600</v>
      </c>
      <c r="D3500" s="550" t="s">
        <v>635</v>
      </c>
      <c r="E3500" s="224" t="s">
        <v>631</v>
      </c>
      <c r="F3500" s="228">
        <f t="shared" si="171"/>
        <v>1.4999999999999999E-2</v>
      </c>
      <c r="G3500" s="229">
        <f>G3476</f>
        <v>140000</v>
      </c>
      <c r="H3500" s="230">
        <f>+G3500*F3500</f>
        <v>2100</v>
      </c>
      <c r="M3500" s="228">
        <v>1.4999999999999999E-2</v>
      </c>
    </row>
    <row r="3501" spans="2:13" ht="18.75" customHeight="1" x14ac:dyDescent="0.25">
      <c r="B3501" s="550"/>
      <c r="C3501" s="223"/>
      <c r="D3501" s="550"/>
      <c r="E3501" s="224"/>
      <c r="F3501" s="233" t="s">
        <v>636</v>
      </c>
      <c r="G3501" s="290"/>
      <c r="H3501" s="231">
        <f>SUM(H3497:H3500)</f>
        <v>48825</v>
      </c>
      <c r="M3501" s="233" t="s">
        <v>636</v>
      </c>
    </row>
    <row r="3502" spans="2:13" ht="18.75" customHeight="1" x14ac:dyDescent="0.25">
      <c r="B3502" s="550"/>
      <c r="C3502" s="223"/>
      <c r="D3502" s="550"/>
      <c r="E3502" s="224"/>
      <c r="F3502" s="233"/>
      <c r="G3502" s="290"/>
      <c r="H3502" s="231"/>
      <c r="M3502" s="233"/>
    </row>
    <row r="3503" spans="2:13" ht="18.75" customHeight="1" x14ac:dyDescent="0.25">
      <c r="B3503" s="550" t="s">
        <v>637</v>
      </c>
      <c r="C3503" s="223" t="s">
        <v>638</v>
      </c>
      <c r="D3503" s="550"/>
      <c r="E3503" s="224"/>
      <c r="F3503" s="225"/>
      <c r="G3503" s="290"/>
      <c r="H3503" s="226"/>
      <c r="M3503" s="225"/>
    </row>
    <row r="3504" spans="2:13" ht="18.75" customHeight="1" x14ac:dyDescent="0.25">
      <c r="B3504" s="550"/>
      <c r="C3504" s="223" t="s">
        <v>708</v>
      </c>
      <c r="D3504" s="550"/>
      <c r="E3504" s="224" t="s">
        <v>62</v>
      </c>
      <c r="F3504" s="228">
        <v>7.7759999999999998</v>
      </c>
      <c r="G3504" s="234">
        <f>+G3479</f>
        <v>1700</v>
      </c>
      <c r="H3504" s="230">
        <f>+G3504*F3504</f>
        <v>13219.199999999999</v>
      </c>
      <c r="M3504" s="228">
        <v>7.7759999999999998</v>
      </c>
    </row>
    <row r="3505" spans="2:13" ht="18.75" customHeight="1" x14ac:dyDescent="0.25">
      <c r="B3505" s="550"/>
      <c r="C3505" s="223" t="s">
        <v>661</v>
      </c>
      <c r="D3505" s="550"/>
      <c r="E3505" s="224" t="s">
        <v>955</v>
      </c>
      <c r="F3505" s="228">
        <v>2.3E-2</v>
      </c>
      <c r="G3505" s="229">
        <f>+G3480</f>
        <v>230000</v>
      </c>
      <c r="H3505" s="230">
        <f>+G3505*F3505</f>
        <v>5290</v>
      </c>
      <c r="M3505" s="228">
        <v>2.3E-2</v>
      </c>
    </row>
    <row r="3506" spans="2:13" ht="18.75" customHeight="1" x14ac:dyDescent="0.25">
      <c r="B3506" s="550"/>
      <c r="C3506" s="223"/>
      <c r="D3506" s="550"/>
      <c r="E3506" s="224"/>
      <c r="F3506" s="237" t="s">
        <v>643</v>
      </c>
      <c r="G3506" s="290"/>
      <c r="H3506" s="231">
        <f>SUM(H3504:H3505)</f>
        <v>18509.199999999997</v>
      </c>
      <c r="M3506" s="237" t="s">
        <v>643</v>
      </c>
    </row>
    <row r="3507" spans="2:13" ht="18.75" customHeight="1" x14ac:dyDescent="0.25">
      <c r="B3507" s="550"/>
      <c r="C3507" s="223"/>
      <c r="D3507" s="550"/>
      <c r="E3507" s="224"/>
      <c r="F3507" s="225"/>
      <c r="G3507" s="290"/>
      <c r="H3507" s="226"/>
      <c r="M3507" s="225"/>
    </row>
    <row r="3508" spans="2:13" ht="18.75" customHeight="1" x14ac:dyDescent="0.25">
      <c r="B3508" s="550" t="s">
        <v>644</v>
      </c>
      <c r="C3508" s="223" t="s">
        <v>645</v>
      </c>
      <c r="D3508" s="550"/>
      <c r="E3508" s="224"/>
      <c r="F3508" s="225"/>
      <c r="G3508" s="290"/>
      <c r="H3508" s="235"/>
      <c r="M3508" s="225"/>
    </row>
    <row r="3509" spans="2:13" ht="18.75" customHeight="1" x14ac:dyDescent="0.25">
      <c r="B3509" s="236"/>
      <c r="C3509" s="232"/>
      <c r="D3509" s="550"/>
      <c r="E3509" s="224"/>
      <c r="F3509" s="237" t="s">
        <v>646</v>
      </c>
      <c r="G3509" s="290"/>
      <c r="H3509" s="230"/>
      <c r="M3509" s="237" t="s">
        <v>646</v>
      </c>
    </row>
    <row r="3510" spans="2:13" ht="18.75" customHeight="1" x14ac:dyDescent="0.25">
      <c r="B3510" s="236"/>
      <c r="C3510" s="232"/>
      <c r="D3510" s="550"/>
      <c r="E3510" s="224"/>
      <c r="F3510" s="237"/>
      <c r="G3510" s="290"/>
      <c r="H3510" s="226"/>
      <c r="M3510" s="237"/>
    </row>
    <row r="3511" spans="2:13" ht="18.75" customHeight="1" x14ac:dyDescent="0.25">
      <c r="B3511" s="354"/>
      <c r="C3511" s="362"/>
      <c r="D3511" s="239"/>
      <c r="E3511" s="266"/>
      <c r="F3511" s="241"/>
      <c r="G3511" s="370"/>
      <c r="H3511" s="369"/>
      <c r="M3511" s="241"/>
    </row>
    <row r="3512" spans="2:13" ht="18.75" customHeight="1" x14ac:dyDescent="0.25">
      <c r="B3512" s="356" t="s">
        <v>647</v>
      </c>
      <c r="C3512" s="363" t="s">
        <v>648</v>
      </c>
      <c r="D3512" s="435"/>
      <c r="E3512" s="92"/>
      <c r="F3512" s="183"/>
      <c r="G3512" s="295"/>
      <c r="H3512" s="357">
        <f>+H3509+H3506+H3501</f>
        <v>67334.2</v>
      </c>
      <c r="M3512" s="183"/>
    </row>
    <row r="3513" spans="2:13" ht="18.75" customHeight="1" x14ac:dyDescent="0.25">
      <c r="B3513" s="356" t="s">
        <v>649</v>
      </c>
      <c r="C3513" s="364" t="s">
        <v>650</v>
      </c>
      <c r="D3513" s="435"/>
      <c r="E3513" s="92"/>
      <c r="F3513" s="184" t="str">
        <f>$J$5</f>
        <v>8,0 % x D</v>
      </c>
      <c r="G3513" s="295"/>
      <c r="H3513" s="358">
        <f>+H3512*$K$5</f>
        <v>5386.7359999999999</v>
      </c>
      <c r="M3513" s="184" t="str">
        <f>$J$5</f>
        <v>8,0 % x D</v>
      </c>
    </row>
    <row r="3514" spans="2:13" ht="18.75" customHeight="1" x14ac:dyDescent="0.25">
      <c r="B3514" s="356" t="s">
        <v>651</v>
      </c>
      <c r="C3514" s="365" t="s">
        <v>652</v>
      </c>
      <c r="D3514" s="435"/>
      <c r="E3514" s="91"/>
      <c r="F3514" s="185"/>
      <c r="G3514" s="296"/>
      <c r="H3514" s="359">
        <f>ROUNDUP((H3513+H3512)/100,0)*100</f>
        <v>72800</v>
      </c>
      <c r="M3514" s="185"/>
    </row>
    <row r="3515" spans="2:13" ht="18.75" customHeight="1" x14ac:dyDescent="0.25">
      <c r="B3515" s="360"/>
      <c r="C3515" s="366"/>
      <c r="D3515" s="245"/>
      <c r="E3515" s="246"/>
      <c r="F3515" s="247"/>
      <c r="G3515" s="299"/>
      <c r="H3515" s="361"/>
      <c r="M3515" s="247"/>
    </row>
    <row r="3516" spans="2:13" ht="18.75" customHeight="1" x14ac:dyDescent="0.25">
      <c r="B3516" s="22"/>
      <c r="C3516" s="104"/>
      <c r="E3516" s="21"/>
      <c r="F3516" s="176"/>
      <c r="G3516" s="165"/>
      <c r="H3516" s="119"/>
      <c r="M3516" s="176"/>
    </row>
    <row r="3517" spans="2:13" ht="18.75" customHeight="1" x14ac:dyDescent="0.25">
      <c r="B3517" s="19">
        <v>4</v>
      </c>
      <c r="C3517" s="93" t="s">
        <v>985</v>
      </c>
      <c r="D3517" s="19"/>
      <c r="E3517" s="21"/>
      <c r="F3517" s="176"/>
      <c r="G3517" s="165"/>
      <c r="H3517" s="119"/>
      <c r="M3517" s="176"/>
    </row>
    <row r="3518" spans="2:13" ht="18.75" customHeight="1" x14ac:dyDescent="0.25">
      <c r="B3518" s="618" t="s">
        <v>620</v>
      </c>
      <c r="C3518" s="620" t="s">
        <v>621</v>
      </c>
      <c r="D3518" s="618" t="s">
        <v>622</v>
      </c>
      <c r="E3518" s="618" t="s">
        <v>2</v>
      </c>
      <c r="F3518" s="615" t="s">
        <v>623</v>
      </c>
      <c r="G3518" s="289" t="s">
        <v>624</v>
      </c>
      <c r="H3518" s="256" t="s">
        <v>625</v>
      </c>
      <c r="M3518" s="615" t="s">
        <v>623</v>
      </c>
    </row>
    <row r="3519" spans="2:13" ht="18.75" customHeight="1" x14ac:dyDescent="0.25">
      <c r="B3519" s="619"/>
      <c r="C3519" s="621"/>
      <c r="D3519" s="619"/>
      <c r="E3519" s="619"/>
      <c r="F3519" s="616"/>
      <c r="G3519" s="289" t="s">
        <v>626</v>
      </c>
      <c r="H3519" s="256" t="s">
        <v>626</v>
      </c>
      <c r="M3519" s="616"/>
    </row>
    <row r="3520" spans="2:13" ht="18.75" customHeight="1" x14ac:dyDescent="0.25">
      <c r="B3520" s="221"/>
      <c r="C3520" s="222"/>
      <c r="D3520" s="221"/>
      <c r="E3520" s="550"/>
      <c r="F3520" s="555"/>
      <c r="G3520" s="551"/>
      <c r="H3520" s="220"/>
      <c r="M3520" s="590"/>
    </row>
    <row r="3521" spans="2:13" ht="18.75" customHeight="1" x14ac:dyDescent="0.25">
      <c r="B3521" s="550" t="s">
        <v>627</v>
      </c>
      <c r="C3521" s="223" t="s">
        <v>628</v>
      </c>
      <c r="D3521" s="550"/>
      <c r="E3521" s="224"/>
      <c r="F3521" s="225"/>
      <c r="G3521" s="290"/>
      <c r="H3521" s="226"/>
      <c r="M3521" s="225"/>
    </row>
    <row r="3522" spans="2:13" ht="18.75" customHeight="1" x14ac:dyDescent="0.25">
      <c r="B3522" s="550"/>
      <c r="C3522" s="227" t="s">
        <v>629</v>
      </c>
      <c r="D3522" s="550" t="s">
        <v>630</v>
      </c>
      <c r="E3522" s="224" t="s">
        <v>631</v>
      </c>
      <c r="F3522" s="228">
        <f t="shared" ref="F3522:F3525" si="172">$K$8*M3522</f>
        <v>0.3</v>
      </c>
      <c r="G3522" s="229">
        <f>G3497</f>
        <v>95000</v>
      </c>
      <c r="H3522" s="230">
        <f>+G3522*F3522</f>
        <v>28500</v>
      </c>
      <c r="M3522" s="228">
        <v>0.3</v>
      </c>
    </row>
    <row r="3523" spans="2:13" ht="18.75" customHeight="1" x14ac:dyDescent="0.25">
      <c r="B3523" s="550"/>
      <c r="C3523" s="227" t="s">
        <v>1508</v>
      </c>
      <c r="D3523" s="550" t="s">
        <v>634</v>
      </c>
      <c r="E3523" s="224" t="s">
        <v>631</v>
      </c>
      <c r="F3523" s="228">
        <f t="shared" si="172"/>
        <v>0.15</v>
      </c>
      <c r="G3523" s="229">
        <f>G3498</f>
        <v>110000</v>
      </c>
      <c r="H3523" s="230">
        <f>+G3523*F3523</f>
        <v>16500</v>
      </c>
      <c r="M3523" s="228">
        <v>0.15</v>
      </c>
    </row>
    <row r="3524" spans="2:13" ht="18.75" customHeight="1" x14ac:dyDescent="0.25">
      <c r="B3524" s="550"/>
      <c r="C3524" s="227" t="s">
        <v>633</v>
      </c>
      <c r="D3524" s="550" t="s">
        <v>634</v>
      </c>
      <c r="E3524" s="224" t="s">
        <v>631</v>
      </c>
      <c r="F3524" s="228">
        <f t="shared" si="172"/>
        <v>1.4999999999999999E-2</v>
      </c>
      <c r="G3524" s="229">
        <f>G3499</f>
        <v>115000</v>
      </c>
      <c r="H3524" s="230">
        <f>+G3524*F3524</f>
        <v>1725</v>
      </c>
      <c r="M3524" s="228">
        <v>1.4999999999999999E-2</v>
      </c>
    </row>
    <row r="3525" spans="2:13" ht="18.75" customHeight="1" x14ac:dyDescent="0.25">
      <c r="B3525" s="550"/>
      <c r="C3525" s="227" t="s">
        <v>600</v>
      </c>
      <c r="D3525" s="550" t="s">
        <v>635</v>
      </c>
      <c r="E3525" s="224" t="s">
        <v>631</v>
      </c>
      <c r="F3525" s="228">
        <f t="shared" si="172"/>
        <v>1.4999999999999999E-2</v>
      </c>
      <c r="G3525" s="229">
        <f>G3500</f>
        <v>140000</v>
      </c>
      <c r="H3525" s="230">
        <f>+G3525*F3525</f>
        <v>2100</v>
      </c>
      <c r="M3525" s="228">
        <v>1.4999999999999999E-2</v>
      </c>
    </row>
    <row r="3526" spans="2:13" ht="18.75" customHeight="1" x14ac:dyDescent="0.25">
      <c r="B3526" s="550"/>
      <c r="C3526" s="223"/>
      <c r="D3526" s="550"/>
      <c r="E3526" s="224"/>
      <c r="F3526" s="233" t="s">
        <v>636</v>
      </c>
      <c r="G3526" s="290"/>
      <c r="H3526" s="231">
        <f>SUM(H3522:H3525)</f>
        <v>48825</v>
      </c>
      <c r="M3526" s="233" t="s">
        <v>636</v>
      </c>
    </row>
    <row r="3527" spans="2:13" ht="18.75" customHeight="1" x14ac:dyDescent="0.25">
      <c r="B3527" s="550"/>
      <c r="C3527" s="223"/>
      <c r="D3527" s="550"/>
      <c r="E3527" s="224"/>
      <c r="F3527" s="233"/>
      <c r="G3527" s="290"/>
      <c r="H3527" s="231"/>
      <c r="M3527" s="233"/>
    </row>
    <row r="3528" spans="2:13" ht="18.75" customHeight="1" x14ac:dyDescent="0.25">
      <c r="B3528" s="550" t="s">
        <v>637</v>
      </c>
      <c r="C3528" s="223" t="s">
        <v>638</v>
      </c>
      <c r="D3528" s="550"/>
      <c r="E3528" s="224"/>
      <c r="F3528" s="225"/>
      <c r="G3528" s="290"/>
      <c r="H3528" s="226"/>
      <c r="M3528" s="225"/>
    </row>
    <row r="3529" spans="2:13" ht="18.75" customHeight="1" x14ac:dyDescent="0.25">
      <c r="B3529" s="550"/>
      <c r="C3529" s="223" t="s">
        <v>708</v>
      </c>
      <c r="D3529" s="550"/>
      <c r="E3529" s="224" t="s">
        <v>62</v>
      </c>
      <c r="F3529" s="228">
        <v>6.24</v>
      </c>
      <c r="G3529" s="234">
        <f>G3504</f>
        <v>1700</v>
      </c>
      <c r="H3529" s="230">
        <f>+G3529*F3529</f>
        <v>10608</v>
      </c>
      <c r="M3529" s="228">
        <v>6.24</v>
      </c>
    </row>
    <row r="3530" spans="2:13" ht="18.75" customHeight="1" x14ac:dyDescent="0.25">
      <c r="B3530" s="550"/>
      <c r="C3530" s="223" t="s">
        <v>661</v>
      </c>
      <c r="D3530" s="550"/>
      <c r="E3530" s="224" t="s">
        <v>955</v>
      </c>
      <c r="F3530" s="228">
        <v>2.4E-2</v>
      </c>
      <c r="G3530" s="229">
        <f>G3505</f>
        <v>230000</v>
      </c>
      <c r="H3530" s="230">
        <f>+G3530*F3530</f>
        <v>5520</v>
      </c>
      <c r="M3530" s="228">
        <v>2.4E-2</v>
      </c>
    </row>
    <row r="3531" spans="2:13" ht="18.75" customHeight="1" x14ac:dyDescent="0.25">
      <c r="B3531" s="550"/>
      <c r="C3531" s="223"/>
      <c r="D3531" s="550"/>
      <c r="E3531" s="224"/>
      <c r="F3531" s="237" t="s">
        <v>643</v>
      </c>
      <c r="G3531" s="290"/>
      <c r="H3531" s="231">
        <f>SUM(H3529:H3529)</f>
        <v>10608</v>
      </c>
      <c r="M3531" s="237" t="s">
        <v>643</v>
      </c>
    </row>
    <row r="3532" spans="2:13" ht="18.75" customHeight="1" x14ac:dyDescent="0.25">
      <c r="B3532" s="550"/>
      <c r="C3532" s="223"/>
      <c r="D3532" s="550"/>
      <c r="E3532" s="224"/>
      <c r="F3532" s="225"/>
      <c r="G3532" s="290"/>
      <c r="H3532" s="226"/>
      <c r="M3532" s="225"/>
    </row>
    <row r="3533" spans="2:13" ht="18.75" customHeight="1" x14ac:dyDescent="0.25">
      <c r="B3533" s="550" t="s">
        <v>644</v>
      </c>
      <c r="C3533" s="223" t="s">
        <v>645</v>
      </c>
      <c r="D3533" s="550"/>
      <c r="E3533" s="224"/>
      <c r="F3533" s="225"/>
      <c r="G3533" s="290"/>
      <c r="H3533" s="235"/>
      <c r="M3533" s="225"/>
    </row>
    <row r="3534" spans="2:13" ht="18.75" customHeight="1" x14ac:dyDescent="0.25">
      <c r="B3534" s="236"/>
      <c r="C3534" s="232"/>
      <c r="D3534" s="550"/>
      <c r="E3534" s="224"/>
      <c r="F3534" s="237" t="s">
        <v>646</v>
      </c>
      <c r="G3534" s="290"/>
      <c r="H3534" s="230"/>
      <c r="M3534" s="237" t="s">
        <v>646</v>
      </c>
    </row>
    <row r="3535" spans="2:13" ht="18.75" customHeight="1" x14ac:dyDescent="0.25">
      <c r="B3535" s="236"/>
      <c r="C3535" s="232"/>
      <c r="D3535" s="550"/>
      <c r="E3535" s="224"/>
      <c r="F3535" s="237"/>
      <c r="G3535" s="290"/>
      <c r="H3535" s="226"/>
      <c r="M3535" s="237"/>
    </row>
    <row r="3536" spans="2:13" ht="18.75" customHeight="1" x14ac:dyDescent="0.25">
      <c r="B3536" s="354"/>
      <c r="C3536" s="362"/>
      <c r="D3536" s="239"/>
      <c r="E3536" s="266"/>
      <c r="F3536" s="241"/>
      <c r="G3536" s="370"/>
      <c r="H3536" s="369"/>
      <c r="M3536" s="241"/>
    </row>
    <row r="3537" spans="2:13" ht="18.75" customHeight="1" x14ac:dyDescent="0.25">
      <c r="B3537" s="356" t="s">
        <v>647</v>
      </c>
      <c r="C3537" s="363" t="s">
        <v>648</v>
      </c>
      <c r="D3537" s="435"/>
      <c r="E3537" s="92"/>
      <c r="F3537" s="183"/>
      <c r="G3537" s="295"/>
      <c r="H3537" s="357">
        <f>+H3534+H3531+H3526</f>
        <v>59433</v>
      </c>
      <c r="M3537" s="183"/>
    </row>
    <row r="3538" spans="2:13" ht="18.75" customHeight="1" x14ac:dyDescent="0.25">
      <c r="B3538" s="356" t="s">
        <v>649</v>
      </c>
      <c r="C3538" s="364" t="s">
        <v>650</v>
      </c>
      <c r="D3538" s="435"/>
      <c r="E3538" s="92"/>
      <c r="F3538" s="184" t="str">
        <f>$J$5</f>
        <v>8,0 % x D</v>
      </c>
      <c r="G3538" s="295"/>
      <c r="H3538" s="358">
        <f>+H3537*$K$5</f>
        <v>4754.6400000000003</v>
      </c>
      <c r="M3538" s="184" t="str">
        <f>$J$5</f>
        <v>8,0 % x D</v>
      </c>
    </row>
    <row r="3539" spans="2:13" ht="18.75" customHeight="1" x14ac:dyDescent="0.25">
      <c r="B3539" s="356" t="s">
        <v>651</v>
      </c>
      <c r="C3539" s="365" t="s">
        <v>652</v>
      </c>
      <c r="D3539" s="435"/>
      <c r="E3539" s="91"/>
      <c r="F3539" s="185"/>
      <c r="G3539" s="296"/>
      <c r="H3539" s="359">
        <f>ROUNDUP((H3538+H3537)/100,0)*100</f>
        <v>64200</v>
      </c>
      <c r="M3539" s="185"/>
    </row>
    <row r="3540" spans="2:13" ht="18.75" customHeight="1" x14ac:dyDescent="0.25">
      <c r="B3540" s="360"/>
      <c r="C3540" s="366"/>
      <c r="D3540" s="245"/>
      <c r="E3540" s="246"/>
      <c r="F3540" s="247"/>
      <c r="G3540" s="299"/>
      <c r="H3540" s="361"/>
      <c r="M3540" s="247"/>
    </row>
    <row r="3541" spans="2:13" ht="18.75" customHeight="1" x14ac:dyDescent="0.25">
      <c r="B3541" s="22"/>
      <c r="C3541" s="104"/>
      <c r="E3541" s="21"/>
      <c r="F3541" s="176"/>
      <c r="G3541" s="165"/>
      <c r="H3541" s="119"/>
      <c r="M3541" s="176"/>
    </row>
    <row r="3542" spans="2:13" ht="18.75" customHeight="1" x14ac:dyDescent="0.25">
      <c r="B3542" s="19">
        <v>5</v>
      </c>
      <c r="C3542" s="93" t="s">
        <v>986</v>
      </c>
      <c r="D3542" s="19"/>
      <c r="E3542" s="21"/>
      <c r="F3542" s="176"/>
      <c r="G3542" s="165"/>
      <c r="H3542" s="119"/>
      <c r="M3542" s="176"/>
    </row>
    <row r="3543" spans="2:13" ht="18.75" customHeight="1" x14ac:dyDescent="0.25">
      <c r="B3543" s="618" t="s">
        <v>620</v>
      </c>
      <c r="C3543" s="620" t="s">
        <v>621</v>
      </c>
      <c r="D3543" s="618" t="s">
        <v>622</v>
      </c>
      <c r="E3543" s="618" t="s">
        <v>2</v>
      </c>
      <c r="F3543" s="615" t="s">
        <v>623</v>
      </c>
      <c r="G3543" s="289" t="s">
        <v>624</v>
      </c>
      <c r="H3543" s="256" t="s">
        <v>625</v>
      </c>
      <c r="M3543" s="615" t="s">
        <v>623</v>
      </c>
    </row>
    <row r="3544" spans="2:13" ht="18.75" customHeight="1" x14ac:dyDescent="0.25">
      <c r="B3544" s="619"/>
      <c r="C3544" s="621"/>
      <c r="D3544" s="619"/>
      <c r="E3544" s="619"/>
      <c r="F3544" s="616"/>
      <c r="G3544" s="289" t="s">
        <v>626</v>
      </c>
      <c r="H3544" s="256" t="s">
        <v>626</v>
      </c>
      <c r="M3544" s="616"/>
    </row>
    <row r="3545" spans="2:13" ht="18.75" customHeight="1" x14ac:dyDescent="0.25">
      <c r="B3545" s="221"/>
      <c r="C3545" s="222"/>
      <c r="D3545" s="221"/>
      <c r="E3545" s="550"/>
      <c r="F3545" s="555"/>
      <c r="G3545" s="551"/>
      <c r="H3545" s="220"/>
      <c r="M3545" s="590"/>
    </row>
    <row r="3546" spans="2:13" ht="18.75" customHeight="1" x14ac:dyDescent="0.25">
      <c r="B3546" s="550" t="s">
        <v>627</v>
      </c>
      <c r="C3546" s="223" t="s">
        <v>628</v>
      </c>
      <c r="D3546" s="550"/>
      <c r="E3546" s="224"/>
      <c r="F3546" s="225"/>
      <c r="G3546" s="290"/>
      <c r="H3546" s="226"/>
      <c r="M3546" s="225"/>
    </row>
    <row r="3547" spans="2:13" ht="18.75" customHeight="1" x14ac:dyDescent="0.25">
      <c r="B3547" s="550"/>
      <c r="C3547" s="227" t="s">
        <v>629</v>
      </c>
      <c r="D3547" s="550" t="s">
        <v>630</v>
      </c>
      <c r="E3547" s="224" t="s">
        <v>631</v>
      </c>
      <c r="F3547" s="228">
        <f t="shared" ref="F3547:F3550" si="173">$K$8*M3547</f>
        <v>0.3</v>
      </c>
      <c r="G3547" s="229">
        <f>G3522</f>
        <v>95000</v>
      </c>
      <c r="H3547" s="230">
        <f>+G3547*F3547</f>
        <v>28500</v>
      </c>
      <c r="M3547" s="228">
        <v>0.3</v>
      </c>
    </row>
    <row r="3548" spans="2:13" ht="18.75" customHeight="1" x14ac:dyDescent="0.25">
      <c r="B3548" s="550"/>
      <c r="C3548" s="227" t="s">
        <v>1508</v>
      </c>
      <c r="D3548" s="550" t="s">
        <v>634</v>
      </c>
      <c r="E3548" s="224" t="s">
        <v>631</v>
      </c>
      <c r="F3548" s="228">
        <f t="shared" si="173"/>
        <v>0.15</v>
      </c>
      <c r="G3548" s="229">
        <f>G3523</f>
        <v>110000</v>
      </c>
      <c r="H3548" s="230">
        <f>+G3548*F3548</f>
        <v>16500</v>
      </c>
      <c r="M3548" s="228">
        <v>0.15</v>
      </c>
    </row>
    <row r="3549" spans="2:13" ht="18.75" customHeight="1" x14ac:dyDescent="0.25">
      <c r="B3549" s="550"/>
      <c r="C3549" s="227" t="s">
        <v>633</v>
      </c>
      <c r="D3549" s="550" t="s">
        <v>634</v>
      </c>
      <c r="E3549" s="224" t="s">
        <v>631</v>
      </c>
      <c r="F3549" s="228">
        <f t="shared" si="173"/>
        <v>1.4999999999999999E-2</v>
      </c>
      <c r="G3549" s="229">
        <f>G3524</f>
        <v>115000</v>
      </c>
      <c r="H3549" s="230">
        <f>+G3549*F3549</f>
        <v>1725</v>
      </c>
      <c r="M3549" s="228">
        <v>1.4999999999999999E-2</v>
      </c>
    </row>
    <row r="3550" spans="2:13" ht="18.75" customHeight="1" x14ac:dyDescent="0.25">
      <c r="B3550" s="550"/>
      <c r="C3550" s="227" t="s">
        <v>600</v>
      </c>
      <c r="D3550" s="550" t="s">
        <v>635</v>
      </c>
      <c r="E3550" s="224" t="s">
        <v>631</v>
      </c>
      <c r="F3550" s="228">
        <f t="shared" si="173"/>
        <v>1.4999999999999999E-2</v>
      </c>
      <c r="G3550" s="229">
        <f>G3525</f>
        <v>140000</v>
      </c>
      <c r="H3550" s="230">
        <f>+G3550*F3550</f>
        <v>2100</v>
      </c>
      <c r="M3550" s="228">
        <v>1.4999999999999999E-2</v>
      </c>
    </row>
    <row r="3551" spans="2:13" ht="18.75" customHeight="1" x14ac:dyDescent="0.25">
      <c r="B3551" s="550"/>
      <c r="C3551" s="223"/>
      <c r="D3551" s="550"/>
      <c r="E3551" s="224"/>
      <c r="F3551" s="233" t="s">
        <v>636</v>
      </c>
      <c r="G3551" s="290"/>
      <c r="H3551" s="231">
        <f>SUM(H3547:H3550)</f>
        <v>48825</v>
      </c>
      <c r="M3551" s="233" t="s">
        <v>636</v>
      </c>
    </row>
    <row r="3552" spans="2:13" ht="18.75" customHeight="1" x14ac:dyDescent="0.25">
      <c r="B3552" s="550"/>
      <c r="C3552" s="223"/>
      <c r="D3552" s="550"/>
      <c r="E3552" s="224"/>
      <c r="F3552" s="233"/>
      <c r="G3552" s="290"/>
      <c r="H3552" s="231"/>
      <c r="M3552" s="233"/>
    </row>
    <row r="3553" spans="2:13" ht="18.75" customHeight="1" x14ac:dyDescent="0.25">
      <c r="B3553" s="550" t="s">
        <v>637</v>
      </c>
      <c r="C3553" s="223" t="s">
        <v>638</v>
      </c>
      <c r="D3553" s="550"/>
      <c r="E3553" s="224"/>
      <c r="F3553" s="225"/>
      <c r="G3553" s="290"/>
      <c r="H3553" s="226"/>
      <c r="M3553" s="225"/>
    </row>
    <row r="3554" spans="2:13" ht="18.75" customHeight="1" x14ac:dyDescent="0.25">
      <c r="B3554" s="550"/>
      <c r="C3554" s="223" t="s">
        <v>708</v>
      </c>
      <c r="D3554" s="550"/>
      <c r="E3554" s="224" t="s">
        <v>62</v>
      </c>
      <c r="F3554" s="228">
        <v>5.1840000000000002</v>
      </c>
      <c r="G3554" s="229">
        <f>+G3504</f>
        <v>1700</v>
      </c>
      <c r="H3554" s="230">
        <f>+G3554*F3554</f>
        <v>8812.8000000000011</v>
      </c>
      <c r="M3554" s="228">
        <v>5.1840000000000002</v>
      </c>
    </row>
    <row r="3555" spans="2:13" ht="18.75" customHeight="1" x14ac:dyDescent="0.25">
      <c r="B3555" s="550"/>
      <c r="C3555" s="223" t="s">
        <v>661</v>
      </c>
      <c r="D3555" s="550"/>
      <c r="E3555" s="224" t="s">
        <v>955</v>
      </c>
      <c r="F3555" s="228">
        <v>2.5999999999999999E-2</v>
      </c>
      <c r="G3555" s="229">
        <f>+G3505</f>
        <v>230000</v>
      </c>
      <c r="H3555" s="230">
        <f>+G3555*F3555</f>
        <v>5980</v>
      </c>
      <c r="M3555" s="228">
        <v>2.5999999999999999E-2</v>
      </c>
    </row>
    <row r="3556" spans="2:13" ht="18.75" customHeight="1" x14ac:dyDescent="0.25">
      <c r="B3556" s="550"/>
      <c r="C3556" s="223"/>
      <c r="D3556" s="550"/>
      <c r="E3556" s="224"/>
      <c r="F3556" s="237" t="s">
        <v>643</v>
      </c>
      <c r="G3556" s="290"/>
      <c r="H3556" s="231">
        <f>SUM(H3554:H3555)</f>
        <v>14792.800000000001</v>
      </c>
      <c r="M3556" s="237" t="s">
        <v>643</v>
      </c>
    </row>
    <row r="3557" spans="2:13" ht="18.75" customHeight="1" x14ac:dyDescent="0.25">
      <c r="B3557" s="550"/>
      <c r="C3557" s="223"/>
      <c r="D3557" s="550"/>
      <c r="E3557" s="224"/>
      <c r="F3557" s="225"/>
      <c r="G3557" s="290"/>
      <c r="H3557" s="226"/>
      <c r="M3557" s="225"/>
    </row>
    <row r="3558" spans="2:13" ht="18.75" customHeight="1" x14ac:dyDescent="0.25">
      <c r="B3558" s="550" t="s">
        <v>644</v>
      </c>
      <c r="C3558" s="223" t="s">
        <v>645</v>
      </c>
      <c r="D3558" s="550"/>
      <c r="E3558" s="224"/>
      <c r="F3558" s="225"/>
      <c r="G3558" s="290"/>
      <c r="H3558" s="235"/>
      <c r="M3558" s="225"/>
    </row>
    <row r="3559" spans="2:13" ht="18.75" customHeight="1" x14ac:dyDescent="0.25">
      <c r="B3559" s="236"/>
      <c r="C3559" s="232"/>
      <c r="D3559" s="550"/>
      <c r="E3559" s="224"/>
      <c r="F3559" s="237" t="s">
        <v>646</v>
      </c>
      <c r="G3559" s="290"/>
      <c r="H3559" s="230"/>
      <c r="M3559" s="237" t="s">
        <v>646</v>
      </c>
    </row>
    <row r="3560" spans="2:13" ht="18.75" customHeight="1" x14ac:dyDescent="0.25">
      <c r="B3560" s="236"/>
      <c r="C3560" s="232"/>
      <c r="D3560" s="550"/>
      <c r="E3560" s="224"/>
      <c r="F3560" s="237"/>
      <c r="G3560" s="290"/>
      <c r="H3560" s="226"/>
      <c r="M3560" s="237"/>
    </row>
    <row r="3561" spans="2:13" ht="18.75" customHeight="1" x14ac:dyDescent="0.25">
      <c r="B3561" s="354"/>
      <c r="C3561" s="362"/>
      <c r="D3561" s="239"/>
      <c r="E3561" s="266"/>
      <c r="F3561" s="241"/>
      <c r="G3561" s="370"/>
      <c r="H3561" s="369"/>
      <c r="M3561" s="241"/>
    </row>
    <row r="3562" spans="2:13" ht="18.75" customHeight="1" x14ac:dyDescent="0.25">
      <c r="B3562" s="356" t="s">
        <v>647</v>
      </c>
      <c r="C3562" s="363" t="s">
        <v>648</v>
      </c>
      <c r="D3562" s="435"/>
      <c r="E3562" s="92"/>
      <c r="F3562" s="183"/>
      <c r="G3562" s="295"/>
      <c r="H3562" s="357">
        <f>+H3559+H3556+H3551</f>
        <v>63617.8</v>
      </c>
      <c r="M3562" s="183"/>
    </row>
    <row r="3563" spans="2:13" ht="18.75" customHeight="1" x14ac:dyDescent="0.25">
      <c r="B3563" s="356" t="s">
        <v>649</v>
      </c>
      <c r="C3563" s="364" t="s">
        <v>650</v>
      </c>
      <c r="D3563" s="435"/>
      <c r="E3563" s="92"/>
      <c r="F3563" s="184" t="str">
        <f>$J$5</f>
        <v>8,0 % x D</v>
      </c>
      <c r="G3563" s="295"/>
      <c r="H3563" s="358">
        <f>+H3562*$K$5</f>
        <v>5089.424</v>
      </c>
      <c r="M3563" s="184" t="str">
        <f>$J$5</f>
        <v>8,0 % x D</v>
      </c>
    </row>
    <row r="3564" spans="2:13" ht="18.75" customHeight="1" x14ac:dyDescent="0.25">
      <c r="B3564" s="356" t="s">
        <v>651</v>
      </c>
      <c r="C3564" s="365" t="s">
        <v>652</v>
      </c>
      <c r="D3564" s="435"/>
      <c r="E3564" s="91"/>
      <c r="F3564" s="185"/>
      <c r="G3564" s="296"/>
      <c r="H3564" s="359">
        <f>ROUNDUP((H3563+H3562)/100,0)*100</f>
        <v>68800</v>
      </c>
      <c r="M3564" s="185"/>
    </row>
    <row r="3565" spans="2:13" ht="18.75" customHeight="1" x14ac:dyDescent="0.25">
      <c r="B3565" s="360"/>
      <c r="C3565" s="366"/>
      <c r="D3565" s="245"/>
      <c r="E3565" s="246"/>
      <c r="F3565" s="247"/>
      <c r="G3565" s="299"/>
      <c r="H3565" s="361"/>
      <c r="M3565" s="247"/>
    </row>
    <row r="3566" spans="2:13" ht="18.75" customHeight="1" x14ac:dyDescent="0.25">
      <c r="B3566" s="92"/>
      <c r="C3566" s="104"/>
      <c r="D3566" s="435"/>
      <c r="E3566" s="91"/>
      <c r="F3566" s="185"/>
      <c r="G3566" s="168"/>
      <c r="H3566" s="139"/>
      <c r="M3566" s="185"/>
    </row>
    <row r="3567" spans="2:13" ht="18.75" customHeight="1" x14ac:dyDescent="0.25">
      <c r="B3567" s="19">
        <v>6</v>
      </c>
      <c r="C3567" s="93" t="s">
        <v>987</v>
      </c>
      <c r="D3567" s="19"/>
      <c r="E3567" s="21"/>
      <c r="F3567" s="176"/>
      <c r="G3567" s="165"/>
      <c r="H3567" s="119"/>
      <c r="M3567" s="176"/>
    </row>
    <row r="3568" spans="2:13" ht="18.75" customHeight="1" x14ac:dyDescent="0.25">
      <c r="B3568" s="618" t="s">
        <v>620</v>
      </c>
      <c r="C3568" s="620" t="s">
        <v>621</v>
      </c>
      <c r="D3568" s="618" t="s">
        <v>622</v>
      </c>
      <c r="E3568" s="618" t="s">
        <v>2</v>
      </c>
      <c r="F3568" s="615" t="s">
        <v>623</v>
      </c>
      <c r="G3568" s="289" t="s">
        <v>624</v>
      </c>
      <c r="H3568" s="256" t="s">
        <v>625</v>
      </c>
      <c r="M3568" s="615" t="s">
        <v>623</v>
      </c>
    </row>
    <row r="3569" spans="2:13" ht="18.75" customHeight="1" x14ac:dyDescent="0.25">
      <c r="B3569" s="619"/>
      <c r="C3569" s="621"/>
      <c r="D3569" s="619"/>
      <c r="E3569" s="619"/>
      <c r="F3569" s="616"/>
      <c r="G3569" s="289" t="s">
        <v>626</v>
      </c>
      <c r="H3569" s="256" t="s">
        <v>626</v>
      </c>
      <c r="M3569" s="616"/>
    </row>
    <row r="3570" spans="2:13" ht="18.75" customHeight="1" x14ac:dyDescent="0.25">
      <c r="B3570" s="221"/>
      <c r="C3570" s="222"/>
      <c r="D3570" s="221"/>
      <c r="E3570" s="550"/>
      <c r="F3570" s="555"/>
      <c r="G3570" s="551"/>
      <c r="H3570" s="220"/>
      <c r="M3570" s="590"/>
    </row>
    <row r="3571" spans="2:13" ht="18.75" customHeight="1" x14ac:dyDescent="0.25">
      <c r="B3571" s="550" t="s">
        <v>627</v>
      </c>
      <c r="C3571" s="223" t="s">
        <v>628</v>
      </c>
      <c r="D3571" s="550"/>
      <c r="E3571" s="224"/>
      <c r="F3571" s="225"/>
      <c r="G3571" s="290"/>
      <c r="H3571" s="226"/>
      <c r="M3571" s="225"/>
    </row>
    <row r="3572" spans="2:13" ht="18.75" customHeight="1" x14ac:dyDescent="0.25">
      <c r="B3572" s="550"/>
      <c r="C3572" s="227" t="s">
        <v>629</v>
      </c>
      <c r="D3572" s="550" t="s">
        <v>630</v>
      </c>
      <c r="E3572" s="224" t="s">
        <v>631</v>
      </c>
      <c r="F3572" s="228">
        <f t="shared" ref="F3572:F3575" si="174">$K$8*M3572</f>
        <v>0.3</v>
      </c>
      <c r="G3572" s="229">
        <f>G3547</f>
        <v>95000</v>
      </c>
      <c r="H3572" s="230">
        <f>+G3572*F3572</f>
        <v>28500</v>
      </c>
      <c r="M3572" s="228">
        <v>0.3</v>
      </c>
    </row>
    <row r="3573" spans="2:13" ht="18.75" customHeight="1" x14ac:dyDescent="0.25">
      <c r="B3573" s="550"/>
      <c r="C3573" s="227" t="s">
        <v>1508</v>
      </c>
      <c r="D3573" s="550" t="s">
        <v>634</v>
      </c>
      <c r="E3573" s="224" t="s">
        <v>631</v>
      </c>
      <c r="F3573" s="228">
        <f t="shared" si="174"/>
        <v>0.15</v>
      </c>
      <c r="G3573" s="229">
        <f>G3548</f>
        <v>110000</v>
      </c>
      <c r="H3573" s="230">
        <f>+G3573*F3573</f>
        <v>16500</v>
      </c>
      <c r="M3573" s="228">
        <v>0.15</v>
      </c>
    </row>
    <row r="3574" spans="2:13" ht="18.75" customHeight="1" x14ac:dyDescent="0.25">
      <c r="B3574" s="550"/>
      <c r="C3574" s="227" t="s">
        <v>633</v>
      </c>
      <c r="D3574" s="550" t="s">
        <v>634</v>
      </c>
      <c r="E3574" s="224" t="s">
        <v>631</v>
      </c>
      <c r="F3574" s="228">
        <f t="shared" si="174"/>
        <v>1.4999999999999999E-2</v>
      </c>
      <c r="G3574" s="229">
        <f>G3549</f>
        <v>115000</v>
      </c>
      <c r="H3574" s="230">
        <f>+G3574*F3574</f>
        <v>1725</v>
      </c>
      <c r="M3574" s="228">
        <v>1.4999999999999999E-2</v>
      </c>
    </row>
    <row r="3575" spans="2:13" ht="18.75" customHeight="1" x14ac:dyDescent="0.25">
      <c r="B3575" s="550"/>
      <c r="C3575" s="227" t="s">
        <v>600</v>
      </c>
      <c r="D3575" s="550" t="s">
        <v>635</v>
      </c>
      <c r="E3575" s="224" t="s">
        <v>631</v>
      </c>
      <c r="F3575" s="228">
        <f t="shared" si="174"/>
        <v>1.4999999999999999E-2</v>
      </c>
      <c r="G3575" s="229">
        <f>G3550</f>
        <v>140000</v>
      </c>
      <c r="H3575" s="230">
        <f>+G3575*F3575</f>
        <v>2100</v>
      </c>
      <c r="M3575" s="228">
        <v>1.4999999999999999E-2</v>
      </c>
    </row>
    <row r="3576" spans="2:13" ht="18.75" customHeight="1" x14ac:dyDescent="0.25">
      <c r="B3576" s="550"/>
      <c r="C3576" s="223"/>
      <c r="D3576" s="550"/>
      <c r="E3576" s="224"/>
      <c r="F3576" s="233" t="s">
        <v>636</v>
      </c>
      <c r="G3576" s="290"/>
      <c r="H3576" s="231">
        <f>SUM(H3572:H3575)</f>
        <v>48825</v>
      </c>
      <c r="M3576" s="233" t="s">
        <v>636</v>
      </c>
    </row>
    <row r="3577" spans="2:13" ht="18.75" customHeight="1" x14ac:dyDescent="0.25">
      <c r="B3577" s="550"/>
      <c r="C3577" s="223"/>
      <c r="D3577" s="550"/>
      <c r="E3577" s="224"/>
      <c r="F3577" s="233"/>
      <c r="G3577" s="290"/>
      <c r="H3577" s="231"/>
      <c r="M3577" s="233"/>
    </row>
    <row r="3578" spans="2:13" ht="18.75" customHeight="1" x14ac:dyDescent="0.25">
      <c r="B3578" s="550" t="s">
        <v>637</v>
      </c>
      <c r="C3578" s="223" t="s">
        <v>638</v>
      </c>
      <c r="D3578" s="550"/>
      <c r="E3578" s="224"/>
      <c r="F3578" s="225"/>
      <c r="G3578" s="290"/>
      <c r="H3578" s="226"/>
      <c r="M3578" s="225"/>
    </row>
    <row r="3579" spans="2:13" ht="18.75" customHeight="1" x14ac:dyDescent="0.25">
      <c r="B3579" s="550"/>
      <c r="C3579" s="223" t="s">
        <v>708</v>
      </c>
      <c r="D3579" s="550"/>
      <c r="E3579" s="224" t="s">
        <v>62</v>
      </c>
      <c r="F3579" s="228">
        <v>4.4160000000000004</v>
      </c>
      <c r="G3579" s="234">
        <f>+G3554</f>
        <v>1700</v>
      </c>
      <c r="H3579" s="230">
        <f>+G3579*F3579</f>
        <v>7507.2000000000007</v>
      </c>
      <c r="M3579" s="228">
        <v>4.4160000000000004</v>
      </c>
    </row>
    <row r="3580" spans="2:13" ht="18.75" customHeight="1" x14ac:dyDescent="0.25">
      <c r="B3580" s="550"/>
      <c r="C3580" s="223" t="s">
        <v>661</v>
      </c>
      <c r="D3580" s="550"/>
      <c r="E3580" s="224" t="s">
        <v>955</v>
      </c>
      <c r="F3580" s="228">
        <v>2.7E-2</v>
      </c>
      <c r="G3580" s="229">
        <f>+G3555</f>
        <v>230000</v>
      </c>
      <c r="H3580" s="230">
        <f>+G3580*F3580</f>
        <v>6210</v>
      </c>
      <c r="M3580" s="228">
        <v>2.7E-2</v>
      </c>
    </row>
    <row r="3581" spans="2:13" ht="18.75" customHeight="1" x14ac:dyDescent="0.25">
      <c r="B3581" s="550"/>
      <c r="C3581" s="223"/>
      <c r="D3581" s="550"/>
      <c r="E3581" s="224"/>
      <c r="F3581" s="237" t="s">
        <v>643</v>
      </c>
      <c r="G3581" s="290"/>
      <c r="H3581" s="231">
        <f>SUM(H3579:H3580)</f>
        <v>13717.2</v>
      </c>
      <c r="M3581" s="237" t="s">
        <v>643</v>
      </c>
    </row>
    <row r="3582" spans="2:13" ht="18.75" customHeight="1" x14ac:dyDescent="0.25">
      <c r="B3582" s="550"/>
      <c r="C3582" s="223"/>
      <c r="D3582" s="550"/>
      <c r="E3582" s="224"/>
      <c r="F3582" s="225"/>
      <c r="G3582" s="290"/>
      <c r="H3582" s="226"/>
      <c r="M3582" s="225"/>
    </row>
    <row r="3583" spans="2:13" ht="18.75" customHeight="1" x14ac:dyDescent="0.25">
      <c r="B3583" s="550" t="s">
        <v>644</v>
      </c>
      <c r="C3583" s="223" t="s">
        <v>645</v>
      </c>
      <c r="D3583" s="550"/>
      <c r="E3583" s="224"/>
      <c r="F3583" s="225"/>
      <c r="G3583" s="290"/>
      <c r="H3583" s="235"/>
      <c r="M3583" s="225"/>
    </row>
    <row r="3584" spans="2:13" ht="18.75" customHeight="1" x14ac:dyDescent="0.25">
      <c r="B3584" s="236"/>
      <c r="C3584" s="232"/>
      <c r="D3584" s="550"/>
      <c r="E3584" s="224"/>
      <c r="F3584" s="237" t="s">
        <v>646</v>
      </c>
      <c r="G3584" s="290"/>
      <c r="H3584" s="230"/>
      <c r="M3584" s="237" t="s">
        <v>646</v>
      </c>
    </row>
    <row r="3585" spans="2:13" ht="18.75" customHeight="1" x14ac:dyDescent="0.25">
      <c r="B3585" s="236"/>
      <c r="C3585" s="232"/>
      <c r="D3585" s="550"/>
      <c r="E3585" s="224"/>
      <c r="F3585" s="237"/>
      <c r="G3585" s="290"/>
      <c r="H3585" s="226"/>
      <c r="M3585" s="237"/>
    </row>
    <row r="3586" spans="2:13" ht="18.75" customHeight="1" x14ac:dyDescent="0.25">
      <c r="B3586" s="354"/>
      <c r="C3586" s="362"/>
      <c r="D3586" s="239"/>
      <c r="E3586" s="266"/>
      <c r="F3586" s="241"/>
      <c r="G3586" s="370"/>
      <c r="H3586" s="369"/>
      <c r="M3586" s="241"/>
    </row>
    <row r="3587" spans="2:13" ht="18.75" customHeight="1" x14ac:dyDescent="0.25">
      <c r="B3587" s="356" t="s">
        <v>647</v>
      </c>
      <c r="C3587" s="363" t="s">
        <v>648</v>
      </c>
      <c r="D3587" s="435"/>
      <c r="E3587" s="92"/>
      <c r="F3587" s="183"/>
      <c r="G3587" s="295"/>
      <c r="H3587" s="357">
        <f>+H3584+H3581+H3576</f>
        <v>62542.2</v>
      </c>
      <c r="M3587" s="183"/>
    </row>
    <row r="3588" spans="2:13" ht="18.75" customHeight="1" x14ac:dyDescent="0.25">
      <c r="B3588" s="356" t="s">
        <v>649</v>
      </c>
      <c r="C3588" s="364" t="s">
        <v>650</v>
      </c>
      <c r="D3588" s="435"/>
      <c r="E3588" s="92"/>
      <c r="F3588" s="184" t="str">
        <f>$J$5</f>
        <v>8,0 % x D</v>
      </c>
      <c r="G3588" s="295"/>
      <c r="H3588" s="358">
        <f>+H3587*$K$5</f>
        <v>5003.3760000000002</v>
      </c>
      <c r="M3588" s="184" t="str">
        <f>$J$5</f>
        <v>8,0 % x D</v>
      </c>
    </row>
    <row r="3589" spans="2:13" ht="18.75" customHeight="1" x14ac:dyDescent="0.25">
      <c r="B3589" s="356" t="s">
        <v>651</v>
      </c>
      <c r="C3589" s="365" t="s">
        <v>652</v>
      </c>
      <c r="D3589" s="435"/>
      <c r="E3589" s="91"/>
      <c r="F3589" s="185"/>
      <c r="G3589" s="296"/>
      <c r="H3589" s="359">
        <f>ROUNDUP((H3588+H3587)/100,0)*100</f>
        <v>67600</v>
      </c>
      <c r="M3589" s="185"/>
    </row>
    <row r="3590" spans="2:13" ht="18.75" customHeight="1" x14ac:dyDescent="0.25">
      <c r="B3590" s="360"/>
      <c r="C3590" s="366"/>
      <c r="D3590" s="245"/>
      <c r="E3590" s="246"/>
      <c r="F3590" s="247"/>
      <c r="G3590" s="299"/>
      <c r="H3590" s="361"/>
      <c r="M3590" s="247"/>
    </row>
    <row r="3591" spans="2:13" ht="18.75" customHeight="1" x14ac:dyDescent="0.25">
      <c r="B3591" s="22"/>
      <c r="C3591" s="104"/>
      <c r="E3591" s="21"/>
      <c r="F3591" s="176"/>
      <c r="G3591" s="165"/>
      <c r="H3591" s="119"/>
      <c r="M3591" s="176"/>
    </row>
    <row r="3592" spans="2:13" ht="18.75" customHeight="1" x14ac:dyDescent="0.25">
      <c r="B3592" s="19">
        <v>7</v>
      </c>
      <c r="C3592" s="93" t="s">
        <v>988</v>
      </c>
      <c r="D3592" s="19"/>
      <c r="E3592" s="21"/>
      <c r="F3592" s="176"/>
      <c r="G3592" s="165"/>
      <c r="H3592" s="119"/>
      <c r="M3592" s="176"/>
    </row>
    <row r="3593" spans="2:13" ht="18.75" customHeight="1" x14ac:dyDescent="0.25">
      <c r="B3593" s="618" t="s">
        <v>620</v>
      </c>
      <c r="C3593" s="620" t="s">
        <v>621</v>
      </c>
      <c r="D3593" s="618" t="s">
        <v>622</v>
      </c>
      <c r="E3593" s="618" t="s">
        <v>2</v>
      </c>
      <c r="F3593" s="615" t="s">
        <v>623</v>
      </c>
      <c r="G3593" s="289" t="s">
        <v>624</v>
      </c>
      <c r="H3593" s="256" t="s">
        <v>625</v>
      </c>
      <c r="M3593" s="615" t="s">
        <v>623</v>
      </c>
    </row>
    <row r="3594" spans="2:13" ht="18.75" customHeight="1" x14ac:dyDescent="0.25">
      <c r="B3594" s="619"/>
      <c r="C3594" s="621"/>
      <c r="D3594" s="619"/>
      <c r="E3594" s="619"/>
      <c r="F3594" s="616"/>
      <c r="G3594" s="289" t="s">
        <v>626</v>
      </c>
      <c r="H3594" s="256" t="s">
        <v>626</v>
      </c>
      <c r="M3594" s="616"/>
    </row>
    <row r="3595" spans="2:13" ht="18.75" customHeight="1" x14ac:dyDescent="0.25">
      <c r="B3595" s="221"/>
      <c r="C3595" s="222"/>
      <c r="D3595" s="221"/>
      <c r="E3595" s="550"/>
      <c r="F3595" s="555"/>
      <c r="G3595" s="551"/>
      <c r="H3595" s="220"/>
      <c r="M3595" s="590"/>
    </row>
    <row r="3596" spans="2:13" ht="18.75" customHeight="1" x14ac:dyDescent="0.25">
      <c r="B3596" s="550" t="s">
        <v>627</v>
      </c>
      <c r="C3596" s="223" t="s">
        <v>628</v>
      </c>
      <c r="D3596" s="550"/>
      <c r="E3596" s="224"/>
      <c r="F3596" s="225"/>
      <c r="G3596" s="290"/>
      <c r="H3596" s="226"/>
      <c r="M3596" s="225"/>
    </row>
    <row r="3597" spans="2:13" ht="18.75" customHeight="1" x14ac:dyDescent="0.25">
      <c r="B3597" s="550"/>
      <c r="C3597" s="227" t="s">
        <v>629</v>
      </c>
      <c r="D3597" s="550" t="s">
        <v>630</v>
      </c>
      <c r="E3597" s="224" t="s">
        <v>631</v>
      </c>
      <c r="F3597" s="228">
        <f t="shared" ref="F3597:F3600" si="175">$K$8*M3597</f>
        <v>0.3</v>
      </c>
      <c r="G3597" s="229">
        <f>G3572</f>
        <v>95000</v>
      </c>
      <c r="H3597" s="230">
        <f>+G3597*F3597</f>
        <v>28500</v>
      </c>
      <c r="M3597" s="228">
        <v>0.3</v>
      </c>
    </row>
    <row r="3598" spans="2:13" ht="18.75" customHeight="1" x14ac:dyDescent="0.25">
      <c r="B3598" s="550"/>
      <c r="C3598" s="227" t="s">
        <v>1508</v>
      </c>
      <c r="D3598" s="550" t="s">
        <v>634</v>
      </c>
      <c r="E3598" s="224" t="s">
        <v>631</v>
      </c>
      <c r="F3598" s="228">
        <f t="shared" si="175"/>
        <v>0.15</v>
      </c>
      <c r="G3598" s="229">
        <f>G3573</f>
        <v>110000</v>
      </c>
      <c r="H3598" s="230">
        <f>+G3598*F3598</f>
        <v>16500</v>
      </c>
      <c r="M3598" s="228">
        <v>0.15</v>
      </c>
    </row>
    <row r="3599" spans="2:13" ht="18.75" customHeight="1" x14ac:dyDescent="0.25">
      <c r="B3599" s="550"/>
      <c r="C3599" s="227" t="s">
        <v>633</v>
      </c>
      <c r="D3599" s="550" t="s">
        <v>634</v>
      </c>
      <c r="E3599" s="224" t="s">
        <v>631</v>
      </c>
      <c r="F3599" s="228">
        <f t="shared" si="175"/>
        <v>1.4999999999999999E-2</v>
      </c>
      <c r="G3599" s="229">
        <f>G3574</f>
        <v>115000</v>
      </c>
      <c r="H3599" s="230">
        <f>+G3599*F3599</f>
        <v>1725</v>
      </c>
      <c r="M3599" s="228">
        <v>1.4999999999999999E-2</v>
      </c>
    </row>
    <row r="3600" spans="2:13" ht="18.75" customHeight="1" x14ac:dyDescent="0.25">
      <c r="B3600" s="550"/>
      <c r="C3600" s="227" t="s">
        <v>600</v>
      </c>
      <c r="D3600" s="550" t="s">
        <v>635</v>
      </c>
      <c r="E3600" s="224" t="s">
        <v>631</v>
      </c>
      <c r="F3600" s="228">
        <f t="shared" si="175"/>
        <v>1.4999999999999999E-2</v>
      </c>
      <c r="G3600" s="229">
        <f>G3575</f>
        <v>140000</v>
      </c>
      <c r="H3600" s="230">
        <f>+G3600*F3600</f>
        <v>2100</v>
      </c>
      <c r="M3600" s="228">
        <v>1.4999999999999999E-2</v>
      </c>
    </row>
    <row r="3601" spans="2:13" ht="18.75" customHeight="1" x14ac:dyDescent="0.25">
      <c r="B3601" s="550"/>
      <c r="C3601" s="223"/>
      <c r="D3601" s="550"/>
      <c r="E3601" s="224"/>
      <c r="F3601" s="233" t="s">
        <v>636</v>
      </c>
      <c r="G3601" s="290"/>
      <c r="H3601" s="231">
        <f>SUM(H3597:H3600)</f>
        <v>48825</v>
      </c>
      <c r="M3601" s="233" t="s">
        <v>636</v>
      </c>
    </row>
    <row r="3602" spans="2:13" ht="18.75" customHeight="1" x14ac:dyDescent="0.25">
      <c r="B3602" s="550"/>
      <c r="C3602" s="223"/>
      <c r="D3602" s="550"/>
      <c r="E3602" s="224"/>
      <c r="F3602" s="233"/>
      <c r="G3602" s="290"/>
      <c r="H3602" s="230"/>
      <c r="M3602" s="233"/>
    </row>
    <row r="3603" spans="2:13" ht="18.75" customHeight="1" x14ac:dyDescent="0.25">
      <c r="B3603" s="550" t="s">
        <v>637</v>
      </c>
      <c r="C3603" s="223" t="s">
        <v>638</v>
      </c>
      <c r="D3603" s="550"/>
      <c r="E3603" s="224"/>
      <c r="F3603" s="225"/>
      <c r="G3603" s="290"/>
      <c r="H3603" s="226"/>
      <c r="M3603" s="225"/>
    </row>
    <row r="3604" spans="2:13" ht="18.75" customHeight="1" x14ac:dyDescent="0.25">
      <c r="B3604" s="550"/>
      <c r="C3604" s="223" t="s">
        <v>708</v>
      </c>
      <c r="D3604" s="550"/>
      <c r="E3604" s="224" t="s">
        <v>62</v>
      </c>
      <c r="F3604" s="228">
        <v>3.9</v>
      </c>
      <c r="G3604" s="234">
        <f>G3579</f>
        <v>1700</v>
      </c>
      <c r="H3604" s="230">
        <f>+G3604*F3604</f>
        <v>6630</v>
      </c>
      <c r="M3604" s="228">
        <v>3.9</v>
      </c>
    </row>
    <row r="3605" spans="2:13" ht="18.75" customHeight="1" x14ac:dyDescent="0.25">
      <c r="B3605" s="550"/>
      <c r="C3605" s="223" t="s">
        <v>661</v>
      </c>
      <c r="D3605" s="550"/>
      <c r="E3605" s="224" t="s">
        <v>955</v>
      </c>
      <c r="F3605" s="228">
        <v>2.5999999999999999E-2</v>
      </c>
      <c r="G3605" s="229">
        <f>G3580</f>
        <v>230000</v>
      </c>
      <c r="H3605" s="230">
        <f>+G3605*F3605</f>
        <v>5980</v>
      </c>
      <c r="M3605" s="228">
        <v>2.5999999999999999E-2</v>
      </c>
    </row>
    <row r="3606" spans="2:13" ht="18.75" customHeight="1" x14ac:dyDescent="0.25">
      <c r="B3606" s="550"/>
      <c r="C3606" s="223"/>
      <c r="D3606" s="550"/>
      <c r="E3606" s="224"/>
      <c r="F3606" s="237" t="s">
        <v>643</v>
      </c>
      <c r="G3606" s="290"/>
      <c r="H3606" s="231">
        <f>SUM(H3604:H3604)</f>
        <v>6630</v>
      </c>
      <c r="M3606" s="237" t="s">
        <v>643</v>
      </c>
    </row>
    <row r="3607" spans="2:13" ht="18.75" customHeight="1" x14ac:dyDescent="0.25">
      <c r="B3607" s="550"/>
      <c r="C3607" s="223"/>
      <c r="D3607" s="550"/>
      <c r="E3607" s="224"/>
      <c r="F3607" s="225"/>
      <c r="G3607" s="290"/>
      <c r="H3607" s="226"/>
      <c r="M3607" s="225"/>
    </row>
    <row r="3608" spans="2:13" ht="18.75" customHeight="1" x14ac:dyDescent="0.25">
      <c r="B3608" s="550" t="s">
        <v>644</v>
      </c>
      <c r="C3608" s="223" t="s">
        <v>645</v>
      </c>
      <c r="D3608" s="550"/>
      <c r="E3608" s="224"/>
      <c r="F3608" s="225"/>
      <c r="G3608" s="290"/>
      <c r="H3608" s="235"/>
      <c r="M3608" s="225"/>
    </row>
    <row r="3609" spans="2:13" ht="18.75" customHeight="1" x14ac:dyDescent="0.25">
      <c r="B3609" s="236"/>
      <c r="C3609" s="232"/>
      <c r="D3609" s="550"/>
      <c r="E3609" s="224"/>
      <c r="F3609" s="237" t="s">
        <v>646</v>
      </c>
      <c r="G3609" s="290"/>
      <c r="H3609" s="230"/>
      <c r="M3609" s="237" t="s">
        <v>646</v>
      </c>
    </row>
    <row r="3610" spans="2:13" ht="18.75" customHeight="1" x14ac:dyDescent="0.25">
      <c r="B3610" s="236"/>
      <c r="C3610" s="232"/>
      <c r="D3610" s="550"/>
      <c r="E3610" s="224"/>
      <c r="F3610" s="237"/>
      <c r="G3610" s="290"/>
      <c r="H3610" s="226"/>
      <c r="M3610" s="237"/>
    </row>
    <row r="3611" spans="2:13" ht="18.75" customHeight="1" x14ac:dyDescent="0.25">
      <c r="B3611" s="354"/>
      <c r="C3611" s="362"/>
      <c r="D3611" s="239"/>
      <c r="E3611" s="266"/>
      <c r="F3611" s="241"/>
      <c r="G3611" s="370"/>
      <c r="H3611" s="369"/>
      <c r="M3611" s="241"/>
    </row>
    <row r="3612" spans="2:13" ht="18.75" customHeight="1" x14ac:dyDescent="0.25">
      <c r="B3612" s="356" t="s">
        <v>647</v>
      </c>
      <c r="C3612" s="363" t="s">
        <v>648</v>
      </c>
      <c r="D3612" s="435"/>
      <c r="E3612" s="92"/>
      <c r="F3612" s="183"/>
      <c r="G3612" s="295"/>
      <c r="H3612" s="357">
        <f>+H3609+H3606+H3601</f>
        <v>55455</v>
      </c>
      <c r="M3612" s="183"/>
    </row>
    <row r="3613" spans="2:13" ht="18.75" customHeight="1" x14ac:dyDescent="0.25">
      <c r="B3613" s="356" t="s">
        <v>649</v>
      </c>
      <c r="C3613" s="364" t="s">
        <v>650</v>
      </c>
      <c r="D3613" s="435"/>
      <c r="E3613" s="92"/>
      <c r="F3613" s="184" t="str">
        <f>$J$5</f>
        <v>8,0 % x D</v>
      </c>
      <c r="G3613" s="295"/>
      <c r="H3613" s="358">
        <f>+H3612*$K$5</f>
        <v>4436.4000000000005</v>
      </c>
      <c r="M3613" s="184" t="str">
        <f>$J$5</f>
        <v>8,0 % x D</v>
      </c>
    </row>
    <row r="3614" spans="2:13" ht="18.75" customHeight="1" x14ac:dyDescent="0.25">
      <c r="B3614" s="356" t="s">
        <v>651</v>
      </c>
      <c r="C3614" s="365" t="s">
        <v>652</v>
      </c>
      <c r="D3614" s="435"/>
      <c r="E3614" s="91"/>
      <c r="F3614" s="185"/>
      <c r="G3614" s="296"/>
      <c r="H3614" s="359">
        <f>ROUNDUP((H3613+H3612)/100,0)*100</f>
        <v>59900</v>
      </c>
      <c r="M3614" s="185"/>
    </row>
    <row r="3615" spans="2:13" ht="18.75" customHeight="1" x14ac:dyDescent="0.25">
      <c r="B3615" s="360"/>
      <c r="C3615" s="366"/>
      <c r="D3615" s="245"/>
      <c r="E3615" s="246"/>
      <c r="F3615" s="247"/>
      <c r="G3615" s="299"/>
      <c r="H3615" s="361"/>
      <c r="M3615" s="247"/>
    </row>
    <row r="3616" spans="2:13" ht="18.75" customHeight="1" x14ac:dyDescent="0.25">
      <c r="B3616" s="92"/>
      <c r="C3616" s="104"/>
      <c r="D3616" s="435"/>
      <c r="E3616" s="91"/>
      <c r="F3616" s="185"/>
      <c r="G3616" s="168"/>
      <c r="H3616" s="139"/>
      <c r="M3616" s="185"/>
    </row>
    <row r="3617" spans="2:13" ht="18.75" customHeight="1" x14ac:dyDescent="0.25">
      <c r="B3617" s="19">
        <v>8</v>
      </c>
      <c r="C3617" s="93" t="s">
        <v>989</v>
      </c>
      <c r="D3617" s="19"/>
      <c r="E3617" s="21"/>
      <c r="F3617" s="176"/>
      <c r="G3617" s="165"/>
      <c r="H3617" s="119"/>
      <c r="M3617" s="176"/>
    </row>
    <row r="3618" spans="2:13" ht="18.75" customHeight="1" x14ac:dyDescent="0.25">
      <c r="B3618" s="618" t="s">
        <v>620</v>
      </c>
      <c r="C3618" s="620" t="s">
        <v>621</v>
      </c>
      <c r="D3618" s="618" t="s">
        <v>622</v>
      </c>
      <c r="E3618" s="618" t="s">
        <v>2</v>
      </c>
      <c r="F3618" s="615" t="s">
        <v>623</v>
      </c>
      <c r="G3618" s="289" t="s">
        <v>624</v>
      </c>
      <c r="H3618" s="256" t="s">
        <v>625</v>
      </c>
      <c r="M3618" s="615" t="s">
        <v>623</v>
      </c>
    </row>
    <row r="3619" spans="2:13" ht="18.75" customHeight="1" x14ac:dyDescent="0.25">
      <c r="B3619" s="619"/>
      <c r="C3619" s="621"/>
      <c r="D3619" s="619"/>
      <c r="E3619" s="619"/>
      <c r="F3619" s="616"/>
      <c r="G3619" s="289" t="s">
        <v>626</v>
      </c>
      <c r="H3619" s="256" t="s">
        <v>626</v>
      </c>
      <c r="M3619" s="616"/>
    </row>
    <row r="3620" spans="2:13" ht="18.75" customHeight="1" x14ac:dyDescent="0.25">
      <c r="B3620" s="221"/>
      <c r="C3620" s="222"/>
      <c r="D3620" s="221"/>
      <c r="E3620" s="550"/>
      <c r="F3620" s="555"/>
      <c r="G3620" s="551"/>
      <c r="H3620" s="220"/>
      <c r="M3620" s="590"/>
    </row>
    <row r="3621" spans="2:13" ht="18.75" customHeight="1" x14ac:dyDescent="0.25">
      <c r="B3621" s="550" t="s">
        <v>627</v>
      </c>
      <c r="C3621" s="223" t="s">
        <v>628</v>
      </c>
      <c r="D3621" s="550"/>
      <c r="E3621" s="224"/>
      <c r="F3621" s="225"/>
      <c r="G3621" s="290"/>
      <c r="H3621" s="226"/>
      <c r="M3621" s="225"/>
    </row>
    <row r="3622" spans="2:13" ht="18.75" customHeight="1" x14ac:dyDescent="0.25">
      <c r="B3622" s="550"/>
      <c r="C3622" s="227" t="s">
        <v>629</v>
      </c>
      <c r="D3622" s="550" t="s">
        <v>630</v>
      </c>
      <c r="E3622" s="224" t="s">
        <v>631</v>
      </c>
      <c r="F3622" s="228">
        <f t="shared" ref="F3622:F3625" si="176">$K$8*M3622</f>
        <v>0.3</v>
      </c>
      <c r="G3622" s="229">
        <f>G3597</f>
        <v>95000</v>
      </c>
      <c r="H3622" s="230">
        <f>+G3622*F3622</f>
        <v>28500</v>
      </c>
      <c r="M3622" s="228">
        <v>0.3</v>
      </c>
    </row>
    <row r="3623" spans="2:13" ht="18.75" customHeight="1" x14ac:dyDescent="0.25">
      <c r="B3623" s="550"/>
      <c r="C3623" s="227" t="s">
        <v>1508</v>
      </c>
      <c r="D3623" s="550" t="s">
        <v>634</v>
      </c>
      <c r="E3623" s="224" t="s">
        <v>631</v>
      </c>
      <c r="F3623" s="228">
        <f t="shared" si="176"/>
        <v>0.15</v>
      </c>
      <c r="G3623" s="229">
        <f>G3598</f>
        <v>110000</v>
      </c>
      <c r="H3623" s="230">
        <f>+G3623*F3623</f>
        <v>16500</v>
      </c>
      <c r="M3623" s="228">
        <v>0.15</v>
      </c>
    </row>
    <row r="3624" spans="2:13" ht="18.75" customHeight="1" x14ac:dyDescent="0.25">
      <c r="B3624" s="550"/>
      <c r="C3624" s="227" t="s">
        <v>633</v>
      </c>
      <c r="D3624" s="550" t="s">
        <v>634</v>
      </c>
      <c r="E3624" s="224" t="s">
        <v>631</v>
      </c>
      <c r="F3624" s="228">
        <f t="shared" si="176"/>
        <v>1.4999999999999999E-2</v>
      </c>
      <c r="G3624" s="229">
        <f>G3599</f>
        <v>115000</v>
      </c>
      <c r="H3624" s="230">
        <f>+G3624*F3624</f>
        <v>1725</v>
      </c>
      <c r="M3624" s="228">
        <v>1.4999999999999999E-2</v>
      </c>
    </row>
    <row r="3625" spans="2:13" ht="18.75" customHeight="1" x14ac:dyDescent="0.25">
      <c r="B3625" s="550"/>
      <c r="C3625" s="227" t="s">
        <v>600</v>
      </c>
      <c r="D3625" s="550" t="s">
        <v>635</v>
      </c>
      <c r="E3625" s="224" t="s">
        <v>631</v>
      </c>
      <c r="F3625" s="228">
        <f t="shared" si="176"/>
        <v>1.4999999999999999E-2</v>
      </c>
      <c r="G3625" s="229">
        <f>G3600</f>
        <v>140000</v>
      </c>
      <c r="H3625" s="230">
        <f>+G3625*F3625</f>
        <v>2100</v>
      </c>
      <c r="M3625" s="228">
        <v>1.4999999999999999E-2</v>
      </c>
    </row>
    <row r="3626" spans="2:13" ht="18.75" customHeight="1" x14ac:dyDescent="0.25">
      <c r="B3626" s="550"/>
      <c r="C3626" s="223"/>
      <c r="D3626" s="550"/>
      <c r="E3626" s="224"/>
      <c r="F3626" s="233" t="s">
        <v>636</v>
      </c>
      <c r="G3626" s="290"/>
      <c r="H3626" s="231">
        <f>SUM(H3622:H3625)</f>
        <v>48825</v>
      </c>
      <c r="M3626" s="233" t="s">
        <v>636</v>
      </c>
    </row>
    <row r="3627" spans="2:13" ht="18.75" customHeight="1" x14ac:dyDescent="0.25">
      <c r="B3627" s="550"/>
      <c r="C3627" s="223"/>
      <c r="D3627" s="550"/>
      <c r="E3627" s="224"/>
      <c r="F3627" s="233"/>
      <c r="G3627" s="290"/>
      <c r="H3627" s="231"/>
      <c r="M3627" s="233"/>
    </row>
    <row r="3628" spans="2:13" ht="18.75" customHeight="1" x14ac:dyDescent="0.25">
      <c r="B3628" s="550" t="s">
        <v>637</v>
      </c>
      <c r="C3628" s="223" t="s">
        <v>638</v>
      </c>
      <c r="D3628" s="550"/>
      <c r="E3628" s="224"/>
      <c r="F3628" s="225"/>
      <c r="G3628" s="290"/>
      <c r="H3628" s="226"/>
      <c r="M3628" s="225"/>
    </row>
    <row r="3629" spans="2:13" ht="18.75" customHeight="1" x14ac:dyDescent="0.25">
      <c r="B3629" s="550"/>
      <c r="C3629" s="223" t="s">
        <v>708</v>
      </c>
      <c r="D3629" s="550"/>
      <c r="E3629" s="224" t="s">
        <v>62</v>
      </c>
      <c r="F3629" s="228">
        <v>3.456</v>
      </c>
      <c r="G3629" s="234">
        <f>+G3579</f>
        <v>1700</v>
      </c>
      <c r="H3629" s="230">
        <f>+G3629*F3629</f>
        <v>5875.2</v>
      </c>
      <c r="M3629" s="228">
        <v>3.456</v>
      </c>
    </row>
    <row r="3630" spans="2:13" ht="18.75" customHeight="1" x14ac:dyDescent="0.25">
      <c r="B3630" s="550"/>
      <c r="C3630" s="223" t="s">
        <v>661</v>
      </c>
      <c r="D3630" s="550"/>
      <c r="E3630" s="224" t="s">
        <v>955</v>
      </c>
      <c r="F3630" s="228">
        <v>0.02</v>
      </c>
      <c r="G3630" s="229">
        <f>+G3580</f>
        <v>230000</v>
      </c>
      <c r="H3630" s="230">
        <f>+G3630*F3630</f>
        <v>4600</v>
      </c>
      <c r="M3630" s="228">
        <v>0.02</v>
      </c>
    </row>
    <row r="3631" spans="2:13" ht="18.75" customHeight="1" x14ac:dyDescent="0.25">
      <c r="B3631" s="550"/>
      <c r="C3631" s="223"/>
      <c r="D3631" s="550"/>
      <c r="E3631" s="224"/>
      <c r="F3631" s="237" t="s">
        <v>643</v>
      </c>
      <c r="G3631" s="290"/>
      <c r="H3631" s="231">
        <f>SUM(H3629:H3630)</f>
        <v>10475.200000000001</v>
      </c>
      <c r="M3631" s="237" t="s">
        <v>643</v>
      </c>
    </row>
    <row r="3632" spans="2:13" ht="18.75" customHeight="1" x14ac:dyDescent="0.25">
      <c r="B3632" s="550"/>
      <c r="C3632" s="223"/>
      <c r="D3632" s="550"/>
      <c r="E3632" s="224"/>
      <c r="F3632" s="225"/>
      <c r="G3632" s="290"/>
      <c r="H3632" s="226"/>
      <c r="M3632" s="225"/>
    </row>
    <row r="3633" spans="2:13" ht="18.75" customHeight="1" x14ac:dyDescent="0.25">
      <c r="B3633" s="550" t="s">
        <v>644</v>
      </c>
      <c r="C3633" s="223" t="s">
        <v>645</v>
      </c>
      <c r="D3633" s="550"/>
      <c r="E3633" s="224"/>
      <c r="F3633" s="225"/>
      <c r="G3633" s="290"/>
      <c r="H3633" s="235"/>
      <c r="M3633" s="225"/>
    </row>
    <row r="3634" spans="2:13" ht="18.75" customHeight="1" x14ac:dyDescent="0.25">
      <c r="B3634" s="236"/>
      <c r="C3634" s="232"/>
      <c r="D3634" s="550"/>
      <c r="E3634" s="224"/>
      <c r="F3634" s="237" t="s">
        <v>646</v>
      </c>
      <c r="G3634" s="290"/>
      <c r="H3634" s="230"/>
      <c r="M3634" s="237" t="s">
        <v>646</v>
      </c>
    </row>
    <row r="3635" spans="2:13" ht="18.75" customHeight="1" x14ac:dyDescent="0.25">
      <c r="B3635" s="236"/>
      <c r="C3635" s="232"/>
      <c r="D3635" s="550"/>
      <c r="E3635" s="224"/>
      <c r="F3635" s="237"/>
      <c r="G3635" s="290"/>
      <c r="H3635" s="226"/>
      <c r="M3635" s="237"/>
    </row>
    <row r="3636" spans="2:13" ht="18.75" customHeight="1" x14ac:dyDescent="0.25">
      <c r="B3636" s="354"/>
      <c r="C3636" s="362"/>
      <c r="D3636" s="239"/>
      <c r="E3636" s="240"/>
      <c r="F3636" s="241"/>
      <c r="G3636" s="293"/>
      <c r="H3636" s="355"/>
      <c r="M3636" s="241"/>
    </row>
    <row r="3637" spans="2:13" ht="18.75" customHeight="1" x14ac:dyDescent="0.25">
      <c r="B3637" s="356" t="s">
        <v>647</v>
      </c>
      <c r="C3637" s="363" t="s">
        <v>648</v>
      </c>
      <c r="D3637" s="435"/>
      <c r="E3637" s="92"/>
      <c r="F3637" s="183"/>
      <c r="G3637" s="295"/>
      <c r="H3637" s="357">
        <f>+H3634+H3631+H3626</f>
        <v>59300.2</v>
      </c>
      <c r="M3637" s="183"/>
    </row>
    <row r="3638" spans="2:13" ht="18.75" customHeight="1" x14ac:dyDescent="0.25">
      <c r="B3638" s="356" t="s">
        <v>649</v>
      </c>
      <c r="C3638" s="364" t="s">
        <v>650</v>
      </c>
      <c r="D3638" s="435"/>
      <c r="E3638" s="92"/>
      <c r="F3638" s="184" t="str">
        <f>$J$5</f>
        <v>8,0 % x D</v>
      </c>
      <c r="G3638" s="295"/>
      <c r="H3638" s="358">
        <f>+H3637*$K$5</f>
        <v>4744.0159999999996</v>
      </c>
      <c r="M3638" s="184" t="str">
        <f>$J$5</f>
        <v>8,0 % x D</v>
      </c>
    </row>
    <row r="3639" spans="2:13" ht="18.75" customHeight="1" x14ac:dyDescent="0.25">
      <c r="B3639" s="356" t="s">
        <v>651</v>
      </c>
      <c r="C3639" s="365" t="s">
        <v>652</v>
      </c>
      <c r="D3639" s="435"/>
      <c r="E3639" s="91"/>
      <c r="F3639" s="185"/>
      <c r="G3639" s="296"/>
      <c r="H3639" s="359">
        <f>ROUNDUP((H3638+H3637)/100,0)*100</f>
        <v>64100</v>
      </c>
      <c r="M3639" s="185"/>
    </row>
    <row r="3640" spans="2:13" ht="18.75" customHeight="1" x14ac:dyDescent="0.25">
      <c r="B3640" s="360"/>
      <c r="C3640" s="366"/>
      <c r="D3640" s="245"/>
      <c r="E3640" s="246"/>
      <c r="F3640" s="247"/>
      <c r="G3640" s="299"/>
      <c r="H3640" s="361"/>
      <c r="M3640" s="247"/>
    </row>
    <row r="3641" spans="2:13" ht="18.75" customHeight="1" x14ac:dyDescent="0.25">
      <c r="B3641" s="22"/>
      <c r="C3641" s="104"/>
      <c r="E3641" s="21"/>
      <c r="F3641" s="176"/>
      <c r="G3641" s="165"/>
      <c r="H3641" s="119"/>
      <c r="M3641" s="176"/>
    </row>
    <row r="3642" spans="2:13" ht="18.75" customHeight="1" x14ac:dyDescent="0.25">
      <c r="B3642" s="19">
        <v>9</v>
      </c>
      <c r="C3642" s="93" t="s">
        <v>1461</v>
      </c>
      <c r="D3642" s="19"/>
      <c r="E3642" s="21"/>
      <c r="F3642" s="176"/>
      <c r="G3642" s="165"/>
      <c r="H3642" s="119"/>
      <c r="M3642" s="176"/>
    </row>
    <row r="3643" spans="2:13" ht="18.75" customHeight="1" x14ac:dyDescent="0.25">
      <c r="B3643" s="618" t="s">
        <v>620</v>
      </c>
      <c r="C3643" s="620" t="s">
        <v>621</v>
      </c>
      <c r="D3643" s="618" t="s">
        <v>622</v>
      </c>
      <c r="E3643" s="618" t="s">
        <v>2</v>
      </c>
      <c r="F3643" s="615" t="s">
        <v>623</v>
      </c>
      <c r="G3643" s="289" t="s">
        <v>624</v>
      </c>
      <c r="H3643" s="256" t="s">
        <v>625</v>
      </c>
      <c r="M3643" s="615" t="s">
        <v>623</v>
      </c>
    </row>
    <row r="3644" spans="2:13" ht="18.75" customHeight="1" x14ac:dyDescent="0.25">
      <c r="B3644" s="619"/>
      <c r="C3644" s="621"/>
      <c r="D3644" s="619"/>
      <c r="E3644" s="619"/>
      <c r="F3644" s="616"/>
      <c r="G3644" s="289" t="s">
        <v>626</v>
      </c>
      <c r="H3644" s="256" t="s">
        <v>626</v>
      </c>
      <c r="M3644" s="616"/>
    </row>
    <row r="3645" spans="2:13" ht="18.75" customHeight="1" x14ac:dyDescent="0.25">
      <c r="B3645" s="221"/>
      <c r="C3645" s="222"/>
      <c r="D3645" s="221"/>
      <c r="E3645" s="550"/>
      <c r="F3645" s="555"/>
      <c r="G3645" s="551"/>
      <c r="H3645" s="220"/>
      <c r="M3645" s="590"/>
    </row>
    <row r="3646" spans="2:13" ht="18.75" customHeight="1" x14ac:dyDescent="0.25">
      <c r="B3646" s="550" t="s">
        <v>627</v>
      </c>
      <c r="C3646" s="223" t="s">
        <v>628</v>
      </c>
      <c r="D3646" s="550"/>
      <c r="E3646" s="224"/>
      <c r="F3646" s="225"/>
      <c r="G3646" s="290"/>
      <c r="H3646" s="226"/>
      <c r="M3646" s="225"/>
    </row>
    <row r="3647" spans="2:13" ht="18.75" customHeight="1" x14ac:dyDescent="0.25">
      <c r="B3647" s="550"/>
      <c r="C3647" s="227" t="s">
        <v>629</v>
      </c>
      <c r="D3647" s="550" t="s">
        <v>630</v>
      </c>
      <c r="E3647" s="224" t="s">
        <v>631</v>
      </c>
      <c r="F3647" s="228">
        <f t="shared" ref="F3647:F3650" si="177">$K$8*M3647</f>
        <v>0.36</v>
      </c>
      <c r="G3647" s="229">
        <f>G3622</f>
        <v>95000</v>
      </c>
      <c r="H3647" s="230">
        <f>+G3647*F3647</f>
        <v>34200</v>
      </c>
      <c r="M3647" s="228">
        <v>0.36</v>
      </c>
    </row>
    <row r="3648" spans="2:13" ht="18.75" customHeight="1" x14ac:dyDescent="0.25">
      <c r="B3648" s="550"/>
      <c r="C3648" s="227" t="s">
        <v>1508</v>
      </c>
      <c r="D3648" s="550" t="s">
        <v>634</v>
      </c>
      <c r="E3648" s="224" t="s">
        <v>631</v>
      </c>
      <c r="F3648" s="228">
        <f t="shared" si="177"/>
        <v>0.12</v>
      </c>
      <c r="G3648" s="229">
        <f>G3623</f>
        <v>110000</v>
      </c>
      <c r="H3648" s="230">
        <f>+G3648*F3648</f>
        <v>13200</v>
      </c>
      <c r="M3648" s="228">
        <v>0.12</v>
      </c>
    </row>
    <row r="3649" spans="2:13" ht="18.75" customHeight="1" x14ac:dyDescent="0.25">
      <c r="B3649" s="550"/>
      <c r="C3649" s="227" t="s">
        <v>633</v>
      </c>
      <c r="D3649" s="550" t="s">
        <v>634</v>
      </c>
      <c r="E3649" s="224" t="s">
        <v>631</v>
      </c>
      <c r="F3649" s="228">
        <f t="shared" si="177"/>
        <v>1.2E-2</v>
      </c>
      <c r="G3649" s="229">
        <f>G3624</f>
        <v>115000</v>
      </c>
      <c r="H3649" s="230">
        <f>+G3649*F3649</f>
        <v>1380</v>
      </c>
      <c r="M3649" s="228">
        <v>1.2E-2</v>
      </c>
    </row>
    <row r="3650" spans="2:13" ht="18.75" customHeight="1" x14ac:dyDescent="0.25">
      <c r="B3650" s="550"/>
      <c r="C3650" s="227" t="s">
        <v>600</v>
      </c>
      <c r="D3650" s="550" t="s">
        <v>635</v>
      </c>
      <c r="E3650" s="224" t="s">
        <v>631</v>
      </c>
      <c r="F3650" s="228">
        <f t="shared" si="177"/>
        <v>1.7999999999999999E-2</v>
      </c>
      <c r="G3650" s="229">
        <f>G3625</f>
        <v>140000</v>
      </c>
      <c r="H3650" s="230">
        <f>+G3650*F3650</f>
        <v>2520</v>
      </c>
      <c r="M3650" s="228">
        <v>1.7999999999999999E-2</v>
      </c>
    </row>
    <row r="3651" spans="2:13" ht="18.75" customHeight="1" x14ac:dyDescent="0.25">
      <c r="B3651" s="550"/>
      <c r="C3651" s="223"/>
      <c r="D3651" s="550"/>
      <c r="E3651" s="224"/>
      <c r="F3651" s="233" t="s">
        <v>636</v>
      </c>
      <c r="G3651" s="290"/>
      <c r="H3651" s="231">
        <f>SUM(H3647:H3650)</f>
        <v>51300</v>
      </c>
      <c r="M3651" s="233" t="s">
        <v>636</v>
      </c>
    </row>
    <row r="3652" spans="2:13" ht="18.75" customHeight="1" x14ac:dyDescent="0.25">
      <c r="B3652" s="550"/>
      <c r="C3652" s="223"/>
      <c r="D3652" s="550"/>
      <c r="E3652" s="224"/>
      <c r="F3652" s="233"/>
      <c r="G3652" s="290"/>
      <c r="H3652" s="231"/>
      <c r="M3652" s="233"/>
    </row>
    <row r="3653" spans="2:13" ht="18.75" customHeight="1" x14ac:dyDescent="0.25">
      <c r="B3653" s="550" t="s">
        <v>637</v>
      </c>
      <c r="C3653" s="223" t="s">
        <v>638</v>
      </c>
      <c r="D3653" s="550"/>
      <c r="E3653" s="224"/>
      <c r="F3653" s="225"/>
      <c r="G3653" s="290"/>
      <c r="H3653" s="226"/>
      <c r="M3653" s="225"/>
    </row>
    <row r="3654" spans="2:13" ht="18.75" customHeight="1" x14ac:dyDescent="0.25">
      <c r="B3654" s="550"/>
      <c r="C3654" s="223" t="s">
        <v>708</v>
      </c>
      <c r="D3654" s="550"/>
      <c r="E3654" s="224" t="s">
        <v>62</v>
      </c>
      <c r="F3654" s="228">
        <v>5.76</v>
      </c>
      <c r="G3654" s="234">
        <f>G3629</f>
        <v>1700</v>
      </c>
      <c r="H3654" s="230">
        <f>+G3654*F3654</f>
        <v>9792</v>
      </c>
      <c r="M3654" s="228">
        <v>5.76</v>
      </c>
    </row>
    <row r="3655" spans="2:13" ht="18.75" customHeight="1" x14ac:dyDescent="0.25">
      <c r="B3655" s="550"/>
      <c r="C3655" s="223" t="s">
        <v>1603</v>
      </c>
      <c r="D3655" s="550"/>
      <c r="E3655" s="224" t="s">
        <v>955</v>
      </c>
      <c r="F3655" s="228">
        <v>3.0000000000000001E-3</v>
      </c>
      <c r="G3655" s="229">
        <f>G3154</f>
        <v>125000</v>
      </c>
      <c r="H3655" s="230">
        <f>+G3655*F3655</f>
        <v>375</v>
      </c>
      <c r="M3655" s="228">
        <v>3.0000000000000001E-3</v>
      </c>
    </row>
    <row r="3656" spans="2:13" ht="18.75" customHeight="1" x14ac:dyDescent="0.25">
      <c r="B3656" s="550"/>
      <c r="C3656" s="223" t="s">
        <v>661</v>
      </c>
      <c r="D3656" s="550"/>
      <c r="E3656" s="224" t="s">
        <v>955</v>
      </c>
      <c r="F3656" s="228">
        <v>1.2999999999999999E-2</v>
      </c>
      <c r="G3656" s="229">
        <f>G3630</f>
        <v>230000</v>
      </c>
      <c r="H3656" s="230">
        <f>+G3656*F3656</f>
        <v>2990</v>
      </c>
      <c r="M3656" s="228">
        <v>1.2999999999999999E-2</v>
      </c>
    </row>
    <row r="3657" spans="2:13" ht="18.75" customHeight="1" x14ac:dyDescent="0.25">
      <c r="B3657" s="550"/>
      <c r="C3657" s="223"/>
      <c r="D3657" s="550"/>
      <c r="E3657" s="224"/>
      <c r="F3657" s="237" t="s">
        <v>643</v>
      </c>
      <c r="G3657" s="290"/>
      <c r="H3657" s="231">
        <f>SUM(H3654:H3654)</f>
        <v>9792</v>
      </c>
      <c r="M3657" s="237" t="s">
        <v>643</v>
      </c>
    </row>
    <row r="3658" spans="2:13" ht="18.75" customHeight="1" x14ac:dyDescent="0.25">
      <c r="B3658" s="550"/>
      <c r="C3658" s="223"/>
      <c r="D3658" s="550"/>
      <c r="E3658" s="224"/>
      <c r="F3658" s="225"/>
      <c r="G3658" s="290"/>
      <c r="H3658" s="226"/>
      <c r="M3658" s="225"/>
    </row>
    <row r="3659" spans="2:13" ht="18.75" customHeight="1" x14ac:dyDescent="0.25">
      <c r="B3659" s="550" t="s">
        <v>644</v>
      </c>
      <c r="C3659" s="223" t="s">
        <v>645</v>
      </c>
      <c r="D3659" s="550"/>
      <c r="E3659" s="224"/>
      <c r="F3659" s="225"/>
      <c r="G3659" s="290"/>
      <c r="H3659" s="235"/>
      <c r="M3659" s="225"/>
    </row>
    <row r="3660" spans="2:13" ht="18.75" customHeight="1" x14ac:dyDescent="0.25">
      <c r="B3660" s="236"/>
      <c r="C3660" s="232"/>
      <c r="D3660" s="550"/>
      <c r="E3660" s="224"/>
      <c r="F3660" s="237" t="s">
        <v>646</v>
      </c>
      <c r="G3660" s="290"/>
      <c r="H3660" s="230"/>
      <c r="M3660" s="237" t="s">
        <v>646</v>
      </c>
    </row>
    <row r="3661" spans="2:13" ht="18.75" customHeight="1" x14ac:dyDescent="0.25">
      <c r="B3661" s="236"/>
      <c r="C3661" s="232"/>
      <c r="D3661" s="550"/>
      <c r="E3661" s="224"/>
      <c r="F3661" s="237"/>
      <c r="G3661" s="290"/>
      <c r="H3661" s="226"/>
      <c r="M3661" s="237"/>
    </row>
    <row r="3662" spans="2:13" ht="18.75" customHeight="1" x14ac:dyDescent="0.25">
      <c r="B3662" s="354"/>
      <c r="C3662" s="362"/>
      <c r="D3662" s="239"/>
      <c r="E3662" s="266"/>
      <c r="F3662" s="241"/>
      <c r="G3662" s="370"/>
      <c r="H3662" s="369"/>
      <c r="M3662" s="241"/>
    </row>
    <row r="3663" spans="2:13" ht="18.75" customHeight="1" x14ac:dyDescent="0.25">
      <c r="B3663" s="356" t="s">
        <v>647</v>
      </c>
      <c r="C3663" s="363" t="s">
        <v>648</v>
      </c>
      <c r="D3663" s="435"/>
      <c r="E3663" s="92"/>
      <c r="F3663" s="183"/>
      <c r="G3663" s="295"/>
      <c r="H3663" s="357">
        <f>+H3660+H3657+H3651</f>
        <v>61092</v>
      </c>
      <c r="M3663" s="183"/>
    </row>
    <row r="3664" spans="2:13" ht="18.75" customHeight="1" x14ac:dyDescent="0.25">
      <c r="B3664" s="356" t="s">
        <v>649</v>
      </c>
      <c r="C3664" s="364" t="s">
        <v>650</v>
      </c>
      <c r="D3664" s="435"/>
      <c r="E3664" s="92"/>
      <c r="F3664" s="184" t="str">
        <f>$J$5</f>
        <v>8,0 % x D</v>
      </c>
      <c r="G3664" s="295"/>
      <c r="H3664" s="358">
        <f>+H3663*$K$5</f>
        <v>4887.3599999999997</v>
      </c>
      <c r="M3664" s="184" t="str">
        <f>$J$5</f>
        <v>8,0 % x D</v>
      </c>
    </row>
    <row r="3665" spans="2:13" ht="18.75" customHeight="1" x14ac:dyDescent="0.25">
      <c r="B3665" s="356" t="s">
        <v>651</v>
      </c>
      <c r="C3665" s="365" t="s">
        <v>652</v>
      </c>
      <c r="D3665" s="435"/>
      <c r="E3665" s="91"/>
      <c r="F3665" s="185"/>
      <c r="G3665" s="296"/>
      <c r="H3665" s="359">
        <f>ROUNDUP((H3664+H3663)/100,0)*100</f>
        <v>66000</v>
      </c>
      <c r="M3665" s="185"/>
    </row>
    <row r="3666" spans="2:13" ht="18.75" customHeight="1" x14ac:dyDescent="0.25">
      <c r="B3666" s="360"/>
      <c r="C3666" s="366"/>
      <c r="D3666" s="245"/>
      <c r="E3666" s="246"/>
      <c r="F3666" s="247"/>
      <c r="G3666" s="299"/>
      <c r="H3666" s="361"/>
      <c r="M3666" s="247"/>
    </row>
    <row r="3667" spans="2:13" ht="18.75" customHeight="1" x14ac:dyDescent="0.25">
      <c r="B3667" s="92"/>
      <c r="C3667" s="104"/>
      <c r="D3667" s="435"/>
      <c r="E3667" s="91"/>
      <c r="F3667" s="185"/>
      <c r="G3667" s="168"/>
      <c r="H3667" s="139"/>
      <c r="M3667" s="185"/>
    </row>
    <row r="3668" spans="2:13" ht="18.75" customHeight="1" x14ac:dyDescent="0.25">
      <c r="B3668" s="19">
        <v>10</v>
      </c>
      <c r="C3668" s="93" t="s">
        <v>990</v>
      </c>
      <c r="D3668" s="19"/>
      <c r="E3668" s="21"/>
      <c r="F3668" s="176"/>
      <c r="G3668" s="165"/>
      <c r="H3668" s="119"/>
      <c r="M3668" s="176"/>
    </row>
    <row r="3669" spans="2:13" ht="18.75" customHeight="1" x14ac:dyDescent="0.25">
      <c r="B3669" s="618" t="s">
        <v>620</v>
      </c>
      <c r="C3669" s="620" t="s">
        <v>621</v>
      </c>
      <c r="D3669" s="618" t="s">
        <v>622</v>
      </c>
      <c r="E3669" s="618" t="s">
        <v>2</v>
      </c>
      <c r="F3669" s="615" t="s">
        <v>623</v>
      </c>
      <c r="G3669" s="289" t="s">
        <v>624</v>
      </c>
      <c r="H3669" s="256" t="s">
        <v>625</v>
      </c>
      <c r="M3669" s="615" t="s">
        <v>623</v>
      </c>
    </row>
    <row r="3670" spans="2:13" ht="18.75" customHeight="1" x14ac:dyDescent="0.25">
      <c r="B3670" s="619"/>
      <c r="C3670" s="621"/>
      <c r="D3670" s="619"/>
      <c r="E3670" s="619"/>
      <c r="F3670" s="616"/>
      <c r="G3670" s="289" t="s">
        <v>626</v>
      </c>
      <c r="H3670" s="256" t="s">
        <v>626</v>
      </c>
      <c r="M3670" s="616"/>
    </row>
    <row r="3671" spans="2:13" ht="18.75" customHeight="1" x14ac:dyDescent="0.25">
      <c r="B3671" s="221"/>
      <c r="C3671" s="222"/>
      <c r="D3671" s="221"/>
      <c r="E3671" s="550"/>
      <c r="F3671" s="555"/>
      <c r="G3671" s="551"/>
      <c r="H3671" s="220"/>
      <c r="M3671" s="590"/>
    </row>
    <row r="3672" spans="2:13" ht="18.75" customHeight="1" x14ac:dyDescent="0.25">
      <c r="B3672" s="550" t="s">
        <v>627</v>
      </c>
      <c r="C3672" s="223" t="s">
        <v>628</v>
      </c>
      <c r="D3672" s="550"/>
      <c r="E3672" s="224"/>
      <c r="F3672" s="225"/>
      <c r="G3672" s="290"/>
      <c r="H3672" s="226"/>
      <c r="M3672" s="225"/>
    </row>
    <row r="3673" spans="2:13" ht="18.75" customHeight="1" x14ac:dyDescent="0.25">
      <c r="B3673" s="550"/>
      <c r="C3673" s="227" t="s">
        <v>629</v>
      </c>
      <c r="D3673" s="550" t="s">
        <v>630</v>
      </c>
      <c r="E3673" s="224" t="s">
        <v>631</v>
      </c>
      <c r="F3673" s="228">
        <f t="shared" ref="F3673:F3676" si="178">$K$8*M3673</f>
        <v>0.36</v>
      </c>
      <c r="G3673" s="229">
        <f>G3622</f>
        <v>95000</v>
      </c>
      <c r="H3673" s="230">
        <f>+G3673*F3673</f>
        <v>34200</v>
      </c>
      <c r="M3673" s="228">
        <v>0.36</v>
      </c>
    </row>
    <row r="3674" spans="2:13" ht="18.75" customHeight="1" x14ac:dyDescent="0.25">
      <c r="B3674" s="550"/>
      <c r="C3674" s="227" t="s">
        <v>1508</v>
      </c>
      <c r="D3674" s="550" t="s">
        <v>634</v>
      </c>
      <c r="E3674" s="224" t="s">
        <v>631</v>
      </c>
      <c r="F3674" s="228">
        <f t="shared" si="178"/>
        <v>0.12</v>
      </c>
      <c r="G3674" s="229">
        <f>G3623</f>
        <v>110000</v>
      </c>
      <c r="H3674" s="230">
        <f>+G3674*F3674</f>
        <v>13200</v>
      </c>
      <c r="M3674" s="228">
        <v>0.12</v>
      </c>
    </row>
    <row r="3675" spans="2:13" ht="18.75" customHeight="1" x14ac:dyDescent="0.25">
      <c r="B3675" s="550"/>
      <c r="C3675" s="227" t="s">
        <v>633</v>
      </c>
      <c r="D3675" s="550" t="s">
        <v>634</v>
      </c>
      <c r="E3675" s="224" t="s">
        <v>631</v>
      </c>
      <c r="F3675" s="228">
        <f t="shared" si="178"/>
        <v>1.2E-2</v>
      </c>
      <c r="G3675" s="229">
        <f>G3624</f>
        <v>115000</v>
      </c>
      <c r="H3675" s="230">
        <f>+G3675*F3675</f>
        <v>1380</v>
      </c>
      <c r="M3675" s="228">
        <v>1.2E-2</v>
      </c>
    </row>
    <row r="3676" spans="2:13" ht="18.75" customHeight="1" x14ac:dyDescent="0.25">
      <c r="B3676" s="550"/>
      <c r="C3676" s="227" t="s">
        <v>600</v>
      </c>
      <c r="D3676" s="550" t="s">
        <v>635</v>
      </c>
      <c r="E3676" s="224" t="s">
        <v>631</v>
      </c>
      <c r="F3676" s="228">
        <f t="shared" si="178"/>
        <v>1.7999999999999999E-2</v>
      </c>
      <c r="G3676" s="229">
        <f>G3625</f>
        <v>140000</v>
      </c>
      <c r="H3676" s="230">
        <f>+G3676*F3676</f>
        <v>2520</v>
      </c>
      <c r="M3676" s="228">
        <v>1.7999999999999999E-2</v>
      </c>
    </row>
    <row r="3677" spans="2:13" ht="18.75" customHeight="1" x14ac:dyDescent="0.25">
      <c r="B3677" s="550"/>
      <c r="C3677" s="223"/>
      <c r="D3677" s="550"/>
      <c r="E3677" s="224"/>
      <c r="F3677" s="233" t="s">
        <v>636</v>
      </c>
      <c r="G3677" s="290"/>
      <c r="H3677" s="231">
        <f>SUM(H3673:H3676)</f>
        <v>51300</v>
      </c>
      <c r="M3677" s="233" t="s">
        <v>636</v>
      </c>
    </row>
    <row r="3678" spans="2:13" ht="18.75" customHeight="1" x14ac:dyDescent="0.25">
      <c r="B3678" s="550"/>
      <c r="C3678" s="223"/>
      <c r="D3678" s="550"/>
      <c r="E3678" s="224"/>
      <c r="F3678" s="233"/>
      <c r="G3678" s="290"/>
      <c r="H3678" s="231"/>
      <c r="M3678" s="233"/>
    </row>
    <row r="3679" spans="2:13" ht="18.75" customHeight="1" x14ac:dyDescent="0.25">
      <c r="B3679" s="550" t="s">
        <v>637</v>
      </c>
      <c r="C3679" s="223" t="s">
        <v>638</v>
      </c>
      <c r="D3679" s="550"/>
      <c r="E3679" s="224"/>
      <c r="F3679" s="225"/>
      <c r="G3679" s="290"/>
      <c r="H3679" s="226"/>
      <c r="M3679" s="225"/>
    </row>
    <row r="3680" spans="2:13" ht="18.75" customHeight="1" x14ac:dyDescent="0.25">
      <c r="B3680" s="550"/>
      <c r="C3680" s="223" t="s">
        <v>708</v>
      </c>
      <c r="D3680" s="550"/>
      <c r="E3680" s="224" t="s">
        <v>62</v>
      </c>
      <c r="F3680" s="228">
        <v>3</v>
      </c>
      <c r="G3680" s="234">
        <f>G3654</f>
        <v>1700</v>
      </c>
      <c r="H3680" s="230">
        <f>+G3680*F3680</f>
        <v>5100</v>
      </c>
      <c r="M3680" s="228">
        <v>3</v>
      </c>
    </row>
    <row r="3681" spans="2:13" ht="18.75" customHeight="1" x14ac:dyDescent="0.25">
      <c r="B3681" s="550"/>
      <c r="C3681" s="223" t="s">
        <v>1603</v>
      </c>
      <c r="D3681" s="550"/>
      <c r="E3681" s="224" t="s">
        <v>955</v>
      </c>
      <c r="F3681" s="228">
        <v>5.0000000000000001E-3</v>
      </c>
      <c r="G3681" s="229">
        <f>G3655</f>
        <v>125000</v>
      </c>
      <c r="H3681" s="230">
        <f>+G3681*F3681</f>
        <v>625</v>
      </c>
      <c r="M3681" s="228">
        <v>5.0000000000000001E-3</v>
      </c>
    </row>
    <row r="3682" spans="2:13" ht="18.75" customHeight="1" x14ac:dyDescent="0.25">
      <c r="B3682" s="550"/>
      <c r="C3682" s="223" t="s">
        <v>661</v>
      </c>
      <c r="D3682" s="550"/>
      <c r="E3682" s="224" t="s">
        <v>955</v>
      </c>
      <c r="F3682" s="228">
        <v>0.02</v>
      </c>
      <c r="G3682" s="229">
        <f>G3656</f>
        <v>230000</v>
      </c>
      <c r="H3682" s="230">
        <f>+G3682*F3682</f>
        <v>4600</v>
      </c>
      <c r="M3682" s="228">
        <v>0.02</v>
      </c>
    </row>
    <row r="3683" spans="2:13" ht="18.75" customHeight="1" x14ac:dyDescent="0.25">
      <c r="B3683" s="550"/>
      <c r="C3683" s="223"/>
      <c r="D3683" s="550"/>
      <c r="E3683" s="224"/>
      <c r="F3683" s="237" t="s">
        <v>643</v>
      </c>
      <c r="G3683" s="290"/>
      <c r="H3683" s="231">
        <f>SUM(H3680:H3680)</f>
        <v>5100</v>
      </c>
      <c r="M3683" s="237" t="s">
        <v>643</v>
      </c>
    </row>
    <row r="3684" spans="2:13" ht="18.75" customHeight="1" x14ac:dyDescent="0.25">
      <c r="B3684" s="550"/>
      <c r="C3684" s="223"/>
      <c r="D3684" s="550"/>
      <c r="E3684" s="224"/>
      <c r="F3684" s="225"/>
      <c r="G3684" s="290"/>
      <c r="H3684" s="226"/>
      <c r="M3684" s="225"/>
    </row>
    <row r="3685" spans="2:13" ht="18.75" customHeight="1" x14ac:dyDescent="0.25">
      <c r="B3685" s="550" t="s">
        <v>644</v>
      </c>
      <c r="C3685" s="223" t="s">
        <v>645</v>
      </c>
      <c r="D3685" s="550"/>
      <c r="E3685" s="224"/>
      <c r="F3685" s="225"/>
      <c r="G3685" s="290"/>
      <c r="H3685" s="235"/>
      <c r="M3685" s="225"/>
    </row>
    <row r="3686" spans="2:13" ht="18.75" customHeight="1" x14ac:dyDescent="0.25">
      <c r="B3686" s="236"/>
      <c r="C3686" s="232"/>
      <c r="D3686" s="550"/>
      <c r="E3686" s="224"/>
      <c r="F3686" s="237" t="s">
        <v>646</v>
      </c>
      <c r="G3686" s="290"/>
      <c r="H3686" s="230"/>
      <c r="M3686" s="237" t="s">
        <v>646</v>
      </c>
    </row>
    <row r="3687" spans="2:13" ht="18.75" customHeight="1" x14ac:dyDescent="0.25">
      <c r="B3687" s="236"/>
      <c r="C3687" s="232"/>
      <c r="D3687" s="550"/>
      <c r="E3687" s="224"/>
      <c r="F3687" s="237"/>
      <c r="G3687" s="290"/>
      <c r="H3687" s="226"/>
      <c r="M3687" s="237"/>
    </row>
    <row r="3688" spans="2:13" ht="18.75" customHeight="1" x14ac:dyDescent="0.25">
      <c r="B3688" s="354"/>
      <c r="C3688" s="362"/>
      <c r="D3688" s="239"/>
      <c r="E3688" s="266"/>
      <c r="F3688" s="241"/>
      <c r="G3688" s="370"/>
      <c r="H3688" s="369"/>
      <c r="M3688" s="241"/>
    </row>
    <row r="3689" spans="2:13" ht="18.75" customHeight="1" x14ac:dyDescent="0.25">
      <c r="B3689" s="356" t="s">
        <v>647</v>
      </c>
      <c r="C3689" s="363" t="s">
        <v>648</v>
      </c>
      <c r="D3689" s="435"/>
      <c r="E3689" s="92"/>
      <c r="F3689" s="183"/>
      <c r="G3689" s="295"/>
      <c r="H3689" s="357">
        <f>+H3686+H3683+H3677</f>
        <v>56400</v>
      </c>
      <c r="M3689" s="183"/>
    </row>
    <row r="3690" spans="2:13" ht="18.75" customHeight="1" x14ac:dyDescent="0.25">
      <c r="B3690" s="356" t="s">
        <v>649</v>
      </c>
      <c r="C3690" s="364" t="s">
        <v>650</v>
      </c>
      <c r="D3690" s="435"/>
      <c r="E3690" s="92"/>
      <c r="F3690" s="184" t="str">
        <f>$J$5</f>
        <v>8,0 % x D</v>
      </c>
      <c r="G3690" s="295"/>
      <c r="H3690" s="358">
        <f>+H3689*$K$5</f>
        <v>4512</v>
      </c>
      <c r="M3690" s="184" t="str">
        <f>$J$5</f>
        <v>8,0 % x D</v>
      </c>
    </row>
    <row r="3691" spans="2:13" ht="18.75" customHeight="1" x14ac:dyDescent="0.25">
      <c r="B3691" s="356" t="s">
        <v>651</v>
      </c>
      <c r="C3691" s="365" t="s">
        <v>652</v>
      </c>
      <c r="D3691" s="435"/>
      <c r="E3691" s="91"/>
      <c r="F3691" s="185"/>
      <c r="G3691" s="296"/>
      <c r="H3691" s="359">
        <f>ROUNDUP((H3690+H3689)/100,0)*100</f>
        <v>61000</v>
      </c>
      <c r="M3691" s="185"/>
    </row>
    <row r="3692" spans="2:13" ht="18.75" customHeight="1" x14ac:dyDescent="0.25">
      <c r="B3692" s="360"/>
      <c r="C3692" s="366"/>
      <c r="D3692" s="245"/>
      <c r="E3692" s="246"/>
      <c r="F3692" s="247"/>
      <c r="G3692" s="299"/>
      <c r="H3692" s="361"/>
      <c r="M3692" s="247"/>
    </row>
    <row r="3693" spans="2:13" ht="18.75" customHeight="1" x14ac:dyDescent="0.25">
      <c r="B3693" s="22"/>
      <c r="C3693" s="104"/>
      <c r="E3693" s="21"/>
      <c r="F3693" s="176"/>
      <c r="G3693" s="165"/>
      <c r="H3693" s="119"/>
      <c r="M3693" s="176"/>
    </row>
    <row r="3694" spans="2:13" ht="18.75" customHeight="1" x14ac:dyDescent="0.25">
      <c r="B3694" s="19">
        <v>11</v>
      </c>
      <c r="C3694" s="93" t="s">
        <v>991</v>
      </c>
      <c r="D3694" s="19"/>
      <c r="E3694" s="21"/>
      <c r="F3694" s="176"/>
      <c r="G3694" s="165"/>
      <c r="H3694" s="119"/>
      <c r="M3694" s="176"/>
    </row>
    <row r="3695" spans="2:13" ht="18.75" customHeight="1" x14ac:dyDescent="0.25">
      <c r="B3695" s="618" t="s">
        <v>620</v>
      </c>
      <c r="C3695" s="620" t="s">
        <v>621</v>
      </c>
      <c r="D3695" s="618" t="s">
        <v>622</v>
      </c>
      <c r="E3695" s="618" t="s">
        <v>2</v>
      </c>
      <c r="F3695" s="615" t="s">
        <v>623</v>
      </c>
      <c r="G3695" s="289" t="s">
        <v>624</v>
      </c>
      <c r="H3695" s="256" t="s">
        <v>625</v>
      </c>
      <c r="M3695" s="615" t="s">
        <v>623</v>
      </c>
    </row>
    <row r="3696" spans="2:13" ht="18.75" customHeight="1" x14ac:dyDescent="0.25">
      <c r="B3696" s="619"/>
      <c r="C3696" s="621"/>
      <c r="D3696" s="619"/>
      <c r="E3696" s="619"/>
      <c r="F3696" s="616"/>
      <c r="G3696" s="289" t="s">
        <v>626</v>
      </c>
      <c r="H3696" s="256" t="s">
        <v>626</v>
      </c>
      <c r="M3696" s="616"/>
    </row>
    <row r="3697" spans="2:13" ht="18.75" customHeight="1" x14ac:dyDescent="0.25">
      <c r="B3697" s="221"/>
      <c r="C3697" s="222"/>
      <c r="D3697" s="221"/>
      <c r="E3697" s="550"/>
      <c r="F3697" s="555"/>
      <c r="G3697" s="551"/>
      <c r="H3697" s="220"/>
      <c r="M3697" s="590"/>
    </row>
    <row r="3698" spans="2:13" ht="18.75" customHeight="1" x14ac:dyDescent="0.25">
      <c r="B3698" s="550" t="s">
        <v>627</v>
      </c>
      <c r="C3698" s="223" t="s">
        <v>628</v>
      </c>
      <c r="D3698" s="550"/>
      <c r="E3698" s="224"/>
      <c r="F3698" s="225"/>
      <c r="G3698" s="290"/>
      <c r="H3698" s="226"/>
      <c r="M3698" s="225"/>
    </row>
    <row r="3699" spans="2:13" ht="18.75" customHeight="1" x14ac:dyDescent="0.25">
      <c r="B3699" s="550"/>
      <c r="C3699" s="227" t="s">
        <v>629</v>
      </c>
      <c r="D3699" s="550" t="s">
        <v>630</v>
      </c>
      <c r="E3699" s="224" t="s">
        <v>631</v>
      </c>
      <c r="F3699" s="228">
        <f t="shared" ref="F3699:F3702" si="179">$K$8*M3699</f>
        <v>0.36</v>
      </c>
      <c r="G3699" s="229">
        <f>G3673</f>
        <v>95000</v>
      </c>
      <c r="H3699" s="230">
        <f>+G3699*F3699</f>
        <v>34200</v>
      </c>
      <c r="M3699" s="228">
        <v>0.36</v>
      </c>
    </row>
    <row r="3700" spans="2:13" ht="18.75" customHeight="1" x14ac:dyDescent="0.25">
      <c r="B3700" s="550"/>
      <c r="C3700" s="227" t="s">
        <v>1508</v>
      </c>
      <c r="D3700" s="550" t="s">
        <v>634</v>
      </c>
      <c r="E3700" s="224" t="s">
        <v>631</v>
      </c>
      <c r="F3700" s="228">
        <f t="shared" si="179"/>
        <v>0.12</v>
      </c>
      <c r="G3700" s="229">
        <f>G3674</f>
        <v>110000</v>
      </c>
      <c r="H3700" s="230">
        <f>+G3700*F3700</f>
        <v>13200</v>
      </c>
      <c r="M3700" s="228">
        <v>0.12</v>
      </c>
    </row>
    <row r="3701" spans="2:13" ht="18.75" customHeight="1" x14ac:dyDescent="0.25">
      <c r="B3701" s="550"/>
      <c r="C3701" s="227" t="s">
        <v>633</v>
      </c>
      <c r="D3701" s="550" t="s">
        <v>634</v>
      </c>
      <c r="E3701" s="224" t="s">
        <v>631</v>
      </c>
      <c r="F3701" s="228">
        <f t="shared" si="179"/>
        <v>1.2E-2</v>
      </c>
      <c r="G3701" s="229">
        <f>G3675</f>
        <v>115000</v>
      </c>
      <c r="H3701" s="230">
        <f>+G3701*F3701</f>
        <v>1380</v>
      </c>
      <c r="M3701" s="228">
        <v>1.2E-2</v>
      </c>
    </row>
    <row r="3702" spans="2:13" ht="18.75" customHeight="1" x14ac:dyDescent="0.25">
      <c r="B3702" s="550"/>
      <c r="C3702" s="227" t="s">
        <v>600</v>
      </c>
      <c r="D3702" s="550" t="s">
        <v>635</v>
      </c>
      <c r="E3702" s="224" t="s">
        <v>631</v>
      </c>
      <c r="F3702" s="228">
        <f t="shared" si="179"/>
        <v>1.7999999999999999E-2</v>
      </c>
      <c r="G3702" s="229">
        <f>G3676</f>
        <v>140000</v>
      </c>
      <c r="H3702" s="230">
        <f>+G3702*F3702</f>
        <v>2520</v>
      </c>
      <c r="M3702" s="228">
        <v>1.7999999999999999E-2</v>
      </c>
    </row>
    <row r="3703" spans="2:13" ht="18.75" customHeight="1" x14ac:dyDescent="0.25">
      <c r="B3703" s="550"/>
      <c r="C3703" s="223"/>
      <c r="D3703" s="550"/>
      <c r="E3703" s="224"/>
      <c r="F3703" s="233" t="s">
        <v>636</v>
      </c>
      <c r="G3703" s="290"/>
      <c r="H3703" s="231">
        <f>SUM(H3699:H3702)</f>
        <v>51300</v>
      </c>
      <c r="M3703" s="233" t="s">
        <v>636</v>
      </c>
    </row>
    <row r="3704" spans="2:13" ht="18.75" customHeight="1" x14ac:dyDescent="0.25">
      <c r="B3704" s="550"/>
      <c r="C3704" s="223"/>
      <c r="D3704" s="550"/>
      <c r="E3704" s="224"/>
      <c r="F3704" s="233"/>
      <c r="G3704" s="290"/>
      <c r="H3704" s="231"/>
      <c r="M3704" s="233"/>
    </row>
    <row r="3705" spans="2:13" ht="18.75" customHeight="1" x14ac:dyDescent="0.25">
      <c r="B3705" s="550" t="s">
        <v>637</v>
      </c>
      <c r="C3705" s="223" t="s">
        <v>638</v>
      </c>
      <c r="D3705" s="550"/>
      <c r="E3705" s="224"/>
      <c r="F3705" s="225"/>
      <c r="G3705" s="290"/>
      <c r="H3705" s="226"/>
      <c r="M3705" s="225"/>
    </row>
    <row r="3706" spans="2:13" ht="18.75" customHeight="1" x14ac:dyDescent="0.25">
      <c r="B3706" s="550"/>
      <c r="C3706" s="223" t="s">
        <v>1604</v>
      </c>
      <c r="D3706" s="550"/>
      <c r="E3706" s="224" t="s">
        <v>62</v>
      </c>
      <c r="F3706" s="228">
        <v>8.9999999999999993E-3</v>
      </c>
      <c r="G3706" s="229">
        <f>G3153</f>
        <v>14500</v>
      </c>
      <c r="H3706" s="230">
        <f>+G3706*F3706</f>
        <v>130.5</v>
      </c>
      <c r="M3706" s="228">
        <v>8.9999999999999993E-3</v>
      </c>
    </row>
    <row r="3707" spans="2:13" ht="18.75" customHeight="1" x14ac:dyDescent="0.25">
      <c r="B3707" s="550"/>
      <c r="C3707" s="223" t="s">
        <v>1603</v>
      </c>
      <c r="D3707" s="550"/>
      <c r="E3707" s="224" t="s">
        <v>955</v>
      </c>
      <c r="F3707" s="228">
        <v>8.9999999999999993E-3</v>
      </c>
      <c r="G3707" s="229">
        <f>+G3681</f>
        <v>125000</v>
      </c>
      <c r="H3707" s="230">
        <f>+G3707*F3707</f>
        <v>1125</v>
      </c>
      <c r="M3707" s="228">
        <v>8.9999999999999993E-3</v>
      </c>
    </row>
    <row r="3708" spans="2:13" ht="18.75" customHeight="1" x14ac:dyDescent="0.25">
      <c r="B3708" s="550"/>
      <c r="C3708" s="223" t="s">
        <v>709</v>
      </c>
      <c r="D3708" s="550"/>
      <c r="E3708" s="224" t="s">
        <v>955</v>
      </c>
      <c r="F3708" s="228">
        <v>1.4999999999999999E-2</v>
      </c>
      <c r="G3708" s="229">
        <f>G3682</f>
        <v>230000</v>
      </c>
      <c r="H3708" s="230">
        <f>+G3708*F3708</f>
        <v>3450</v>
      </c>
      <c r="M3708" s="228">
        <v>1.4999999999999999E-2</v>
      </c>
    </row>
    <row r="3709" spans="2:13" ht="18.75" customHeight="1" x14ac:dyDescent="0.25">
      <c r="B3709" s="550"/>
      <c r="C3709" s="223"/>
      <c r="D3709" s="550"/>
      <c r="E3709" s="224"/>
      <c r="F3709" s="237" t="s">
        <v>643</v>
      </c>
      <c r="G3709" s="290"/>
      <c r="H3709" s="231">
        <f>SUM(H3706:H3708)</f>
        <v>4705.5</v>
      </c>
      <c r="M3709" s="237" t="s">
        <v>643</v>
      </c>
    </row>
    <row r="3710" spans="2:13" ht="18.75" customHeight="1" x14ac:dyDescent="0.25">
      <c r="B3710" s="550"/>
      <c r="C3710" s="223"/>
      <c r="D3710" s="550"/>
      <c r="E3710" s="224"/>
      <c r="F3710" s="225"/>
      <c r="G3710" s="290"/>
      <c r="H3710" s="226"/>
      <c r="M3710" s="225"/>
    </row>
    <row r="3711" spans="2:13" ht="18.75" customHeight="1" x14ac:dyDescent="0.25">
      <c r="B3711" s="550" t="s">
        <v>644</v>
      </c>
      <c r="C3711" s="223" t="s">
        <v>645</v>
      </c>
      <c r="D3711" s="550"/>
      <c r="E3711" s="224"/>
      <c r="F3711" s="225"/>
      <c r="G3711" s="290"/>
      <c r="H3711" s="235"/>
      <c r="M3711" s="225"/>
    </row>
    <row r="3712" spans="2:13" ht="18.75" customHeight="1" x14ac:dyDescent="0.25">
      <c r="B3712" s="236"/>
      <c r="C3712" s="232"/>
      <c r="D3712" s="550"/>
      <c r="E3712" s="224"/>
      <c r="F3712" s="237" t="s">
        <v>646</v>
      </c>
      <c r="G3712" s="290"/>
      <c r="H3712" s="230"/>
      <c r="M3712" s="237" t="s">
        <v>646</v>
      </c>
    </row>
    <row r="3713" spans="2:13" ht="18.75" customHeight="1" x14ac:dyDescent="0.25">
      <c r="B3713" s="236"/>
      <c r="C3713" s="232"/>
      <c r="D3713" s="550"/>
      <c r="E3713" s="224"/>
      <c r="F3713" s="237"/>
      <c r="G3713" s="290"/>
      <c r="H3713" s="226"/>
      <c r="M3713" s="237"/>
    </row>
    <row r="3714" spans="2:13" ht="18.75" customHeight="1" x14ac:dyDescent="0.25">
      <c r="B3714" s="354"/>
      <c r="C3714" s="362"/>
      <c r="D3714" s="239"/>
      <c r="E3714" s="266"/>
      <c r="F3714" s="241"/>
      <c r="G3714" s="370"/>
      <c r="H3714" s="369"/>
      <c r="M3714" s="241"/>
    </row>
    <row r="3715" spans="2:13" ht="18.75" customHeight="1" x14ac:dyDescent="0.25">
      <c r="B3715" s="356" t="s">
        <v>647</v>
      </c>
      <c r="C3715" s="363" t="s">
        <v>648</v>
      </c>
      <c r="D3715" s="435"/>
      <c r="E3715" s="92"/>
      <c r="F3715" s="183"/>
      <c r="G3715" s="295"/>
      <c r="H3715" s="357">
        <f>+H3712+H3709+H3703</f>
        <v>56005.5</v>
      </c>
      <c r="M3715" s="183"/>
    </row>
    <row r="3716" spans="2:13" ht="18.75" customHeight="1" x14ac:dyDescent="0.25">
      <c r="B3716" s="356" t="s">
        <v>649</v>
      </c>
      <c r="C3716" s="364" t="s">
        <v>650</v>
      </c>
      <c r="D3716" s="435"/>
      <c r="E3716" s="92"/>
      <c r="F3716" s="184" t="str">
        <f>$J$5</f>
        <v>8,0 % x D</v>
      </c>
      <c r="G3716" s="295"/>
      <c r="H3716" s="358">
        <f>+H3715*$K$5</f>
        <v>4480.4400000000005</v>
      </c>
      <c r="M3716" s="184" t="str">
        <f>$J$5</f>
        <v>8,0 % x D</v>
      </c>
    </row>
    <row r="3717" spans="2:13" ht="18.75" customHeight="1" x14ac:dyDescent="0.25">
      <c r="B3717" s="356" t="s">
        <v>651</v>
      </c>
      <c r="C3717" s="365" t="s">
        <v>652</v>
      </c>
      <c r="D3717" s="435"/>
      <c r="E3717" s="91"/>
      <c r="F3717" s="185"/>
      <c r="G3717" s="296"/>
      <c r="H3717" s="359">
        <f>ROUNDUP((H3716+H3715)/100,0)*100</f>
        <v>60500</v>
      </c>
      <c r="M3717" s="185"/>
    </row>
    <row r="3718" spans="2:13" ht="18.75" customHeight="1" x14ac:dyDescent="0.25">
      <c r="B3718" s="360"/>
      <c r="C3718" s="366"/>
      <c r="D3718" s="245"/>
      <c r="E3718" s="246"/>
      <c r="F3718" s="247"/>
      <c r="G3718" s="299"/>
      <c r="H3718" s="361"/>
      <c r="M3718" s="247"/>
    </row>
    <row r="3719" spans="2:13" ht="18.75" customHeight="1" x14ac:dyDescent="0.25">
      <c r="B3719" s="92"/>
      <c r="C3719" s="104"/>
      <c r="D3719" s="435"/>
      <c r="E3719" s="91"/>
      <c r="F3719" s="185"/>
      <c r="G3719" s="168"/>
      <c r="H3719" s="139"/>
      <c r="M3719" s="185"/>
    </row>
    <row r="3720" spans="2:13" ht="18.75" customHeight="1" x14ac:dyDescent="0.25">
      <c r="B3720" s="19">
        <v>12</v>
      </c>
      <c r="C3720" s="93" t="s">
        <v>992</v>
      </c>
      <c r="D3720" s="19"/>
      <c r="E3720" s="21"/>
      <c r="F3720" s="176"/>
      <c r="G3720" s="165"/>
      <c r="H3720" s="119"/>
      <c r="M3720" s="176"/>
    </row>
    <row r="3721" spans="2:13" ht="18.75" customHeight="1" x14ac:dyDescent="0.25">
      <c r="B3721" s="618" t="s">
        <v>620</v>
      </c>
      <c r="C3721" s="620" t="s">
        <v>621</v>
      </c>
      <c r="D3721" s="618" t="s">
        <v>622</v>
      </c>
      <c r="E3721" s="618" t="s">
        <v>2</v>
      </c>
      <c r="F3721" s="615" t="s">
        <v>623</v>
      </c>
      <c r="G3721" s="289" t="s">
        <v>624</v>
      </c>
      <c r="H3721" s="256" t="s">
        <v>625</v>
      </c>
      <c r="M3721" s="615" t="s">
        <v>623</v>
      </c>
    </row>
    <row r="3722" spans="2:13" ht="18.75" customHeight="1" x14ac:dyDescent="0.25">
      <c r="B3722" s="619"/>
      <c r="C3722" s="621"/>
      <c r="D3722" s="619"/>
      <c r="E3722" s="619"/>
      <c r="F3722" s="616"/>
      <c r="G3722" s="289" t="s">
        <v>626</v>
      </c>
      <c r="H3722" s="256" t="s">
        <v>626</v>
      </c>
      <c r="M3722" s="616"/>
    </row>
    <row r="3723" spans="2:13" ht="18.75" customHeight="1" x14ac:dyDescent="0.25">
      <c r="B3723" s="221"/>
      <c r="C3723" s="222"/>
      <c r="D3723" s="221"/>
      <c r="E3723" s="550"/>
      <c r="F3723" s="555"/>
      <c r="G3723" s="551"/>
      <c r="H3723" s="220"/>
      <c r="M3723" s="590"/>
    </row>
    <row r="3724" spans="2:13" ht="18.75" customHeight="1" x14ac:dyDescent="0.25">
      <c r="B3724" s="550" t="s">
        <v>627</v>
      </c>
      <c r="C3724" s="223" t="s">
        <v>628</v>
      </c>
      <c r="D3724" s="550"/>
      <c r="E3724" s="224"/>
      <c r="F3724" s="225"/>
      <c r="G3724" s="290"/>
      <c r="H3724" s="226"/>
      <c r="M3724" s="225"/>
    </row>
    <row r="3725" spans="2:13" ht="18.75" customHeight="1" x14ac:dyDescent="0.25">
      <c r="B3725" s="550"/>
      <c r="C3725" s="227" t="s">
        <v>629</v>
      </c>
      <c r="D3725" s="550" t="s">
        <v>630</v>
      </c>
      <c r="E3725" s="224" t="s">
        <v>631</v>
      </c>
      <c r="F3725" s="228">
        <f t="shared" ref="F3725:F3728" si="180">$K$8*M3725</f>
        <v>0.36</v>
      </c>
      <c r="G3725" s="229">
        <f>G3699</f>
        <v>95000</v>
      </c>
      <c r="H3725" s="230">
        <f>+G3725*F3725</f>
        <v>34200</v>
      </c>
      <c r="M3725" s="228">
        <v>0.36</v>
      </c>
    </row>
    <row r="3726" spans="2:13" ht="18.75" customHeight="1" x14ac:dyDescent="0.25">
      <c r="B3726" s="550"/>
      <c r="C3726" s="227" t="s">
        <v>1508</v>
      </c>
      <c r="D3726" s="550" t="s">
        <v>634</v>
      </c>
      <c r="E3726" s="224" t="s">
        <v>631</v>
      </c>
      <c r="F3726" s="228">
        <f t="shared" si="180"/>
        <v>0.12</v>
      </c>
      <c r="G3726" s="229">
        <f>G3700</f>
        <v>110000</v>
      </c>
      <c r="H3726" s="230">
        <f>+G3726*F3726</f>
        <v>13200</v>
      </c>
      <c r="M3726" s="228">
        <v>0.12</v>
      </c>
    </row>
    <row r="3727" spans="2:13" ht="18.75" customHeight="1" x14ac:dyDescent="0.25">
      <c r="B3727" s="550"/>
      <c r="C3727" s="227" t="s">
        <v>633</v>
      </c>
      <c r="D3727" s="550" t="s">
        <v>634</v>
      </c>
      <c r="E3727" s="224" t="s">
        <v>631</v>
      </c>
      <c r="F3727" s="228">
        <f t="shared" si="180"/>
        <v>1.2E-2</v>
      </c>
      <c r="G3727" s="229">
        <f>G3701</f>
        <v>115000</v>
      </c>
      <c r="H3727" s="230">
        <f>+G3727*F3727</f>
        <v>1380</v>
      </c>
      <c r="M3727" s="228">
        <v>1.2E-2</v>
      </c>
    </row>
    <row r="3728" spans="2:13" ht="18.75" customHeight="1" x14ac:dyDescent="0.25">
      <c r="B3728" s="550"/>
      <c r="C3728" s="227" t="s">
        <v>600</v>
      </c>
      <c r="D3728" s="550" t="s">
        <v>635</v>
      </c>
      <c r="E3728" s="224" t="s">
        <v>631</v>
      </c>
      <c r="F3728" s="228">
        <f t="shared" si="180"/>
        <v>1.7999999999999999E-2</v>
      </c>
      <c r="G3728" s="229">
        <f>G3702</f>
        <v>140000</v>
      </c>
      <c r="H3728" s="230">
        <f>+G3728*F3728</f>
        <v>2520</v>
      </c>
      <c r="M3728" s="228">
        <v>1.7999999999999999E-2</v>
      </c>
    </row>
    <row r="3729" spans="2:13" ht="18.75" customHeight="1" x14ac:dyDescent="0.25">
      <c r="B3729" s="550"/>
      <c r="C3729" s="223"/>
      <c r="D3729" s="550"/>
      <c r="E3729" s="224"/>
      <c r="F3729" s="233" t="s">
        <v>636</v>
      </c>
      <c r="G3729" s="290"/>
      <c r="H3729" s="231">
        <f>SUM(H3725:H3728)</f>
        <v>51300</v>
      </c>
      <c r="M3729" s="233" t="s">
        <v>636</v>
      </c>
    </row>
    <row r="3730" spans="2:13" ht="18.75" customHeight="1" x14ac:dyDescent="0.25">
      <c r="B3730" s="550"/>
      <c r="C3730" s="223"/>
      <c r="D3730" s="550"/>
      <c r="E3730" s="224"/>
      <c r="F3730" s="233"/>
      <c r="G3730" s="290"/>
      <c r="H3730" s="231"/>
      <c r="M3730" s="233"/>
    </row>
    <row r="3731" spans="2:13" ht="18.75" customHeight="1" x14ac:dyDescent="0.25">
      <c r="B3731" s="550" t="s">
        <v>637</v>
      </c>
      <c r="C3731" s="223" t="s">
        <v>638</v>
      </c>
      <c r="D3731" s="550"/>
      <c r="E3731" s="224"/>
      <c r="F3731" s="225"/>
      <c r="G3731" s="290"/>
      <c r="H3731" s="226"/>
      <c r="M3731" s="225"/>
    </row>
    <row r="3732" spans="2:13" ht="18.75" customHeight="1" x14ac:dyDescent="0.25">
      <c r="B3732" s="550"/>
      <c r="C3732" s="223" t="s">
        <v>1604</v>
      </c>
      <c r="D3732" s="550"/>
      <c r="E3732" s="224" t="s">
        <v>62</v>
      </c>
      <c r="F3732" s="228">
        <v>7.0000000000000001E-3</v>
      </c>
      <c r="G3732" s="229">
        <f>+G3706</f>
        <v>14500</v>
      </c>
      <c r="H3732" s="230">
        <f>+G3732*F3732</f>
        <v>101.5</v>
      </c>
      <c r="M3732" s="228">
        <v>7.0000000000000001E-3</v>
      </c>
    </row>
    <row r="3733" spans="2:13" ht="18.75" customHeight="1" x14ac:dyDescent="0.25">
      <c r="B3733" s="550"/>
      <c r="C3733" s="223" t="s">
        <v>1603</v>
      </c>
      <c r="D3733" s="550"/>
      <c r="E3733" s="224" t="s">
        <v>955</v>
      </c>
      <c r="F3733" s="228">
        <v>7.0000000000000001E-3</v>
      </c>
      <c r="G3733" s="229">
        <f>+G3707</f>
        <v>125000</v>
      </c>
      <c r="H3733" s="230">
        <f>+G3733*F3733</f>
        <v>875</v>
      </c>
      <c r="M3733" s="228">
        <v>7.0000000000000001E-3</v>
      </c>
    </row>
    <row r="3734" spans="2:13" ht="18.75" customHeight="1" x14ac:dyDescent="0.25">
      <c r="B3734" s="550"/>
      <c r="C3734" s="223" t="s">
        <v>709</v>
      </c>
      <c r="D3734" s="550"/>
      <c r="E3734" s="224" t="s">
        <v>955</v>
      </c>
      <c r="F3734" s="228">
        <v>1.4999999999999999E-2</v>
      </c>
      <c r="G3734" s="229">
        <f>G3708</f>
        <v>230000</v>
      </c>
      <c r="H3734" s="230">
        <f>+G3734*F3734</f>
        <v>3450</v>
      </c>
      <c r="M3734" s="228">
        <v>1.4999999999999999E-2</v>
      </c>
    </row>
    <row r="3735" spans="2:13" ht="18.75" customHeight="1" x14ac:dyDescent="0.25">
      <c r="B3735" s="550"/>
      <c r="C3735" s="223"/>
      <c r="D3735" s="550"/>
      <c r="E3735" s="224"/>
      <c r="F3735" s="237" t="s">
        <v>643</v>
      </c>
      <c r="G3735" s="290"/>
      <c r="H3735" s="231">
        <f>SUM(H3732:H3734)</f>
        <v>4426.5</v>
      </c>
      <c r="M3735" s="237" t="s">
        <v>643</v>
      </c>
    </row>
    <row r="3736" spans="2:13" ht="18.75" customHeight="1" x14ac:dyDescent="0.25">
      <c r="B3736" s="550"/>
      <c r="C3736" s="223"/>
      <c r="D3736" s="550"/>
      <c r="E3736" s="224"/>
      <c r="F3736" s="225"/>
      <c r="G3736" s="290"/>
      <c r="H3736" s="226"/>
      <c r="M3736" s="225"/>
    </row>
    <row r="3737" spans="2:13" ht="18.75" customHeight="1" x14ac:dyDescent="0.25">
      <c r="B3737" s="550" t="s">
        <v>644</v>
      </c>
      <c r="C3737" s="223" t="s">
        <v>645</v>
      </c>
      <c r="D3737" s="550"/>
      <c r="E3737" s="224"/>
      <c r="F3737" s="225"/>
      <c r="G3737" s="290"/>
      <c r="H3737" s="235"/>
      <c r="M3737" s="225"/>
    </row>
    <row r="3738" spans="2:13" ht="18.75" customHeight="1" x14ac:dyDescent="0.25">
      <c r="B3738" s="236"/>
      <c r="C3738" s="232"/>
      <c r="D3738" s="550"/>
      <c r="E3738" s="224"/>
      <c r="F3738" s="237" t="s">
        <v>646</v>
      </c>
      <c r="G3738" s="290"/>
      <c r="H3738" s="230"/>
      <c r="M3738" s="237" t="s">
        <v>646</v>
      </c>
    </row>
    <row r="3739" spans="2:13" ht="18.75" customHeight="1" x14ac:dyDescent="0.25">
      <c r="B3739" s="236"/>
      <c r="C3739" s="232"/>
      <c r="D3739" s="550"/>
      <c r="E3739" s="224"/>
      <c r="F3739" s="237"/>
      <c r="G3739" s="290"/>
      <c r="H3739" s="226"/>
      <c r="M3739" s="237"/>
    </row>
    <row r="3740" spans="2:13" ht="18.75" customHeight="1" x14ac:dyDescent="0.25">
      <c r="B3740" s="354"/>
      <c r="C3740" s="362"/>
      <c r="D3740" s="239"/>
      <c r="E3740" s="266"/>
      <c r="F3740" s="241"/>
      <c r="G3740" s="370"/>
      <c r="H3740" s="369"/>
      <c r="M3740" s="241"/>
    </row>
    <row r="3741" spans="2:13" ht="18.75" customHeight="1" x14ac:dyDescent="0.25">
      <c r="B3741" s="356" t="s">
        <v>647</v>
      </c>
      <c r="C3741" s="363" t="s">
        <v>648</v>
      </c>
      <c r="D3741" s="435"/>
      <c r="E3741" s="92"/>
      <c r="F3741" s="183"/>
      <c r="G3741" s="295"/>
      <c r="H3741" s="357">
        <f>+H3738+H3735+H3729</f>
        <v>55726.5</v>
      </c>
      <c r="M3741" s="183"/>
    </row>
    <row r="3742" spans="2:13" ht="18.75" customHeight="1" x14ac:dyDescent="0.25">
      <c r="B3742" s="356" t="s">
        <v>649</v>
      </c>
      <c r="C3742" s="364" t="s">
        <v>650</v>
      </c>
      <c r="D3742" s="435"/>
      <c r="E3742" s="92"/>
      <c r="F3742" s="184" t="str">
        <f>$J$5</f>
        <v>8,0 % x D</v>
      </c>
      <c r="G3742" s="295"/>
      <c r="H3742" s="358">
        <f>+H3741*$K$5</f>
        <v>4458.12</v>
      </c>
      <c r="M3742" s="184" t="str">
        <f>$J$5</f>
        <v>8,0 % x D</v>
      </c>
    </row>
    <row r="3743" spans="2:13" ht="18.75" customHeight="1" x14ac:dyDescent="0.25">
      <c r="B3743" s="356" t="s">
        <v>651</v>
      </c>
      <c r="C3743" s="365" t="s">
        <v>652</v>
      </c>
      <c r="D3743" s="435"/>
      <c r="E3743" s="91"/>
      <c r="F3743" s="185"/>
      <c r="G3743" s="296"/>
      <c r="H3743" s="359">
        <f>ROUNDUP((H3742+H3741)/100,0)*100</f>
        <v>60200</v>
      </c>
      <c r="M3743" s="185"/>
    </row>
    <row r="3744" spans="2:13" ht="18.75" customHeight="1" x14ac:dyDescent="0.25">
      <c r="B3744" s="360"/>
      <c r="C3744" s="366"/>
      <c r="D3744" s="245"/>
      <c r="E3744" s="246"/>
      <c r="F3744" s="247"/>
      <c r="G3744" s="299"/>
      <c r="H3744" s="361"/>
      <c r="M3744" s="247"/>
    </row>
    <row r="3745" spans="2:13" ht="18.75" customHeight="1" x14ac:dyDescent="0.25">
      <c r="B3745" s="22"/>
      <c r="C3745" s="104"/>
      <c r="E3745" s="21"/>
      <c r="F3745" s="176"/>
      <c r="G3745" s="165"/>
      <c r="H3745" s="119"/>
      <c r="M3745" s="176"/>
    </row>
    <row r="3746" spans="2:13" ht="18.75" customHeight="1" x14ac:dyDescent="0.25">
      <c r="B3746" s="19">
        <v>13</v>
      </c>
      <c r="C3746" s="93" t="s">
        <v>993</v>
      </c>
      <c r="D3746" s="19"/>
      <c r="E3746" s="21"/>
      <c r="F3746" s="176"/>
      <c r="G3746" s="165"/>
      <c r="H3746" s="119"/>
      <c r="M3746" s="176"/>
    </row>
    <row r="3747" spans="2:13" ht="18.75" customHeight="1" x14ac:dyDescent="0.25">
      <c r="B3747" s="618" t="s">
        <v>620</v>
      </c>
      <c r="C3747" s="620" t="s">
        <v>621</v>
      </c>
      <c r="D3747" s="618" t="s">
        <v>622</v>
      </c>
      <c r="E3747" s="618" t="s">
        <v>2</v>
      </c>
      <c r="F3747" s="615" t="s">
        <v>623</v>
      </c>
      <c r="G3747" s="289" t="s">
        <v>624</v>
      </c>
      <c r="H3747" s="256" t="s">
        <v>625</v>
      </c>
      <c r="M3747" s="615" t="s">
        <v>623</v>
      </c>
    </row>
    <row r="3748" spans="2:13" ht="18.75" customHeight="1" x14ac:dyDescent="0.25">
      <c r="B3748" s="619"/>
      <c r="C3748" s="621"/>
      <c r="D3748" s="619"/>
      <c r="E3748" s="619"/>
      <c r="F3748" s="616"/>
      <c r="G3748" s="289" t="s">
        <v>626</v>
      </c>
      <c r="H3748" s="256" t="s">
        <v>626</v>
      </c>
      <c r="M3748" s="616"/>
    </row>
    <row r="3749" spans="2:13" ht="18.75" customHeight="1" x14ac:dyDescent="0.25">
      <c r="B3749" s="221"/>
      <c r="C3749" s="222"/>
      <c r="D3749" s="221"/>
      <c r="E3749" s="550"/>
      <c r="F3749" s="555"/>
      <c r="G3749" s="551"/>
      <c r="H3749" s="220"/>
      <c r="M3749" s="590"/>
    </row>
    <row r="3750" spans="2:13" ht="18.75" customHeight="1" x14ac:dyDescent="0.25">
      <c r="B3750" s="550" t="s">
        <v>627</v>
      </c>
      <c r="C3750" s="223" t="s">
        <v>628</v>
      </c>
      <c r="D3750" s="550"/>
      <c r="E3750" s="224"/>
      <c r="F3750" s="225"/>
      <c r="G3750" s="290"/>
      <c r="H3750" s="226"/>
      <c r="M3750" s="225"/>
    </row>
    <row r="3751" spans="2:13" ht="18.75" customHeight="1" x14ac:dyDescent="0.25">
      <c r="B3751" s="550"/>
      <c r="C3751" s="227" t="s">
        <v>629</v>
      </c>
      <c r="D3751" s="550" t="s">
        <v>630</v>
      </c>
      <c r="E3751" s="224" t="s">
        <v>631</v>
      </c>
      <c r="F3751" s="228">
        <f t="shared" ref="F3751:F3754" si="181">$K$8*M3751</f>
        <v>0.4</v>
      </c>
      <c r="G3751" s="229">
        <f>G3725</f>
        <v>95000</v>
      </c>
      <c r="H3751" s="230">
        <f>+G3751*F3751</f>
        <v>38000</v>
      </c>
      <c r="M3751" s="228">
        <v>0.4</v>
      </c>
    </row>
    <row r="3752" spans="2:13" ht="18.75" customHeight="1" x14ac:dyDescent="0.25">
      <c r="B3752" s="550"/>
      <c r="C3752" s="227" t="s">
        <v>1508</v>
      </c>
      <c r="D3752" s="550" t="s">
        <v>634</v>
      </c>
      <c r="E3752" s="224" t="s">
        <v>631</v>
      </c>
      <c r="F3752" s="228">
        <f t="shared" si="181"/>
        <v>0.2</v>
      </c>
      <c r="G3752" s="229">
        <f>G3726</f>
        <v>110000</v>
      </c>
      <c r="H3752" s="230">
        <f>+G3752*F3752</f>
        <v>22000</v>
      </c>
      <c r="M3752" s="228">
        <v>0.2</v>
      </c>
    </row>
    <row r="3753" spans="2:13" ht="18.75" customHeight="1" x14ac:dyDescent="0.25">
      <c r="B3753" s="550"/>
      <c r="C3753" s="227" t="s">
        <v>633</v>
      </c>
      <c r="D3753" s="550" t="s">
        <v>634</v>
      </c>
      <c r="E3753" s="224" t="s">
        <v>631</v>
      </c>
      <c r="F3753" s="228">
        <f t="shared" si="181"/>
        <v>0.02</v>
      </c>
      <c r="G3753" s="229">
        <f>G3727</f>
        <v>115000</v>
      </c>
      <c r="H3753" s="230">
        <f>+G3753*F3753</f>
        <v>2300</v>
      </c>
      <c r="M3753" s="228">
        <v>0.02</v>
      </c>
    </row>
    <row r="3754" spans="2:13" ht="18.75" customHeight="1" x14ac:dyDescent="0.25">
      <c r="B3754" s="550"/>
      <c r="C3754" s="227" t="s">
        <v>600</v>
      </c>
      <c r="D3754" s="550" t="s">
        <v>635</v>
      </c>
      <c r="E3754" s="224" t="s">
        <v>631</v>
      </c>
      <c r="F3754" s="228">
        <f t="shared" si="181"/>
        <v>2.1999999999999999E-2</v>
      </c>
      <c r="G3754" s="229">
        <f>G3728</f>
        <v>140000</v>
      </c>
      <c r="H3754" s="230">
        <f>+G3754*F3754</f>
        <v>3080</v>
      </c>
      <c r="M3754" s="228">
        <v>2.1999999999999999E-2</v>
      </c>
    </row>
    <row r="3755" spans="2:13" ht="18.75" customHeight="1" x14ac:dyDescent="0.25">
      <c r="B3755" s="550"/>
      <c r="C3755" s="223"/>
      <c r="D3755" s="550"/>
      <c r="E3755" s="224"/>
      <c r="F3755" s="233" t="s">
        <v>636</v>
      </c>
      <c r="G3755" s="290"/>
      <c r="H3755" s="231">
        <f>SUM(H3751:H3754)</f>
        <v>65380</v>
      </c>
      <c r="M3755" s="233" t="s">
        <v>636</v>
      </c>
    </row>
    <row r="3756" spans="2:13" ht="18.75" customHeight="1" x14ac:dyDescent="0.25">
      <c r="B3756" s="550"/>
      <c r="C3756" s="223"/>
      <c r="D3756" s="550"/>
      <c r="E3756" s="224"/>
      <c r="F3756" s="233"/>
      <c r="G3756" s="290"/>
      <c r="H3756" s="231"/>
      <c r="M3756" s="233"/>
    </row>
    <row r="3757" spans="2:13" ht="18.75" customHeight="1" x14ac:dyDescent="0.25">
      <c r="B3757" s="550" t="s">
        <v>637</v>
      </c>
      <c r="C3757" s="223" t="s">
        <v>638</v>
      </c>
      <c r="D3757" s="550"/>
      <c r="E3757" s="224"/>
      <c r="F3757" s="225"/>
      <c r="G3757" s="290"/>
      <c r="H3757" s="226"/>
      <c r="M3757" s="225"/>
    </row>
    <row r="3758" spans="2:13" ht="18.75" customHeight="1" x14ac:dyDescent="0.25">
      <c r="B3758" s="550"/>
      <c r="C3758" s="223" t="s">
        <v>708</v>
      </c>
      <c r="D3758" s="550"/>
      <c r="E3758" s="224" t="s">
        <v>5</v>
      </c>
      <c r="F3758" s="228">
        <v>13.632</v>
      </c>
      <c r="G3758" s="234">
        <f>+G3629</f>
        <v>1700</v>
      </c>
      <c r="H3758" s="230">
        <f>+G3758*F3758</f>
        <v>23174.399999999998</v>
      </c>
      <c r="M3758" s="228">
        <v>13.632</v>
      </c>
    </row>
    <row r="3759" spans="2:13" ht="18.75" customHeight="1" x14ac:dyDescent="0.25">
      <c r="B3759" s="550"/>
      <c r="C3759" s="223" t="s">
        <v>661</v>
      </c>
      <c r="D3759" s="550"/>
      <c r="E3759" s="224" t="s">
        <v>955</v>
      </c>
      <c r="F3759" s="228">
        <v>2.7E-2</v>
      </c>
      <c r="G3759" s="229">
        <f>+G3630</f>
        <v>230000</v>
      </c>
      <c r="H3759" s="230">
        <f>+G3759*F3759</f>
        <v>6210</v>
      </c>
      <c r="M3759" s="228">
        <v>2.7E-2</v>
      </c>
    </row>
    <row r="3760" spans="2:13" ht="18.75" customHeight="1" x14ac:dyDescent="0.25">
      <c r="B3760" s="550"/>
      <c r="C3760" s="223"/>
      <c r="D3760" s="550"/>
      <c r="E3760" s="224"/>
      <c r="F3760" s="237" t="s">
        <v>643</v>
      </c>
      <c r="G3760" s="290"/>
      <c r="H3760" s="231">
        <f>SUM(H3758:H3759)</f>
        <v>29384.399999999998</v>
      </c>
      <c r="M3760" s="237" t="s">
        <v>643</v>
      </c>
    </row>
    <row r="3761" spans="2:13" ht="18.75" customHeight="1" x14ac:dyDescent="0.25">
      <c r="B3761" s="550"/>
      <c r="C3761" s="223"/>
      <c r="D3761" s="550"/>
      <c r="E3761" s="224"/>
      <c r="F3761" s="225"/>
      <c r="G3761" s="290"/>
      <c r="H3761" s="226"/>
      <c r="M3761" s="225"/>
    </row>
    <row r="3762" spans="2:13" ht="18.75" customHeight="1" x14ac:dyDescent="0.25">
      <c r="B3762" s="550" t="s">
        <v>644</v>
      </c>
      <c r="C3762" s="223" t="s">
        <v>645</v>
      </c>
      <c r="D3762" s="550"/>
      <c r="E3762" s="224"/>
      <c r="F3762" s="225"/>
      <c r="G3762" s="290"/>
      <c r="H3762" s="235"/>
      <c r="M3762" s="225"/>
    </row>
    <row r="3763" spans="2:13" ht="18.75" customHeight="1" x14ac:dyDescent="0.25">
      <c r="B3763" s="236"/>
      <c r="C3763" s="232"/>
      <c r="D3763" s="550"/>
      <c r="E3763" s="224"/>
      <c r="F3763" s="237" t="s">
        <v>646</v>
      </c>
      <c r="G3763" s="290"/>
      <c r="H3763" s="230"/>
      <c r="M3763" s="237" t="s">
        <v>646</v>
      </c>
    </row>
    <row r="3764" spans="2:13" ht="18.75" customHeight="1" x14ac:dyDescent="0.25">
      <c r="B3764" s="236"/>
      <c r="C3764" s="232"/>
      <c r="D3764" s="550"/>
      <c r="E3764" s="224"/>
      <c r="F3764" s="237"/>
      <c r="G3764" s="290"/>
      <c r="H3764" s="226"/>
      <c r="M3764" s="237"/>
    </row>
    <row r="3765" spans="2:13" ht="18.75" customHeight="1" x14ac:dyDescent="0.25">
      <c r="B3765" s="354"/>
      <c r="C3765" s="362"/>
      <c r="D3765" s="239"/>
      <c r="E3765" s="266"/>
      <c r="F3765" s="241"/>
      <c r="G3765" s="370"/>
      <c r="H3765" s="369"/>
      <c r="M3765" s="241"/>
    </row>
    <row r="3766" spans="2:13" ht="18.75" customHeight="1" x14ac:dyDescent="0.25">
      <c r="B3766" s="356" t="s">
        <v>647</v>
      </c>
      <c r="C3766" s="363" t="s">
        <v>648</v>
      </c>
      <c r="D3766" s="435"/>
      <c r="E3766" s="92"/>
      <c r="F3766" s="183"/>
      <c r="G3766" s="295"/>
      <c r="H3766" s="357">
        <f>+H3763+H3760+H3755</f>
        <v>94764.4</v>
      </c>
      <c r="M3766" s="183"/>
    </row>
    <row r="3767" spans="2:13" ht="18.75" customHeight="1" x14ac:dyDescent="0.25">
      <c r="B3767" s="356" t="s">
        <v>649</v>
      </c>
      <c r="C3767" s="364" t="s">
        <v>650</v>
      </c>
      <c r="D3767" s="435"/>
      <c r="E3767" s="92"/>
      <c r="F3767" s="184" t="str">
        <f>$J$5</f>
        <v>8,0 % x D</v>
      </c>
      <c r="G3767" s="295"/>
      <c r="H3767" s="358">
        <f>+H3766*$K$5</f>
        <v>7581.152</v>
      </c>
      <c r="M3767" s="184" t="str">
        <f>$J$5</f>
        <v>8,0 % x D</v>
      </c>
    </row>
    <row r="3768" spans="2:13" ht="18.75" customHeight="1" x14ac:dyDescent="0.25">
      <c r="B3768" s="356" t="s">
        <v>651</v>
      </c>
      <c r="C3768" s="365" t="s">
        <v>652</v>
      </c>
      <c r="D3768" s="435"/>
      <c r="E3768" s="91"/>
      <c r="F3768" s="185"/>
      <c r="G3768" s="296"/>
      <c r="H3768" s="359">
        <f>ROUNDUP((H3767+H3766)/100,0)*100</f>
        <v>102400</v>
      </c>
      <c r="M3768" s="185"/>
    </row>
    <row r="3769" spans="2:13" ht="18.75" customHeight="1" x14ac:dyDescent="0.25">
      <c r="B3769" s="360"/>
      <c r="C3769" s="366"/>
      <c r="D3769" s="245"/>
      <c r="E3769" s="246"/>
      <c r="F3769" s="247"/>
      <c r="G3769" s="299"/>
      <c r="H3769" s="361"/>
      <c r="M3769" s="247"/>
    </row>
    <row r="3770" spans="2:13" ht="18.75" customHeight="1" x14ac:dyDescent="0.25">
      <c r="B3770" s="92"/>
      <c r="C3770" s="104"/>
      <c r="D3770" s="435"/>
      <c r="E3770" s="91"/>
      <c r="F3770" s="185"/>
      <c r="G3770" s="168"/>
      <c r="H3770" s="139"/>
      <c r="M3770" s="185"/>
    </row>
    <row r="3771" spans="2:13" ht="18.75" customHeight="1" x14ac:dyDescent="0.25">
      <c r="B3771" s="19">
        <f>+B3746+1</f>
        <v>14</v>
      </c>
      <c r="C3771" s="93" t="s">
        <v>994</v>
      </c>
      <c r="D3771" s="19"/>
      <c r="E3771" s="21"/>
      <c r="F3771" s="176"/>
      <c r="G3771" s="165"/>
      <c r="H3771" s="119"/>
      <c r="M3771" s="176"/>
    </row>
    <row r="3772" spans="2:13" ht="18.75" customHeight="1" x14ac:dyDescent="0.25">
      <c r="B3772" s="618" t="s">
        <v>620</v>
      </c>
      <c r="C3772" s="620" t="s">
        <v>621</v>
      </c>
      <c r="D3772" s="618" t="s">
        <v>622</v>
      </c>
      <c r="E3772" s="618" t="s">
        <v>2</v>
      </c>
      <c r="F3772" s="615" t="s">
        <v>623</v>
      </c>
      <c r="G3772" s="289" t="s">
        <v>624</v>
      </c>
      <c r="H3772" s="256" t="s">
        <v>625</v>
      </c>
      <c r="M3772" s="615" t="s">
        <v>623</v>
      </c>
    </row>
    <row r="3773" spans="2:13" ht="18.75" customHeight="1" x14ac:dyDescent="0.25">
      <c r="B3773" s="619"/>
      <c r="C3773" s="621"/>
      <c r="D3773" s="619"/>
      <c r="E3773" s="619"/>
      <c r="F3773" s="616"/>
      <c r="G3773" s="289" t="s">
        <v>626</v>
      </c>
      <c r="H3773" s="256" t="s">
        <v>626</v>
      </c>
      <c r="M3773" s="616"/>
    </row>
    <row r="3774" spans="2:13" ht="18.75" customHeight="1" x14ac:dyDescent="0.25">
      <c r="B3774" s="221"/>
      <c r="C3774" s="222"/>
      <c r="D3774" s="221"/>
      <c r="E3774" s="550"/>
      <c r="F3774" s="555"/>
      <c r="G3774" s="551"/>
      <c r="H3774" s="220"/>
      <c r="M3774" s="590"/>
    </row>
    <row r="3775" spans="2:13" ht="18.75" customHeight="1" x14ac:dyDescent="0.25">
      <c r="B3775" s="550" t="s">
        <v>627</v>
      </c>
      <c r="C3775" s="223" t="s">
        <v>628</v>
      </c>
      <c r="D3775" s="550"/>
      <c r="E3775" s="224"/>
      <c r="F3775" s="225"/>
      <c r="G3775" s="290"/>
      <c r="H3775" s="226"/>
      <c r="M3775" s="225"/>
    </row>
    <row r="3776" spans="2:13" ht="18.75" customHeight="1" x14ac:dyDescent="0.25">
      <c r="B3776" s="550"/>
      <c r="C3776" s="227" t="s">
        <v>629</v>
      </c>
      <c r="D3776" s="550" t="s">
        <v>630</v>
      </c>
      <c r="E3776" s="224" t="s">
        <v>631</v>
      </c>
      <c r="F3776" s="228">
        <f t="shared" ref="F3776:F3779" si="182">$K$8*M3776</f>
        <v>0.26</v>
      </c>
      <c r="G3776" s="229">
        <f>G3751</f>
        <v>95000</v>
      </c>
      <c r="H3776" s="230">
        <f>+G3776*F3776</f>
        <v>24700</v>
      </c>
      <c r="M3776" s="228">
        <v>0.26</v>
      </c>
    </row>
    <row r="3777" spans="2:13" ht="18.75" customHeight="1" x14ac:dyDescent="0.25">
      <c r="B3777" s="550"/>
      <c r="C3777" s="227" t="s">
        <v>1508</v>
      </c>
      <c r="D3777" s="550" t="s">
        <v>634</v>
      </c>
      <c r="E3777" s="224" t="s">
        <v>631</v>
      </c>
      <c r="F3777" s="228">
        <f t="shared" si="182"/>
        <v>0.2</v>
      </c>
      <c r="G3777" s="229">
        <f>G3752</f>
        <v>110000</v>
      </c>
      <c r="H3777" s="230">
        <f>+G3777*F3777</f>
        <v>22000</v>
      </c>
      <c r="M3777" s="228">
        <v>0.2</v>
      </c>
    </row>
    <row r="3778" spans="2:13" ht="18.75" customHeight="1" x14ac:dyDescent="0.25">
      <c r="B3778" s="550"/>
      <c r="C3778" s="227" t="s">
        <v>633</v>
      </c>
      <c r="D3778" s="550" t="s">
        <v>634</v>
      </c>
      <c r="E3778" s="224" t="s">
        <v>631</v>
      </c>
      <c r="F3778" s="228">
        <f t="shared" si="182"/>
        <v>0.02</v>
      </c>
      <c r="G3778" s="229">
        <f>G3753</f>
        <v>115000</v>
      </c>
      <c r="H3778" s="230">
        <f>+G3778*F3778</f>
        <v>2300</v>
      </c>
      <c r="M3778" s="228">
        <v>0.02</v>
      </c>
    </row>
    <row r="3779" spans="2:13" ht="18.75" customHeight="1" x14ac:dyDescent="0.25">
      <c r="B3779" s="550"/>
      <c r="C3779" s="227" t="s">
        <v>600</v>
      </c>
      <c r="D3779" s="550" t="s">
        <v>635</v>
      </c>
      <c r="E3779" s="224" t="s">
        <v>631</v>
      </c>
      <c r="F3779" s="228">
        <f t="shared" si="182"/>
        <v>1.2999999999999999E-2</v>
      </c>
      <c r="G3779" s="229">
        <f>G3754</f>
        <v>140000</v>
      </c>
      <c r="H3779" s="230">
        <f>+G3779*F3779</f>
        <v>1820</v>
      </c>
      <c r="M3779" s="228">
        <v>1.2999999999999999E-2</v>
      </c>
    </row>
    <row r="3780" spans="2:13" ht="18.75" customHeight="1" x14ac:dyDescent="0.25">
      <c r="B3780" s="550"/>
      <c r="C3780" s="223"/>
      <c r="D3780" s="550"/>
      <c r="E3780" s="224"/>
      <c r="F3780" s="233" t="s">
        <v>636</v>
      </c>
      <c r="G3780" s="290"/>
      <c r="H3780" s="231">
        <f>SUM(H3776:H3779)</f>
        <v>50820</v>
      </c>
      <c r="M3780" s="233" t="s">
        <v>636</v>
      </c>
    </row>
    <row r="3781" spans="2:13" ht="18.75" customHeight="1" x14ac:dyDescent="0.25">
      <c r="B3781" s="550"/>
      <c r="C3781" s="223"/>
      <c r="D3781" s="550"/>
      <c r="E3781" s="224"/>
      <c r="F3781" s="233"/>
      <c r="G3781" s="290"/>
      <c r="H3781" s="231"/>
      <c r="M3781" s="233"/>
    </row>
    <row r="3782" spans="2:13" ht="18.75" customHeight="1" x14ac:dyDescent="0.25">
      <c r="B3782" s="550" t="s">
        <v>637</v>
      </c>
      <c r="C3782" s="223" t="s">
        <v>638</v>
      </c>
      <c r="D3782" s="550"/>
      <c r="E3782" s="224"/>
      <c r="F3782" s="225"/>
      <c r="G3782" s="290"/>
      <c r="H3782" s="226"/>
      <c r="M3782" s="225"/>
    </row>
    <row r="3783" spans="2:13" ht="18.75" customHeight="1" x14ac:dyDescent="0.25">
      <c r="B3783" s="550"/>
      <c r="C3783" s="223" t="s">
        <v>708</v>
      </c>
      <c r="D3783" s="550"/>
      <c r="E3783" s="224" t="s">
        <v>5</v>
      </c>
      <c r="F3783" s="228">
        <v>10.368</v>
      </c>
      <c r="G3783" s="234">
        <f>+G3758</f>
        <v>1700</v>
      </c>
      <c r="H3783" s="230">
        <f>+G3783*F3783</f>
        <v>17625.600000000002</v>
      </c>
      <c r="M3783" s="228">
        <v>10.368</v>
      </c>
    </row>
    <row r="3784" spans="2:13" ht="18.75" customHeight="1" x14ac:dyDescent="0.25">
      <c r="B3784" s="550"/>
      <c r="C3784" s="223" t="s">
        <v>661</v>
      </c>
      <c r="D3784" s="550"/>
      <c r="E3784" s="224" t="s">
        <v>955</v>
      </c>
      <c r="F3784" s="228">
        <v>3.1E-2</v>
      </c>
      <c r="G3784" s="229">
        <f>+G3759</f>
        <v>230000</v>
      </c>
      <c r="H3784" s="230">
        <f>+G3784*F3784</f>
        <v>7130</v>
      </c>
      <c r="M3784" s="228">
        <v>3.1E-2</v>
      </c>
    </row>
    <row r="3785" spans="2:13" ht="18.75" customHeight="1" x14ac:dyDescent="0.25">
      <c r="B3785" s="550"/>
      <c r="C3785" s="223"/>
      <c r="D3785" s="550"/>
      <c r="E3785" s="224"/>
      <c r="F3785" s="237" t="s">
        <v>643</v>
      </c>
      <c r="G3785" s="290"/>
      <c r="H3785" s="231">
        <f>SUM(H3783:H3784)</f>
        <v>24755.600000000002</v>
      </c>
      <c r="M3785" s="237" t="s">
        <v>643</v>
      </c>
    </row>
    <row r="3786" spans="2:13" ht="18.75" customHeight="1" x14ac:dyDescent="0.25">
      <c r="B3786" s="550"/>
      <c r="C3786" s="223"/>
      <c r="D3786" s="550"/>
      <c r="E3786" s="224"/>
      <c r="F3786" s="225"/>
      <c r="G3786" s="290"/>
      <c r="H3786" s="226"/>
      <c r="M3786" s="225"/>
    </row>
    <row r="3787" spans="2:13" ht="18.75" customHeight="1" x14ac:dyDescent="0.25">
      <c r="B3787" s="550" t="s">
        <v>644</v>
      </c>
      <c r="C3787" s="223" t="s">
        <v>645</v>
      </c>
      <c r="D3787" s="550"/>
      <c r="E3787" s="224"/>
      <c r="F3787" s="225"/>
      <c r="G3787" s="290"/>
      <c r="H3787" s="235"/>
      <c r="M3787" s="225"/>
    </row>
    <row r="3788" spans="2:13" ht="18.75" customHeight="1" x14ac:dyDescent="0.25">
      <c r="B3788" s="236"/>
      <c r="C3788" s="232"/>
      <c r="D3788" s="550"/>
      <c r="E3788" s="224"/>
      <c r="F3788" s="237" t="s">
        <v>646</v>
      </c>
      <c r="G3788" s="290"/>
      <c r="H3788" s="230"/>
      <c r="M3788" s="237" t="s">
        <v>646</v>
      </c>
    </row>
    <row r="3789" spans="2:13" ht="18.75" customHeight="1" x14ac:dyDescent="0.25">
      <c r="B3789" s="236"/>
      <c r="C3789" s="232"/>
      <c r="D3789" s="550"/>
      <c r="E3789" s="224"/>
      <c r="F3789" s="237"/>
      <c r="G3789" s="290"/>
      <c r="H3789" s="226"/>
      <c r="M3789" s="237"/>
    </row>
    <row r="3790" spans="2:13" ht="18.75" customHeight="1" x14ac:dyDescent="0.25">
      <c r="B3790" s="354"/>
      <c r="C3790" s="362"/>
      <c r="D3790" s="239"/>
      <c r="E3790" s="266"/>
      <c r="F3790" s="241"/>
      <c r="G3790" s="370"/>
      <c r="H3790" s="369"/>
      <c r="M3790" s="241"/>
    </row>
    <row r="3791" spans="2:13" ht="18.75" customHeight="1" x14ac:dyDescent="0.25">
      <c r="B3791" s="356" t="s">
        <v>647</v>
      </c>
      <c r="C3791" s="363" t="s">
        <v>648</v>
      </c>
      <c r="D3791" s="435"/>
      <c r="E3791" s="92"/>
      <c r="F3791" s="183"/>
      <c r="G3791" s="295"/>
      <c r="H3791" s="357">
        <f>H3780+H3785</f>
        <v>75575.600000000006</v>
      </c>
      <c r="M3791" s="183"/>
    </row>
    <row r="3792" spans="2:13" ht="18.75" customHeight="1" x14ac:dyDescent="0.25">
      <c r="B3792" s="356" t="s">
        <v>649</v>
      </c>
      <c r="C3792" s="364" t="s">
        <v>650</v>
      </c>
      <c r="D3792" s="435"/>
      <c r="E3792" s="92"/>
      <c r="F3792" s="184" t="str">
        <f>$J$5</f>
        <v>8,0 % x D</v>
      </c>
      <c r="G3792" s="295"/>
      <c r="H3792" s="358">
        <f>+H3791*$K$5</f>
        <v>6046.0480000000007</v>
      </c>
      <c r="M3792" s="184" t="str">
        <f>$J$5</f>
        <v>8,0 % x D</v>
      </c>
    </row>
    <row r="3793" spans="2:13" ht="18.75" customHeight="1" x14ac:dyDescent="0.25">
      <c r="B3793" s="356" t="s">
        <v>651</v>
      </c>
      <c r="C3793" s="365" t="s">
        <v>652</v>
      </c>
      <c r="D3793" s="435"/>
      <c r="E3793" s="91"/>
      <c r="F3793" s="185"/>
      <c r="G3793" s="296"/>
      <c r="H3793" s="359">
        <f>ROUNDUP((H3792+H3791)/100,0)*100</f>
        <v>81700</v>
      </c>
      <c r="M3793" s="185"/>
    </row>
    <row r="3794" spans="2:13" ht="18.75" customHeight="1" x14ac:dyDescent="0.25">
      <c r="B3794" s="360"/>
      <c r="C3794" s="366"/>
      <c r="D3794" s="245"/>
      <c r="E3794" s="246"/>
      <c r="F3794" s="247"/>
      <c r="G3794" s="299"/>
      <c r="H3794" s="361"/>
      <c r="M3794" s="247"/>
    </row>
    <row r="3795" spans="2:13" ht="18.75" customHeight="1" x14ac:dyDescent="0.25">
      <c r="B3795" s="22"/>
      <c r="C3795" s="104"/>
      <c r="E3795" s="21"/>
      <c r="F3795" s="176"/>
      <c r="G3795" s="165"/>
      <c r="H3795" s="119"/>
      <c r="M3795" s="176"/>
    </row>
    <row r="3796" spans="2:13" ht="18.75" customHeight="1" x14ac:dyDescent="0.25">
      <c r="B3796" s="19">
        <v>15</v>
      </c>
      <c r="C3796" s="93" t="s">
        <v>995</v>
      </c>
      <c r="D3796" s="19"/>
      <c r="E3796" s="21"/>
      <c r="F3796" s="176"/>
      <c r="G3796" s="165"/>
      <c r="H3796" s="119"/>
      <c r="M3796" s="176"/>
    </row>
    <row r="3797" spans="2:13" ht="18.75" customHeight="1" x14ac:dyDescent="0.25">
      <c r="B3797" s="618" t="s">
        <v>620</v>
      </c>
      <c r="C3797" s="620" t="s">
        <v>621</v>
      </c>
      <c r="D3797" s="618" t="s">
        <v>622</v>
      </c>
      <c r="E3797" s="618" t="s">
        <v>2</v>
      </c>
      <c r="F3797" s="615" t="s">
        <v>623</v>
      </c>
      <c r="G3797" s="289" t="s">
        <v>624</v>
      </c>
      <c r="H3797" s="256" t="s">
        <v>625</v>
      </c>
      <c r="M3797" s="615" t="s">
        <v>623</v>
      </c>
    </row>
    <row r="3798" spans="2:13" ht="18.75" customHeight="1" x14ac:dyDescent="0.25">
      <c r="B3798" s="619"/>
      <c r="C3798" s="621"/>
      <c r="D3798" s="619"/>
      <c r="E3798" s="619"/>
      <c r="F3798" s="616"/>
      <c r="G3798" s="289" t="s">
        <v>626</v>
      </c>
      <c r="H3798" s="256" t="s">
        <v>626</v>
      </c>
      <c r="M3798" s="616"/>
    </row>
    <row r="3799" spans="2:13" ht="18.75" customHeight="1" x14ac:dyDescent="0.25">
      <c r="B3799" s="221"/>
      <c r="C3799" s="222"/>
      <c r="D3799" s="221"/>
      <c r="E3799" s="550"/>
      <c r="F3799" s="555"/>
      <c r="G3799" s="551"/>
      <c r="H3799" s="220"/>
      <c r="M3799" s="590"/>
    </row>
    <row r="3800" spans="2:13" ht="18.75" customHeight="1" x14ac:dyDescent="0.25">
      <c r="B3800" s="550" t="s">
        <v>627</v>
      </c>
      <c r="C3800" s="223" t="s">
        <v>628</v>
      </c>
      <c r="D3800" s="550"/>
      <c r="E3800" s="224"/>
      <c r="F3800" s="225"/>
      <c r="G3800" s="290"/>
      <c r="H3800" s="226"/>
      <c r="M3800" s="225"/>
    </row>
    <row r="3801" spans="2:13" ht="18.75" customHeight="1" x14ac:dyDescent="0.25">
      <c r="B3801" s="550"/>
      <c r="C3801" s="227" t="s">
        <v>629</v>
      </c>
      <c r="D3801" s="550" t="s">
        <v>630</v>
      </c>
      <c r="E3801" s="224" t="s">
        <v>631</v>
      </c>
      <c r="F3801" s="228">
        <f t="shared" ref="F3801:F3804" si="183">$K$8*M3801</f>
        <v>0.4</v>
      </c>
      <c r="G3801" s="229">
        <f>G3776</f>
        <v>95000</v>
      </c>
      <c r="H3801" s="230">
        <f>+G3801*F3801</f>
        <v>38000</v>
      </c>
      <c r="M3801" s="228">
        <v>0.4</v>
      </c>
    </row>
    <row r="3802" spans="2:13" ht="18.75" customHeight="1" x14ac:dyDescent="0.25">
      <c r="B3802" s="550"/>
      <c r="C3802" s="227" t="s">
        <v>1508</v>
      </c>
      <c r="D3802" s="550" t="s">
        <v>634</v>
      </c>
      <c r="E3802" s="224" t="s">
        <v>631</v>
      </c>
      <c r="F3802" s="228">
        <f t="shared" si="183"/>
        <v>0.2</v>
      </c>
      <c r="G3802" s="229">
        <f>G3777</f>
        <v>110000</v>
      </c>
      <c r="H3802" s="230">
        <f>+G3802*F3802</f>
        <v>22000</v>
      </c>
      <c r="M3802" s="228">
        <v>0.2</v>
      </c>
    </row>
    <row r="3803" spans="2:13" ht="18.75" customHeight="1" x14ac:dyDescent="0.25">
      <c r="B3803" s="550"/>
      <c r="C3803" s="227" t="s">
        <v>633</v>
      </c>
      <c r="D3803" s="550" t="s">
        <v>634</v>
      </c>
      <c r="E3803" s="224" t="s">
        <v>631</v>
      </c>
      <c r="F3803" s="228">
        <f t="shared" si="183"/>
        <v>0.02</v>
      </c>
      <c r="G3803" s="229">
        <f>G3778</f>
        <v>115000</v>
      </c>
      <c r="H3803" s="230">
        <f>+G3803*F3803</f>
        <v>2300</v>
      </c>
      <c r="M3803" s="228">
        <v>0.02</v>
      </c>
    </row>
    <row r="3804" spans="2:13" ht="18.75" customHeight="1" x14ac:dyDescent="0.25">
      <c r="B3804" s="550"/>
      <c r="C3804" s="227" t="s">
        <v>600</v>
      </c>
      <c r="D3804" s="550" t="s">
        <v>635</v>
      </c>
      <c r="E3804" s="224" t="s">
        <v>631</v>
      </c>
      <c r="F3804" s="228">
        <f t="shared" si="183"/>
        <v>2.1999999999999999E-2</v>
      </c>
      <c r="G3804" s="229">
        <f>G3779</f>
        <v>140000</v>
      </c>
      <c r="H3804" s="230">
        <f>+G3804*F3804</f>
        <v>3080</v>
      </c>
      <c r="M3804" s="228">
        <v>2.1999999999999999E-2</v>
      </c>
    </row>
    <row r="3805" spans="2:13" ht="18.75" customHeight="1" x14ac:dyDescent="0.25">
      <c r="B3805" s="550"/>
      <c r="C3805" s="223"/>
      <c r="D3805" s="550"/>
      <c r="E3805" s="224"/>
      <c r="F3805" s="233" t="s">
        <v>636</v>
      </c>
      <c r="G3805" s="290"/>
      <c r="H3805" s="231">
        <f>SUM(H3801:H3804)</f>
        <v>65380</v>
      </c>
      <c r="M3805" s="233" t="s">
        <v>636</v>
      </c>
    </row>
    <row r="3806" spans="2:13" ht="18.75" customHeight="1" x14ac:dyDescent="0.25">
      <c r="B3806" s="550"/>
      <c r="C3806" s="223"/>
      <c r="D3806" s="550"/>
      <c r="E3806" s="224"/>
      <c r="F3806" s="233"/>
      <c r="G3806" s="290"/>
      <c r="H3806" s="231"/>
      <c r="M3806" s="233"/>
    </row>
    <row r="3807" spans="2:13" ht="18.75" customHeight="1" x14ac:dyDescent="0.25">
      <c r="B3807" s="550" t="s">
        <v>637</v>
      </c>
      <c r="C3807" s="223" t="s">
        <v>638</v>
      </c>
      <c r="D3807" s="550"/>
      <c r="E3807" s="224"/>
      <c r="F3807" s="225"/>
      <c r="G3807" s="290"/>
      <c r="H3807" s="226"/>
      <c r="M3807" s="225"/>
    </row>
    <row r="3808" spans="2:13" ht="18.75" customHeight="1" x14ac:dyDescent="0.25">
      <c r="B3808" s="550"/>
      <c r="C3808" s="223" t="s">
        <v>708</v>
      </c>
      <c r="D3808" s="550"/>
      <c r="E3808" s="224" t="s">
        <v>5</v>
      </c>
      <c r="F3808" s="228">
        <v>8.32</v>
      </c>
      <c r="G3808" s="234">
        <f>G3783</f>
        <v>1700</v>
      </c>
      <c r="H3808" s="230">
        <f>+G3808*F3808</f>
        <v>14144</v>
      </c>
      <c r="M3808" s="228">
        <v>8.32</v>
      </c>
    </row>
    <row r="3809" spans="2:13" ht="18.75" customHeight="1" x14ac:dyDescent="0.25">
      <c r="B3809" s="550"/>
      <c r="C3809" s="223" t="s">
        <v>661</v>
      </c>
      <c r="D3809" s="550"/>
      <c r="E3809" s="224" t="s">
        <v>955</v>
      </c>
      <c r="F3809" s="228">
        <v>3.2000000000000001E-2</v>
      </c>
      <c r="G3809" s="229">
        <f>G3784</f>
        <v>230000</v>
      </c>
      <c r="H3809" s="230">
        <f>+G3809*F3809</f>
        <v>7360</v>
      </c>
      <c r="M3809" s="228">
        <v>3.2000000000000001E-2</v>
      </c>
    </row>
    <row r="3810" spans="2:13" ht="18.75" customHeight="1" x14ac:dyDescent="0.25">
      <c r="B3810" s="550"/>
      <c r="C3810" s="223"/>
      <c r="D3810" s="550"/>
      <c r="E3810" s="224"/>
      <c r="F3810" s="237" t="s">
        <v>643</v>
      </c>
      <c r="G3810" s="290"/>
      <c r="H3810" s="231">
        <f>SUM(H3808:H3809)</f>
        <v>21504</v>
      </c>
      <c r="M3810" s="237" t="s">
        <v>643</v>
      </c>
    </row>
    <row r="3811" spans="2:13" ht="18.75" customHeight="1" x14ac:dyDescent="0.25">
      <c r="B3811" s="550"/>
      <c r="C3811" s="223"/>
      <c r="D3811" s="550"/>
      <c r="E3811" s="224"/>
      <c r="F3811" s="225"/>
      <c r="G3811" s="290"/>
      <c r="H3811" s="226"/>
      <c r="M3811" s="225"/>
    </row>
    <row r="3812" spans="2:13" ht="18.75" customHeight="1" x14ac:dyDescent="0.25">
      <c r="B3812" s="550" t="s">
        <v>644</v>
      </c>
      <c r="C3812" s="223" t="s">
        <v>645</v>
      </c>
      <c r="D3812" s="550"/>
      <c r="E3812" s="224"/>
      <c r="F3812" s="225"/>
      <c r="G3812" s="290"/>
      <c r="H3812" s="235"/>
      <c r="M3812" s="225"/>
    </row>
    <row r="3813" spans="2:13" ht="18.75" customHeight="1" x14ac:dyDescent="0.25">
      <c r="B3813" s="236"/>
      <c r="C3813" s="232"/>
      <c r="D3813" s="550"/>
      <c r="E3813" s="224"/>
      <c r="F3813" s="237" t="s">
        <v>646</v>
      </c>
      <c r="G3813" s="290"/>
      <c r="H3813" s="230"/>
      <c r="M3813" s="237" t="s">
        <v>646</v>
      </c>
    </row>
    <row r="3814" spans="2:13" ht="18.75" customHeight="1" x14ac:dyDescent="0.25">
      <c r="B3814" s="236"/>
      <c r="C3814" s="232"/>
      <c r="D3814" s="550"/>
      <c r="E3814" s="224"/>
      <c r="F3814" s="237"/>
      <c r="G3814" s="290"/>
      <c r="H3814" s="226"/>
      <c r="M3814" s="237"/>
    </row>
    <row r="3815" spans="2:13" ht="18.75" customHeight="1" x14ac:dyDescent="0.25">
      <c r="B3815" s="354"/>
      <c r="C3815" s="362"/>
      <c r="D3815" s="239"/>
      <c r="E3815" s="266"/>
      <c r="F3815" s="241"/>
      <c r="G3815" s="370"/>
      <c r="H3815" s="369"/>
      <c r="M3815" s="241"/>
    </row>
    <row r="3816" spans="2:13" ht="18.75" customHeight="1" x14ac:dyDescent="0.25">
      <c r="B3816" s="356" t="s">
        <v>647</v>
      </c>
      <c r="C3816" s="363" t="s">
        <v>648</v>
      </c>
      <c r="D3816" s="435"/>
      <c r="E3816" s="92"/>
      <c r="F3816" s="183"/>
      <c r="G3816" s="295"/>
      <c r="H3816" s="357">
        <f>+H3813+H3810+H3805</f>
        <v>86884</v>
      </c>
      <c r="M3816" s="183"/>
    </row>
    <row r="3817" spans="2:13" ht="18.75" customHeight="1" x14ac:dyDescent="0.25">
      <c r="B3817" s="356" t="s">
        <v>649</v>
      </c>
      <c r="C3817" s="364" t="s">
        <v>650</v>
      </c>
      <c r="D3817" s="435"/>
      <c r="E3817" s="92"/>
      <c r="F3817" s="184" t="str">
        <f>$J$5</f>
        <v>8,0 % x D</v>
      </c>
      <c r="G3817" s="295"/>
      <c r="H3817" s="358">
        <f>+H3816*$K$5</f>
        <v>6950.72</v>
      </c>
      <c r="M3817" s="184" t="str">
        <f>$J$5</f>
        <v>8,0 % x D</v>
      </c>
    </row>
    <row r="3818" spans="2:13" ht="18.75" customHeight="1" x14ac:dyDescent="0.25">
      <c r="B3818" s="356" t="s">
        <v>651</v>
      </c>
      <c r="C3818" s="365" t="s">
        <v>652</v>
      </c>
      <c r="D3818" s="435"/>
      <c r="E3818" s="91"/>
      <c r="F3818" s="185"/>
      <c r="G3818" s="296"/>
      <c r="H3818" s="359">
        <f>ROUNDUP((H3817+H3816)/100,0)*100</f>
        <v>93900</v>
      </c>
      <c r="M3818" s="185"/>
    </row>
    <row r="3819" spans="2:13" ht="18.75" customHeight="1" x14ac:dyDescent="0.25">
      <c r="B3819" s="360"/>
      <c r="C3819" s="366"/>
      <c r="D3819" s="245"/>
      <c r="E3819" s="246"/>
      <c r="F3819" s="247"/>
      <c r="G3819" s="299"/>
      <c r="H3819" s="361"/>
      <c r="M3819" s="247"/>
    </row>
    <row r="3820" spans="2:13" ht="18.75" customHeight="1" x14ac:dyDescent="0.25">
      <c r="B3820" s="92"/>
      <c r="C3820" s="104"/>
      <c r="D3820" s="435"/>
      <c r="E3820" s="91"/>
      <c r="F3820" s="185"/>
      <c r="G3820" s="168"/>
      <c r="H3820" s="139"/>
      <c r="M3820" s="185"/>
    </row>
    <row r="3821" spans="2:13" ht="18.75" customHeight="1" x14ac:dyDescent="0.25">
      <c r="B3821" s="19">
        <v>16</v>
      </c>
      <c r="C3821" s="93" t="s">
        <v>996</v>
      </c>
      <c r="D3821" s="19"/>
      <c r="E3821" s="21"/>
      <c r="F3821" s="176"/>
      <c r="G3821" s="165"/>
      <c r="H3821" s="119"/>
      <c r="M3821" s="176"/>
    </row>
    <row r="3822" spans="2:13" ht="18.75" customHeight="1" x14ac:dyDescent="0.25">
      <c r="B3822" s="618" t="s">
        <v>620</v>
      </c>
      <c r="C3822" s="620" t="s">
        <v>621</v>
      </c>
      <c r="D3822" s="618" t="s">
        <v>622</v>
      </c>
      <c r="E3822" s="618" t="s">
        <v>2</v>
      </c>
      <c r="F3822" s="615" t="s">
        <v>623</v>
      </c>
      <c r="G3822" s="289" t="s">
        <v>624</v>
      </c>
      <c r="H3822" s="256" t="s">
        <v>625</v>
      </c>
      <c r="M3822" s="615" t="s">
        <v>623</v>
      </c>
    </row>
    <row r="3823" spans="2:13" ht="18.75" customHeight="1" x14ac:dyDescent="0.25">
      <c r="B3823" s="619"/>
      <c r="C3823" s="621"/>
      <c r="D3823" s="619"/>
      <c r="E3823" s="619"/>
      <c r="F3823" s="616"/>
      <c r="G3823" s="289" t="s">
        <v>626</v>
      </c>
      <c r="H3823" s="256" t="s">
        <v>626</v>
      </c>
      <c r="M3823" s="616"/>
    </row>
    <row r="3824" spans="2:13" ht="18.75" customHeight="1" x14ac:dyDescent="0.25">
      <c r="B3824" s="221"/>
      <c r="C3824" s="222"/>
      <c r="D3824" s="221"/>
      <c r="E3824" s="550"/>
      <c r="F3824" s="555"/>
      <c r="G3824" s="551"/>
      <c r="H3824" s="220"/>
      <c r="M3824" s="590"/>
    </row>
    <row r="3825" spans="2:13" ht="18.75" customHeight="1" x14ac:dyDescent="0.25">
      <c r="B3825" s="550" t="s">
        <v>627</v>
      </c>
      <c r="C3825" s="223" t="s">
        <v>628</v>
      </c>
      <c r="D3825" s="550"/>
      <c r="E3825" s="224"/>
      <c r="F3825" s="225"/>
      <c r="G3825" s="290"/>
      <c r="H3825" s="226"/>
      <c r="M3825" s="225"/>
    </row>
    <row r="3826" spans="2:13" ht="18.75" customHeight="1" x14ac:dyDescent="0.25">
      <c r="B3826" s="550"/>
      <c r="C3826" s="227" t="s">
        <v>629</v>
      </c>
      <c r="D3826" s="550" t="s">
        <v>630</v>
      </c>
      <c r="E3826" s="224" t="s">
        <v>631</v>
      </c>
      <c r="F3826" s="228">
        <f t="shared" ref="F3826:F3829" si="184">$K$8*M3826</f>
        <v>0.4</v>
      </c>
      <c r="G3826" s="229">
        <f>G3801</f>
        <v>95000</v>
      </c>
      <c r="H3826" s="230">
        <f>+G3826*F3826</f>
        <v>38000</v>
      </c>
      <c r="M3826" s="228">
        <v>0.4</v>
      </c>
    </row>
    <row r="3827" spans="2:13" ht="18.75" customHeight="1" x14ac:dyDescent="0.25">
      <c r="B3827" s="550"/>
      <c r="C3827" s="227" t="s">
        <v>1508</v>
      </c>
      <c r="D3827" s="550" t="s">
        <v>634</v>
      </c>
      <c r="E3827" s="224" t="s">
        <v>631</v>
      </c>
      <c r="F3827" s="228">
        <f t="shared" si="184"/>
        <v>0.2</v>
      </c>
      <c r="G3827" s="229">
        <f>G3802</f>
        <v>110000</v>
      </c>
      <c r="H3827" s="230">
        <f>+G3827*F3827</f>
        <v>22000</v>
      </c>
      <c r="M3827" s="228">
        <v>0.2</v>
      </c>
    </row>
    <row r="3828" spans="2:13" ht="18.75" customHeight="1" x14ac:dyDescent="0.25">
      <c r="B3828" s="550"/>
      <c r="C3828" s="227" t="s">
        <v>633</v>
      </c>
      <c r="D3828" s="550" t="s">
        <v>634</v>
      </c>
      <c r="E3828" s="224" t="s">
        <v>631</v>
      </c>
      <c r="F3828" s="228">
        <f t="shared" si="184"/>
        <v>0.02</v>
      </c>
      <c r="G3828" s="229">
        <f>G3803</f>
        <v>115000</v>
      </c>
      <c r="H3828" s="230">
        <f>+G3828*F3828</f>
        <v>2300</v>
      </c>
      <c r="M3828" s="228">
        <v>0.02</v>
      </c>
    </row>
    <row r="3829" spans="2:13" ht="18.75" customHeight="1" x14ac:dyDescent="0.25">
      <c r="B3829" s="550"/>
      <c r="C3829" s="227" t="s">
        <v>600</v>
      </c>
      <c r="D3829" s="550" t="s">
        <v>635</v>
      </c>
      <c r="E3829" s="224" t="s">
        <v>631</v>
      </c>
      <c r="F3829" s="228">
        <f t="shared" si="184"/>
        <v>2.1999999999999999E-2</v>
      </c>
      <c r="G3829" s="229">
        <f>G3804</f>
        <v>140000</v>
      </c>
      <c r="H3829" s="230">
        <f>+G3829*F3829</f>
        <v>3080</v>
      </c>
      <c r="M3829" s="228">
        <v>2.1999999999999999E-2</v>
      </c>
    </row>
    <row r="3830" spans="2:13" ht="18.75" customHeight="1" x14ac:dyDescent="0.25">
      <c r="B3830" s="550"/>
      <c r="C3830" s="223"/>
      <c r="D3830" s="550"/>
      <c r="E3830" s="224"/>
      <c r="F3830" s="233" t="s">
        <v>636</v>
      </c>
      <c r="G3830" s="290"/>
      <c r="H3830" s="231">
        <f>SUM(H3826:H3829)</f>
        <v>65380</v>
      </c>
      <c r="M3830" s="233" t="s">
        <v>636</v>
      </c>
    </row>
    <row r="3831" spans="2:13" ht="18.75" customHeight="1" x14ac:dyDescent="0.25">
      <c r="B3831" s="550"/>
      <c r="C3831" s="223"/>
      <c r="D3831" s="550"/>
      <c r="E3831" s="224"/>
      <c r="F3831" s="233"/>
      <c r="G3831" s="290"/>
      <c r="H3831" s="231"/>
      <c r="M3831" s="233"/>
    </row>
    <row r="3832" spans="2:13" ht="18.75" customHeight="1" x14ac:dyDescent="0.25">
      <c r="B3832" s="550" t="s">
        <v>637</v>
      </c>
      <c r="C3832" s="223" t="s">
        <v>638</v>
      </c>
      <c r="D3832" s="550"/>
      <c r="E3832" s="224"/>
      <c r="F3832" s="225"/>
      <c r="G3832" s="290"/>
      <c r="H3832" s="226"/>
      <c r="M3832" s="225"/>
    </row>
    <row r="3833" spans="2:13" ht="18.75" customHeight="1" x14ac:dyDescent="0.25">
      <c r="B3833" s="550"/>
      <c r="C3833" s="223" t="s">
        <v>708</v>
      </c>
      <c r="D3833" s="550"/>
      <c r="E3833" s="224" t="s">
        <v>5</v>
      </c>
      <c r="F3833" s="228">
        <v>6.9119999999999999</v>
      </c>
      <c r="G3833" s="234">
        <f>+G3783</f>
        <v>1700</v>
      </c>
      <c r="H3833" s="230">
        <f>+G3833*F3833</f>
        <v>11750.4</v>
      </c>
      <c r="M3833" s="228">
        <v>6.9119999999999999</v>
      </c>
    </row>
    <row r="3834" spans="2:13" ht="18.75" customHeight="1" x14ac:dyDescent="0.25">
      <c r="B3834" s="550"/>
      <c r="C3834" s="223" t="s">
        <v>661</v>
      </c>
      <c r="D3834" s="550"/>
      <c r="E3834" s="224" t="s">
        <v>955</v>
      </c>
      <c r="F3834" s="228">
        <v>3.5000000000000003E-2</v>
      </c>
      <c r="G3834" s="229">
        <f>+G3784</f>
        <v>230000</v>
      </c>
      <c r="H3834" s="230">
        <f>+G3834*F3834</f>
        <v>8050.0000000000009</v>
      </c>
      <c r="M3834" s="228">
        <v>3.5000000000000003E-2</v>
      </c>
    </row>
    <row r="3835" spans="2:13" ht="18.75" customHeight="1" x14ac:dyDescent="0.25">
      <c r="B3835" s="550"/>
      <c r="C3835" s="223"/>
      <c r="D3835" s="550"/>
      <c r="E3835" s="224"/>
      <c r="F3835" s="237" t="s">
        <v>643</v>
      </c>
      <c r="G3835" s="290"/>
      <c r="H3835" s="231">
        <f>SUM(H3833:H3834)</f>
        <v>19800.400000000001</v>
      </c>
      <c r="M3835" s="237" t="s">
        <v>643</v>
      </c>
    </row>
    <row r="3836" spans="2:13" ht="18.75" customHeight="1" x14ac:dyDescent="0.25">
      <c r="B3836" s="550"/>
      <c r="C3836" s="223"/>
      <c r="D3836" s="550"/>
      <c r="E3836" s="224"/>
      <c r="F3836" s="225"/>
      <c r="G3836" s="290"/>
      <c r="H3836" s="226"/>
      <c r="M3836" s="225"/>
    </row>
    <row r="3837" spans="2:13" ht="18.75" customHeight="1" x14ac:dyDescent="0.25">
      <c r="B3837" s="550" t="s">
        <v>644</v>
      </c>
      <c r="C3837" s="223" t="s">
        <v>645</v>
      </c>
      <c r="D3837" s="550"/>
      <c r="E3837" s="224"/>
      <c r="F3837" s="225"/>
      <c r="G3837" s="290"/>
      <c r="H3837" s="235"/>
      <c r="M3837" s="225"/>
    </row>
    <row r="3838" spans="2:13" ht="18.75" customHeight="1" x14ac:dyDescent="0.25">
      <c r="B3838" s="236"/>
      <c r="C3838" s="232"/>
      <c r="D3838" s="550"/>
      <c r="E3838" s="224"/>
      <c r="F3838" s="237" t="s">
        <v>646</v>
      </c>
      <c r="G3838" s="290"/>
      <c r="H3838" s="230"/>
      <c r="M3838" s="237" t="s">
        <v>646</v>
      </c>
    </row>
    <row r="3839" spans="2:13" ht="18.75" customHeight="1" x14ac:dyDescent="0.25">
      <c r="B3839" s="236"/>
      <c r="C3839" s="232"/>
      <c r="D3839" s="550"/>
      <c r="E3839" s="224"/>
      <c r="F3839" s="237"/>
      <c r="G3839" s="290"/>
      <c r="H3839" s="226"/>
      <c r="M3839" s="237"/>
    </row>
    <row r="3840" spans="2:13" ht="18.75" customHeight="1" x14ac:dyDescent="0.25">
      <c r="B3840" s="354"/>
      <c r="C3840" s="362"/>
      <c r="D3840" s="239"/>
      <c r="E3840" s="266"/>
      <c r="F3840" s="241"/>
      <c r="G3840" s="370"/>
      <c r="H3840" s="369"/>
      <c r="M3840" s="241"/>
    </row>
    <row r="3841" spans="2:13" ht="18.75" customHeight="1" x14ac:dyDescent="0.25">
      <c r="B3841" s="356" t="s">
        <v>647</v>
      </c>
      <c r="C3841" s="363" t="s">
        <v>648</v>
      </c>
      <c r="D3841" s="435"/>
      <c r="E3841" s="92"/>
      <c r="F3841" s="183"/>
      <c r="G3841" s="295"/>
      <c r="H3841" s="357">
        <f>+H3838+H3835+H3830</f>
        <v>85180.4</v>
      </c>
      <c r="M3841" s="183"/>
    </row>
    <row r="3842" spans="2:13" ht="18.75" customHeight="1" x14ac:dyDescent="0.25">
      <c r="B3842" s="356" t="s">
        <v>649</v>
      </c>
      <c r="C3842" s="364" t="s">
        <v>650</v>
      </c>
      <c r="D3842" s="435"/>
      <c r="E3842" s="92"/>
      <c r="F3842" s="184" t="str">
        <f>$J$5</f>
        <v>8,0 % x D</v>
      </c>
      <c r="G3842" s="295"/>
      <c r="H3842" s="358">
        <f>+H3841*$K$5</f>
        <v>6814.4319999999998</v>
      </c>
      <c r="M3842" s="184" t="str">
        <f>$J$5</f>
        <v>8,0 % x D</v>
      </c>
    </row>
    <row r="3843" spans="2:13" ht="18.75" customHeight="1" x14ac:dyDescent="0.25">
      <c r="B3843" s="356" t="s">
        <v>651</v>
      </c>
      <c r="C3843" s="365" t="s">
        <v>652</v>
      </c>
      <c r="D3843" s="435"/>
      <c r="E3843" s="91"/>
      <c r="F3843" s="185"/>
      <c r="G3843" s="296"/>
      <c r="H3843" s="359">
        <f>ROUNDUP((H3842+H3841)/100,0)*100</f>
        <v>92000</v>
      </c>
      <c r="M3843" s="185"/>
    </row>
    <row r="3844" spans="2:13" ht="18.75" customHeight="1" x14ac:dyDescent="0.25">
      <c r="B3844" s="360"/>
      <c r="C3844" s="366"/>
      <c r="D3844" s="245"/>
      <c r="E3844" s="246"/>
      <c r="F3844" s="247"/>
      <c r="G3844" s="299"/>
      <c r="H3844" s="361"/>
      <c r="M3844" s="247"/>
    </row>
    <row r="3845" spans="2:13" ht="18.75" customHeight="1" x14ac:dyDescent="0.25">
      <c r="B3845" s="22"/>
      <c r="C3845" s="104"/>
      <c r="E3845" s="21"/>
      <c r="F3845" s="176"/>
      <c r="G3845" s="165"/>
      <c r="H3845" s="119"/>
      <c r="M3845" s="176"/>
    </row>
    <row r="3846" spans="2:13" ht="18.75" customHeight="1" x14ac:dyDescent="0.25">
      <c r="B3846" s="19">
        <f>+B3821+1</f>
        <v>17</v>
      </c>
      <c r="C3846" s="93" t="s">
        <v>997</v>
      </c>
      <c r="D3846" s="19"/>
      <c r="E3846" s="21"/>
      <c r="F3846" s="176"/>
      <c r="G3846" s="165"/>
      <c r="H3846" s="119"/>
      <c r="M3846" s="176"/>
    </row>
    <row r="3847" spans="2:13" ht="18.75" customHeight="1" x14ac:dyDescent="0.25">
      <c r="B3847" s="618" t="s">
        <v>620</v>
      </c>
      <c r="C3847" s="620" t="s">
        <v>621</v>
      </c>
      <c r="D3847" s="618" t="s">
        <v>622</v>
      </c>
      <c r="E3847" s="618" t="s">
        <v>2</v>
      </c>
      <c r="F3847" s="615" t="s">
        <v>623</v>
      </c>
      <c r="G3847" s="289" t="s">
        <v>624</v>
      </c>
      <c r="H3847" s="256" t="s">
        <v>625</v>
      </c>
      <c r="M3847" s="615" t="s">
        <v>623</v>
      </c>
    </row>
    <row r="3848" spans="2:13" ht="18.75" customHeight="1" x14ac:dyDescent="0.25">
      <c r="B3848" s="619"/>
      <c r="C3848" s="621"/>
      <c r="D3848" s="619"/>
      <c r="E3848" s="619"/>
      <c r="F3848" s="616"/>
      <c r="G3848" s="289" t="s">
        <v>626</v>
      </c>
      <c r="H3848" s="256" t="s">
        <v>626</v>
      </c>
      <c r="M3848" s="616"/>
    </row>
    <row r="3849" spans="2:13" ht="18.75" customHeight="1" x14ac:dyDescent="0.25">
      <c r="B3849" s="221"/>
      <c r="C3849" s="222"/>
      <c r="D3849" s="221"/>
      <c r="E3849" s="550"/>
      <c r="F3849" s="555"/>
      <c r="G3849" s="551"/>
      <c r="H3849" s="220"/>
      <c r="M3849" s="590"/>
    </row>
    <row r="3850" spans="2:13" ht="18.75" customHeight="1" x14ac:dyDescent="0.25">
      <c r="B3850" s="550" t="s">
        <v>627</v>
      </c>
      <c r="C3850" s="223" t="s">
        <v>628</v>
      </c>
      <c r="D3850" s="550"/>
      <c r="E3850" s="224"/>
      <c r="F3850" s="225"/>
      <c r="G3850" s="290"/>
      <c r="H3850" s="226"/>
      <c r="M3850" s="225"/>
    </row>
    <row r="3851" spans="2:13" ht="18.75" customHeight="1" x14ac:dyDescent="0.25">
      <c r="B3851" s="550"/>
      <c r="C3851" s="227" t="s">
        <v>629</v>
      </c>
      <c r="D3851" s="550" t="s">
        <v>630</v>
      </c>
      <c r="E3851" s="224" t="s">
        <v>631</v>
      </c>
      <c r="F3851" s="228">
        <f t="shared" ref="F3851:F3854" si="185">$K$8*M3851</f>
        <v>0.4</v>
      </c>
      <c r="G3851" s="229">
        <f>G3826</f>
        <v>95000</v>
      </c>
      <c r="H3851" s="230">
        <f>+G3851*F3851</f>
        <v>38000</v>
      </c>
      <c r="M3851" s="228">
        <v>0.4</v>
      </c>
    </row>
    <row r="3852" spans="2:13" ht="18.75" customHeight="1" x14ac:dyDescent="0.25">
      <c r="B3852" s="550"/>
      <c r="C3852" s="227" t="s">
        <v>1508</v>
      </c>
      <c r="D3852" s="550" t="s">
        <v>634</v>
      </c>
      <c r="E3852" s="224" t="s">
        <v>631</v>
      </c>
      <c r="F3852" s="228">
        <f t="shared" si="185"/>
        <v>0.2</v>
      </c>
      <c r="G3852" s="229">
        <f>G3827</f>
        <v>110000</v>
      </c>
      <c r="H3852" s="230">
        <f>+G3852*F3852</f>
        <v>22000</v>
      </c>
      <c r="M3852" s="228">
        <v>0.2</v>
      </c>
    </row>
    <row r="3853" spans="2:13" ht="18.75" customHeight="1" x14ac:dyDescent="0.25">
      <c r="B3853" s="550"/>
      <c r="C3853" s="227" t="s">
        <v>633</v>
      </c>
      <c r="D3853" s="550" t="s">
        <v>634</v>
      </c>
      <c r="E3853" s="224" t="s">
        <v>631</v>
      </c>
      <c r="F3853" s="228">
        <f t="shared" si="185"/>
        <v>0.02</v>
      </c>
      <c r="G3853" s="229">
        <f>G3828</f>
        <v>115000</v>
      </c>
      <c r="H3853" s="230">
        <f>+G3853*F3853</f>
        <v>2300</v>
      </c>
      <c r="M3853" s="228">
        <v>0.02</v>
      </c>
    </row>
    <row r="3854" spans="2:13" ht="18.75" customHeight="1" x14ac:dyDescent="0.25">
      <c r="B3854" s="550"/>
      <c r="C3854" s="227" t="s">
        <v>600</v>
      </c>
      <c r="D3854" s="550" t="s">
        <v>635</v>
      </c>
      <c r="E3854" s="224" t="s">
        <v>631</v>
      </c>
      <c r="F3854" s="228">
        <f t="shared" si="185"/>
        <v>2.1999999999999999E-2</v>
      </c>
      <c r="G3854" s="229">
        <f>G3829</f>
        <v>140000</v>
      </c>
      <c r="H3854" s="230">
        <f>+G3854*F3854</f>
        <v>3080</v>
      </c>
      <c r="M3854" s="228">
        <v>2.1999999999999999E-2</v>
      </c>
    </row>
    <row r="3855" spans="2:13" ht="18.75" customHeight="1" x14ac:dyDescent="0.25">
      <c r="B3855" s="550"/>
      <c r="C3855" s="223"/>
      <c r="D3855" s="550"/>
      <c r="E3855" s="224"/>
      <c r="F3855" s="233" t="s">
        <v>636</v>
      </c>
      <c r="G3855" s="290"/>
      <c r="H3855" s="231">
        <f>SUM(H3851:H3854)</f>
        <v>65380</v>
      </c>
      <c r="M3855" s="233" t="s">
        <v>636</v>
      </c>
    </row>
    <row r="3856" spans="2:13" ht="18.75" customHeight="1" x14ac:dyDescent="0.25">
      <c r="B3856" s="550"/>
      <c r="C3856" s="223"/>
      <c r="D3856" s="550"/>
      <c r="E3856" s="224"/>
      <c r="F3856" s="233"/>
      <c r="G3856" s="290"/>
      <c r="H3856" s="230"/>
      <c r="M3856" s="233"/>
    </row>
    <row r="3857" spans="2:13" ht="18.75" customHeight="1" x14ac:dyDescent="0.25">
      <c r="B3857" s="550" t="s">
        <v>637</v>
      </c>
      <c r="C3857" s="223" t="s">
        <v>638</v>
      </c>
      <c r="D3857" s="550"/>
      <c r="E3857" s="224"/>
      <c r="F3857" s="225"/>
      <c r="G3857" s="290"/>
      <c r="H3857" s="226"/>
      <c r="M3857" s="225"/>
    </row>
    <row r="3858" spans="2:13" ht="18.75" customHeight="1" x14ac:dyDescent="0.25">
      <c r="B3858" s="550"/>
      <c r="C3858" s="223" t="s">
        <v>708</v>
      </c>
      <c r="D3858" s="550"/>
      <c r="E3858" s="224" t="s">
        <v>5</v>
      </c>
      <c r="F3858" s="228">
        <v>5.8879999999999999</v>
      </c>
      <c r="G3858" s="234">
        <f>+G3833</f>
        <v>1700</v>
      </c>
      <c r="H3858" s="230">
        <f>+G3858*F3858</f>
        <v>10009.6</v>
      </c>
      <c r="M3858" s="228">
        <v>5.8879999999999999</v>
      </c>
    </row>
    <row r="3859" spans="2:13" ht="18.75" customHeight="1" x14ac:dyDescent="0.25">
      <c r="B3859" s="550"/>
      <c r="C3859" s="223" t="s">
        <v>661</v>
      </c>
      <c r="D3859" s="550"/>
      <c r="E3859" s="224" t="s">
        <v>955</v>
      </c>
      <c r="F3859" s="228">
        <v>3.5999999999999997E-2</v>
      </c>
      <c r="G3859" s="229">
        <f>+G3834</f>
        <v>230000</v>
      </c>
      <c r="H3859" s="230">
        <f>+G3859*F3859</f>
        <v>8280</v>
      </c>
      <c r="M3859" s="228">
        <v>3.5999999999999997E-2</v>
      </c>
    </row>
    <row r="3860" spans="2:13" ht="18.75" customHeight="1" x14ac:dyDescent="0.25">
      <c r="B3860" s="550"/>
      <c r="C3860" s="223"/>
      <c r="D3860" s="550"/>
      <c r="E3860" s="224"/>
      <c r="F3860" s="237" t="s">
        <v>643</v>
      </c>
      <c r="G3860" s="290"/>
      <c r="H3860" s="231">
        <f>SUM(H3858:H3859)</f>
        <v>18289.599999999999</v>
      </c>
      <c r="M3860" s="237" t="s">
        <v>643</v>
      </c>
    </row>
    <row r="3861" spans="2:13" ht="18.75" customHeight="1" x14ac:dyDescent="0.25">
      <c r="B3861" s="550"/>
      <c r="C3861" s="223"/>
      <c r="D3861" s="550"/>
      <c r="E3861" s="224"/>
      <c r="F3861" s="225"/>
      <c r="G3861" s="290"/>
      <c r="H3861" s="226"/>
      <c r="M3861" s="225"/>
    </row>
    <row r="3862" spans="2:13" ht="18.75" customHeight="1" x14ac:dyDescent="0.25">
      <c r="B3862" s="550" t="s">
        <v>644</v>
      </c>
      <c r="C3862" s="223" t="s">
        <v>645</v>
      </c>
      <c r="D3862" s="550"/>
      <c r="E3862" s="224"/>
      <c r="F3862" s="225"/>
      <c r="G3862" s="290"/>
      <c r="H3862" s="235"/>
      <c r="M3862" s="225"/>
    </row>
    <row r="3863" spans="2:13" ht="18.75" customHeight="1" x14ac:dyDescent="0.25">
      <c r="B3863" s="236"/>
      <c r="C3863" s="232"/>
      <c r="D3863" s="550"/>
      <c r="E3863" s="224"/>
      <c r="F3863" s="237" t="s">
        <v>646</v>
      </c>
      <c r="G3863" s="290"/>
      <c r="H3863" s="230"/>
      <c r="M3863" s="237" t="s">
        <v>646</v>
      </c>
    </row>
    <row r="3864" spans="2:13" ht="18.75" customHeight="1" x14ac:dyDescent="0.25">
      <c r="B3864" s="236"/>
      <c r="C3864" s="232"/>
      <c r="D3864" s="550"/>
      <c r="E3864" s="224"/>
      <c r="F3864" s="237"/>
      <c r="G3864" s="290"/>
      <c r="H3864" s="226"/>
      <c r="M3864" s="237"/>
    </row>
    <row r="3865" spans="2:13" ht="18.75" customHeight="1" x14ac:dyDescent="0.25">
      <c r="B3865" s="354"/>
      <c r="C3865" s="362"/>
      <c r="D3865" s="239"/>
      <c r="E3865" s="266"/>
      <c r="F3865" s="241"/>
      <c r="G3865" s="370"/>
      <c r="H3865" s="369"/>
      <c r="M3865" s="241"/>
    </row>
    <row r="3866" spans="2:13" ht="18.75" customHeight="1" x14ac:dyDescent="0.25">
      <c r="B3866" s="356" t="s">
        <v>647</v>
      </c>
      <c r="C3866" s="363" t="s">
        <v>648</v>
      </c>
      <c r="D3866" s="435"/>
      <c r="E3866" s="92"/>
      <c r="F3866" s="183"/>
      <c r="G3866" s="295"/>
      <c r="H3866" s="357">
        <f>+H3863+H3860+H3855</f>
        <v>83669.600000000006</v>
      </c>
      <c r="M3866" s="183"/>
    </row>
    <row r="3867" spans="2:13" ht="18.75" customHeight="1" x14ac:dyDescent="0.25">
      <c r="B3867" s="356" t="s">
        <v>649</v>
      </c>
      <c r="C3867" s="364" t="s">
        <v>650</v>
      </c>
      <c r="D3867" s="435"/>
      <c r="E3867" s="92"/>
      <c r="F3867" s="184" t="str">
        <f>$J$5</f>
        <v>8,0 % x D</v>
      </c>
      <c r="G3867" s="295"/>
      <c r="H3867" s="358">
        <f>+H3866*$K$5</f>
        <v>6693.5680000000002</v>
      </c>
      <c r="M3867" s="184" t="str">
        <f>$J$5</f>
        <v>8,0 % x D</v>
      </c>
    </row>
    <row r="3868" spans="2:13" ht="18.75" customHeight="1" x14ac:dyDescent="0.25">
      <c r="B3868" s="356" t="s">
        <v>651</v>
      </c>
      <c r="C3868" s="365" t="s">
        <v>652</v>
      </c>
      <c r="D3868" s="435"/>
      <c r="E3868" s="91"/>
      <c r="F3868" s="185"/>
      <c r="G3868" s="296"/>
      <c r="H3868" s="359">
        <f>ROUNDUP((H3867+H3866)/100,0)*100</f>
        <v>90400</v>
      </c>
      <c r="M3868" s="185"/>
    </row>
    <row r="3869" spans="2:13" ht="18.75" customHeight="1" x14ac:dyDescent="0.25">
      <c r="B3869" s="360"/>
      <c r="C3869" s="366"/>
      <c r="D3869" s="245"/>
      <c r="E3869" s="246"/>
      <c r="F3869" s="247"/>
      <c r="G3869" s="299"/>
      <c r="H3869" s="361"/>
      <c r="M3869" s="247"/>
    </row>
    <row r="3870" spans="2:13" ht="18.75" customHeight="1" x14ac:dyDescent="0.25">
      <c r="B3870" s="22"/>
      <c r="C3870" s="104"/>
      <c r="E3870" s="21"/>
      <c r="F3870" s="176"/>
      <c r="G3870" s="165"/>
      <c r="H3870" s="119"/>
      <c r="M3870" s="176"/>
    </row>
    <row r="3871" spans="2:13" ht="18.75" customHeight="1" x14ac:dyDescent="0.25">
      <c r="B3871" s="19">
        <v>18</v>
      </c>
      <c r="C3871" s="93" t="s">
        <v>998</v>
      </c>
      <c r="D3871" s="19"/>
      <c r="E3871" s="21"/>
      <c r="F3871" s="176"/>
      <c r="G3871" s="165"/>
      <c r="H3871" s="119"/>
      <c r="M3871" s="176"/>
    </row>
    <row r="3872" spans="2:13" ht="18.75" customHeight="1" x14ac:dyDescent="0.25">
      <c r="B3872" s="618" t="s">
        <v>620</v>
      </c>
      <c r="C3872" s="620" t="s">
        <v>621</v>
      </c>
      <c r="D3872" s="618" t="s">
        <v>622</v>
      </c>
      <c r="E3872" s="618" t="s">
        <v>2</v>
      </c>
      <c r="F3872" s="615" t="s">
        <v>623</v>
      </c>
      <c r="G3872" s="289" t="s">
        <v>624</v>
      </c>
      <c r="H3872" s="256" t="s">
        <v>625</v>
      </c>
      <c r="M3872" s="615" t="s">
        <v>623</v>
      </c>
    </row>
    <row r="3873" spans="2:13" ht="18.75" customHeight="1" x14ac:dyDescent="0.25">
      <c r="B3873" s="619"/>
      <c r="C3873" s="621"/>
      <c r="D3873" s="619"/>
      <c r="E3873" s="619"/>
      <c r="F3873" s="616"/>
      <c r="G3873" s="289" t="s">
        <v>626</v>
      </c>
      <c r="H3873" s="256" t="s">
        <v>626</v>
      </c>
      <c r="M3873" s="616"/>
    </row>
    <row r="3874" spans="2:13" ht="18.75" customHeight="1" x14ac:dyDescent="0.25">
      <c r="B3874" s="221"/>
      <c r="C3874" s="222"/>
      <c r="D3874" s="221"/>
      <c r="E3874" s="550"/>
      <c r="F3874" s="555"/>
      <c r="G3874" s="551"/>
      <c r="H3874" s="220"/>
      <c r="M3874" s="590"/>
    </row>
    <row r="3875" spans="2:13" ht="18.75" customHeight="1" x14ac:dyDescent="0.25">
      <c r="B3875" s="550" t="s">
        <v>627</v>
      </c>
      <c r="C3875" s="223" t="s">
        <v>628</v>
      </c>
      <c r="D3875" s="550"/>
      <c r="E3875" s="224"/>
      <c r="F3875" s="225"/>
      <c r="G3875" s="290"/>
      <c r="H3875" s="226"/>
      <c r="M3875" s="225"/>
    </row>
    <row r="3876" spans="2:13" ht="18.75" customHeight="1" x14ac:dyDescent="0.25">
      <c r="B3876" s="550"/>
      <c r="C3876" s="227" t="s">
        <v>629</v>
      </c>
      <c r="D3876" s="550" t="s">
        <v>630</v>
      </c>
      <c r="E3876" s="224" t="s">
        <v>631</v>
      </c>
      <c r="F3876" s="228">
        <f t="shared" ref="F3876:F3879" si="186">$K$8*M3876</f>
        <v>0.44</v>
      </c>
      <c r="G3876" s="229">
        <f>G3801</f>
        <v>95000</v>
      </c>
      <c r="H3876" s="230">
        <f>+G3876*F3876</f>
        <v>41800</v>
      </c>
      <c r="M3876" s="228">
        <v>0.44</v>
      </c>
    </row>
    <row r="3877" spans="2:13" ht="18.75" customHeight="1" x14ac:dyDescent="0.25">
      <c r="B3877" s="550"/>
      <c r="C3877" s="227" t="s">
        <v>1508</v>
      </c>
      <c r="D3877" s="550" t="s">
        <v>634</v>
      </c>
      <c r="E3877" s="224" t="s">
        <v>631</v>
      </c>
      <c r="F3877" s="228">
        <f t="shared" si="186"/>
        <v>0.22</v>
      </c>
      <c r="G3877" s="229">
        <f>G3802</f>
        <v>110000</v>
      </c>
      <c r="H3877" s="230">
        <f>+G3877*F3877</f>
        <v>24200</v>
      </c>
      <c r="M3877" s="228">
        <v>0.22</v>
      </c>
    </row>
    <row r="3878" spans="2:13" ht="18.75" customHeight="1" x14ac:dyDescent="0.25">
      <c r="B3878" s="550"/>
      <c r="C3878" s="227" t="s">
        <v>633</v>
      </c>
      <c r="D3878" s="550" t="s">
        <v>634</v>
      </c>
      <c r="E3878" s="224" t="s">
        <v>631</v>
      </c>
      <c r="F3878" s="228">
        <f t="shared" si="186"/>
        <v>2.1999999999999999E-2</v>
      </c>
      <c r="G3878" s="229">
        <f>G3803</f>
        <v>115000</v>
      </c>
      <c r="H3878" s="230">
        <f>+G3878*F3878</f>
        <v>2530</v>
      </c>
      <c r="M3878" s="228">
        <v>2.1999999999999999E-2</v>
      </c>
    </row>
    <row r="3879" spans="2:13" ht="18.75" customHeight="1" x14ac:dyDescent="0.25">
      <c r="B3879" s="550"/>
      <c r="C3879" s="227" t="s">
        <v>600</v>
      </c>
      <c r="D3879" s="550" t="s">
        <v>635</v>
      </c>
      <c r="E3879" s="224" t="s">
        <v>631</v>
      </c>
      <c r="F3879" s="228">
        <f t="shared" si="186"/>
        <v>2.1999999999999999E-2</v>
      </c>
      <c r="G3879" s="229">
        <f>G3804</f>
        <v>140000</v>
      </c>
      <c r="H3879" s="230">
        <f>+G3879*F3879</f>
        <v>3080</v>
      </c>
      <c r="M3879" s="228">
        <v>2.1999999999999999E-2</v>
      </c>
    </row>
    <row r="3880" spans="2:13" ht="18.75" customHeight="1" x14ac:dyDescent="0.25">
      <c r="B3880" s="550"/>
      <c r="C3880" s="223"/>
      <c r="D3880" s="550"/>
      <c r="E3880" s="224"/>
      <c r="F3880" s="233" t="s">
        <v>636</v>
      </c>
      <c r="G3880" s="290"/>
      <c r="H3880" s="231">
        <f>SUM(H3876:H3879)</f>
        <v>71610</v>
      </c>
      <c r="M3880" s="233" t="s">
        <v>636</v>
      </c>
    </row>
    <row r="3881" spans="2:13" ht="18.75" customHeight="1" x14ac:dyDescent="0.25">
      <c r="B3881" s="550"/>
      <c r="C3881" s="223"/>
      <c r="D3881" s="550"/>
      <c r="E3881" s="224"/>
      <c r="F3881" s="233"/>
      <c r="G3881" s="290"/>
      <c r="H3881" s="231"/>
      <c r="M3881" s="233"/>
    </row>
    <row r="3882" spans="2:13" ht="18.75" customHeight="1" x14ac:dyDescent="0.25">
      <c r="B3882" s="550" t="s">
        <v>637</v>
      </c>
      <c r="C3882" s="223" t="s">
        <v>638</v>
      </c>
      <c r="D3882" s="550"/>
      <c r="E3882" s="224"/>
      <c r="F3882" s="225"/>
      <c r="G3882" s="290"/>
      <c r="H3882" s="226"/>
      <c r="M3882" s="225"/>
    </row>
    <row r="3883" spans="2:13" ht="18.75" customHeight="1" x14ac:dyDescent="0.25">
      <c r="B3883" s="550"/>
      <c r="C3883" s="223" t="s">
        <v>1604</v>
      </c>
      <c r="D3883" s="550"/>
      <c r="E3883" s="224" t="s">
        <v>62</v>
      </c>
      <c r="F3883" s="228">
        <v>8.9999999999999993E-3</v>
      </c>
      <c r="G3883" s="229">
        <f>+G3732</f>
        <v>14500</v>
      </c>
      <c r="H3883" s="230">
        <f>F3883*G3883</f>
        <v>130.5</v>
      </c>
      <c r="M3883" s="228">
        <v>8.9999999999999993E-3</v>
      </c>
    </row>
    <row r="3884" spans="2:13" ht="18.75" customHeight="1" x14ac:dyDescent="0.25">
      <c r="B3884" s="550"/>
      <c r="C3884" s="223" t="s">
        <v>1603</v>
      </c>
      <c r="D3884" s="550"/>
      <c r="E3884" s="224" t="s">
        <v>955</v>
      </c>
      <c r="F3884" s="228">
        <v>8.9999999999999993E-3</v>
      </c>
      <c r="G3884" s="229">
        <f>+G3733</f>
        <v>125000</v>
      </c>
      <c r="H3884" s="230">
        <f>+G3884*F3884</f>
        <v>1125</v>
      </c>
      <c r="M3884" s="228">
        <v>8.9999999999999993E-3</v>
      </c>
    </row>
    <row r="3885" spans="2:13" ht="18.75" customHeight="1" x14ac:dyDescent="0.25">
      <c r="B3885" s="550"/>
      <c r="C3885" s="223" t="s">
        <v>709</v>
      </c>
      <c r="D3885" s="550"/>
      <c r="E3885" s="224" t="s">
        <v>955</v>
      </c>
      <c r="F3885" s="228">
        <v>1.7999999999999999E-2</v>
      </c>
      <c r="G3885" s="229">
        <f>G3859</f>
        <v>230000</v>
      </c>
      <c r="H3885" s="230">
        <f>+G3885*F3885</f>
        <v>4140</v>
      </c>
      <c r="M3885" s="228">
        <v>1.7999999999999999E-2</v>
      </c>
    </row>
    <row r="3886" spans="2:13" ht="18.75" customHeight="1" x14ac:dyDescent="0.25">
      <c r="B3886" s="550"/>
      <c r="C3886" s="223"/>
      <c r="D3886" s="550"/>
      <c r="E3886" s="224"/>
      <c r="F3886" s="237" t="s">
        <v>643</v>
      </c>
      <c r="G3886" s="290"/>
      <c r="H3886" s="231">
        <f>SUM(H3883:H3883)</f>
        <v>130.5</v>
      </c>
      <c r="M3886" s="237" t="s">
        <v>643</v>
      </c>
    </row>
    <row r="3887" spans="2:13" ht="18.75" customHeight="1" x14ac:dyDescent="0.25">
      <c r="B3887" s="550"/>
      <c r="C3887" s="223"/>
      <c r="D3887" s="550"/>
      <c r="E3887" s="224"/>
      <c r="F3887" s="237"/>
      <c r="G3887" s="290"/>
      <c r="H3887" s="231"/>
      <c r="M3887" s="237"/>
    </row>
    <row r="3888" spans="2:13" ht="18.75" customHeight="1" x14ac:dyDescent="0.25">
      <c r="B3888" s="550" t="s">
        <v>644</v>
      </c>
      <c r="C3888" s="223" t="s">
        <v>645</v>
      </c>
      <c r="D3888" s="550"/>
      <c r="E3888" s="224"/>
      <c r="F3888" s="225"/>
      <c r="G3888" s="290"/>
      <c r="H3888" s="235"/>
      <c r="M3888" s="225"/>
    </row>
    <row r="3889" spans="2:13" ht="18.75" customHeight="1" x14ac:dyDescent="0.25">
      <c r="B3889" s="236"/>
      <c r="C3889" s="232"/>
      <c r="D3889" s="550"/>
      <c r="E3889" s="224"/>
      <c r="F3889" s="237" t="s">
        <v>646</v>
      </c>
      <c r="G3889" s="290"/>
      <c r="H3889" s="230"/>
      <c r="M3889" s="237" t="s">
        <v>646</v>
      </c>
    </row>
    <row r="3890" spans="2:13" ht="18.75" customHeight="1" x14ac:dyDescent="0.25">
      <c r="B3890" s="236"/>
      <c r="C3890" s="232"/>
      <c r="D3890" s="550"/>
      <c r="E3890" s="224"/>
      <c r="F3890" s="237"/>
      <c r="G3890" s="290"/>
      <c r="H3890" s="226"/>
      <c r="M3890" s="237"/>
    </row>
    <row r="3891" spans="2:13" ht="18.75" customHeight="1" x14ac:dyDescent="0.25">
      <c r="B3891" s="354"/>
      <c r="C3891" s="362"/>
      <c r="D3891" s="239"/>
      <c r="E3891" s="266"/>
      <c r="F3891" s="241"/>
      <c r="G3891" s="370"/>
      <c r="H3891" s="369"/>
      <c r="M3891" s="241"/>
    </row>
    <row r="3892" spans="2:13" ht="18.75" customHeight="1" x14ac:dyDescent="0.25">
      <c r="B3892" s="356" t="s">
        <v>647</v>
      </c>
      <c r="C3892" s="363" t="s">
        <v>648</v>
      </c>
      <c r="D3892" s="435"/>
      <c r="E3892" s="92"/>
      <c r="F3892" s="183"/>
      <c r="G3892" s="295"/>
      <c r="H3892" s="357">
        <f>+H3889+H3886+H3880</f>
        <v>71740.5</v>
      </c>
      <c r="M3892" s="183"/>
    </row>
    <row r="3893" spans="2:13" ht="18.75" customHeight="1" x14ac:dyDescent="0.25">
      <c r="B3893" s="356" t="s">
        <v>649</v>
      </c>
      <c r="C3893" s="364" t="s">
        <v>650</v>
      </c>
      <c r="D3893" s="435"/>
      <c r="E3893" s="92"/>
      <c r="F3893" s="184" t="str">
        <f>$J$5</f>
        <v>8,0 % x D</v>
      </c>
      <c r="G3893" s="295"/>
      <c r="H3893" s="358">
        <f>+H3892*$K$5</f>
        <v>5739.24</v>
      </c>
      <c r="M3893" s="184" t="str">
        <f>$J$5</f>
        <v>8,0 % x D</v>
      </c>
    </row>
    <row r="3894" spans="2:13" ht="18.75" customHeight="1" x14ac:dyDescent="0.25">
      <c r="B3894" s="356" t="s">
        <v>651</v>
      </c>
      <c r="C3894" s="365" t="s">
        <v>652</v>
      </c>
      <c r="D3894" s="435"/>
      <c r="E3894" s="91"/>
      <c r="F3894" s="185"/>
      <c r="G3894" s="296"/>
      <c r="H3894" s="359">
        <f>ROUNDUP((H3893+H3892)/100,0)*100</f>
        <v>77500</v>
      </c>
      <c r="M3894" s="185"/>
    </row>
    <row r="3895" spans="2:13" ht="18.75" customHeight="1" x14ac:dyDescent="0.25">
      <c r="B3895" s="360"/>
      <c r="C3895" s="366"/>
      <c r="D3895" s="245"/>
      <c r="E3895" s="246"/>
      <c r="F3895" s="247"/>
      <c r="G3895" s="299"/>
      <c r="H3895" s="361"/>
      <c r="M3895" s="247"/>
    </row>
    <row r="3896" spans="2:13" ht="18.75" customHeight="1" x14ac:dyDescent="0.25">
      <c r="B3896" s="22"/>
      <c r="C3896" s="104"/>
      <c r="E3896" s="21"/>
      <c r="F3896" s="176"/>
      <c r="G3896" s="165"/>
      <c r="H3896" s="119"/>
      <c r="M3896" s="176"/>
    </row>
    <row r="3897" spans="2:13" ht="18.75" customHeight="1" x14ac:dyDescent="0.25">
      <c r="B3897" s="19">
        <v>19</v>
      </c>
      <c r="C3897" s="93" t="s">
        <v>999</v>
      </c>
      <c r="D3897" s="19"/>
      <c r="E3897" s="21"/>
      <c r="F3897" s="176"/>
      <c r="G3897" s="165"/>
      <c r="H3897" s="119"/>
      <c r="M3897" s="176"/>
    </row>
    <row r="3898" spans="2:13" ht="18.75" customHeight="1" x14ac:dyDescent="0.25">
      <c r="B3898" s="618" t="s">
        <v>620</v>
      </c>
      <c r="C3898" s="620" t="s">
        <v>621</v>
      </c>
      <c r="D3898" s="618" t="s">
        <v>622</v>
      </c>
      <c r="E3898" s="618" t="s">
        <v>2</v>
      </c>
      <c r="F3898" s="615" t="s">
        <v>623</v>
      </c>
      <c r="G3898" s="289" t="s">
        <v>624</v>
      </c>
      <c r="H3898" s="256" t="s">
        <v>625</v>
      </c>
      <c r="M3898" s="615" t="s">
        <v>623</v>
      </c>
    </row>
    <row r="3899" spans="2:13" ht="18.75" customHeight="1" x14ac:dyDescent="0.25">
      <c r="B3899" s="619"/>
      <c r="C3899" s="621"/>
      <c r="D3899" s="619"/>
      <c r="E3899" s="619"/>
      <c r="F3899" s="616"/>
      <c r="G3899" s="289" t="s">
        <v>626</v>
      </c>
      <c r="H3899" s="256" t="s">
        <v>626</v>
      </c>
      <c r="M3899" s="616"/>
    </row>
    <row r="3900" spans="2:13" ht="18.75" customHeight="1" x14ac:dyDescent="0.25">
      <c r="B3900" s="221"/>
      <c r="C3900" s="222"/>
      <c r="D3900" s="221"/>
      <c r="E3900" s="550"/>
      <c r="F3900" s="555"/>
      <c r="G3900" s="551"/>
      <c r="H3900" s="220"/>
      <c r="M3900" s="590"/>
    </row>
    <row r="3901" spans="2:13" ht="18.75" customHeight="1" x14ac:dyDescent="0.25">
      <c r="B3901" s="550" t="s">
        <v>627</v>
      </c>
      <c r="C3901" s="223" t="s">
        <v>628</v>
      </c>
      <c r="D3901" s="550"/>
      <c r="E3901" s="224"/>
      <c r="F3901" s="225"/>
      <c r="G3901" s="290"/>
      <c r="H3901" s="226"/>
      <c r="M3901" s="225"/>
    </row>
    <row r="3902" spans="2:13" ht="18.75" customHeight="1" x14ac:dyDescent="0.25">
      <c r="B3902" s="550"/>
      <c r="C3902" s="227" t="s">
        <v>629</v>
      </c>
      <c r="D3902" s="550" t="s">
        <v>630</v>
      </c>
      <c r="E3902" s="224" t="s">
        <v>631</v>
      </c>
      <c r="F3902" s="228">
        <f t="shared" ref="F3902:F3905" si="187">$K$8*M3902</f>
        <v>0.26</v>
      </c>
      <c r="G3902" s="229">
        <f>G3876</f>
        <v>95000</v>
      </c>
      <c r="H3902" s="230">
        <f>+G3902*F3902</f>
        <v>24700</v>
      </c>
      <c r="M3902" s="228">
        <v>0.26</v>
      </c>
    </row>
    <row r="3903" spans="2:13" ht="18.75" customHeight="1" x14ac:dyDescent="0.25">
      <c r="B3903" s="550"/>
      <c r="C3903" s="227" t="s">
        <v>1508</v>
      </c>
      <c r="D3903" s="550" t="s">
        <v>634</v>
      </c>
      <c r="E3903" s="224" t="s">
        <v>631</v>
      </c>
      <c r="F3903" s="228">
        <f t="shared" si="187"/>
        <v>0.2</v>
      </c>
      <c r="G3903" s="229">
        <f>G3877</f>
        <v>110000</v>
      </c>
      <c r="H3903" s="230">
        <f>+G3903*F3903</f>
        <v>22000</v>
      </c>
      <c r="M3903" s="228">
        <v>0.2</v>
      </c>
    </row>
    <row r="3904" spans="2:13" ht="18.75" customHeight="1" x14ac:dyDescent="0.25">
      <c r="B3904" s="550"/>
      <c r="C3904" s="227" t="s">
        <v>633</v>
      </c>
      <c r="D3904" s="550" t="s">
        <v>634</v>
      </c>
      <c r="E3904" s="224" t="s">
        <v>631</v>
      </c>
      <c r="F3904" s="228">
        <f t="shared" si="187"/>
        <v>0.02</v>
      </c>
      <c r="G3904" s="229">
        <f>G3878</f>
        <v>115000</v>
      </c>
      <c r="H3904" s="230">
        <f>+G3904*F3904</f>
        <v>2300</v>
      </c>
      <c r="M3904" s="228">
        <v>0.02</v>
      </c>
    </row>
    <row r="3905" spans="2:13" ht="18.75" customHeight="1" x14ac:dyDescent="0.25">
      <c r="B3905" s="550"/>
      <c r="C3905" s="227" t="s">
        <v>600</v>
      </c>
      <c r="D3905" s="550" t="s">
        <v>635</v>
      </c>
      <c r="E3905" s="224" t="s">
        <v>631</v>
      </c>
      <c r="F3905" s="228">
        <f t="shared" si="187"/>
        <v>1.299E-2</v>
      </c>
      <c r="G3905" s="229">
        <f>G3879</f>
        <v>140000</v>
      </c>
      <c r="H3905" s="230">
        <f>+G3905*F3905</f>
        <v>1818.6</v>
      </c>
      <c r="K3905" s="415"/>
      <c r="M3905" s="228">
        <v>1.299E-2</v>
      </c>
    </row>
    <row r="3906" spans="2:13" ht="18.75" customHeight="1" x14ac:dyDescent="0.25">
      <c r="B3906" s="550"/>
      <c r="C3906" s="223"/>
      <c r="D3906" s="550"/>
      <c r="E3906" s="224"/>
      <c r="F3906" s="233" t="s">
        <v>636</v>
      </c>
      <c r="G3906" s="290"/>
      <c r="H3906" s="231">
        <f>SUM(H3902:H3905)</f>
        <v>50818.6</v>
      </c>
      <c r="K3906" s="415"/>
      <c r="M3906" s="233" t="s">
        <v>636</v>
      </c>
    </row>
    <row r="3907" spans="2:13" ht="18.75" customHeight="1" x14ac:dyDescent="0.25">
      <c r="B3907" s="550"/>
      <c r="C3907" s="223"/>
      <c r="D3907" s="550"/>
      <c r="E3907" s="224"/>
      <c r="F3907" s="233"/>
      <c r="G3907" s="290"/>
      <c r="H3907" s="230"/>
      <c r="K3907" s="415"/>
      <c r="M3907" s="233"/>
    </row>
    <row r="3908" spans="2:13" ht="18.75" customHeight="1" x14ac:dyDescent="0.25">
      <c r="B3908" s="550" t="s">
        <v>637</v>
      </c>
      <c r="C3908" s="223" t="s">
        <v>638</v>
      </c>
      <c r="D3908" s="550"/>
      <c r="E3908" s="224"/>
      <c r="F3908" s="225"/>
      <c r="G3908" s="290"/>
      <c r="H3908" s="226"/>
      <c r="K3908" s="415"/>
      <c r="M3908" s="225"/>
    </row>
    <row r="3909" spans="2:13" ht="18.75" customHeight="1" x14ac:dyDescent="0.25">
      <c r="B3909" s="550"/>
      <c r="C3909" s="223" t="s">
        <v>708</v>
      </c>
      <c r="D3909" s="550"/>
      <c r="E3909" s="224" t="s">
        <v>5</v>
      </c>
      <c r="F3909" s="228">
        <v>9.3000000000000007</v>
      </c>
      <c r="G3909" s="234">
        <f>G3858</f>
        <v>1700</v>
      </c>
      <c r="H3909" s="230">
        <f>F3909*G3909</f>
        <v>15810.000000000002</v>
      </c>
      <c r="K3909" s="415"/>
      <c r="M3909" s="228">
        <v>9.3000000000000007</v>
      </c>
    </row>
    <row r="3910" spans="2:13" ht="18.75" customHeight="1" x14ac:dyDescent="0.25">
      <c r="B3910" s="550"/>
      <c r="C3910" s="223" t="s">
        <v>661</v>
      </c>
      <c r="D3910" s="550"/>
      <c r="E3910" s="224" t="s">
        <v>955</v>
      </c>
      <c r="F3910" s="228">
        <v>1.7999999999999999E-2</v>
      </c>
      <c r="G3910" s="229">
        <f>G3885</f>
        <v>230000</v>
      </c>
      <c r="H3910" s="230">
        <f>+G3910*F3910</f>
        <v>4140</v>
      </c>
      <c r="M3910" s="228">
        <v>1.7999999999999999E-2</v>
      </c>
    </row>
    <row r="3911" spans="2:13" ht="18.75" customHeight="1" x14ac:dyDescent="0.25">
      <c r="B3911" s="550"/>
      <c r="C3911" s="223"/>
      <c r="D3911" s="550"/>
      <c r="E3911" s="224"/>
      <c r="F3911" s="237" t="s">
        <v>643</v>
      </c>
      <c r="G3911" s="290"/>
      <c r="H3911" s="231">
        <f>SUM(H3909:H3910)</f>
        <v>19950</v>
      </c>
      <c r="M3911" s="237" t="s">
        <v>643</v>
      </c>
    </row>
    <row r="3912" spans="2:13" ht="18.75" customHeight="1" x14ac:dyDescent="0.25">
      <c r="B3912" s="550"/>
      <c r="C3912" s="223"/>
      <c r="D3912" s="550"/>
      <c r="E3912" s="224"/>
      <c r="F3912" s="225"/>
      <c r="G3912" s="290"/>
      <c r="H3912" s="226"/>
      <c r="M3912" s="225"/>
    </row>
    <row r="3913" spans="2:13" ht="18.75" customHeight="1" x14ac:dyDescent="0.25">
      <c r="B3913" s="550" t="s">
        <v>644</v>
      </c>
      <c r="C3913" s="223" t="s">
        <v>645</v>
      </c>
      <c r="D3913" s="550"/>
      <c r="E3913" s="224"/>
      <c r="F3913" s="225"/>
      <c r="G3913" s="290"/>
      <c r="H3913" s="235"/>
      <c r="M3913" s="225"/>
    </row>
    <row r="3914" spans="2:13" ht="18.75" customHeight="1" x14ac:dyDescent="0.25">
      <c r="B3914" s="236"/>
      <c r="C3914" s="232"/>
      <c r="D3914" s="550"/>
      <c r="E3914" s="224"/>
      <c r="F3914" s="237" t="s">
        <v>646</v>
      </c>
      <c r="G3914" s="290"/>
      <c r="H3914" s="230"/>
      <c r="M3914" s="237" t="s">
        <v>646</v>
      </c>
    </row>
    <row r="3915" spans="2:13" ht="18.75" customHeight="1" x14ac:dyDescent="0.25">
      <c r="B3915" s="236"/>
      <c r="C3915" s="232"/>
      <c r="D3915" s="550"/>
      <c r="E3915" s="224"/>
      <c r="F3915" s="237"/>
      <c r="G3915" s="290"/>
      <c r="H3915" s="226"/>
      <c r="M3915" s="237"/>
    </row>
    <row r="3916" spans="2:13" ht="18.75" customHeight="1" x14ac:dyDescent="0.25">
      <c r="B3916" s="354"/>
      <c r="C3916" s="362"/>
      <c r="D3916" s="239"/>
      <c r="E3916" s="266"/>
      <c r="F3916" s="241"/>
      <c r="G3916" s="370"/>
      <c r="H3916" s="369"/>
      <c r="M3916" s="241"/>
    </row>
    <row r="3917" spans="2:13" ht="18.75" customHeight="1" x14ac:dyDescent="0.25">
      <c r="B3917" s="356" t="s">
        <v>647</v>
      </c>
      <c r="C3917" s="363" t="s">
        <v>648</v>
      </c>
      <c r="D3917" s="435"/>
      <c r="E3917" s="92"/>
      <c r="F3917" s="183"/>
      <c r="G3917" s="295"/>
      <c r="H3917" s="357">
        <f>+H3914+H3911+H3906</f>
        <v>70768.600000000006</v>
      </c>
      <c r="M3917" s="183"/>
    </row>
    <row r="3918" spans="2:13" ht="18.75" customHeight="1" x14ac:dyDescent="0.25">
      <c r="B3918" s="356" t="s">
        <v>649</v>
      </c>
      <c r="C3918" s="364" t="s">
        <v>650</v>
      </c>
      <c r="D3918" s="435"/>
      <c r="E3918" s="92"/>
      <c r="F3918" s="184" t="str">
        <f>$J$5</f>
        <v>8,0 % x D</v>
      </c>
      <c r="G3918" s="295"/>
      <c r="H3918" s="358">
        <f>+H3917*$K$5</f>
        <v>5661.4880000000003</v>
      </c>
      <c r="M3918" s="184" t="str">
        <f>$J$5</f>
        <v>8,0 % x D</v>
      </c>
    </row>
    <row r="3919" spans="2:13" ht="18.75" customHeight="1" x14ac:dyDescent="0.25">
      <c r="B3919" s="356" t="s">
        <v>651</v>
      </c>
      <c r="C3919" s="365" t="s">
        <v>652</v>
      </c>
      <c r="D3919" s="435"/>
      <c r="E3919" s="91"/>
      <c r="F3919" s="185"/>
      <c r="G3919" s="296"/>
      <c r="H3919" s="359">
        <f>ROUNDUP((H3918+H3917)/100,0)*100</f>
        <v>76500</v>
      </c>
      <c r="M3919" s="185"/>
    </row>
    <row r="3920" spans="2:13" ht="18.75" customHeight="1" x14ac:dyDescent="0.25">
      <c r="B3920" s="384"/>
      <c r="C3920" s="384"/>
      <c r="D3920" s="285"/>
      <c r="E3920" s="285"/>
      <c r="F3920" s="285"/>
      <c r="G3920" s="386"/>
      <c r="H3920" s="385"/>
      <c r="M3920" s="285"/>
    </row>
    <row r="3921" spans="2:13" ht="18.75" customHeight="1" x14ac:dyDescent="0.25">
      <c r="B3921" s="22"/>
      <c r="C3921" s="112"/>
      <c r="D3921" s="70"/>
      <c r="E3921" s="70"/>
      <c r="F3921" s="202"/>
      <c r="G3921" s="173"/>
      <c r="H3921" s="119"/>
      <c r="M3921" s="202"/>
    </row>
    <row r="3922" spans="2:13" ht="18.75" customHeight="1" x14ac:dyDescent="0.25">
      <c r="B3922" s="19">
        <v>20</v>
      </c>
      <c r="C3922" s="93" t="s">
        <v>1788</v>
      </c>
      <c r="D3922" s="19"/>
      <c r="E3922" s="21"/>
      <c r="F3922" s="176"/>
      <c r="G3922" s="165"/>
      <c r="H3922" s="119"/>
      <c r="M3922" s="176"/>
    </row>
    <row r="3923" spans="2:13" ht="18.75" customHeight="1" x14ac:dyDescent="0.25">
      <c r="B3923" s="618" t="s">
        <v>620</v>
      </c>
      <c r="C3923" s="620" t="s">
        <v>621</v>
      </c>
      <c r="D3923" s="618" t="s">
        <v>622</v>
      </c>
      <c r="E3923" s="618" t="s">
        <v>2</v>
      </c>
      <c r="F3923" s="615" t="s">
        <v>623</v>
      </c>
      <c r="G3923" s="289" t="s">
        <v>624</v>
      </c>
      <c r="H3923" s="256" t="s">
        <v>625</v>
      </c>
      <c r="M3923" s="615" t="s">
        <v>623</v>
      </c>
    </row>
    <row r="3924" spans="2:13" ht="18.75" customHeight="1" x14ac:dyDescent="0.25">
      <c r="B3924" s="619"/>
      <c r="C3924" s="621"/>
      <c r="D3924" s="619"/>
      <c r="E3924" s="619"/>
      <c r="F3924" s="616"/>
      <c r="G3924" s="289" t="s">
        <v>626</v>
      </c>
      <c r="H3924" s="256" t="s">
        <v>626</v>
      </c>
      <c r="M3924" s="616"/>
    </row>
    <row r="3925" spans="2:13" ht="18.75" customHeight="1" x14ac:dyDescent="0.25">
      <c r="B3925" s="221"/>
      <c r="C3925" s="222"/>
      <c r="D3925" s="221"/>
      <c r="E3925" s="550"/>
      <c r="F3925" s="555"/>
      <c r="G3925" s="551"/>
      <c r="H3925" s="220"/>
      <c r="M3925" s="590"/>
    </row>
    <row r="3926" spans="2:13" ht="18.75" customHeight="1" x14ac:dyDescent="0.25">
      <c r="B3926" s="550" t="s">
        <v>627</v>
      </c>
      <c r="C3926" s="223" t="s">
        <v>628</v>
      </c>
      <c r="D3926" s="550"/>
      <c r="E3926" s="224"/>
      <c r="F3926" s="225"/>
      <c r="G3926" s="290"/>
      <c r="H3926" s="226"/>
      <c r="M3926" s="225"/>
    </row>
    <row r="3927" spans="2:13" ht="18.75" customHeight="1" x14ac:dyDescent="0.25">
      <c r="B3927" s="550"/>
      <c r="C3927" s="227" t="s">
        <v>629</v>
      </c>
      <c r="D3927" s="550" t="s">
        <v>630</v>
      </c>
      <c r="E3927" s="224" t="s">
        <v>631</v>
      </c>
      <c r="F3927" s="228">
        <f t="shared" ref="F3927:F3930" si="188">$K$8*M3927</f>
        <v>0.08</v>
      </c>
      <c r="G3927" s="229">
        <f>G3902</f>
        <v>95000</v>
      </c>
      <c r="H3927" s="230">
        <f>+G3927*F3927</f>
        <v>7600</v>
      </c>
      <c r="M3927" s="228">
        <v>0.08</v>
      </c>
    </row>
    <row r="3928" spans="2:13" ht="18.75" customHeight="1" x14ac:dyDescent="0.25">
      <c r="B3928" s="550"/>
      <c r="C3928" s="227" t="s">
        <v>1508</v>
      </c>
      <c r="D3928" s="550" t="s">
        <v>634</v>
      </c>
      <c r="E3928" s="224" t="s">
        <v>631</v>
      </c>
      <c r="F3928" s="228">
        <f t="shared" si="188"/>
        <v>0.4</v>
      </c>
      <c r="G3928" s="229">
        <f>G3903</f>
        <v>110000</v>
      </c>
      <c r="H3928" s="230">
        <f>+G3928*F3928</f>
        <v>44000</v>
      </c>
      <c r="M3928" s="228">
        <v>0.4</v>
      </c>
    </row>
    <row r="3929" spans="2:13" ht="18.75" customHeight="1" x14ac:dyDescent="0.25">
      <c r="B3929" s="550"/>
      <c r="C3929" s="227" t="s">
        <v>633</v>
      </c>
      <c r="D3929" s="550" t="s">
        <v>634</v>
      </c>
      <c r="E3929" s="224" t="s">
        <v>631</v>
      </c>
      <c r="F3929" s="228">
        <f t="shared" si="188"/>
        <v>7.4999999999999997E-2</v>
      </c>
      <c r="G3929" s="229">
        <f>G3904</f>
        <v>115000</v>
      </c>
      <c r="H3929" s="230">
        <f>+G3929*F3929</f>
        <v>8625</v>
      </c>
      <c r="M3929" s="228">
        <v>7.4999999999999997E-2</v>
      </c>
    </row>
    <row r="3930" spans="2:13" ht="18.75" customHeight="1" x14ac:dyDescent="0.25">
      <c r="B3930" s="550"/>
      <c r="C3930" s="227" t="s">
        <v>600</v>
      </c>
      <c r="D3930" s="550" t="s">
        <v>635</v>
      </c>
      <c r="E3930" s="224" t="s">
        <v>631</v>
      </c>
      <c r="F3930" s="228">
        <f t="shared" si="188"/>
        <v>4.0000000000000001E-3</v>
      </c>
      <c r="G3930" s="229">
        <f>G3905</f>
        <v>140000</v>
      </c>
      <c r="H3930" s="230">
        <f>+G3930*F3930</f>
        <v>560</v>
      </c>
      <c r="M3930" s="228">
        <v>4.0000000000000001E-3</v>
      </c>
    </row>
    <row r="3931" spans="2:13" ht="18.75" customHeight="1" x14ac:dyDescent="0.25">
      <c r="B3931" s="550"/>
      <c r="C3931" s="223"/>
      <c r="D3931" s="550"/>
      <c r="E3931" s="224"/>
      <c r="F3931" s="233" t="s">
        <v>636</v>
      </c>
      <c r="G3931" s="290"/>
      <c r="H3931" s="231">
        <f>SUM(H3927:H3930)</f>
        <v>60785</v>
      </c>
      <c r="M3931" s="233" t="s">
        <v>636</v>
      </c>
    </row>
    <row r="3932" spans="2:13" ht="18.75" customHeight="1" x14ac:dyDescent="0.25">
      <c r="B3932" s="550"/>
      <c r="C3932" s="223"/>
      <c r="D3932" s="550"/>
      <c r="E3932" s="224"/>
      <c r="F3932" s="233"/>
      <c r="G3932" s="290"/>
      <c r="H3932" s="230"/>
      <c r="M3932" s="233"/>
    </row>
    <row r="3933" spans="2:13" ht="18.75" customHeight="1" x14ac:dyDescent="0.25">
      <c r="B3933" s="550" t="s">
        <v>637</v>
      </c>
      <c r="C3933" s="223" t="s">
        <v>638</v>
      </c>
      <c r="D3933" s="550"/>
      <c r="E3933" s="224"/>
      <c r="F3933" s="225"/>
      <c r="G3933" s="290"/>
      <c r="H3933" s="226"/>
      <c r="M3933" s="225"/>
    </row>
    <row r="3934" spans="2:13" ht="18.75" customHeight="1" x14ac:dyDescent="0.25">
      <c r="B3934" s="550"/>
      <c r="C3934" s="223" t="s">
        <v>683</v>
      </c>
      <c r="D3934" s="550"/>
      <c r="E3934" s="224" t="s">
        <v>5</v>
      </c>
      <c r="F3934" s="228">
        <v>0.5</v>
      </c>
      <c r="G3934" s="234">
        <f>G3909</f>
        <v>1700</v>
      </c>
      <c r="H3934" s="230">
        <f>+G3934*F3934</f>
        <v>850</v>
      </c>
      <c r="M3934" s="228">
        <v>0.5</v>
      </c>
    </row>
    <row r="3935" spans="2:13" ht="18.75" customHeight="1" x14ac:dyDescent="0.25">
      <c r="B3935" s="550"/>
      <c r="C3935" s="223" t="s">
        <v>661</v>
      </c>
      <c r="D3935" s="550"/>
      <c r="E3935" s="224" t="s">
        <v>955</v>
      </c>
      <c r="F3935" s="228">
        <v>1.2999999999999999E-3</v>
      </c>
      <c r="G3935" s="229">
        <f>G3910</f>
        <v>230000</v>
      </c>
      <c r="H3935" s="230">
        <f>+G3935*F3935</f>
        <v>299</v>
      </c>
      <c r="M3935" s="228">
        <v>1.2999999999999999E-3</v>
      </c>
    </row>
    <row r="3936" spans="2:13" ht="18.75" customHeight="1" x14ac:dyDescent="0.25">
      <c r="B3936" s="550"/>
      <c r="C3936" s="223"/>
      <c r="D3936" s="550"/>
      <c r="E3936" s="224"/>
      <c r="F3936" s="237" t="s">
        <v>643</v>
      </c>
      <c r="G3936" s="290"/>
      <c r="H3936" s="231">
        <f>SUM(H3934:H3934)</f>
        <v>850</v>
      </c>
      <c r="M3936" s="237" t="s">
        <v>643</v>
      </c>
    </row>
    <row r="3937" spans="2:13" ht="18.75" customHeight="1" x14ac:dyDescent="0.25">
      <c r="B3937" s="550"/>
      <c r="C3937" s="223"/>
      <c r="D3937" s="550"/>
      <c r="E3937" s="224"/>
      <c r="F3937" s="225"/>
      <c r="G3937" s="290"/>
      <c r="H3937" s="226"/>
      <c r="M3937" s="225"/>
    </row>
    <row r="3938" spans="2:13" ht="18.75" customHeight="1" x14ac:dyDescent="0.25">
      <c r="B3938" s="550" t="s">
        <v>644</v>
      </c>
      <c r="C3938" s="223" t="s">
        <v>645</v>
      </c>
      <c r="D3938" s="550"/>
      <c r="E3938" s="224"/>
      <c r="F3938" s="225"/>
      <c r="G3938" s="290"/>
      <c r="H3938" s="235"/>
      <c r="M3938" s="225"/>
    </row>
    <row r="3939" spans="2:13" ht="18.75" customHeight="1" x14ac:dyDescent="0.25">
      <c r="B3939" s="236"/>
      <c r="C3939" s="232"/>
      <c r="D3939" s="550"/>
      <c r="E3939" s="224"/>
      <c r="F3939" s="237" t="s">
        <v>646</v>
      </c>
      <c r="G3939" s="290"/>
      <c r="H3939" s="230"/>
      <c r="M3939" s="237" t="s">
        <v>646</v>
      </c>
    </row>
    <row r="3940" spans="2:13" ht="18.75" customHeight="1" x14ac:dyDescent="0.25">
      <c r="B3940" s="236"/>
      <c r="C3940" s="232"/>
      <c r="D3940" s="550"/>
      <c r="E3940" s="224"/>
      <c r="F3940" s="237"/>
      <c r="G3940" s="290"/>
      <c r="H3940" s="226"/>
      <c r="M3940" s="237"/>
    </row>
    <row r="3941" spans="2:13" ht="18.75" customHeight="1" x14ac:dyDescent="0.25">
      <c r="B3941" s="354"/>
      <c r="C3941" s="362"/>
      <c r="D3941" s="239"/>
      <c r="E3941" s="266"/>
      <c r="F3941" s="241"/>
      <c r="G3941" s="370"/>
      <c r="H3941" s="369"/>
      <c r="M3941" s="241"/>
    </row>
    <row r="3942" spans="2:13" ht="18.75" customHeight="1" x14ac:dyDescent="0.25">
      <c r="B3942" s="356" t="s">
        <v>647</v>
      </c>
      <c r="C3942" s="363" t="s">
        <v>648</v>
      </c>
      <c r="D3942" s="435"/>
      <c r="E3942" s="92"/>
      <c r="F3942" s="183"/>
      <c r="G3942" s="295"/>
      <c r="H3942" s="357">
        <f>+H3939+H3936+H3931</f>
        <v>61635</v>
      </c>
      <c r="M3942" s="183"/>
    </row>
    <row r="3943" spans="2:13" ht="18.75" customHeight="1" x14ac:dyDescent="0.25">
      <c r="B3943" s="356" t="s">
        <v>649</v>
      </c>
      <c r="C3943" s="364" t="s">
        <v>650</v>
      </c>
      <c r="D3943" s="435"/>
      <c r="E3943" s="92"/>
      <c r="F3943" s="184" t="str">
        <f>$J$5</f>
        <v>8,0 % x D</v>
      </c>
      <c r="G3943" s="295"/>
      <c r="H3943" s="358">
        <f>+H3942*$K$5</f>
        <v>4930.8</v>
      </c>
      <c r="M3943" s="184" t="str">
        <f>$J$5</f>
        <v>8,0 % x D</v>
      </c>
    </row>
    <row r="3944" spans="2:13" ht="18.75" customHeight="1" x14ac:dyDescent="0.25">
      <c r="B3944" s="356" t="s">
        <v>651</v>
      </c>
      <c r="C3944" s="365" t="s">
        <v>652</v>
      </c>
      <c r="D3944" s="435"/>
      <c r="E3944" s="91"/>
      <c r="F3944" s="185"/>
      <c r="G3944" s="296"/>
      <c r="H3944" s="359">
        <f>ROUNDUP((H3943+H3942)/100,0)*100</f>
        <v>66600</v>
      </c>
      <c r="M3944" s="185"/>
    </row>
    <row r="3945" spans="2:13" ht="18.75" customHeight="1" x14ac:dyDescent="0.25">
      <c r="B3945" s="360"/>
      <c r="C3945" s="366"/>
      <c r="D3945" s="245"/>
      <c r="E3945" s="246"/>
      <c r="F3945" s="247"/>
      <c r="G3945" s="299"/>
      <c r="H3945" s="361"/>
      <c r="M3945" s="247"/>
    </row>
    <row r="3946" spans="2:13" ht="18.75" customHeight="1" x14ac:dyDescent="0.25">
      <c r="B3946" s="22"/>
      <c r="C3946" s="104"/>
      <c r="E3946" s="21"/>
      <c r="F3946" s="176"/>
      <c r="G3946" s="165"/>
      <c r="H3946" s="119"/>
      <c r="M3946" s="176"/>
    </row>
    <row r="3947" spans="2:13" ht="18.75" customHeight="1" x14ac:dyDescent="0.25">
      <c r="B3947" s="19">
        <v>21</v>
      </c>
      <c r="C3947" s="93" t="s">
        <v>1000</v>
      </c>
      <c r="D3947" s="19"/>
      <c r="E3947" s="21"/>
      <c r="F3947" s="176"/>
      <c r="G3947" s="165"/>
      <c r="H3947" s="119"/>
      <c r="M3947" s="176"/>
    </row>
    <row r="3948" spans="2:13" ht="18.75" customHeight="1" x14ac:dyDescent="0.25">
      <c r="B3948" s="618" t="s">
        <v>620</v>
      </c>
      <c r="C3948" s="620" t="s">
        <v>621</v>
      </c>
      <c r="D3948" s="618" t="s">
        <v>622</v>
      </c>
      <c r="E3948" s="618" t="s">
        <v>2</v>
      </c>
      <c r="F3948" s="615" t="s">
        <v>623</v>
      </c>
      <c r="G3948" s="289" t="s">
        <v>624</v>
      </c>
      <c r="H3948" s="256" t="s">
        <v>625</v>
      </c>
      <c r="M3948" s="615" t="s">
        <v>623</v>
      </c>
    </row>
    <row r="3949" spans="2:13" ht="18.75" customHeight="1" x14ac:dyDescent="0.25">
      <c r="B3949" s="619"/>
      <c r="C3949" s="621"/>
      <c r="D3949" s="619"/>
      <c r="E3949" s="619"/>
      <c r="F3949" s="616"/>
      <c r="G3949" s="289" t="s">
        <v>626</v>
      </c>
      <c r="H3949" s="256" t="s">
        <v>626</v>
      </c>
      <c r="M3949" s="616"/>
    </row>
    <row r="3950" spans="2:13" ht="18.75" customHeight="1" x14ac:dyDescent="0.25">
      <c r="B3950" s="221"/>
      <c r="C3950" s="222"/>
      <c r="D3950" s="221"/>
      <c r="E3950" s="550"/>
      <c r="F3950" s="555"/>
      <c r="G3950" s="551"/>
      <c r="H3950" s="220"/>
      <c r="M3950" s="590"/>
    </row>
    <row r="3951" spans="2:13" ht="18.75" customHeight="1" x14ac:dyDescent="0.25">
      <c r="B3951" s="550" t="s">
        <v>627</v>
      </c>
      <c r="C3951" s="223" t="s">
        <v>628</v>
      </c>
      <c r="D3951" s="550"/>
      <c r="E3951" s="224"/>
      <c r="F3951" s="225"/>
      <c r="G3951" s="290"/>
      <c r="H3951" s="226"/>
      <c r="M3951" s="225"/>
    </row>
    <row r="3952" spans="2:13" ht="18.75" customHeight="1" x14ac:dyDescent="0.25">
      <c r="B3952" s="550"/>
      <c r="C3952" s="227" t="s">
        <v>629</v>
      </c>
      <c r="D3952" s="550" t="s">
        <v>630</v>
      </c>
      <c r="E3952" s="224" t="s">
        <v>631</v>
      </c>
      <c r="F3952" s="228">
        <f t="shared" ref="F3952:F3955" si="189">$K$8*M3952</f>
        <v>0.45</v>
      </c>
      <c r="G3952" s="229">
        <f>G3927</f>
        <v>95000</v>
      </c>
      <c r="H3952" s="230">
        <f>+G3952*F3952</f>
        <v>42750</v>
      </c>
      <c r="M3952" s="228">
        <v>0.45</v>
      </c>
    </row>
    <row r="3953" spans="2:13" ht="18.75" customHeight="1" x14ac:dyDescent="0.25">
      <c r="B3953" s="550"/>
      <c r="C3953" s="227" t="s">
        <v>1508</v>
      </c>
      <c r="D3953" s="550" t="s">
        <v>634</v>
      </c>
      <c r="E3953" s="224" t="s">
        <v>631</v>
      </c>
      <c r="F3953" s="228">
        <f t="shared" si="189"/>
        <v>0.22500000000000001</v>
      </c>
      <c r="G3953" s="229">
        <f>G3928</f>
        <v>110000</v>
      </c>
      <c r="H3953" s="230">
        <f>+G3953*F3953</f>
        <v>24750</v>
      </c>
      <c r="M3953" s="228">
        <v>0.22500000000000001</v>
      </c>
    </row>
    <row r="3954" spans="2:13" ht="18.75" customHeight="1" x14ac:dyDescent="0.25">
      <c r="B3954" s="550"/>
      <c r="C3954" s="227" t="s">
        <v>633</v>
      </c>
      <c r="D3954" s="550" t="s">
        <v>634</v>
      </c>
      <c r="E3954" s="224" t="s">
        <v>631</v>
      </c>
      <c r="F3954" s="228">
        <f t="shared" si="189"/>
        <v>2.3E-2</v>
      </c>
      <c r="G3954" s="229">
        <f>G3929</f>
        <v>115000</v>
      </c>
      <c r="H3954" s="230">
        <f>+G3954*F3954</f>
        <v>2645</v>
      </c>
      <c r="M3954" s="228">
        <v>2.3E-2</v>
      </c>
    </row>
    <row r="3955" spans="2:13" ht="18.75" customHeight="1" x14ac:dyDescent="0.25">
      <c r="B3955" s="550"/>
      <c r="C3955" s="227" t="s">
        <v>600</v>
      </c>
      <c r="D3955" s="550" t="s">
        <v>635</v>
      </c>
      <c r="E3955" s="224" t="s">
        <v>631</v>
      </c>
      <c r="F3955" s="228">
        <f t="shared" si="189"/>
        <v>2.3E-2</v>
      </c>
      <c r="G3955" s="229">
        <f>G3930</f>
        <v>140000</v>
      </c>
      <c r="H3955" s="230">
        <f>+G3955*F3955</f>
        <v>3220</v>
      </c>
      <c r="M3955" s="228">
        <v>2.3E-2</v>
      </c>
    </row>
    <row r="3956" spans="2:13" ht="18.75" customHeight="1" x14ac:dyDescent="0.25">
      <c r="B3956" s="550"/>
      <c r="C3956" s="223"/>
      <c r="D3956" s="550"/>
      <c r="E3956" s="224"/>
      <c r="F3956" s="233" t="s">
        <v>636</v>
      </c>
      <c r="G3956" s="290"/>
      <c r="H3956" s="231">
        <f>SUM(H3952:H3955)</f>
        <v>73365</v>
      </c>
      <c r="M3956" s="233" t="s">
        <v>636</v>
      </c>
    </row>
    <row r="3957" spans="2:13" ht="18.75" customHeight="1" x14ac:dyDescent="0.25">
      <c r="B3957" s="550"/>
      <c r="C3957" s="223"/>
      <c r="D3957" s="550"/>
      <c r="E3957" s="224"/>
      <c r="F3957" s="233"/>
      <c r="G3957" s="290"/>
      <c r="H3957" s="230"/>
      <c r="M3957" s="233"/>
    </row>
    <row r="3958" spans="2:13" ht="18.75" customHeight="1" x14ac:dyDescent="0.25">
      <c r="B3958" s="550" t="s">
        <v>637</v>
      </c>
      <c r="C3958" s="223" t="s">
        <v>638</v>
      </c>
      <c r="D3958" s="550"/>
      <c r="E3958" s="224"/>
      <c r="F3958" s="225"/>
      <c r="G3958" s="290"/>
      <c r="H3958" s="226"/>
      <c r="M3958" s="225"/>
    </row>
    <row r="3959" spans="2:13" ht="18.75" customHeight="1" x14ac:dyDescent="0.25">
      <c r="B3959" s="550"/>
      <c r="C3959" s="223" t="s">
        <v>683</v>
      </c>
      <c r="D3959" s="550"/>
      <c r="E3959" s="224" t="s">
        <v>5</v>
      </c>
      <c r="F3959" s="228">
        <v>10</v>
      </c>
      <c r="G3959" s="234">
        <f>G3934</f>
        <v>1700</v>
      </c>
      <c r="H3959" s="230">
        <f>+G3959*F3959</f>
        <v>17000</v>
      </c>
      <c r="M3959" s="228">
        <v>10</v>
      </c>
    </row>
    <row r="3960" spans="2:13" ht="18.75" customHeight="1" x14ac:dyDescent="0.25">
      <c r="B3960" s="550"/>
      <c r="C3960" s="223" t="s">
        <v>1001</v>
      </c>
      <c r="D3960" s="550"/>
      <c r="E3960" s="224" t="s">
        <v>5</v>
      </c>
      <c r="F3960" s="228">
        <v>15</v>
      </c>
      <c r="G3960" s="229">
        <f>Bahan!D285</f>
        <v>17000</v>
      </c>
      <c r="H3960" s="230">
        <f>+G3960*F3960</f>
        <v>255000</v>
      </c>
      <c r="M3960" s="228">
        <v>15</v>
      </c>
    </row>
    <row r="3961" spans="2:13" ht="18.75" customHeight="1" x14ac:dyDescent="0.25">
      <c r="B3961" s="550"/>
      <c r="C3961" s="223"/>
      <c r="D3961" s="550"/>
      <c r="E3961" s="224"/>
      <c r="F3961" s="237" t="s">
        <v>643</v>
      </c>
      <c r="G3961" s="290"/>
      <c r="H3961" s="231">
        <f>SUM(H3959:H3959)</f>
        <v>17000</v>
      </c>
      <c r="M3961" s="237" t="s">
        <v>643</v>
      </c>
    </row>
    <row r="3962" spans="2:13" ht="18.75" customHeight="1" x14ac:dyDescent="0.25">
      <c r="B3962" s="550"/>
      <c r="C3962" s="223"/>
      <c r="D3962" s="550"/>
      <c r="E3962" s="224"/>
      <c r="F3962" s="225"/>
      <c r="G3962" s="290"/>
      <c r="H3962" s="226"/>
      <c r="M3962" s="225"/>
    </row>
    <row r="3963" spans="2:13" ht="18.75" customHeight="1" x14ac:dyDescent="0.25">
      <c r="B3963" s="550" t="s">
        <v>644</v>
      </c>
      <c r="C3963" s="223" t="s">
        <v>645</v>
      </c>
      <c r="D3963" s="550"/>
      <c r="E3963" s="224"/>
      <c r="F3963" s="225"/>
      <c r="G3963" s="290"/>
      <c r="H3963" s="235"/>
      <c r="M3963" s="225"/>
    </row>
    <row r="3964" spans="2:13" ht="18.75" customHeight="1" x14ac:dyDescent="0.25">
      <c r="B3964" s="236"/>
      <c r="C3964" s="232"/>
      <c r="D3964" s="550"/>
      <c r="E3964" s="224"/>
      <c r="F3964" s="237" t="s">
        <v>646</v>
      </c>
      <c r="G3964" s="290"/>
      <c r="H3964" s="230"/>
      <c r="M3964" s="237" t="s">
        <v>646</v>
      </c>
    </row>
    <row r="3965" spans="2:13" ht="18.75" customHeight="1" x14ac:dyDescent="0.25">
      <c r="B3965" s="236"/>
      <c r="C3965" s="232"/>
      <c r="D3965" s="550"/>
      <c r="E3965" s="224"/>
      <c r="F3965" s="237"/>
      <c r="G3965" s="290"/>
      <c r="H3965" s="226"/>
      <c r="M3965" s="237"/>
    </row>
    <row r="3966" spans="2:13" ht="18.75" customHeight="1" x14ac:dyDescent="0.25">
      <c r="B3966" s="354"/>
      <c r="C3966" s="362"/>
      <c r="D3966" s="239"/>
      <c r="E3966" s="266"/>
      <c r="F3966" s="241"/>
      <c r="G3966" s="370"/>
      <c r="H3966" s="369"/>
      <c r="M3966" s="241"/>
    </row>
    <row r="3967" spans="2:13" ht="18.75" customHeight="1" x14ac:dyDescent="0.25">
      <c r="B3967" s="356" t="s">
        <v>647</v>
      </c>
      <c r="C3967" s="363" t="s">
        <v>648</v>
      </c>
      <c r="D3967" s="435"/>
      <c r="E3967" s="92"/>
      <c r="F3967" s="183"/>
      <c r="G3967" s="295"/>
      <c r="H3967" s="357">
        <f>+H3964+H3961+H3956</f>
        <v>90365</v>
      </c>
      <c r="M3967" s="183"/>
    </row>
    <row r="3968" spans="2:13" ht="18.75" customHeight="1" x14ac:dyDescent="0.25">
      <c r="B3968" s="356" t="s">
        <v>649</v>
      </c>
      <c r="C3968" s="364" t="s">
        <v>650</v>
      </c>
      <c r="D3968" s="435"/>
      <c r="E3968" s="92"/>
      <c r="F3968" s="184" t="str">
        <f>$J$5</f>
        <v>8,0 % x D</v>
      </c>
      <c r="G3968" s="295"/>
      <c r="H3968" s="358">
        <f>+H3967*$K$5</f>
        <v>7229.2</v>
      </c>
      <c r="M3968" s="184" t="str">
        <f>$J$5</f>
        <v>8,0 % x D</v>
      </c>
    </row>
    <row r="3969" spans="2:13" ht="18.75" customHeight="1" x14ac:dyDescent="0.25">
      <c r="B3969" s="356" t="s">
        <v>651</v>
      </c>
      <c r="C3969" s="365" t="s">
        <v>652</v>
      </c>
      <c r="D3969" s="435"/>
      <c r="E3969" s="91"/>
      <c r="F3969" s="185"/>
      <c r="G3969" s="296"/>
      <c r="H3969" s="359">
        <f>ROUNDUP((H3968+H3967)/100,0)*100</f>
        <v>97600</v>
      </c>
      <c r="M3969" s="185"/>
    </row>
    <row r="3970" spans="2:13" ht="18.75" customHeight="1" x14ac:dyDescent="0.25">
      <c r="B3970" s="360"/>
      <c r="C3970" s="366"/>
      <c r="D3970" s="245"/>
      <c r="E3970" s="246"/>
      <c r="F3970" s="247"/>
      <c r="G3970" s="299"/>
      <c r="H3970" s="361"/>
      <c r="M3970" s="247"/>
    </row>
    <row r="3971" spans="2:13" ht="18.75" customHeight="1" x14ac:dyDescent="0.25">
      <c r="B3971" s="92"/>
      <c r="C3971" s="104"/>
      <c r="D3971" s="435"/>
      <c r="E3971" s="91"/>
      <c r="F3971" s="185"/>
      <c r="G3971" s="168"/>
      <c r="H3971" s="139"/>
      <c r="M3971" s="185"/>
    </row>
    <row r="3972" spans="2:13" ht="18.75" customHeight="1" x14ac:dyDescent="0.25">
      <c r="B3972" s="19">
        <v>22</v>
      </c>
      <c r="C3972" s="93" t="s">
        <v>1002</v>
      </c>
      <c r="D3972" s="19"/>
      <c r="E3972" s="21"/>
      <c r="F3972" s="176"/>
      <c r="G3972" s="165"/>
      <c r="H3972" s="119"/>
      <c r="M3972" s="176"/>
    </row>
    <row r="3973" spans="2:13" ht="18.75" customHeight="1" x14ac:dyDescent="0.25">
      <c r="B3973" s="618" t="s">
        <v>620</v>
      </c>
      <c r="C3973" s="620" t="s">
        <v>621</v>
      </c>
      <c r="D3973" s="618" t="s">
        <v>622</v>
      </c>
      <c r="E3973" s="618" t="s">
        <v>2</v>
      </c>
      <c r="F3973" s="615" t="s">
        <v>623</v>
      </c>
      <c r="G3973" s="289" t="s">
        <v>624</v>
      </c>
      <c r="H3973" s="256" t="s">
        <v>625</v>
      </c>
      <c r="M3973" s="615" t="s">
        <v>623</v>
      </c>
    </row>
    <row r="3974" spans="2:13" ht="18.75" customHeight="1" x14ac:dyDescent="0.25">
      <c r="B3974" s="619"/>
      <c r="C3974" s="621"/>
      <c r="D3974" s="619"/>
      <c r="E3974" s="619"/>
      <c r="F3974" s="616"/>
      <c r="G3974" s="289" t="s">
        <v>626</v>
      </c>
      <c r="H3974" s="256" t="s">
        <v>626</v>
      </c>
      <c r="M3974" s="616"/>
    </row>
    <row r="3975" spans="2:13" ht="18.75" customHeight="1" x14ac:dyDescent="0.25">
      <c r="B3975" s="221"/>
      <c r="C3975" s="222"/>
      <c r="D3975" s="221"/>
      <c r="E3975" s="550"/>
      <c r="F3975" s="555"/>
      <c r="G3975" s="551"/>
      <c r="H3975" s="220"/>
      <c r="M3975" s="590"/>
    </row>
    <row r="3976" spans="2:13" ht="18.75" customHeight="1" x14ac:dyDescent="0.25">
      <c r="B3976" s="550" t="s">
        <v>627</v>
      </c>
      <c r="C3976" s="223" t="s">
        <v>628</v>
      </c>
      <c r="D3976" s="550"/>
      <c r="E3976" s="224"/>
      <c r="F3976" s="225"/>
      <c r="G3976" s="290"/>
      <c r="H3976" s="226"/>
      <c r="M3976" s="225"/>
    </row>
    <row r="3977" spans="2:13" ht="18.75" customHeight="1" x14ac:dyDescent="0.25">
      <c r="B3977" s="550"/>
      <c r="C3977" s="227" t="s">
        <v>629</v>
      </c>
      <c r="D3977" s="550" t="s">
        <v>630</v>
      </c>
      <c r="E3977" s="224" t="s">
        <v>631</v>
      </c>
      <c r="F3977" s="228">
        <f t="shared" ref="F3977:F3980" si="190">$K$8*M3977</f>
        <v>0.45</v>
      </c>
      <c r="G3977" s="229">
        <f>G3952</f>
        <v>95000</v>
      </c>
      <c r="H3977" s="230">
        <f>+G3977*F3977</f>
        <v>42750</v>
      </c>
      <c r="M3977" s="228">
        <v>0.45</v>
      </c>
    </row>
    <row r="3978" spans="2:13" ht="18.75" customHeight="1" x14ac:dyDescent="0.25">
      <c r="B3978" s="550"/>
      <c r="C3978" s="227" t="s">
        <v>1508</v>
      </c>
      <c r="D3978" s="550" t="s">
        <v>634</v>
      </c>
      <c r="E3978" s="224" t="s">
        <v>631</v>
      </c>
      <c r="F3978" s="228">
        <f t="shared" si="190"/>
        <v>0.22500000000000001</v>
      </c>
      <c r="G3978" s="229">
        <f>G3953</f>
        <v>110000</v>
      </c>
      <c r="H3978" s="230">
        <f>+G3978*F3978</f>
        <v>24750</v>
      </c>
      <c r="M3978" s="228">
        <v>0.22500000000000001</v>
      </c>
    </row>
    <row r="3979" spans="2:13" ht="18.75" customHeight="1" x14ac:dyDescent="0.25">
      <c r="B3979" s="550"/>
      <c r="C3979" s="227" t="s">
        <v>633</v>
      </c>
      <c r="D3979" s="550" t="s">
        <v>634</v>
      </c>
      <c r="E3979" s="224" t="s">
        <v>631</v>
      </c>
      <c r="F3979" s="228">
        <f t="shared" si="190"/>
        <v>2.3E-2</v>
      </c>
      <c r="G3979" s="229">
        <f>G3954</f>
        <v>115000</v>
      </c>
      <c r="H3979" s="230">
        <f>+G3979*F3979</f>
        <v>2645</v>
      </c>
      <c r="M3979" s="228">
        <v>2.3E-2</v>
      </c>
    </row>
    <row r="3980" spans="2:13" ht="18.75" customHeight="1" x14ac:dyDescent="0.25">
      <c r="B3980" s="550"/>
      <c r="C3980" s="227" t="s">
        <v>600</v>
      </c>
      <c r="D3980" s="550" t="s">
        <v>635</v>
      </c>
      <c r="E3980" s="224" t="s">
        <v>631</v>
      </c>
      <c r="F3980" s="228">
        <f t="shared" si="190"/>
        <v>2.3E-2</v>
      </c>
      <c r="G3980" s="229">
        <f>G3955</f>
        <v>140000</v>
      </c>
      <c r="H3980" s="230">
        <f>+G3980*F3980</f>
        <v>3220</v>
      </c>
      <c r="M3980" s="228">
        <v>2.3E-2</v>
      </c>
    </row>
    <row r="3981" spans="2:13" ht="18.75" customHeight="1" x14ac:dyDescent="0.25">
      <c r="B3981" s="550"/>
      <c r="C3981" s="223"/>
      <c r="D3981" s="550"/>
      <c r="E3981" s="224"/>
      <c r="F3981" s="233" t="s">
        <v>636</v>
      </c>
      <c r="G3981" s="290"/>
      <c r="H3981" s="231">
        <f>SUM(H3977:H3980)</f>
        <v>73365</v>
      </c>
      <c r="M3981" s="233" t="s">
        <v>636</v>
      </c>
    </row>
    <row r="3982" spans="2:13" ht="18.75" customHeight="1" x14ac:dyDescent="0.25">
      <c r="B3982" s="550"/>
      <c r="C3982" s="223"/>
      <c r="D3982" s="550"/>
      <c r="E3982" s="224"/>
      <c r="F3982" s="233"/>
      <c r="G3982" s="290"/>
      <c r="H3982" s="231"/>
      <c r="M3982" s="233"/>
    </row>
    <row r="3983" spans="2:13" ht="18.75" customHeight="1" x14ac:dyDescent="0.25">
      <c r="B3983" s="550" t="s">
        <v>637</v>
      </c>
      <c r="C3983" s="223" t="s">
        <v>638</v>
      </c>
      <c r="D3983" s="550"/>
      <c r="E3983" s="224"/>
      <c r="F3983" s="225"/>
      <c r="G3983" s="290"/>
      <c r="H3983" s="226"/>
      <c r="M3983" s="225"/>
    </row>
    <row r="3984" spans="2:13" ht="18.75" customHeight="1" x14ac:dyDescent="0.25">
      <c r="B3984" s="550"/>
      <c r="C3984" s="223" t="s">
        <v>683</v>
      </c>
      <c r="D3984" s="550"/>
      <c r="E3984" s="224" t="s">
        <v>5</v>
      </c>
      <c r="F3984" s="228">
        <v>10</v>
      </c>
      <c r="G3984" s="234">
        <f>G3959</f>
        <v>1700</v>
      </c>
      <c r="H3984" s="230">
        <f>+G3984*F3984</f>
        <v>17000</v>
      </c>
      <c r="M3984" s="228">
        <v>10</v>
      </c>
    </row>
    <row r="3985" spans="2:13" ht="18.75" customHeight="1" x14ac:dyDescent="0.25">
      <c r="B3985" s="550"/>
      <c r="C3985" s="223" t="s">
        <v>1003</v>
      </c>
      <c r="D3985" s="550"/>
      <c r="E3985" s="224" t="s">
        <v>5</v>
      </c>
      <c r="F3985" s="228">
        <v>15</v>
      </c>
      <c r="G3985" s="229">
        <f>Bahan!D286</f>
        <v>17000</v>
      </c>
      <c r="H3985" s="230">
        <f>+G3985*F3985</f>
        <v>255000</v>
      </c>
      <c r="M3985" s="228">
        <v>15</v>
      </c>
    </row>
    <row r="3986" spans="2:13" ht="18.75" customHeight="1" x14ac:dyDescent="0.25">
      <c r="B3986" s="550"/>
      <c r="C3986" s="223"/>
      <c r="D3986" s="550"/>
      <c r="E3986" s="224"/>
      <c r="F3986" s="237" t="s">
        <v>643</v>
      </c>
      <c r="G3986" s="290"/>
      <c r="H3986" s="231">
        <f>SUM(H3984:H3984)</f>
        <v>17000</v>
      </c>
      <c r="M3986" s="237" t="s">
        <v>643</v>
      </c>
    </row>
    <row r="3987" spans="2:13" ht="18.75" customHeight="1" x14ac:dyDescent="0.25">
      <c r="B3987" s="550"/>
      <c r="C3987" s="223"/>
      <c r="D3987" s="550"/>
      <c r="E3987" s="224"/>
      <c r="F3987" s="225"/>
      <c r="G3987" s="290"/>
      <c r="H3987" s="226"/>
      <c r="M3987" s="225"/>
    </row>
    <row r="3988" spans="2:13" ht="18.75" customHeight="1" x14ac:dyDescent="0.25">
      <c r="B3988" s="550" t="s">
        <v>644</v>
      </c>
      <c r="C3988" s="223" t="s">
        <v>645</v>
      </c>
      <c r="D3988" s="550"/>
      <c r="E3988" s="224"/>
      <c r="F3988" s="225"/>
      <c r="G3988" s="290"/>
      <c r="H3988" s="235"/>
      <c r="M3988" s="225"/>
    </row>
    <row r="3989" spans="2:13" ht="18.75" customHeight="1" x14ac:dyDescent="0.25">
      <c r="B3989" s="236"/>
      <c r="C3989" s="232"/>
      <c r="D3989" s="550"/>
      <c r="E3989" s="224"/>
      <c r="F3989" s="237" t="s">
        <v>646</v>
      </c>
      <c r="G3989" s="290"/>
      <c r="H3989" s="230"/>
      <c r="M3989" s="237" t="s">
        <v>646</v>
      </c>
    </row>
    <row r="3990" spans="2:13" ht="18.75" customHeight="1" x14ac:dyDescent="0.25">
      <c r="B3990" s="354"/>
      <c r="C3990" s="362"/>
      <c r="D3990" s="239"/>
      <c r="E3990" s="266"/>
      <c r="F3990" s="241"/>
      <c r="G3990" s="370"/>
      <c r="H3990" s="369"/>
      <c r="M3990" s="241"/>
    </row>
    <row r="3991" spans="2:13" ht="18.75" customHeight="1" x14ac:dyDescent="0.25">
      <c r="B3991" s="356" t="s">
        <v>647</v>
      </c>
      <c r="C3991" s="363" t="s">
        <v>648</v>
      </c>
      <c r="D3991" s="435"/>
      <c r="E3991" s="92"/>
      <c r="F3991" s="183"/>
      <c r="G3991" s="295"/>
      <c r="H3991" s="357">
        <f>+H3989+H3986+H3981</f>
        <v>90365</v>
      </c>
      <c r="M3991" s="183"/>
    </row>
    <row r="3992" spans="2:13" ht="18.75" customHeight="1" x14ac:dyDescent="0.25">
      <c r="B3992" s="356" t="s">
        <v>649</v>
      </c>
      <c r="C3992" s="364" t="s">
        <v>650</v>
      </c>
      <c r="D3992" s="435"/>
      <c r="E3992" s="92"/>
      <c r="F3992" s="184" t="str">
        <f>$J$5</f>
        <v>8,0 % x D</v>
      </c>
      <c r="G3992" s="295"/>
      <c r="H3992" s="358">
        <f>+H3991*$K$5</f>
        <v>7229.2</v>
      </c>
      <c r="M3992" s="184" t="str">
        <f>$J$5</f>
        <v>8,0 % x D</v>
      </c>
    </row>
    <row r="3993" spans="2:13" ht="18.75" customHeight="1" x14ac:dyDescent="0.25">
      <c r="B3993" s="356" t="s">
        <v>651</v>
      </c>
      <c r="C3993" s="365" t="s">
        <v>652</v>
      </c>
      <c r="D3993" s="435"/>
      <c r="E3993" s="91"/>
      <c r="F3993" s="185"/>
      <c r="G3993" s="296"/>
      <c r="H3993" s="359">
        <f>ROUNDUP((H3992+H3991)/100,0)*100</f>
        <v>97600</v>
      </c>
      <c r="M3993" s="185"/>
    </row>
    <row r="3994" spans="2:13" ht="18.75" customHeight="1" x14ac:dyDescent="0.25">
      <c r="B3994" s="360"/>
      <c r="C3994" s="366"/>
      <c r="D3994" s="245"/>
      <c r="E3994" s="246"/>
      <c r="F3994" s="247"/>
      <c r="G3994" s="299"/>
      <c r="H3994" s="361"/>
      <c r="M3994" s="247"/>
    </row>
    <row r="3995" spans="2:13" ht="18.75" customHeight="1" x14ac:dyDescent="0.25">
      <c r="B3995" s="22"/>
      <c r="C3995" s="104"/>
      <c r="E3995" s="21"/>
      <c r="F3995" s="176"/>
      <c r="G3995" s="165"/>
      <c r="H3995" s="119"/>
      <c r="M3995" s="176"/>
    </row>
    <row r="3996" spans="2:13" ht="18.75" customHeight="1" x14ac:dyDescent="0.25">
      <c r="B3996" s="19">
        <v>23</v>
      </c>
      <c r="C3996" s="93" t="s">
        <v>1004</v>
      </c>
      <c r="D3996" s="19"/>
      <c r="E3996" s="21"/>
      <c r="F3996" s="176"/>
      <c r="G3996" s="165"/>
      <c r="H3996" s="119"/>
      <c r="M3996" s="176"/>
    </row>
    <row r="3997" spans="2:13" ht="18.75" customHeight="1" x14ac:dyDescent="0.25">
      <c r="B3997" s="618" t="s">
        <v>620</v>
      </c>
      <c r="C3997" s="620" t="s">
        <v>621</v>
      </c>
      <c r="D3997" s="618" t="s">
        <v>622</v>
      </c>
      <c r="E3997" s="618" t="s">
        <v>2</v>
      </c>
      <c r="F3997" s="615" t="s">
        <v>623</v>
      </c>
      <c r="G3997" s="289" t="s">
        <v>624</v>
      </c>
      <c r="H3997" s="256" t="s">
        <v>625</v>
      </c>
      <c r="M3997" s="615" t="s">
        <v>623</v>
      </c>
    </row>
    <row r="3998" spans="2:13" ht="18.75" customHeight="1" x14ac:dyDescent="0.25">
      <c r="B3998" s="619"/>
      <c r="C3998" s="621"/>
      <c r="D3998" s="619"/>
      <c r="E3998" s="619"/>
      <c r="F3998" s="616"/>
      <c r="G3998" s="289" t="s">
        <v>626</v>
      </c>
      <c r="H3998" s="256" t="s">
        <v>626</v>
      </c>
      <c r="M3998" s="616"/>
    </row>
    <row r="3999" spans="2:13" ht="18.75" customHeight="1" x14ac:dyDescent="0.25">
      <c r="B3999" s="550"/>
      <c r="C3999" s="387"/>
      <c r="D3999" s="550"/>
      <c r="E3999" s="550"/>
      <c r="F3999" s="555"/>
      <c r="G3999" s="551"/>
      <c r="H3999" s="220"/>
      <c r="M3999" s="590"/>
    </row>
    <row r="4000" spans="2:13" ht="18.75" customHeight="1" x14ac:dyDescent="0.25">
      <c r="B4000" s="550" t="s">
        <v>627</v>
      </c>
      <c r="C4000" s="223" t="s">
        <v>628</v>
      </c>
      <c r="D4000" s="550"/>
      <c r="E4000" s="224"/>
      <c r="F4000" s="225"/>
      <c r="G4000" s="290"/>
      <c r="H4000" s="226"/>
      <c r="M4000" s="225"/>
    </row>
    <row r="4001" spans="2:13" ht="18.75" customHeight="1" x14ac:dyDescent="0.25">
      <c r="B4001" s="550"/>
      <c r="C4001" s="227" t="s">
        <v>629</v>
      </c>
      <c r="D4001" s="550" t="s">
        <v>630</v>
      </c>
      <c r="E4001" s="224" t="s">
        <v>631</v>
      </c>
      <c r="F4001" s="228">
        <f t="shared" ref="F4001:F4004" si="191">$K$8*M4001</f>
        <v>0.1</v>
      </c>
      <c r="G4001" s="229">
        <f>G3952</f>
        <v>95000</v>
      </c>
      <c r="H4001" s="230">
        <f>+G4001*F4001</f>
        <v>9500</v>
      </c>
      <c r="M4001" s="228">
        <v>0.1</v>
      </c>
    </row>
    <row r="4002" spans="2:13" ht="18.75" customHeight="1" x14ac:dyDescent="0.25">
      <c r="B4002" s="550"/>
      <c r="C4002" s="227" t="s">
        <v>1508</v>
      </c>
      <c r="D4002" s="550" t="s">
        <v>634</v>
      </c>
      <c r="E4002" s="224" t="s">
        <v>631</v>
      </c>
      <c r="F4002" s="228">
        <f t="shared" si="191"/>
        <v>7.4999999999999997E-2</v>
      </c>
      <c r="G4002" s="229">
        <f>G3953</f>
        <v>110000</v>
      </c>
      <c r="H4002" s="230">
        <f>+G4002*F4002</f>
        <v>8250</v>
      </c>
      <c r="M4002" s="228">
        <v>7.4999999999999997E-2</v>
      </c>
    </row>
    <row r="4003" spans="2:13" ht="18.75" customHeight="1" x14ac:dyDescent="0.25">
      <c r="B4003" s="550"/>
      <c r="C4003" s="227" t="s">
        <v>633</v>
      </c>
      <c r="D4003" s="550" t="s">
        <v>634</v>
      </c>
      <c r="E4003" s="224" t="s">
        <v>631</v>
      </c>
      <c r="F4003" s="228">
        <f t="shared" si="191"/>
        <v>7.0000000000000001E-3</v>
      </c>
      <c r="G4003" s="229">
        <f>G3954</f>
        <v>115000</v>
      </c>
      <c r="H4003" s="230">
        <f>+G4003*F4003</f>
        <v>805</v>
      </c>
      <c r="K4003" s="415"/>
      <c r="M4003" s="228">
        <v>7.0000000000000001E-3</v>
      </c>
    </row>
    <row r="4004" spans="2:13" ht="18.75" customHeight="1" x14ac:dyDescent="0.25">
      <c r="B4004" s="550"/>
      <c r="C4004" s="227" t="s">
        <v>600</v>
      </c>
      <c r="D4004" s="550" t="s">
        <v>635</v>
      </c>
      <c r="E4004" s="224" t="s">
        <v>631</v>
      </c>
      <c r="F4004" s="228">
        <f t="shared" si="191"/>
        <v>0.01</v>
      </c>
      <c r="G4004" s="229">
        <f>G3955</f>
        <v>140000</v>
      </c>
      <c r="H4004" s="230">
        <f>+G4004*F4004</f>
        <v>1400</v>
      </c>
      <c r="K4004" s="415"/>
      <c r="M4004" s="228">
        <v>0.01</v>
      </c>
    </row>
    <row r="4005" spans="2:13" ht="18.75" customHeight="1" x14ac:dyDescent="0.25">
      <c r="B4005" s="550"/>
      <c r="C4005" s="223"/>
      <c r="D4005" s="550"/>
      <c r="E4005" s="224"/>
      <c r="F4005" s="233" t="s">
        <v>636</v>
      </c>
      <c r="G4005" s="290"/>
      <c r="H4005" s="231">
        <f>SUM(H4001:H4004)</f>
        <v>19955</v>
      </c>
      <c r="K4005" s="415"/>
      <c r="M4005" s="233" t="s">
        <v>636</v>
      </c>
    </row>
    <row r="4006" spans="2:13" ht="18.75" customHeight="1" x14ac:dyDescent="0.25">
      <c r="B4006" s="550"/>
      <c r="C4006" s="223"/>
      <c r="D4006" s="550"/>
      <c r="E4006" s="224"/>
      <c r="F4006" s="233"/>
      <c r="G4006" s="290"/>
      <c r="H4006" s="230"/>
      <c r="K4006" s="415"/>
      <c r="M4006" s="233"/>
    </row>
    <row r="4007" spans="2:13" ht="18.75" customHeight="1" x14ac:dyDescent="0.25">
      <c r="B4007" s="550" t="s">
        <v>637</v>
      </c>
      <c r="C4007" s="223" t="s">
        <v>638</v>
      </c>
      <c r="D4007" s="550"/>
      <c r="E4007" s="224"/>
      <c r="F4007" s="225"/>
      <c r="G4007" s="290"/>
      <c r="H4007" s="226"/>
      <c r="K4007" s="415"/>
      <c r="M4007" s="225"/>
    </row>
    <row r="4008" spans="2:13" ht="18.75" customHeight="1" x14ac:dyDescent="0.25">
      <c r="B4008" s="550"/>
      <c r="C4008" s="223" t="s">
        <v>683</v>
      </c>
      <c r="D4008" s="550"/>
      <c r="E4008" s="224" t="s">
        <v>5</v>
      </c>
      <c r="F4008" s="228">
        <v>0.02</v>
      </c>
      <c r="G4008" s="234">
        <f>G3984</f>
        <v>1700</v>
      </c>
      <c r="H4008" s="230">
        <f>+G4008*F4008</f>
        <v>34</v>
      </c>
      <c r="M4008" s="228">
        <v>0.02</v>
      </c>
    </row>
    <row r="4009" spans="2:13" ht="18.75" customHeight="1" x14ac:dyDescent="0.25">
      <c r="B4009" s="550"/>
      <c r="C4009" s="223" t="s">
        <v>1005</v>
      </c>
      <c r="D4009" s="550"/>
      <c r="E4009" s="224" t="s">
        <v>5</v>
      </c>
      <c r="F4009" s="228">
        <v>0.1</v>
      </c>
      <c r="G4009" s="234">
        <f>Bahan!D77</f>
        <v>11500</v>
      </c>
      <c r="H4009" s="230">
        <f>+G4009*F4009</f>
        <v>1150</v>
      </c>
      <c r="M4009" s="228">
        <v>0.1</v>
      </c>
    </row>
    <row r="4010" spans="2:13" ht="18.75" customHeight="1" x14ac:dyDescent="0.25">
      <c r="B4010" s="550"/>
      <c r="C4010" s="223"/>
      <c r="D4010" s="550"/>
      <c r="E4010" s="224"/>
      <c r="F4010" s="237" t="s">
        <v>643</v>
      </c>
      <c r="G4010" s="290"/>
      <c r="H4010" s="231">
        <f>SUM(H4008:H4009)</f>
        <v>1184</v>
      </c>
      <c r="M4010" s="237" t="s">
        <v>643</v>
      </c>
    </row>
    <row r="4011" spans="2:13" ht="18.75" customHeight="1" x14ac:dyDescent="0.25">
      <c r="B4011" s="550"/>
      <c r="C4011" s="223"/>
      <c r="D4011" s="550"/>
      <c r="E4011" s="224"/>
      <c r="F4011" s="237"/>
      <c r="G4011" s="290"/>
      <c r="H4011" s="230"/>
      <c r="M4011" s="237"/>
    </row>
    <row r="4012" spans="2:13" ht="18.75" customHeight="1" x14ac:dyDescent="0.25">
      <c r="B4012" s="550" t="s">
        <v>644</v>
      </c>
      <c r="C4012" s="223" t="s">
        <v>645</v>
      </c>
      <c r="D4012" s="550"/>
      <c r="E4012" s="224"/>
      <c r="F4012" s="225"/>
      <c r="G4012" s="290"/>
      <c r="H4012" s="235"/>
      <c r="M4012" s="225"/>
    </row>
    <row r="4013" spans="2:13" ht="18.75" customHeight="1" x14ac:dyDescent="0.25">
      <c r="B4013" s="236"/>
      <c r="C4013" s="232"/>
      <c r="D4013" s="550"/>
      <c r="E4013" s="224"/>
      <c r="F4013" s="237" t="s">
        <v>646</v>
      </c>
      <c r="G4013" s="290"/>
      <c r="H4013" s="230"/>
      <c r="M4013" s="237" t="s">
        <v>646</v>
      </c>
    </row>
    <row r="4014" spans="2:13" ht="18.75" customHeight="1" x14ac:dyDescent="0.25">
      <c r="B4014" s="236"/>
      <c r="C4014" s="232"/>
      <c r="D4014" s="550"/>
      <c r="E4014" s="224"/>
      <c r="F4014" s="237"/>
      <c r="G4014" s="290"/>
      <c r="H4014" s="226"/>
      <c r="M4014" s="237"/>
    </row>
    <row r="4015" spans="2:13" ht="18.75" customHeight="1" x14ac:dyDescent="0.25">
      <c r="B4015" s="354"/>
      <c r="C4015" s="362"/>
      <c r="D4015" s="239"/>
      <c r="E4015" s="266"/>
      <c r="F4015" s="241"/>
      <c r="G4015" s="370"/>
      <c r="H4015" s="369"/>
      <c r="M4015" s="241"/>
    </row>
    <row r="4016" spans="2:13" ht="18.75" customHeight="1" x14ac:dyDescent="0.25">
      <c r="B4016" s="356" t="s">
        <v>647</v>
      </c>
      <c r="C4016" s="363" t="s">
        <v>648</v>
      </c>
      <c r="D4016" s="435"/>
      <c r="E4016" s="92"/>
      <c r="F4016" s="183"/>
      <c r="G4016" s="295"/>
      <c r="H4016" s="357">
        <f>+H4013+H4010+H4005</f>
        <v>21139</v>
      </c>
      <c r="M4016" s="183"/>
    </row>
    <row r="4017" spans="2:13" ht="18.75" customHeight="1" x14ac:dyDescent="0.25">
      <c r="B4017" s="356" t="s">
        <v>649</v>
      </c>
      <c r="C4017" s="364" t="s">
        <v>650</v>
      </c>
      <c r="D4017" s="435"/>
      <c r="E4017" s="92"/>
      <c r="F4017" s="184" t="str">
        <f>$J$5</f>
        <v>8,0 % x D</v>
      </c>
      <c r="G4017" s="295"/>
      <c r="H4017" s="358">
        <f>+H4016*$K$5</f>
        <v>1691.1200000000001</v>
      </c>
      <c r="M4017" s="184" t="str">
        <f>$J$5</f>
        <v>8,0 % x D</v>
      </c>
    </row>
    <row r="4018" spans="2:13" ht="18.75" customHeight="1" x14ac:dyDescent="0.25">
      <c r="B4018" s="356" t="s">
        <v>651</v>
      </c>
      <c r="C4018" s="365" t="s">
        <v>652</v>
      </c>
      <c r="D4018" s="435"/>
      <c r="E4018" s="91"/>
      <c r="F4018" s="185"/>
      <c r="G4018" s="296"/>
      <c r="H4018" s="359">
        <f>ROUNDUP((H4017+H4016)/100,0)*100</f>
        <v>22900</v>
      </c>
      <c r="M4018" s="185"/>
    </row>
    <row r="4019" spans="2:13" ht="18.75" customHeight="1" x14ac:dyDescent="0.25">
      <c r="B4019" s="384"/>
      <c r="C4019" s="384"/>
      <c r="D4019" s="285"/>
      <c r="E4019" s="285"/>
      <c r="F4019" s="285"/>
      <c r="G4019" s="386"/>
      <c r="H4019" s="385"/>
      <c r="M4019" s="285"/>
    </row>
    <row r="4020" spans="2:13" ht="18.75" customHeight="1" x14ac:dyDescent="0.25">
      <c r="B4020" s="322"/>
      <c r="C4020" s="109"/>
      <c r="D4020" s="322"/>
      <c r="E4020" s="322"/>
      <c r="F4020" s="197"/>
      <c r="G4020" s="323"/>
      <c r="H4020" s="158"/>
      <c r="M4020" s="197"/>
    </row>
    <row r="4021" spans="2:13" ht="18.75" customHeight="1" x14ac:dyDescent="0.25">
      <c r="B4021" s="19">
        <f>+B3996+1</f>
        <v>24</v>
      </c>
      <c r="C4021" s="93" t="s">
        <v>1006</v>
      </c>
      <c r="D4021" s="19"/>
      <c r="E4021" s="552"/>
      <c r="F4021" s="196"/>
      <c r="G4021" s="171"/>
      <c r="H4021" s="119"/>
      <c r="M4021" s="196"/>
    </row>
    <row r="4022" spans="2:13" ht="18.75" customHeight="1" x14ac:dyDescent="0.25">
      <c r="B4022" s="618" t="s">
        <v>620</v>
      </c>
      <c r="C4022" s="620" t="s">
        <v>621</v>
      </c>
      <c r="D4022" s="618" t="s">
        <v>622</v>
      </c>
      <c r="E4022" s="618" t="s">
        <v>2</v>
      </c>
      <c r="F4022" s="615" t="s">
        <v>623</v>
      </c>
      <c r="G4022" s="289" t="s">
        <v>624</v>
      </c>
      <c r="H4022" s="256" t="s">
        <v>625</v>
      </c>
      <c r="M4022" s="615" t="s">
        <v>623</v>
      </c>
    </row>
    <row r="4023" spans="2:13" ht="18.75" customHeight="1" x14ac:dyDescent="0.25">
      <c r="B4023" s="619"/>
      <c r="C4023" s="621"/>
      <c r="D4023" s="619"/>
      <c r="E4023" s="619"/>
      <c r="F4023" s="616"/>
      <c r="G4023" s="289" t="s">
        <v>626</v>
      </c>
      <c r="H4023" s="256" t="s">
        <v>626</v>
      </c>
      <c r="M4023" s="616"/>
    </row>
    <row r="4024" spans="2:13" ht="18.75" customHeight="1" x14ac:dyDescent="0.25">
      <c r="B4024" s="221"/>
      <c r="C4024" s="222"/>
      <c r="D4024" s="221"/>
      <c r="E4024" s="550"/>
      <c r="F4024" s="555"/>
      <c r="G4024" s="551"/>
      <c r="H4024" s="220"/>
      <c r="M4024" s="590"/>
    </row>
    <row r="4025" spans="2:13" ht="18.75" customHeight="1" x14ac:dyDescent="0.25">
      <c r="B4025" s="550" t="s">
        <v>627</v>
      </c>
      <c r="C4025" s="223" t="s">
        <v>628</v>
      </c>
      <c r="D4025" s="550"/>
      <c r="E4025" s="224"/>
      <c r="F4025" s="225"/>
      <c r="G4025" s="290"/>
      <c r="H4025" s="226"/>
      <c r="M4025" s="225"/>
    </row>
    <row r="4026" spans="2:13" ht="18.75" customHeight="1" x14ac:dyDescent="0.25">
      <c r="B4026" s="550"/>
      <c r="C4026" s="227" t="s">
        <v>629</v>
      </c>
      <c r="D4026" s="550" t="s">
        <v>630</v>
      </c>
      <c r="E4026" s="224" t="s">
        <v>631</v>
      </c>
      <c r="F4026" s="228">
        <f t="shared" ref="F4026:F4029" si="192">$K$8*M4026</f>
        <v>0.15</v>
      </c>
      <c r="G4026" s="229">
        <f>G4001</f>
        <v>95000</v>
      </c>
      <c r="H4026" s="230">
        <f>+G4026*F4026</f>
        <v>14250</v>
      </c>
      <c r="M4026" s="228">
        <v>0.15</v>
      </c>
    </row>
    <row r="4027" spans="2:13" ht="18.75" customHeight="1" x14ac:dyDescent="0.25">
      <c r="B4027" s="550"/>
      <c r="C4027" s="227" t="s">
        <v>1508</v>
      </c>
      <c r="D4027" s="550" t="s">
        <v>634</v>
      </c>
      <c r="E4027" s="224" t="s">
        <v>631</v>
      </c>
      <c r="F4027" s="228">
        <f t="shared" si="192"/>
        <v>7.4999999999999997E-2</v>
      </c>
      <c r="G4027" s="229">
        <f>G4002</f>
        <v>110000</v>
      </c>
      <c r="H4027" s="230">
        <f>+G4027*F4027</f>
        <v>8250</v>
      </c>
      <c r="M4027" s="228">
        <v>7.4999999999999997E-2</v>
      </c>
    </row>
    <row r="4028" spans="2:13" ht="18.75" customHeight="1" x14ac:dyDescent="0.25">
      <c r="B4028" s="550"/>
      <c r="C4028" s="227" t="s">
        <v>633</v>
      </c>
      <c r="D4028" s="550" t="s">
        <v>634</v>
      </c>
      <c r="E4028" s="224" t="s">
        <v>631</v>
      </c>
      <c r="F4028" s="228">
        <f t="shared" si="192"/>
        <v>8.0000000000000002E-3</v>
      </c>
      <c r="G4028" s="229">
        <f>G4003</f>
        <v>115000</v>
      </c>
      <c r="H4028" s="230">
        <f>+G4028*F4028</f>
        <v>920</v>
      </c>
      <c r="M4028" s="228">
        <v>8.0000000000000002E-3</v>
      </c>
    </row>
    <row r="4029" spans="2:13" ht="18.75" customHeight="1" x14ac:dyDescent="0.25">
      <c r="B4029" s="550"/>
      <c r="C4029" s="227" t="s">
        <v>600</v>
      </c>
      <c r="D4029" s="550" t="s">
        <v>635</v>
      </c>
      <c r="E4029" s="224" t="s">
        <v>631</v>
      </c>
      <c r="F4029" s="228">
        <f t="shared" si="192"/>
        <v>8.0000000000000002E-3</v>
      </c>
      <c r="G4029" s="229">
        <f>G4004</f>
        <v>140000</v>
      </c>
      <c r="H4029" s="230">
        <f>+G4029*F4029</f>
        <v>1120</v>
      </c>
      <c r="M4029" s="228">
        <v>8.0000000000000002E-3</v>
      </c>
    </row>
    <row r="4030" spans="2:13" ht="18.75" customHeight="1" x14ac:dyDescent="0.25">
      <c r="B4030" s="550"/>
      <c r="C4030" s="223"/>
      <c r="D4030" s="550"/>
      <c r="E4030" s="224"/>
      <c r="F4030" s="233" t="s">
        <v>636</v>
      </c>
      <c r="G4030" s="290"/>
      <c r="H4030" s="231">
        <f>SUM(H4026:H4029)</f>
        <v>24540</v>
      </c>
      <c r="M4030" s="233" t="s">
        <v>636</v>
      </c>
    </row>
    <row r="4031" spans="2:13" ht="18.75" customHeight="1" x14ac:dyDescent="0.25">
      <c r="B4031" s="550"/>
      <c r="C4031" s="223"/>
      <c r="D4031" s="550"/>
      <c r="E4031" s="224"/>
      <c r="F4031" s="233"/>
      <c r="G4031" s="290"/>
      <c r="H4031" s="230"/>
      <c r="M4031" s="233"/>
    </row>
    <row r="4032" spans="2:13" ht="18.75" customHeight="1" x14ac:dyDescent="0.25">
      <c r="B4032" s="550" t="s">
        <v>637</v>
      </c>
      <c r="C4032" s="223" t="s">
        <v>638</v>
      </c>
      <c r="D4032" s="550"/>
      <c r="E4032" s="224"/>
      <c r="F4032" s="225"/>
      <c r="G4032" s="290"/>
      <c r="H4032" s="226"/>
      <c r="M4032" s="225"/>
    </row>
    <row r="4033" spans="2:13" ht="18.75" customHeight="1" x14ac:dyDescent="0.25">
      <c r="B4033" s="550"/>
      <c r="C4033" s="223" t="s">
        <v>683</v>
      </c>
      <c r="D4033" s="550"/>
      <c r="E4033" s="224" t="s">
        <v>5</v>
      </c>
      <c r="F4033" s="228">
        <v>3.1080000000000001</v>
      </c>
      <c r="G4033" s="234">
        <f>G4008</f>
        <v>1700</v>
      </c>
      <c r="H4033" s="230">
        <f>+G4033*F4033</f>
        <v>5283.6</v>
      </c>
      <c r="M4033" s="228">
        <v>3.1080000000000001</v>
      </c>
    </row>
    <row r="4034" spans="2:13" ht="18.75" customHeight="1" x14ac:dyDescent="0.25">
      <c r="B4034" s="550"/>
      <c r="C4034" s="223"/>
      <c r="D4034" s="550"/>
      <c r="E4034" s="224"/>
      <c r="F4034" s="237" t="s">
        <v>643</v>
      </c>
      <c r="G4034" s="290"/>
      <c r="H4034" s="231">
        <f>SUM(H4033:H4033)</f>
        <v>5283.6</v>
      </c>
      <c r="M4034" s="237" t="s">
        <v>643</v>
      </c>
    </row>
    <row r="4035" spans="2:13" ht="18.75" customHeight="1" x14ac:dyDescent="0.25">
      <c r="B4035" s="550"/>
      <c r="C4035" s="223"/>
      <c r="D4035" s="550"/>
      <c r="E4035" s="224"/>
      <c r="F4035" s="225"/>
      <c r="G4035" s="290"/>
      <c r="H4035" s="226"/>
      <c r="M4035" s="225"/>
    </row>
    <row r="4036" spans="2:13" ht="18.75" customHeight="1" x14ac:dyDescent="0.25">
      <c r="B4036" s="550" t="s">
        <v>644</v>
      </c>
      <c r="C4036" s="223" t="s">
        <v>645</v>
      </c>
      <c r="D4036" s="550"/>
      <c r="E4036" s="224"/>
      <c r="F4036" s="225"/>
      <c r="G4036" s="290"/>
      <c r="H4036" s="235"/>
      <c r="M4036" s="225"/>
    </row>
    <row r="4037" spans="2:13" ht="18.75" customHeight="1" x14ac:dyDescent="0.25">
      <c r="B4037" s="236"/>
      <c r="C4037" s="232"/>
      <c r="D4037" s="550"/>
      <c r="E4037" s="224"/>
      <c r="F4037" s="237" t="s">
        <v>646</v>
      </c>
      <c r="G4037" s="290"/>
      <c r="H4037" s="230"/>
      <c r="M4037" s="237" t="s">
        <v>646</v>
      </c>
    </row>
    <row r="4038" spans="2:13" ht="18.75" customHeight="1" x14ac:dyDescent="0.25">
      <c r="B4038" s="236"/>
      <c r="C4038" s="232"/>
      <c r="D4038" s="550"/>
      <c r="E4038" s="224"/>
      <c r="F4038" s="237"/>
      <c r="G4038" s="290"/>
      <c r="H4038" s="226"/>
      <c r="M4038" s="237"/>
    </row>
    <row r="4039" spans="2:13" ht="18.75" customHeight="1" x14ac:dyDescent="0.25">
      <c r="B4039" s="354"/>
      <c r="C4039" s="362"/>
      <c r="D4039" s="239"/>
      <c r="E4039" s="266"/>
      <c r="F4039" s="241"/>
      <c r="G4039" s="370"/>
      <c r="H4039" s="369"/>
      <c r="M4039" s="241"/>
    </row>
    <row r="4040" spans="2:13" ht="18.75" customHeight="1" x14ac:dyDescent="0.25">
      <c r="B4040" s="356" t="s">
        <v>647</v>
      </c>
      <c r="C4040" s="363" t="s">
        <v>648</v>
      </c>
      <c r="D4040" s="435"/>
      <c r="E4040" s="92"/>
      <c r="F4040" s="183"/>
      <c r="G4040" s="295"/>
      <c r="H4040" s="357">
        <f>+H4037+H4034+H4030</f>
        <v>29823.599999999999</v>
      </c>
      <c r="M4040" s="183"/>
    </row>
    <row r="4041" spans="2:13" ht="18.75" customHeight="1" x14ac:dyDescent="0.25">
      <c r="B4041" s="356" t="s">
        <v>649</v>
      </c>
      <c r="C4041" s="364" t="s">
        <v>650</v>
      </c>
      <c r="D4041" s="435"/>
      <c r="E4041" s="92"/>
      <c r="F4041" s="184" t="str">
        <f>$J$5</f>
        <v>8,0 % x D</v>
      </c>
      <c r="G4041" s="295"/>
      <c r="H4041" s="358">
        <f>+H4040*$K$5</f>
        <v>2385.8879999999999</v>
      </c>
      <c r="M4041" s="184" t="str">
        <f>$J$5</f>
        <v>8,0 % x D</v>
      </c>
    </row>
    <row r="4042" spans="2:13" ht="18.75" customHeight="1" x14ac:dyDescent="0.25">
      <c r="B4042" s="356" t="s">
        <v>651</v>
      </c>
      <c r="C4042" s="365" t="s">
        <v>652</v>
      </c>
      <c r="D4042" s="435"/>
      <c r="E4042" s="91"/>
      <c r="F4042" s="185"/>
      <c r="G4042" s="296"/>
      <c r="H4042" s="359">
        <f>ROUNDUP((H4041+H4040)/100,0)*100</f>
        <v>32300</v>
      </c>
      <c r="M4042" s="185"/>
    </row>
    <row r="4043" spans="2:13" ht="18.75" customHeight="1" x14ac:dyDescent="0.25">
      <c r="B4043" s="360"/>
      <c r="C4043" s="366"/>
      <c r="D4043" s="245"/>
      <c r="E4043" s="246"/>
      <c r="F4043" s="247"/>
      <c r="G4043" s="299"/>
      <c r="H4043" s="361"/>
      <c r="M4043" s="247"/>
    </row>
    <row r="4044" spans="2:13" ht="18.75" customHeight="1" x14ac:dyDescent="0.25">
      <c r="B4044" s="22"/>
      <c r="C4044" s="104"/>
      <c r="E4044" s="21"/>
      <c r="F4044" s="176"/>
      <c r="G4044" s="165"/>
      <c r="H4044" s="119"/>
      <c r="M4044" s="176"/>
    </row>
    <row r="4045" spans="2:13" ht="18.75" customHeight="1" x14ac:dyDescent="0.25">
      <c r="B4045" s="19">
        <f>+B4021+1</f>
        <v>25</v>
      </c>
      <c r="C4045" s="93" t="s">
        <v>1007</v>
      </c>
      <c r="D4045" s="19"/>
      <c r="E4045" s="21"/>
      <c r="F4045" s="176"/>
      <c r="G4045" s="165"/>
      <c r="H4045" s="119"/>
      <c r="M4045" s="176"/>
    </row>
    <row r="4046" spans="2:13" ht="18.75" customHeight="1" x14ac:dyDescent="0.25">
      <c r="B4046" s="618" t="s">
        <v>620</v>
      </c>
      <c r="C4046" s="620" t="s">
        <v>621</v>
      </c>
      <c r="D4046" s="618" t="s">
        <v>622</v>
      </c>
      <c r="E4046" s="618" t="s">
        <v>2</v>
      </c>
      <c r="F4046" s="615" t="s">
        <v>623</v>
      </c>
      <c r="G4046" s="289" t="s">
        <v>624</v>
      </c>
      <c r="H4046" s="256" t="s">
        <v>625</v>
      </c>
      <c r="M4046" s="615" t="s">
        <v>623</v>
      </c>
    </row>
    <row r="4047" spans="2:13" ht="18.75" customHeight="1" x14ac:dyDescent="0.25">
      <c r="B4047" s="619"/>
      <c r="C4047" s="621"/>
      <c r="D4047" s="619"/>
      <c r="E4047" s="619"/>
      <c r="F4047" s="616"/>
      <c r="G4047" s="289" t="s">
        <v>626</v>
      </c>
      <c r="H4047" s="256" t="s">
        <v>626</v>
      </c>
      <c r="M4047" s="616"/>
    </row>
    <row r="4048" spans="2:13" ht="18.75" customHeight="1" x14ac:dyDescent="0.25">
      <c r="B4048" s="221"/>
      <c r="C4048" s="222"/>
      <c r="D4048" s="221"/>
      <c r="E4048" s="550"/>
      <c r="F4048" s="555"/>
      <c r="G4048" s="551"/>
      <c r="H4048" s="220"/>
      <c r="M4048" s="590"/>
    </row>
    <row r="4049" spans="2:13" ht="18.75" customHeight="1" x14ac:dyDescent="0.25">
      <c r="B4049" s="550" t="s">
        <v>627</v>
      </c>
      <c r="C4049" s="223" t="s">
        <v>628</v>
      </c>
      <c r="D4049" s="550"/>
      <c r="E4049" s="224"/>
      <c r="F4049" s="225"/>
      <c r="G4049" s="290"/>
      <c r="H4049" s="226"/>
      <c r="M4049" s="225"/>
    </row>
    <row r="4050" spans="2:13" ht="18.75" customHeight="1" x14ac:dyDescent="0.25">
      <c r="B4050" s="550"/>
      <c r="C4050" s="227" t="s">
        <v>629</v>
      </c>
      <c r="D4050" s="550" t="s">
        <v>630</v>
      </c>
      <c r="E4050" s="224" t="s">
        <v>631</v>
      </c>
      <c r="F4050" s="228">
        <f t="shared" ref="F4050:F4053" si="193">$K$8*M4050</f>
        <v>7.0000000000000007E-2</v>
      </c>
      <c r="G4050" s="229">
        <f>G4026</f>
        <v>95000</v>
      </c>
      <c r="H4050" s="230">
        <f>+G4050*F4050</f>
        <v>6650.0000000000009</v>
      </c>
      <c r="M4050" s="228">
        <v>7.0000000000000007E-2</v>
      </c>
    </row>
    <row r="4051" spans="2:13" ht="18.75" customHeight="1" x14ac:dyDescent="0.25">
      <c r="B4051" s="550"/>
      <c r="C4051" s="227" t="s">
        <v>1508</v>
      </c>
      <c r="D4051" s="550" t="s">
        <v>634</v>
      </c>
      <c r="E4051" s="224" t="s">
        <v>631</v>
      </c>
      <c r="F4051" s="228">
        <f t="shared" si="193"/>
        <v>3.5000000000000003E-2</v>
      </c>
      <c r="G4051" s="229">
        <f>G4027</f>
        <v>110000</v>
      </c>
      <c r="H4051" s="230">
        <f>+G4051*F4051</f>
        <v>3850.0000000000005</v>
      </c>
      <c r="M4051" s="228">
        <v>3.5000000000000003E-2</v>
      </c>
    </row>
    <row r="4052" spans="2:13" ht="18.75" customHeight="1" x14ac:dyDescent="0.25">
      <c r="B4052" s="550"/>
      <c r="C4052" s="227" t="s">
        <v>633</v>
      </c>
      <c r="D4052" s="550" t="s">
        <v>634</v>
      </c>
      <c r="E4052" s="224" t="s">
        <v>631</v>
      </c>
      <c r="F4052" s="228">
        <f t="shared" si="193"/>
        <v>4.0000000000000001E-3</v>
      </c>
      <c r="G4052" s="229">
        <f>G4028</f>
        <v>115000</v>
      </c>
      <c r="H4052" s="230">
        <f>+G4052*F4052</f>
        <v>460</v>
      </c>
      <c r="M4052" s="228">
        <v>4.0000000000000001E-3</v>
      </c>
    </row>
    <row r="4053" spans="2:13" ht="18.75" customHeight="1" x14ac:dyDescent="0.25">
      <c r="B4053" s="550"/>
      <c r="C4053" s="227" t="s">
        <v>600</v>
      </c>
      <c r="D4053" s="550" t="s">
        <v>635</v>
      </c>
      <c r="E4053" s="224" t="s">
        <v>631</v>
      </c>
      <c r="F4053" s="228">
        <f t="shared" si="193"/>
        <v>4.0000000000000001E-3</v>
      </c>
      <c r="G4053" s="229">
        <f>G4029</f>
        <v>140000</v>
      </c>
      <c r="H4053" s="230">
        <f>+G4053*F4053</f>
        <v>560</v>
      </c>
      <c r="M4053" s="228">
        <v>4.0000000000000001E-3</v>
      </c>
    </row>
    <row r="4054" spans="2:13" ht="18.75" customHeight="1" x14ac:dyDescent="0.25">
      <c r="B4054" s="550"/>
      <c r="C4054" s="223"/>
      <c r="D4054" s="550"/>
      <c r="E4054" s="224"/>
      <c r="F4054" s="233" t="s">
        <v>636</v>
      </c>
      <c r="G4054" s="290"/>
      <c r="H4054" s="231">
        <f>SUM(H4050:H4053)</f>
        <v>11520.000000000002</v>
      </c>
      <c r="M4054" s="233" t="s">
        <v>636</v>
      </c>
    </row>
    <row r="4055" spans="2:13" ht="18.75" customHeight="1" x14ac:dyDescent="0.25">
      <c r="B4055" s="550" t="s">
        <v>637</v>
      </c>
      <c r="C4055" s="223" t="s">
        <v>638</v>
      </c>
      <c r="D4055" s="550"/>
      <c r="E4055" s="224"/>
      <c r="F4055" s="225"/>
      <c r="G4055" s="290"/>
      <c r="H4055" s="226"/>
      <c r="M4055" s="225"/>
    </row>
    <row r="4056" spans="2:13" ht="18.75" customHeight="1" x14ac:dyDescent="0.25">
      <c r="B4056" s="550"/>
      <c r="C4056" s="223" t="s">
        <v>683</v>
      </c>
      <c r="D4056" s="550"/>
      <c r="E4056" s="224" t="s">
        <v>5</v>
      </c>
      <c r="F4056" s="228">
        <v>1.6</v>
      </c>
      <c r="G4056" s="234">
        <f>+G4033</f>
        <v>1700</v>
      </c>
      <c r="H4056" s="230">
        <f>+G4056*F4056</f>
        <v>2720</v>
      </c>
      <c r="M4056" s="228">
        <v>1.6</v>
      </c>
    </row>
    <row r="4057" spans="2:13" ht="18.75" customHeight="1" x14ac:dyDescent="0.25">
      <c r="B4057" s="550"/>
      <c r="C4057" s="223"/>
      <c r="D4057" s="550"/>
      <c r="E4057" s="224"/>
      <c r="F4057" s="237" t="s">
        <v>643</v>
      </c>
      <c r="G4057" s="290"/>
      <c r="H4057" s="231">
        <f>SUM(H4056:H4056)</f>
        <v>2720</v>
      </c>
      <c r="M4057" s="237" t="s">
        <v>643</v>
      </c>
    </row>
    <row r="4058" spans="2:13" ht="18.75" customHeight="1" x14ac:dyDescent="0.25">
      <c r="B4058" s="550"/>
      <c r="C4058" s="223"/>
      <c r="D4058" s="550"/>
      <c r="E4058" s="224"/>
      <c r="F4058" s="237"/>
      <c r="G4058" s="290"/>
      <c r="H4058" s="231"/>
      <c r="M4058" s="237"/>
    </row>
    <row r="4059" spans="2:13" ht="18.75" customHeight="1" x14ac:dyDescent="0.25">
      <c r="B4059" s="550" t="s">
        <v>644</v>
      </c>
      <c r="C4059" s="223" t="s">
        <v>645</v>
      </c>
      <c r="D4059" s="550"/>
      <c r="E4059" s="224"/>
      <c r="F4059" s="225"/>
      <c r="G4059" s="290"/>
      <c r="H4059" s="235"/>
      <c r="M4059" s="225"/>
    </row>
    <row r="4060" spans="2:13" ht="18.75" customHeight="1" x14ac:dyDescent="0.25">
      <c r="B4060" s="236"/>
      <c r="C4060" s="232"/>
      <c r="D4060" s="550"/>
      <c r="E4060" s="224"/>
      <c r="F4060" s="237" t="s">
        <v>646</v>
      </c>
      <c r="G4060" s="290"/>
      <c r="H4060" s="230"/>
      <c r="M4060" s="237" t="s">
        <v>646</v>
      </c>
    </row>
    <row r="4061" spans="2:13" ht="18.75" customHeight="1" x14ac:dyDescent="0.25">
      <c r="B4061" s="236"/>
      <c r="C4061" s="232"/>
      <c r="D4061" s="550"/>
      <c r="E4061" s="224"/>
      <c r="F4061" s="237"/>
      <c r="G4061" s="290"/>
      <c r="H4061" s="226"/>
      <c r="M4061" s="237"/>
    </row>
    <row r="4062" spans="2:13" ht="18.75" customHeight="1" x14ac:dyDescent="0.25">
      <c r="B4062" s="354"/>
      <c r="C4062" s="362"/>
      <c r="D4062" s="239"/>
      <c r="E4062" s="266"/>
      <c r="F4062" s="241"/>
      <c r="G4062" s="370"/>
      <c r="H4062" s="369"/>
      <c r="M4062" s="241"/>
    </row>
    <row r="4063" spans="2:13" ht="18.75" customHeight="1" x14ac:dyDescent="0.25">
      <c r="B4063" s="356" t="s">
        <v>647</v>
      </c>
      <c r="C4063" s="363" t="s">
        <v>648</v>
      </c>
      <c r="D4063" s="435"/>
      <c r="E4063" s="92"/>
      <c r="F4063" s="183"/>
      <c r="G4063" s="295"/>
      <c r="H4063" s="357">
        <f>+H4060+H4057+H4054</f>
        <v>14240.000000000002</v>
      </c>
      <c r="M4063" s="183"/>
    </row>
    <row r="4064" spans="2:13" ht="18.75" customHeight="1" x14ac:dyDescent="0.25">
      <c r="B4064" s="356" t="s">
        <v>649</v>
      </c>
      <c r="C4064" s="364" t="s">
        <v>650</v>
      </c>
      <c r="D4064" s="435"/>
      <c r="E4064" s="92"/>
      <c r="F4064" s="184" t="str">
        <f>$J$5</f>
        <v>8,0 % x D</v>
      </c>
      <c r="G4064" s="295"/>
      <c r="H4064" s="358">
        <f>+H4063*$K$5</f>
        <v>1139.2000000000003</v>
      </c>
      <c r="M4064" s="184" t="str">
        <f>$J$5</f>
        <v>8,0 % x D</v>
      </c>
    </row>
    <row r="4065" spans="2:13" ht="18.75" customHeight="1" x14ac:dyDescent="0.25">
      <c r="B4065" s="356" t="s">
        <v>651</v>
      </c>
      <c r="C4065" s="365" t="s">
        <v>652</v>
      </c>
      <c r="D4065" s="435"/>
      <c r="E4065" s="91"/>
      <c r="F4065" s="185"/>
      <c r="G4065" s="296"/>
      <c r="H4065" s="359">
        <f>ROUNDUP((H4064+H4063)/100,0)*100</f>
        <v>15400</v>
      </c>
      <c r="M4065" s="185"/>
    </row>
    <row r="4066" spans="2:13" ht="18.75" customHeight="1" x14ac:dyDescent="0.25">
      <c r="B4066" s="360"/>
      <c r="C4066" s="366"/>
      <c r="D4066" s="245"/>
      <c r="E4066" s="246"/>
      <c r="F4066" s="247"/>
      <c r="G4066" s="299"/>
      <c r="H4066" s="361"/>
      <c r="M4066" s="247"/>
    </row>
    <row r="4067" spans="2:13" ht="18.75" customHeight="1" x14ac:dyDescent="0.25">
      <c r="B4067" s="92"/>
      <c r="C4067" s="104"/>
      <c r="D4067" s="435"/>
      <c r="E4067" s="91"/>
      <c r="F4067" s="185"/>
      <c r="G4067" s="168"/>
      <c r="H4067" s="139"/>
      <c r="M4067" s="185"/>
    </row>
    <row r="4068" spans="2:13" ht="18.75" customHeight="1" x14ac:dyDescent="0.25">
      <c r="B4068" s="19">
        <f>+B4045+1</f>
        <v>26</v>
      </c>
      <c r="C4068" s="93" t="s">
        <v>1008</v>
      </c>
      <c r="D4068" s="19"/>
      <c r="E4068" s="21"/>
      <c r="F4068" s="176"/>
      <c r="G4068" s="165"/>
      <c r="H4068" s="119"/>
      <c r="M4068" s="176"/>
    </row>
    <row r="4069" spans="2:13" ht="18.75" customHeight="1" x14ac:dyDescent="0.25">
      <c r="B4069" s="618" t="s">
        <v>620</v>
      </c>
      <c r="C4069" s="620" t="s">
        <v>621</v>
      </c>
      <c r="D4069" s="618" t="s">
        <v>622</v>
      </c>
      <c r="E4069" s="618" t="s">
        <v>2</v>
      </c>
      <c r="F4069" s="615" t="s">
        <v>623</v>
      </c>
      <c r="G4069" s="289" t="s">
        <v>624</v>
      </c>
      <c r="H4069" s="256" t="s">
        <v>625</v>
      </c>
      <c r="M4069" s="615" t="s">
        <v>623</v>
      </c>
    </row>
    <row r="4070" spans="2:13" ht="18.75" customHeight="1" x14ac:dyDescent="0.25">
      <c r="B4070" s="619"/>
      <c r="C4070" s="621"/>
      <c r="D4070" s="619"/>
      <c r="E4070" s="619"/>
      <c r="F4070" s="616"/>
      <c r="G4070" s="289" t="s">
        <v>626</v>
      </c>
      <c r="H4070" s="256" t="s">
        <v>626</v>
      </c>
      <c r="M4070" s="616"/>
    </row>
    <row r="4071" spans="2:13" ht="18.75" customHeight="1" x14ac:dyDescent="0.25">
      <c r="B4071" s="221"/>
      <c r="C4071" s="222"/>
      <c r="D4071" s="221"/>
      <c r="E4071" s="550"/>
      <c r="F4071" s="555"/>
      <c r="G4071" s="551"/>
      <c r="H4071" s="220"/>
      <c r="M4071" s="590"/>
    </row>
    <row r="4072" spans="2:13" ht="18.75" customHeight="1" x14ac:dyDescent="0.25">
      <c r="B4072" s="550" t="s">
        <v>627</v>
      </c>
      <c r="C4072" s="223" t="s">
        <v>628</v>
      </c>
      <c r="D4072" s="550"/>
      <c r="E4072" s="224"/>
      <c r="F4072" s="225"/>
      <c r="G4072" s="290"/>
      <c r="H4072" s="226"/>
      <c r="M4072" s="225"/>
    </row>
    <row r="4073" spans="2:13" ht="18.75" customHeight="1" x14ac:dyDescent="0.25">
      <c r="B4073" s="550"/>
      <c r="C4073" s="227" t="s">
        <v>629</v>
      </c>
      <c r="D4073" s="550" t="s">
        <v>630</v>
      </c>
      <c r="E4073" s="224" t="s">
        <v>631</v>
      </c>
      <c r="F4073" s="228">
        <f t="shared" ref="F4073:F4076" si="194">$K$8*M4073</f>
        <v>0.3</v>
      </c>
      <c r="G4073" s="229">
        <f>G4050</f>
        <v>95000</v>
      </c>
      <c r="H4073" s="230">
        <f>+G4073*F4073</f>
        <v>28500</v>
      </c>
      <c r="M4073" s="228">
        <v>0.3</v>
      </c>
    </row>
    <row r="4074" spans="2:13" ht="18.75" customHeight="1" x14ac:dyDescent="0.25">
      <c r="B4074" s="550"/>
      <c r="C4074" s="227" t="s">
        <v>1508</v>
      </c>
      <c r="D4074" s="550" t="s">
        <v>634</v>
      </c>
      <c r="E4074" s="224" t="s">
        <v>631</v>
      </c>
      <c r="F4074" s="228">
        <f t="shared" si="194"/>
        <v>0.15</v>
      </c>
      <c r="G4074" s="229">
        <f>G4051</f>
        <v>110000</v>
      </c>
      <c r="H4074" s="230">
        <f>+G4074*F4074</f>
        <v>16500</v>
      </c>
      <c r="M4074" s="228">
        <v>0.15</v>
      </c>
    </row>
    <row r="4075" spans="2:13" ht="18.75" customHeight="1" x14ac:dyDescent="0.25">
      <c r="B4075" s="550"/>
      <c r="C4075" s="227" t="s">
        <v>633</v>
      </c>
      <c r="D4075" s="550" t="s">
        <v>634</v>
      </c>
      <c r="E4075" s="224" t="s">
        <v>631</v>
      </c>
      <c r="F4075" s="228">
        <f t="shared" si="194"/>
        <v>1.4999999999999999E-2</v>
      </c>
      <c r="G4075" s="229">
        <f>G4052</f>
        <v>115000</v>
      </c>
      <c r="H4075" s="230">
        <f>+G4075*F4075</f>
        <v>1725</v>
      </c>
      <c r="M4075" s="228">
        <v>1.4999999999999999E-2</v>
      </c>
    </row>
    <row r="4076" spans="2:13" ht="18.75" customHeight="1" x14ac:dyDescent="0.25">
      <c r="B4076" s="550"/>
      <c r="C4076" s="227" t="s">
        <v>600</v>
      </c>
      <c r="D4076" s="550" t="s">
        <v>635</v>
      </c>
      <c r="E4076" s="224" t="s">
        <v>631</v>
      </c>
      <c r="F4076" s="228">
        <f t="shared" si="194"/>
        <v>1.4999999999999999E-2</v>
      </c>
      <c r="G4076" s="229">
        <f>G4053</f>
        <v>140000</v>
      </c>
      <c r="H4076" s="230">
        <f>+G4076*F4076</f>
        <v>2100</v>
      </c>
      <c r="M4076" s="228">
        <v>1.4999999999999999E-2</v>
      </c>
    </row>
    <row r="4077" spans="2:13" ht="18.75" customHeight="1" x14ac:dyDescent="0.25">
      <c r="B4077" s="550"/>
      <c r="C4077" s="223"/>
      <c r="D4077" s="550"/>
      <c r="E4077" s="224"/>
      <c r="F4077" s="233" t="s">
        <v>636</v>
      </c>
      <c r="G4077" s="290"/>
      <c r="H4077" s="231">
        <f>SUM(H4073:H4076)</f>
        <v>48825</v>
      </c>
      <c r="M4077" s="233" t="s">
        <v>636</v>
      </c>
    </row>
    <row r="4078" spans="2:13" ht="18.75" customHeight="1" x14ac:dyDescent="0.25">
      <c r="B4078" s="550" t="s">
        <v>637</v>
      </c>
      <c r="C4078" s="223" t="s">
        <v>638</v>
      </c>
      <c r="D4078" s="550"/>
      <c r="E4078" s="224"/>
      <c r="F4078" s="225"/>
      <c r="G4078" s="290"/>
      <c r="H4078" s="226"/>
      <c r="M4078" s="225"/>
    </row>
    <row r="4079" spans="2:13" ht="18.75" customHeight="1" x14ac:dyDescent="0.25">
      <c r="B4079" s="550"/>
      <c r="C4079" s="223" t="s">
        <v>683</v>
      </c>
      <c r="D4079" s="550"/>
      <c r="E4079" s="224" t="s">
        <v>5</v>
      </c>
      <c r="F4079" s="228">
        <v>6.34</v>
      </c>
      <c r="G4079" s="234">
        <f>+G4056</f>
        <v>1700</v>
      </c>
      <c r="H4079" s="230">
        <f>+G4079*F4079</f>
        <v>10778</v>
      </c>
      <c r="M4079" s="228">
        <v>6.34</v>
      </c>
    </row>
    <row r="4080" spans="2:13" ht="18.75" customHeight="1" x14ac:dyDescent="0.25">
      <c r="B4080" s="550"/>
      <c r="C4080" s="223" t="s">
        <v>661</v>
      </c>
      <c r="D4080" s="550"/>
      <c r="E4080" s="224" t="s">
        <v>955</v>
      </c>
      <c r="F4080" s="228">
        <v>1.2E-2</v>
      </c>
      <c r="G4080" s="234">
        <f>G3935</f>
        <v>230000</v>
      </c>
      <c r="H4080" s="230">
        <f>+G4080*F4080</f>
        <v>2760</v>
      </c>
      <c r="M4080" s="228">
        <v>1.2E-2</v>
      </c>
    </row>
    <row r="4081" spans="2:13" ht="18.75" customHeight="1" x14ac:dyDescent="0.25">
      <c r="B4081" s="550"/>
      <c r="C4081" s="223"/>
      <c r="D4081" s="550"/>
      <c r="E4081" s="224"/>
      <c r="F4081" s="237" t="s">
        <v>643</v>
      </c>
      <c r="G4081" s="290"/>
      <c r="H4081" s="231">
        <f>SUM(H4079:H4080)</f>
        <v>13538</v>
      </c>
      <c r="M4081" s="237" t="s">
        <v>643</v>
      </c>
    </row>
    <row r="4082" spans="2:13" ht="18.75" customHeight="1" x14ac:dyDescent="0.25">
      <c r="B4082" s="550"/>
      <c r="C4082" s="223"/>
      <c r="D4082" s="550"/>
      <c r="E4082" s="224"/>
      <c r="F4082" s="237"/>
      <c r="G4082" s="290"/>
      <c r="H4082" s="231"/>
      <c r="M4082" s="237"/>
    </row>
    <row r="4083" spans="2:13" ht="18.75" customHeight="1" x14ac:dyDescent="0.25">
      <c r="B4083" s="550" t="s">
        <v>644</v>
      </c>
      <c r="C4083" s="223" t="s">
        <v>645</v>
      </c>
      <c r="D4083" s="550"/>
      <c r="E4083" s="224"/>
      <c r="F4083" s="225"/>
      <c r="G4083" s="290"/>
      <c r="H4083" s="235"/>
      <c r="M4083" s="225"/>
    </row>
    <row r="4084" spans="2:13" ht="18.75" customHeight="1" x14ac:dyDescent="0.25">
      <c r="B4084" s="236"/>
      <c r="C4084" s="232"/>
      <c r="D4084" s="550"/>
      <c r="E4084" s="224"/>
      <c r="F4084" s="237" t="s">
        <v>646</v>
      </c>
      <c r="G4084" s="290"/>
      <c r="H4084" s="230"/>
      <c r="M4084" s="237" t="s">
        <v>646</v>
      </c>
    </row>
    <row r="4085" spans="2:13" ht="18.75" customHeight="1" x14ac:dyDescent="0.25">
      <c r="B4085" s="354"/>
      <c r="C4085" s="362"/>
      <c r="D4085" s="239"/>
      <c r="E4085" s="266"/>
      <c r="F4085" s="241"/>
      <c r="G4085" s="370"/>
      <c r="H4085" s="369"/>
      <c r="M4085" s="241"/>
    </row>
    <row r="4086" spans="2:13" ht="18.75" customHeight="1" x14ac:dyDescent="0.25">
      <c r="B4086" s="356" t="s">
        <v>647</v>
      </c>
      <c r="C4086" s="363" t="s">
        <v>648</v>
      </c>
      <c r="D4086" s="435"/>
      <c r="E4086" s="92"/>
      <c r="F4086" s="183"/>
      <c r="G4086" s="295"/>
      <c r="H4086" s="357">
        <f>+H4084+H4081+H4077</f>
        <v>62363</v>
      </c>
      <c r="M4086" s="183"/>
    </row>
    <row r="4087" spans="2:13" ht="18.75" customHeight="1" x14ac:dyDescent="0.25">
      <c r="B4087" s="356" t="s">
        <v>649</v>
      </c>
      <c r="C4087" s="364" t="s">
        <v>650</v>
      </c>
      <c r="D4087" s="435"/>
      <c r="E4087" s="92"/>
      <c r="F4087" s="184" t="str">
        <f>$J$5</f>
        <v>8,0 % x D</v>
      </c>
      <c r="G4087" s="295"/>
      <c r="H4087" s="358">
        <f>+H4086*$K$5</f>
        <v>4989.04</v>
      </c>
      <c r="M4087" s="184" t="str">
        <f>$J$5</f>
        <v>8,0 % x D</v>
      </c>
    </row>
    <row r="4088" spans="2:13" ht="18.75" customHeight="1" x14ac:dyDescent="0.25">
      <c r="B4088" s="356" t="s">
        <v>651</v>
      </c>
      <c r="C4088" s="365" t="s">
        <v>652</v>
      </c>
      <c r="D4088" s="435"/>
      <c r="E4088" s="91"/>
      <c r="F4088" s="185"/>
      <c r="G4088" s="296"/>
      <c r="H4088" s="359">
        <f>ROUNDUP((H4087+H4086)/100,0)*100</f>
        <v>67400</v>
      </c>
      <c r="M4088" s="185"/>
    </row>
    <row r="4089" spans="2:13" ht="18.75" customHeight="1" x14ac:dyDescent="0.25">
      <c r="B4089" s="360"/>
      <c r="C4089" s="366"/>
      <c r="D4089" s="245"/>
      <c r="E4089" s="246"/>
      <c r="F4089" s="247"/>
      <c r="G4089" s="299"/>
      <c r="H4089" s="361"/>
      <c r="M4089" s="247"/>
    </row>
    <row r="4090" spans="2:13" ht="18.75" customHeight="1" x14ac:dyDescent="0.25">
      <c r="B4090" s="92"/>
      <c r="C4090" s="104"/>
      <c r="D4090" s="435"/>
      <c r="E4090" s="91"/>
      <c r="F4090" s="185"/>
      <c r="G4090" s="168"/>
      <c r="H4090" s="139"/>
      <c r="M4090" s="185"/>
    </row>
    <row r="4091" spans="2:13" ht="18.75" customHeight="1" x14ac:dyDescent="0.25">
      <c r="B4091" s="19">
        <f>+B4068+1</f>
        <v>27</v>
      </c>
      <c r="C4091" s="93" t="s">
        <v>1009</v>
      </c>
      <c r="D4091" s="19"/>
      <c r="E4091" s="21"/>
      <c r="F4091" s="176"/>
      <c r="G4091" s="165"/>
      <c r="H4091" s="119"/>
      <c r="M4091" s="176"/>
    </row>
    <row r="4092" spans="2:13" ht="18.75" customHeight="1" x14ac:dyDescent="0.25">
      <c r="B4092" s="618" t="s">
        <v>620</v>
      </c>
      <c r="C4092" s="620" t="s">
        <v>621</v>
      </c>
      <c r="D4092" s="618" t="s">
        <v>622</v>
      </c>
      <c r="E4092" s="618" t="s">
        <v>2</v>
      </c>
      <c r="F4092" s="615" t="s">
        <v>623</v>
      </c>
      <c r="G4092" s="289" t="s">
        <v>624</v>
      </c>
      <c r="H4092" s="256" t="s">
        <v>625</v>
      </c>
      <c r="M4092" s="615" t="s">
        <v>623</v>
      </c>
    </row>
    <row r="4093" spans="2:13" ht="18.75" customHeight="1" x14ac:dyDescent="0.25">
      <c r="B4093" s="619"/>
      <c r="C4093" s="621"/>
      <c r="D4093" s="619"/>
      <c r="E4093" s="619"/>
      <c r="F4093" s="616"/>
      <c r="G4093" s="289" t="s">
        <v>626</v>
      </c>
      <c r="H4093" s="256" t="s">
        <v>626</v>
      </c>
      <c r="M4093" s="616"/>
    </row>
    <row r="4094" spans="2:13" ht="18.75" customHeight="1" x14ac:dyDescent="0.25">
      <c r="B4094" s="221"/>
      <c r="C4094" s="222"/>
      <c r="D4094" s="221"/>
      <c r="E4094" s="550"/>
      <c r="F4094" s="555"/>
      <c r="G4094" s="551"/>
      <c r="H4094" s="220"/>
      <c r="M4094" s="590"/>
    </row>
    <row r="4095" spans="2:13" ht="18.75" customHeight="1" x14ac:dyDescent="0.25">
      <c r="B4095" s="550" t="s">
        <v>627</v>
      </c>
      <c r="C4095" s="223" t="s">
        <v>628</v>
      </c>
      <c r="D4095" s="550"/>
      <c r="E4095" s="224"/>
      <c r="F4095" s="225"/>
      <c r="G4095" s="290"/>
      <c r="H4095" s="226"/>
      <c r="M4095" s="225"/>
    </row>
    <row r="4096" spans="2:13" ht="18.75" customHeight="1" x14ac:dyDescent="0.25">
      <c r="B4096" s="550"/>
      <c r="C4096" s="227" t="s">
        <v>629</v>
      </c>
      <c r="D4096" s="550" t="s">
        <v>630</v>
      </c>
      <c r="E4096" s="224" t="s">
        <v>631</v>
      </c>
      <c r="F4096" s="228">
        <f t="shared" ref="F4096:F4099" si="195">$K$8*M4096</f>
        <v>0.2</v>
      </c>
      <c r="G4096" s="229">
        <f>G4073</f>
        <v>95000</v>
      </c>
      <c r="H4096" s="230">
        <f>+G4096*F4096</f>
        <v>19000</v>
      </c>
      <c r="M4096" s="228">
        <v>0.2</v>
      </c>
    </row>
    <row r="4097" spans="2:13" ht="18.75" customHeight="1" x14ac:dyDescent="0.25">
      <c r="B4097" s="550"/>
      <c r="C4097" s="227" t="s">
        <v>1508</v>
      </c>
      <c r="D4097" s="550" t="s">
        <v>634</v>
      </c>
      <c r="E4097" s="224" t="s">
        <v>631</v>
      </c>
      <c r="F4097" s="228">
        <f t="shared" si="195"/>
        <v>0.1</v>
      </c>
      <c r="G4097" s="229">
        <f>G4074</f>
        <v>110000</v>
      </c>
      <c r="H4097" s="230">
        <f>+G4097*F4097</f>
        <v>11000</v>
      </c>
      <c r="M4097" s="228">
        <v>0.1</v>
      </c>
    </row>
    <row r="4098" spans="2:13" ht="18.75" customHeight="1" x14ac:dyDescent="0.25">
      <c r="B4098" s="550"/>
      <c r="C4098" s="227" t="s">
        <v>633</v>
      </c>
      <c r="D4098" s="550" t="s">
        <v>634</v>
      </c>
      <c r="E4098" s="224" t="s">
        <v>631</v>
      </c>
      <c r="F4098" s="228">
        <f t="shared" si="195"/>
        <v>0.01</v>
      </c>
      <c r="G4098" s="229">
        <f>G4075</f>
        <v>115000</v>
      </c>
      <c r="H4098" s="230">
        <f>+G4098*F4098</f>
        <v>1150</v>
      </c>
      <c r="M4098" s="228">
        <v>0.01</v>
      </c>
    </row>
    <row r="4099" spans="2:13" ht="18.75" customHeight="1" x14ac:dyDescent="0.25">
      <c r="B4099" s="550"/>
      <c r="C4099" s="227" t="s">
        <v>600</v>
      </c>
      <c r="D4099" s="550" t="s">
        <v>635</v>
      </c>
      <c r="E4099" s="224" t="s">
        <v>631</v>
      </c>
      <c r="F4099" s="228">
        <f t="shared" si="195"/>
        <v>0.01</v>
      </c>
      <c r="G4099" s="229">
        <f>G4076</f>
        <v>140000</v>
      </c>
      <c r="H4099" s="230">
        <f>+G4099*F4099</f>
        <v>1400</v>
      </c>
      <c r="M4099" s="228">
        <v>0.01</v>
      </c>
    </row>
    <row r="4100" spans="2:13" ht="18.75" customHeight="1" x14ac:dyDescent="0.25">
      <c r="B4100" s="550"/>
      <c r="C4100" s="223"/>
      <c r="D4100" s="550"/>
      <c r="E4100" s="224"/>
      <c r="F4100" s="233" t="s">
        <v>636</v>
      </c>
      <c r="G4100" s="290"/>
      <c r="H4100" s="231">
        <f>SUM(H4096:H4099)</f>
        <v>32550</v>
      </c>
      <c r="M4100" s="233" t="s">
        <v>636</v>
      </c>
    </row>
    <row r="4101" spans="2:13" ht="18.75" customHeight="1" x14ac:dyDescent="0.25">
      <c r="B4101" s="550" t="s">
        <v>637</v>
      </c>
      <c r="C4101" s="223" t="s">
        <v>638</v>
      </c>
      <c r="D4101" s="550"/>
      <c r="E4101" s="224"/>
      <c r="F4101" s="225"/>
      <c r="G4101" s="290"/>
      <c r="H4101" s="226"/>
      <c r="M4101" s="225"/>
    </row>
    <row r="4102" spans="2:13" ht="18.75" customHeight="1" x14ac:dyDescent="0.25">
      <c r="B4102" s="550"/>
      <c r="C4102" s="223" t="s">
        <v>683</v>
      </c>
      <c r="D4102" s="550"/>
      <c r="E4102" s="224" t="s">
        <v>5</v>
      </c>
      <c r="F4102" s="228">
        <v>3.25</v>
      </c>
      <c r="G4102" s="234">
        <f>+G4079</f>
        <v>1700</v>
      </c>
      <c r="H4102" s="230">
        <f>+G4102*F4102</f>
        <v>5525</v>
      </c>
      <c r="M4102" s="228">
        <v>3.25</v>
      </c>
    </row>
    <row r="4103" spans="2:13" ht="18.75" customHeight="1" x14ac:dyDescent="0.25">
      <c r="B4103" s="550"/>
      <c r="C4103" s="223"/>
      <c r="D4103" s="550"/>
      <c r="E4103" s="224"/>
      <c r="F4103" s="237" t="s">
        <v>643</v>
      </c>
      <c r="G4103" s="290"/>
      <c r="H4103" s="231">
        <f>SUM(H4102:H4102)</f>
        <v>5525</v>
      </c>
      <c r="M4103" s="237" t="s">
        <v>643</v>
      </c>
    </row>
    <row r="4104" spans="2:13" ht="18.75" customHeight="1" x14ac:dyDescent="0.25">
      <c r="B4104" s="550"/>
      <c r="C4104" s="223"/>
      <c r="D4104" s="550"/>
      <c r="E4104" s="224"/>
      <c r="F4104" s="237"/>
      <c r="G4104" s="290"/>
      <c r="H4104" s="231"/>
      <c r="M4104" s="237"/>
    </row>
    <row r="4105" spans="2:13" ht="18.75" customHeight="1" x14ac:dyDescent="0.25">
      <c r="B4105" s="550" t="s">
        <v>644</v>
      </c>
      <c r="C4105" s="223" t="s">
        <v>645</v>
      </c>
      <c r="D4105" s="550"/>
      <c r="E4105" s="224"/>
      <c r="F4105" s="225"/>
      <c r="G4105" s="290"/>
      <c r="H4105" s="235"/>
      <c r="M4105" s="225"/>
    </row>
    <row r="4106" spans="2:13" ht="18.75" customHeight="1" x14ac:dyDescent="0.25">
      <c r="B4106" s="236"/>
      <c r="C4106" s="232"/>
      <c r="D4106" s="550"/>
      <c r="E4106" s="224"/>
      <c r="F4106" s="237" t="s">
        <v>646</v>
      </c>
      <c r="G4106" s="290"/>
      <c r="H4106" s="230"/>
      <c r="M4106" s="237" t="s">
        <v>646</v>
      </c>
    </row>
    <row r="4107" spans="2:13" ht="18.75" customHeight="1" x14ac:dyDescent="0.25">
      <c r="B4107" s="236"/>
      <c r="C4107" s="232"/>
      <c r="D4107" s="550"/>
      <c r="E4107" s="224"/>
      <c r="F4107" s="237"/>
      <c r="G4107" s="290"/>
      <c r="H4107" s="226"/>
      <c r="M4107" s="237"/>
    </row>
    <row r="4108" spans="2:13" ht="18.75" customHeight="1" x14ac:dyDescent="0.25">
      <c r="B4108" s="354"/>
      <c r="C4108" s="362"/>
      <c r="D4108" s="239"/>
      <c r="E4108" s="266"/>
      <c r="F4108" s="241"/>
      <c r="G4108" s="370"/>
      <c r="H4108" s="369"/>
      <c r="M4108" s="241"/>
    </row>
    <row r="4109" spans="2:13" ht="18.75" customHeight="1" x14ac:dyDescent="0.25">
      <c r="B4109" s="356" t="s">
        <v>647</v>
      </c>
      <c r="C4109" s="363" t="s">
        <v>648</v>
      </c>
      <c r="D4109" s="435"/>
      <c r="E4109" s="92"/>
      <c r="F4109" s="183"/>
      <c r="G4109" s="295"/>
      <c r="H4109" s="357">
        <f>+H4106+H4103+H4100</f>
        <v>38075</v>
      </c>
      <c r="M4109" s="183"/>
    </row>
    <row r="4110" spans="2:13" ht="18.75" customHeight="1" x14ac:dyDescent="0.25">
      <c r="B4110" s="356" t="s">
        <v>649</v>
      </c>
      <c r="C4110" s="364" t="s">
        <v>650</v>
      </c>
      <c r="D4110" s="435"/>
      <c r="E4110" s="92"/>
      <c r="F4110" s="184" t="str">
        <f>$J$5</f>
        <v>8,0 % x D</v>
      </c>
      <c r="G4110" s="295"/>
      <c r="H4110" s="358">
        <f>+H4109*$K$5</f>
        <v>3046</v>
      </c>
      <c r="M4110" s="184" t="str">
        <f>$J$5</f>
        <v>8,0 % x D</v>
      </c>
    </row>
    <row r="4111" spans="2:13" ht="18.75" customHeight="1" x14ac:dyDescent="0.25">
      <c r="B4111" s="356" t="s">
        <v>651</v>
      </c>
      <c r="C4111" s="365" t="s">
        <v>652</v>
      </c>
      <c r="D4111" s="435"/>
      <c r="E4111" s="91"/>
      <c r="F4111" s="185"/>
      <c r="G4111" s="296"/>
      <c r="H4111" s="359">
        <f>ROUNDUP((H4110+H4109)/100,0)*100</f>
        <v>41200</v>
      </c>
      <c r="M4111" s="185"/>
    </row>
    <row r="4112" spans="2:13" ht="18.75" customHeight="1" x14ac:dyDescent="0.25">
      <c r="B4112" s="371"/>
      <c r="C4112" s="373"/>
      <c r="D4112" s="245"/>
      <c r="E4112" s="246"/>
      <c r="F4112" s="247"/>
      <c r="G4112" s="299"/>
      <c r="H4112" s="372"/>
      <c r="M4112" s="247"/>
    </row>
    <row r="4113" spans="1:13" ht="18.75" customHeight="1" x14ac:dyDescent="0.25">
      <c r="B4113" s="435"/>
      <c r="C4113" s="111"/>
      <c r="D4113" s="435"/>
      <c r="E4113" s="91"/>
      <c r="F4113" s="185"/>
      <c r="G4113" s="168"/>
      <c r="H4113" s="211"/>
      <c r="M4113" s="185"/>
    </row>
    <row r="4114" spans="1:13" ht="18.75" customHeight="1" x14ac:dyDescent="0.25">
      <c r="C4114" s="111"/>
      <c r="E4114" s="21"/>
      <c r="F4114" s="176"/>
      <c r="G4114" s="165"/>
      <c r="H4114" s="154"/>
      <c r="M4114" s="176"/>
    </row>
    <row r="4115" spans="1:13" ht="18.75" customHeight="1" x14ac:dyDescent="0.25">
      <c r="A4115" s="388" t="s">
        <v>1614</v>
      </c>
      <c r="B4115" s="389" t="s">
        <v>1010</v>
      </c>
      <c r="C4115" s="390"/>
      <c r="D4115" s="391"/>
      <c r="E4115" s="392"/>
      <c r="F4115" s="393"/>
      <c r="G4115" s="394"/>
      <c r="H4115" s="391"/>
      <c r="M4115" s="393"/>
    </row>
    <row r="4116" spans="1:13" ht="18.75" customHeight="1" x14ac:dyDescent="0.25">
      <c r="B4116" s="19"/>
      <c r="C4116" s="93"/>
      <c r="G4116" s="66"/>
      <c r="H4116" s="138"/>
    </row>
    <row r="4117" spans="1:13" ht="18.75" customHeight="1" x14ac:dyDescent="0.25">
      <c r="B4117" s="19">
        <v>1</v>
      </c>
      <c r="C4117" s="93" t="s">
        <v>1011</v>
      </c>
      <c r="D4117" s="19"/>
      <c r="E4117" s="21"/>
      <c r="F4117" s="176"/>
      <c r="G4117" s="165"/>
      <c r="H4117" s="119"/>
      <c r="M4117" s="176"/>
    </row>
    <row r="4118" spans="1:13" ht="18.75" customHeight="1" x14ac:dyDescent="0.25">
      <c r="B4118" s="618" t="s">
        <v>620</v>
      </c>
      <c r="C4118" s="620" t="s">
        <v>621</v>
      </c>
      <c r="D4118" s="618" t="s">
        <v>622</v>
      </c>
      <c r="E4118" s="618" t="s">
        <v>2</v>
      </c>
      <c r="F4118" s="615" t="s">
        <v>623</v>
      </c>
      <c r="G4118" s="289" t="s">
        <v>624</v>
      </c>
      <c r="H4118" s="256" t="s">
        <v>625</v>
      </c>
      <c r="M4118" s="615" t="s">
        <v>623</v>
      </c>
    </row>
    <row r="4119" spans="1:13" ht="18.75" customHeight="1" x14ac:dyDescent="0.25">
      <c r="B4119" s="619"/>
      <c r="C4119" s="621"/>
      <c r="D4119" s="619"/>
      <c r="E4119" s="619"/>
      <c r="F4119" s="616"/>
      <c r="G4119" s="289" t="s">
        <v>626</v>
      </c>
      <c r="H4119" s="256" t="s">
        <v>626</v>
      </c>
      <c r="M4119" s="616"/>
    </row>
    <row r="4120" spans="1:13" ht="18.75" customHeight="1" x14ac:dyDescent="0.25">
      <c r="B4120" s="221"/>
      <c r="C4120" s="222"/>
      <c r="D4120" s="221"/>
      <c r="E4120" s="550"/>
      <c r="F4120" s="555"/>
      <c r="G4120" s="551"/>
      <c r="H4120" s="220"/>
      <c r="M4120" s="590"/>
    </row>
    <row r="4121" spans="1:13" ht="18.75" customHeight="1" x14ac:dyDescent="0.25">
      <c r="B4121" s="550" t="s">
        <v>627</v>
      </c>
      <c r="C4121" s="223" t="s">
        <v>628</v>
      </c>
      <c r="D4121" s="550"/>
      <c r="E4121" s="224"/>
      <c r="F4121" s="225"/>
      <c r="G4121" s="290"/>
      <c r="H4121" s="226"/>
      <c r="M4121" s="225"/>
    </row>
    <row r="4122" spans="1:13" ht="18.75" customHeight="1" x14ac:dyDescent="0.25">
      <c r="B4122" s="550"/>
      <c r="C4122" s="227" t="s">
        <v>629</v>
      </c>
      <c r="D4122" s="550" t="s">
        <v>630</v>
      </c>
      <c r="E4122" s="224" t="s">
        <v>631</v>
      </c>
      <c r="F4122" s="228">
        <f t="shared" ref="F4122:F4125" si="196">$K$8*M4122</f>
        <v>0.25</v>
      </c>
      <c r="G4122" s="229">
        <f>G4096</f>
        <v>95000</v>
      </c>
      <c r="H4122" s="230">
        <f>+G4122*F4122</f>
        <v>23750</v>
      </c>
      <c r="M4122" s="228">
        <v>0.25</v>
      </c>
    </row>
    <row r="4123" spans="1:13" ht="18.75" customHeight="1" x14ac:dyDescent="0.25">
      <c r="B4123" s="550"/>
      <c r="C4123" s="227" t="s">
        <v>1508</v>
      </c>
      <c r="D4123" s="550" t="s">
        <v>632</v>
      </c>
      <c r="E4123" s="224" t="s">
        <v>631</v>
      </c>
      <c r="F4123" s="228">
        <f t="shared" si="196"/>
        <v>0.125</v>
      </c>
      <c r="G4123" s="229">
        <f t="shared" ref="G4123:G4125" si="197">G4097</f>
        <v>110000</v>
      </c>
      <c r="H4123" s="230">
        <f>+G4123*F4123</f>
        <v>13750</v>
      </c>
      <c r="M4123" s="228">
        <v>0.125</v>
      </c>
    </row>
    <row r="4124" spans="1:13" ht="18.75" customHeight="1" x14ac:dyDescent="0.25">
      <c r="B4124" s="550"/>
      <c r="C4124" s="227" t="s">
        <v>633</v>
      </c>
      <c r="D4124" s="550" t="s">
        <v>634</v>
      </c>
      <c r="E4124" s="224" t="s">
        <v>631</v>
      </c>
      <c r="F4124" s="228">
        <f t="shared" si="196"/>
        <v>1.2999999999999999E-2</v>
      </c>
      <c r="G4124" s="229">
        <f t="shared" si="197"/>
        <v>115000</v>
      </c>
      <c r="H4124" s="230">
        <f>+G4124*F4124</f>
        <v>1495</v>
      </c>
      <c r="M4124" s="228">
        <v>1.2999999999999999E-2</v>
      </c>
    </row>
    <row r="4125" spans="1:13" ht="18.75" customHeight="1" x14ac:dyDescent="0.25">
      <c r="B4125" s="550"/>
      <c r="C4125" s="227" t="s">
        <v>600</v>
      </c>
      <c r="D4125" s="550" t="s">
        <v>635</v>
      </c>
      <c r="E4125" s="224" t="s">
        <v>631</v>
      </c>
      <c r="F4125" s="228">
        <f t="shared" si="196"/>
        <v>1.2999999999999999E-2</v>
      </c>
      <c r="G4125" s="229">
        <f t="shared" si="197"/>
        <v>140000</v>
      </c>
      <c r="H4125" s="230">
        <f>+G4125*F4125</f>
        <v>1820</v>
      </c>
      <c r="M4125" s="228">
        <v>1.2999999999999999E-2</v>
      </c>
    </row>
    <row r="4126" spans="1:13" ht="18.75" customHeight="1" x14ac:dyDescent="0.25">
      <c r="B4126" s="550"/>
      <c r="C4126" s="223"/>
      <c r="D4126" s="550"/>
      <c r="E4126" s="224"/>
      <c r="F4126" s="233" t="s">
        <v>636</v>
      </c>
      <c r="G4126" s="290"/>
      <c r="H4126" s="231">
        <f>SUM(H4122:H4125)</f>
        <v>40815</v>
      </c>
      <c r="M4126" s="233" t="s">
        <v>636</v>
      </c>
    </row>
    <row r="4127" spans="1:13" ht="18.75" customHeight="1" x14ac:dyDescent="0.25">
      <c r="B4127" s="550"/>
      <c r="C4127" s="223"/>
      <c r="D4127" s="550"/>
      <c r="E4127" s="224"/>
      <c r="F4127" s="233"/>
      <c r="G4127" s="290"/>
      <c r="H4127" s="231"/>
      <c r="M4127" s="233"/>
    </row>
    <row r="4128" spans="1:13" ht="18.75" customHeight="1" x14ac:dyDescent="0.25">
      <c r="B4128" s="550" t="s">
        <v>637</v>
      </c>
      <c r="C4128" s="223" t="s">
        <v>638</v>
      </c>
      <c r="D4128" s="550"/>
      <c r="E4128" s="224"/>
      <c r="F4128" s="225"/>
      <c r="G4128" s="290"/>
      <c r="H4128" s="226"/>
      <c r="M4128" s="225"/>
    </row>
    <row r="4129" spans="2:13" ht="18.75" customHeight="1" x14ac:dyDescent="0.25">
      <c r="B4129" s="550"/>
      <c r="C4129" s="223" t="s">
        <v>1012</v>
      </c>
      <c r="D4129" s="550"/>
      <c r="E4129" s="550" t="s">
        <v>16</v>
      </c>
      <c r="F4129" s="405">
        <v>6.63</v>
      </c>
      <c r="G4129" s="410">
        <f>Bahan!D297/(1/(0.4*0.4))</f>
        <v>14400.000000000002</v>
      </c>
      <c r="H4129" s="230">
        <f>+G4129*F4129</f>
        <v>95472.000000000015</v>
      </c>
      <c r="M4129" s="405">
        <v>6.63</v>
      </c>
    </row>
    <row r="4130" spans="2:13" ht="18.75" customHeight="1" x14ac:dyDescent="0.25">
      <c r="B4130" s="550"/>
      <c r="C4130" s="223" t="s">
        <v>708</v>
      </c>
      <c r="D4130" s="550"/>
      <c r="E4130" s="550" t="s">
        <v>5</v>
      </c>
      <c r="F4130" s="405">
        <v>9.8000000000000007</v>
      </c>
      <c r="G4130" s="234">
        <f>G4102</f>
        <v>1700</v>
      </c>
      <c r="H4130" s="230">
        <f>+G4130*F4130</f>
        <v>16660</v>
      </c>
      <c r="M4130" s="405">
        <v>9.8000000000000007</v>
      </c>
    </row>
    <row r="4131" spans="2:13" ht="18.75" customHeight="1" x14ac:dyDescent="0.25">
      <c r="B4131" s="550"/>
      <c r="C4131" s="223" t="s">
        <v>661</v>
      </c>
      <c r="D4131" s="550"/>
      <c r="E4131" s="224" t="s">
        <v>1013</v>
      </c>
      <c r="F4131" s="228">
        <v>7.5499999999999998E-2</v>
      </c>
      <c r="G4131" s="234">
        <f>G4080</f>
        <v>230000</v>
      </c>
      <c r="H4131" s="230">
        <f>+G4131*F4131</f>
        <v>17365</v>
      </c>
      <c r="M4131" s="228">
        <v>7.5499999999999998E-2</v>
      </c>
    </row>
    <row r="4132" spans="2:13" ht="18.75" customHeight="1" x14ac:dyDescent="0.25">
      <c r="B4132" s="550"/>
      <c r="C4132" s="223"/>
      <c r="D4132" s="550"/>
      <c r="E4132" s="224"/>
      <c r="F4132" s="237" t="s">
        <v>643</v>
      </c>
      <c r="G4132" s="290"/>
      <c r="H4132" s="231">
        <f>SUM(H4129:H4131)</f>
        <v>129497.00000000001</v>
      </c>
      <c r="M4132" s="237" t="s">
        <v>643</v>
      </c>
    </row>
    <row r="4133" spans="2:13" ht="18.75" customHeight="1" x14ac:dyDescent="0.25">
      <c r="B4133" s="550"/>
      <c r="C4133" s="223"/>
      <c r="D4133" s="550"/>
      <c r="E4133" s="224"/>
      <c r="F4133" s="225"/>
      <c r="G4133" s="290"/>
      <c r="H4133" s="226"/>
      <c r="M4133" s="225"/>
    </row>
    <row r="4134" spans="2:13" ht="18.75" customHeight="1" x14ac:dyDescent="0.25">
      <c r="B4134" s="550" t="s">
        <v>644</v>
      </c>
      <c r="C4134" s="223" t="s">
        <v>645</v>
      </c>
      <c r="D4134" s="550"/>
      <c r="E4134" s="224"/>
      <c r="F4134" s="225"/>
      <c r="G4134" s="290"/>
      <c r="H4134" s="235"/>
      <c r="M4134" s="225"/>
    </row>
    <row r="4135" spans="2:13" ht="18.75" customHeight="1" x14ac:dyDescent="0.25">
      <c r="B4135" s="236"/>
      <c r="C4135" s="232"/>
      <c r="D4135" s="550"/>
      <c r="E4135" s="224"/>
      <c r="F4135" s="237" t="s">
        <v>646</v>
      </c>
      <c r="G4135" s="290"/>
      <c r="H4135" s="230"/>
      <c r="M4135" s="237" t="s">
        <v>646</v>
      </c>
    </row>
    <row r="4136" spans="2:13" ht="18.75" customHeight="1" x14ac:dyDescent="0.25">
      <c r="B4136" s="236"/>
      <c r="C4136" s="232"/>
      <c r="D4136" s="550"/>
      <c r="E4136" s="224"/>
      <c r="F4136" s="237"/>
      <c r="G4136" s="290"/>
      <c r="H4136" s="230"/>
      <c r="M4136" s="237"/>
    </row>
    <row r="4137" spans="2:13" ht="18.75" customHeight="1" x14ac:dyDescent="0.25">
      <c r="B4137" s="354"/>
      <c r="C4137" s="362"/>
      <c r="D4137" s="239"/>
      <c r="E4137" s="266"/>
      <c r="F4137" s="241"/>
      <c r="G4137" s="370"/>
      <c r="H4137" s="369"/>
      <c r="M4137" s="241"/>
    </row>
    <row r="4138" spans="2:13" ht="18.75" customHeight="1" x14ac:dyDescent="0.25">
      <c r="B4138" s="356" t="s">
        <v>647</v>
      </c>
      <c r="C4138" s="363" t="s">
        <v>648</v>
      </c>
      <c r="D4138" s="435"/>
      <c r="E4138" s="92"/>
      <c r="F4138" s="183"/>
      <c r="G4138" s="295"/>
      <c r="H4138" s="357">
        <f>+H4135+H4132+H4126</f>
        <v>170312</v>
      </c>
      <c r="M4138" s="183"/>
    </row>
    <row r="4139" spans="2:13" ht="18.75" customHeight="1" x14ac:dyDescent="0.25">
      <c r="B4139" s="356" t="s">
        <v>649</v>
      </c>
      <c r="C4139" s="364" t="s">
        <v>650</v>
      </c>
      <c r="D4139" s="435"/>
      <c r="E4139" s="92"/>
      <c r="F4139" s="184" t="str">
        <f>$J$5</f>
        <v>8,0 % x D</v>
      </c>
      <c r="G4139" s="295"/>
      <c r="H4139" s="358">
        <f>+H4138*$K$5</f>
        <v>13624.960000000001</v>
      </c>
      <c r="M4139" s="184" t="str">
        <f>$J$5</f>
        <v>8,0 % x D</v>
      </c>
    </row>
    <row r="4140" spans="2:13" ht="18.75" customHeight="1" x14ac:dyDescent="0.25">
      <c r="B4140" s="356" t="s">
        <v>651</v>
      </c>
      <c r="C4140" s="365" t="s">
        <v>652</v>
      </c>
      <c r="D4140" s="435"/>
      <c r="E4140" s="91"/>
      <c r="F4140" s="185"/>
      <c r="G4140" s="296"/>
      <c r="H4140" s="359">
        <f>ROUNDUP((H4139+H4138)/100,0)*100</f>
        <v>184000</v>
      </c>
      <c r="M4140" s="185"/>
    </row>
    <row r="4141" spans="2:13" ht="18.75" customHeight="1" x14ac:dyDescent="0.25">
      <c r="B4141" s="360"/>
      <c r="C4141" s="366"/>
      <c r="D4141" s="245"/>
      <c r="E4141" s="246"/>
      <c r="F4141" s="247"/>
      <c r="G4141" s="299"/>
      <c r="H4141" s="361"/>
      <c r="M4141" s="247"/>
    </row>
    <row r="4142" spans="2:13" ht="18.75" customHeight="1" x14ac:dyDescent="0.25">
      <c r="B4142" s="92"/>
      <c r="C4142" s="104"/>
      <c r="D4142" s="435"/>
      <c r="E4142" s="91"/>
      <c r="F4142" s="185"/>
      <c r="G4142" s="168"/>
      <c r="H4142" s="139"/>
      <c r="M4142" s="185"/>
    </row>
    <row r="4143" spans="2:13" ht="18.75" customHeight="1" x14ac:dyDescent="0.25">
      <c r="B4143" s="19">
        <v>2</v>
      </c>
      <c r="C4143" s="93" t="s">
        <v>1014</v>
      </c>
      <c r="D4143" s="19"/>
      <c r="E4143" s="21"/>
      <c r="F4143" s="176"/>
      <c r="G4143" s="165"/>
      <c r="H4143" s="119"/>
      <c r="M4143" s="176"/>
    </row>
    <row r="4144" spans="2:13" ht="18.75" customHeight="1" x14ac:dyDescent="0.25">
      <c r="B4144" s="618" t="s">
        <v>620</v>
      </c>
      <c r="C4144" s="620" t="s">
        <v>621</v>
      </c>
      <c r="D4144" s="618" t="s">
        <v>622</v>
      </c>
      <c r="E4144" s="618" t="s">
        <v>2</v>
      </c>
      <c r="F4144" s="615" t="s">
        <v>623</v>
      </c>
      <c r="G4144" s="289" t="s">
        <v>624</v>
      </c>
      <c r="H4144" s="256" t="s">
        <v>625</v>
      </c>
      <c r="M4144" s="615" t="s">
        <v>623</v>
      </c>
    </row>
    <row r="4145" spans="2:13" ht="18.75" customHeight="1" x14ac:dyDescent="0.25">
      <c r="B4145" s="619"/>
      <c r="C4145" s="621"/>
      <c r="D4145" s="619"/>
      <c r="E4145" s="619"/>
      <c r="F4145" s="616"/>
      <c r="G4145" s="289" t="s">
        <v>626</v>
      </c>
      <c r="H4145" s="256" t="s">
        <v>626</v>
      </c>
      <c r="M4145" s="616"/>
    </row>
    <row r="4146" spans="2:13" ht="18.75" customHeight="1" x14ac:dyDescent="0.25">
      <c r="B4146" s="221"/>
      <c r="C4146" s="222"/>
      <c r="D4146" s="221"/>
      <c r="E4146" s="550"/>
      <c r="F4146" s="555"/>
      <c r="G4146" s="551"/>
      <c r="H4146" s="220"/>
      <c r="M4146" s="590"/>
    </row>
    <row r="4147" spans="2:13" ht="18.75" customHeight="1" x14ac:dyDescent="0.25">
      <c r="B4147" s="550" t="s">
        <v>627</v>
      </c>
      <c r="C4147" s="223" t="s">
        <v>628</v>
      </c>
      <c r="D4147" s="550"/>
      <c r="E4147" s="224"/>
      <c r="F4147" s="225"/>
      <c r="G4147" s="290"/>
      <c r="H4147" s="226"/>
      <c r="M4147" s="225"/>
    </row>
    <row r="4148" spans="2:13" ht="18.75" customHeight="1" x14ac:dyDescent="0.25">
      <c r="B4148" s="550"/>
      <c r="C4148" s="227" t="s">
        <v>629</v>
      </c>
      <c r="D4148" s="550" t="s">
        <v>630</v>
      </c>
      <c r="E4148" s="224" t="s">
        <v>631</v>
      </c>
      <c r="F4148" s="228">
        <f t="shared" ref="F4148:F4151" si="198">$K$8*M4148</f>
        <v>0.25</v>
      </c>
      <c r="G4148" s="229">
        <f>G4122</f>
        <v>95000</v>
      </c>
      <c r="H4148" s="230">
        <f>+G4148*F4148</f>
        <v>23750</v>
      </c>
      <c r="M4148" s="228">
        <v>0.25</v>
      </c>
    </row>
    <row r="4149" spans="2:13" ht="18.75" customHeight="1" x14ac:dyDescent="0.25">
      <c r="B4149" s="550"/>
      <c r="C4149" s="227" t="s">
        <v>1508</v>
      </c>
      <c r="D4149" s="550" t="s">
        <v>632</v>
      </c>
      <c r="E4149" s="224" t="s">
        <v>631</v>
      </c>
      <c r="F4149" s="228">
        <f t="shared" si="198"/>
        <v>0.125</v>
      </c>
      <c r="G4149" s="229">
        <f>G4123</f>
        <v>110000</v>
      </c>
      <c r="H4149" s="230">
        <f>+G4149*F4149</f>
        <v>13750</v>
      </c>
      <c r="M4149" s="228">
        <v>0.125</v>
      </c>
    </row>
    <row r="4150" spans="2:13" ht="18.75" customHeight="1" x14ac:dyDescent="0.25">
      <c r="B4150" s="550"/>
      <c r="C4150" s="227" t="s">
        <v>633</v>
      </c>
      <c r="D4150" s="550" t="s">
        <v>634</v>
      </c>
      <c r="E4150" s="224" t="s">
        <v>631</v>
      </c>
      <c r="F4150" s="228">
        <f t="shared" si="198"/>
        <v>1.2999999999999999E-2</v>
      </c>
      <c r="G4150" s="229">
        <f>G4124</f>
        <v>115000</v>
      </c>
      <c r="H4150" s="230">
        <f>+G4150*F4150</f>
        <v>1495</v>
      </c>
      <c r="M4150" s="228">
        <v>1.2999999999999999E-2</v>
      </c>
    </row>
    <row r="4151" spans="2:13" ht="18.75" customHeight="1" x14ac:dyDescent="0.25">
      <c r="B4151" s="550"/>
      <c r="C4151" s="227" t="s">
        <v>600</v>
      </c>
      <c r="D4151" s="550" t="s">
        <v>635</v>
      </c>
      <c r="E4151" s="224" t="s">
        <v>631</v>
      </c>
      <c r="F4151" s="228">
        <f t="shared" si="198"/>
        <v>1.2999999999999999E-2</v>
      </c>
      <c r="G4151" s="229">
        <f>G4125</f>
        <v>140000</v>
      </c>
      <c r="H4151" s="230">
        <f>+G4151*F4151</f>
        <v>1820</v>
      </c>
      <c r="M4151" s="228">
        <v>1.2999999999999999E-2</v>
      </c>
    </row>
    <row r="4152" spans="2:13" ht="18.75" customHeight="1" x14ac:dyDescent="0.25">
      <c r="B4152" s="550"/>
      <c r="C4152" s="223"/>
      <c r="D4152" s="550"/>
      <c r="E4152" s="224"/>
      <c r="F4152" s="233" t="s">
        <v>636</v>
      </c>
      <c r="G4152" s="290"/>
      <c r="H4152" s="231">
        <f>SUM(H4148:H4151)</f>
        <v>40815</v>
      </c>
      <c r="M4152" s="233" t="s">
        <v>636</v>
      </c>
    </row>
    <row r="4153" spans="2:13" ht="18.75" customHeight="1" x14ac:dyDescent="0.25">
      <c r="B4153" s="550" t="s">
        <v>637</v>
      </c>
      <c r="C4153" s="223" t="s">
        <v>638</v>
      </c>
      <c r="D4153" s="550"/>
      <c r="E4153" s="224"/>
      <c r="F4153" s="225"/>
      <c r="G4153" s="290"/>
      <c r="H4153" s="226"/>
      <c r="M4153" s="225"/>
    </row>
    <row r="4154" spans="2:13" ht="18.75" customHeight="1" x14ac:dyDescent="0.25">
      <c r="B4154" s="550"/>
      <c r="C4154" s="223" t="s">
        <v>1012</v>
      </c>
      <c r="D4154" s="550"/>
      <c r="E4154" s="550" t="s">
        <v>16</v>
      </c>
      <c r="F4154" s="405">
        <v>11.87</v>
      </c>
      <c r="G4154" s="410">
        <f>Bahan!D297/(1/(0.3*0.3))</f>
        <v>8100</v>
      </c>
      <c r="H4154" s="230">
        <f>+G4154*F4154</f>
        <v>96147</v>
      </c>
      <c r="M4154" s="405">
        <v>11.87</v>
      </c>
    </row>
    <row r="4155" spans="2:13" ht="18.75" customHeight="1" x14ac:dyDescent="0.25">
      <c r="B4155" s="550"/>
      <c r="C4155" s="223" t="s">
        <v>708</v>
      </c>
      <c r="D4155" s="550"/>
      <c r="E4155" s="550" t="s">
        <v>5</v>
      </c>
      <c r="F4155" s="405">
        <v>10</v>
      </c>
      <c r="G4155" s="234">
        <f>G4130</f>
        <v>1700</v>
      </c>
      <c r="H4155" s="230">
        <f>+G4155*F4155</f>
        <v>17000</v>
      </c>
      <c r="M4155" s="405">
        <v>10</v>
      </c>
    </row>
    <row r="4156" spans="2:13" ht="18.75" customHeight="1" x14ac:dyDescent="0.25">
      <c r="B4156" s="550"/>
      <c r="C4156" s="223" t="s">
        <v>661</v>
      </c>
      <c r="D4156" s="550"/>
      <c r="E4156" s="224" t="s">
        <v>1013</v>
      </c>
      <c r="F4156" s="228">
        <v>7.5499999999999998E-2</v>
      </c>
      <c r="G4156" s="234">
        <f>G4131</f>
        <v>230000</v>
      </c>
      <c r="H4156" s="230">
        <f>+G4156*F4156</f>
        <v>17365</v>
      </c>
      <c r="M4156" s="228">
        <v>7.5499999999999998E-2</v>
      </c>
    </row>
    <row r="4157" spans="2:13" ht="18.75" customHeight="1" x14ac:dyDescent="0.25">
      <c r="B4157" s="550"/>
      <c r="C4157" s="223"/>
      <c r="D4157" s="550"/>
      <c r="E4157" s="224"/>
      <c r="F4157" s="237" t="s">
        <v>643</v>
      </c>
      <c r="G4157" s="290"/>
      <c r="H4157" s="231">
        <f>SUM(H4154:H4156)</f>
        <v>130512</v>
      </c>
      <c r="M4157" s="237" t="s">
        <v>643</v>
      </c>
    </row>
    <row r="4158" spans="2:13" ht="18.75" customHeight="1" x14ac:dyDescent="0.25">
      <c r="B4158" s="550"/>
      <c r="C4158" s="223"/>
      <c r="D4158" s="550"/>
      <c r="E4158" s="224"/>
      <c r="F4158" s="225"/>
      <c r="G4158" s="290"/>
      <c r="H4158" s="226"/>
      <c r="M4158" s="225"/>
    </row>
    <row r="4159" spans="2:13" ht="18.75" customHeight="1" x14ac:dyDescent="0.25">
      <c r="B4159" s="550" t="s">
        <v>644</v>
      </c>
      <c r="C4159" s="223" t="s">
        <v>645</v>
      </c>
      <c r="D4159" s="550"/>
      <c r="E4159" s="224"/>
      <c r="F4159" s="225"/>
      <c r="G4159" s="290"/>
      <c r="H4159" s="235"/>
      <c r="M4159" s="225"/>
    </row>
    <row r="4160" spans="2:13" ht="18.75" customHeight="1" x14ac:dyDescent="0.25">
      <c r="B4160" s="236"/>
      <c r="C4160" s="232"/>
      <c r="D4160" s="550"/>
      <c r="E4160" s="224"/>
      <c r="F4160" s="237" t="s">
        <v>646</v>
      </c>
      <c r="G4160" s="290"/>
      <c r="H4160" s="230"/>
      <c r="M4160" s="237" t="s">
        <v>646</v>
      </c>
    </row>
    <row r="4161" spans="2:13" ht="18.75" customHeight="1" x14ac:dyDescent="0.25">
      <c r="B4161" s="236"/>
      <c r="C4161" s="232"/>
      <c r="D4161" s="550"/>
      <c r="E4161" s="224"/>
      <c r="F4161" s="237"/>
      <c r="G4161" s="290"/>
      <c r="H4161" s="226"/>
      <c r="M4161" s="237"/>
    </row>
    <row r="4162" spans="2:13" ht="18.75" customHeight="1" x14ac:dyDescent="0.25">
      <c r="B4162" s="354"/>
      <c r="C4162" s="362"/>
      <c r="D4162" s="239"/>
      <c r="E4162" s="266"/>
      <c r="F4162" s="241"/>
      <c r="G4162" s="370"/>
      <c r="H4162" s="369"/>
      <c r="M4162" s="241"/>
    </row>
    <row r="4163" spans="2:13" ht="18.75" customHeight="1" x14ac:dyDescent="0.25">
      <c r="B4163" s="356" t="s">
        <v>647</v>
      </c>
      <c r="C4163" s="363" t="s">
        <v>648</v>
      </c>
      <c r="D4163" s="435"/>
      <c r="E4163" s="92"/>
      <c r="F4163" s="183"/>
      <c r="G4163" s="295"/>
      <c r="H4163" s="357">
        <f>+H4160+H4157+H4152</f>
        <v>171327</v>
      </c>
      <c r="M4163" s="183"/>
    </row>
    <row r="4164" spans="2:13" ht="18.75" customHeight="1" x14ac:dyDescent="0.25">
      <c r="B4164" s="356" t="s">
        <v>649</v>
      </c>
      <c r="C4164" s="364" t="s">
        <v>650</v>
      </c>
      <c r="D4164" s="435"/>
      <c r="E4164" s="92"/>
      <c r="F4164" s="184" t="str">
        <f>$J$5</f>
        <v>8,0 % x D</v>
      </c>
      <c r="G4164" s="295"/>
      <c r="H4164" s="358">
        <f>+H4163*$K$5</f>
        <v>13706.16</v>
      </c>
      <c r="M4164" s="184" t="str">
        <f>$J$5</f>
        <v>8,0 % x D</v>
      </c>
    </row>
    <row r="4165" spans="2:13" ht="18.75" customHeight="1" x14ac:dyDescent="0.25">
      <c r="B4165" s="356" t="s">
        <v>651</v>
      </c>
      <c r="C4165" s="365" t="s">
        <v>652</v>
      </c>
      <c r="D4165" s="435"/>
      <c r="E4165" s="91"/>
      <c r="F4165" s="185"/>
      <c r="G4165" s="296"/>
      <c r="H4165" s="359">
        <f>ROUNDUP((H4164+H4163)/100,0)*100</f>
        <v>185100</v>
      </c>
      <c r="M4165" s="185"/>
    </row>
    <row r="4166" spans="2:13" ht="18.75" customHeight="1" x14ac:dyDescent="0.25">
      <c r="B4166" s="360"/>
      <c r="C4166" s="366"/>
      <c r="D4166" s="245"/>
      <c r="E4166" s="246"/>
      <c r="F4166" s="247"/>
      <c r="G4166" s="299"/>
      <c r="H4166" s="361"/>
      <c r="M4166" s="247"/>
    </row>
    <row r="4167" spans="2:13" ht="18.75" customHeight="1" x14ac:dyDescent="0.25">
      <c r="B4167" s="22"/>
      <c r="C4167" s="104"/>
      <c r="E4167" s="21"/>
      <c r="F4167" s="176"/>
      <c r="G4167" s="165"/>
      <c r="H4167" s="119"/>
      <c r="M4167" s="176"/>
    </row>
    <row r="4168" spans="2:13" ht="18.75" customHeight="1" x14ac:dyDescent="0.25">
      <c r="B4168" s="19">
        <v>3</v>
      </c>
      <c r="C4168" s="93" t="s">
        <v>1015</v>
      </c>
      <c r="D4168" s="19"/>
      <c r="E4168" s="21"/>
      <c r="F4168" s="176"/>
      <c r="G4168" s="165"/>
      <c r="H4168" s="119"/>
      <c r="M4168" s="176"/>
    </row>
    <row r="4169" spans="2:13" ht="18.75" customHeight="1" x14ac:dyDescent="0.25">
      <c r="B4169" s="618" t="s">
        <v>620</v>
      </c>
      <c r="C4169" s="620" t="s">
        <v>621</v>
      </c>
      <c r="D4169" s="618" t="s">
        <v>622</v>
      </c>
      <c r="E4169" s="618" t="s">
        <v>2</v>
      </c>
      <c r="F4169" s="615" t="s">
        <v>623</v>
      </c>
      <c r="G4169" s="289" t="s">
        <v>624</v>
      </c>
      <c r="H4169" s="256" t="s">
        <v>625</v>
      </c>
      <c r="M4169" s="615" t="s">
        <v>623</v>
      </c>
    </row>
    <row r="4170" spans="2:13" ht="18.75" customHeight="1" x14ac:dyDescent="0.25">
      <c r="B4170" s="619"/>
      <c r="C4170" s="621"/>
      <c r="D4170" s="619"/>
      <c r="E4170" s="619"/>
      <c r="F4170" s="616"/>
      <c r="G4170" s="289" t="s">
        <v>626</v>
      </c>
      <c r="H4170" s="256" t="s">
        <v>626</v>
      </c>
      <c r="M4170" s="616"/>
    </row>
    <row r="4171" spans="2:13" ht="18.75" customHeight="1" x14ac:dyDescent="0.25">
      <c r="B4171" s="221"/>
      <c r="C4171" s="222"/>
      <c r="D4171" s="221"/>
      <c r="E4171" s="550"/>
      <c r="F4171" s="555"/>
      <c r="G4171" s="551"/>
      <c r="H4171" s="220"/>
      <c r="M4171" s="590"/>
    </row>
    <row r="4172" spans="2:13" ht="18.75" customHeight="1" x14ac:dyDescent="0.25">
      <c r="B4172" s="550" t="s">
        <v>627</v>
      </c>
      <c r="C4172" s="223" t="s">
        <v>628</v>
      </c>
      <c r="D4172" s="550"/>
      <c r="E4172" s="224"/>
      <c r="F4172" s="225"/>
      <c r="G4172" s="290"/>
      <c r="H4172" s="226"/>
      <c r="M4172" s="225"/>
    </row>
    <row r="4173" spans="2:13" ht="18.75" customHeight="1" x14ac:dyDescent="0.25">
      <c r="B4173" s="550"/>
      <c r="C4173" s="227" t="s">
        <v>629</v>
      </c>
      <c r="D4173" s="550" t="s">
        <v>630</v>
      </c>
      <c r="E4173" s="224" t="s">
        <v>631</v>
      </c>
      <c r="F4173" s="228">
        <f t="shared" ref="F4173:F4176" si="199">$K$8*M4173</f>
        <v>0.27</v>
      </c>
      <c r="G4173" s="229">
        <f>G4148</f>
        <v>95000</v>
      </c>
      <c r="H4173" s="230">
        <f>+G4173*F4173</f>
        <v>25650</v>
      </c>
      <c r="M4173" s="228">
        <v>0.27</v>
      </c>
    </row>
    <row r="4174" spans="2:13" ht="18.75" customHeight="1" x14ac:dyDescent="0.25">
      <c r="B4174" s="550"/>
      <c r="C4174" s="227" t="s">
        <v>1508</v>
      </c>
      <c r="D4174" s="550" t="s">
        <v>632</v>
      </c>
      <c r="E4174" s="224" t="s">
        <v>631</v>
      </c>
      <c r="F4174" s="228">
        <f t="shared" si="199"/>
        <v>0.13500000000000001</v>
      </c>
      <c r="G4174" s="229">
        <f>G4149</f>
        <v>110000</v>
      </c>
      <c r="H4174" s="230">
        <f>+G4174*F4174</f>
        <v>14850.000000000002</v>
      </c>
      <c r="M4174" s="228">
        <v>0.13500000000000001</v>
      </c>
    </row>
    <row r="4175" spans="2:13" ht="18.75" customHeight="1" x14ac:dyDescent="0.25">
      <c r="B4175" s="550"/>
      <c r="C4175" s="227" t="s">
        <v>633</v>
      </c>
      <c r="D4175" s="550" t="s">
        <v>634</v>
      </c>
      <c r="E4175" s="224" t="s">
        <v>631</v>
      </c>
      <c r="F4175" s="228">
        <f t="shared" si="199"/>
        <v>1.4E-2</v>
      </c>
      <c r="G4175" s="229">
        <f>G4150</f>
        <v>115000</v>
      </c>
      <c r="H4175" s="230">
        <f>+G4175*F4175</f>
        <v>1610</v>
      </c>
      <c r="M4175" s="228">
        <v>1.4E-2</v>
      </c>
    </row>
    <row r="4176" spans="2:13" ht="18.75" customHeight="1" x14ac:dyDescent="0.25">
      <c r="B4176" s="550"/>
      <c r="C4176" s="227" t="s">
        <v>600</v>
      </c>
      <c r="D4176" s="550" t="s">
        <v>635</v>
      </c>
      <c r="E4176" s="224" t="s">
        <v>631</v>
      </c>
      <c r="F4176" s="228">
        <f t="shared" si="199"/>
        <v>1.4E-2</v>
      </c>
      <c r="G4176" s="229">
        <f>G4151</f>
        <v>140000</v>
      </c>
      <c r="H4176" s="230">
        <f>+G4176*F4176</f>
        <v>1960</v>
      </c>
      <c r="M4176" s="228">
        <v>1.4E-2</v>
      </c>
    </row>
    <row r="4177" spans="2:13" ht="18.75" customHeight="1" x14ac:dyDescent="0.25">
      <c r="B4177" s="550"/>
      <c r="C4177" s="227"/>
      <c r="D4177" s="550"/>
      <c r="E4177" s="224"/>
      <c r="F4177" s="233" t="s">
        <v>636</v>
      </c>
      <c r="G4177" s="290"/>
      <c r="H4177" s="231">
        <f>SUM(H4173:H4176)</f>
        <v>44070</v>
      </c>
      <c r="M4177" s="233" t="s">
        <v>636</v>
      </c>
    </row>
    <row r="4178" spans="2:13" ht="18.75" customHeight="1" x14ac:dyDescent="0.25">
      <c r="B4178" s="550"/>
      <c r="C4178" s="227"/>
      <c r="D4178" s="550"/>
      <c r="E4178" s="224"/>
      <c r="F4178" s="228"/>
      <c r="G4178" s="275"/>
      <c r="H4178" s="230"/>
      <c r="M4178" s="228"/>
    </row>
    <row r="4179" spans="2:13" ht="18.75" customHeight="1" x14ac:dyDescent="0.25">
      <c r="B4179" s="550" t="s">
        <v>637</v>
      </c>
      <c r="C4179" s="556" t="s">
        <v>638</v>
      </c>
      <c r="D4179" s="550"/>
      <c r="E4179" s="224"/>
      <c r="F4179" s="225"/>
      <c r="G4179" s="290"/>
      <c r="H4179" s="226"/>
      <c r="M4179" s="225"/>
    </row>
    <row r="4180" spans="2:13" ht="18.75" customHeight="1" x14ac:dyDescent="0.25">
      <c r="B4180" s="550"/>
      <c r="C4180" s="223" t="s">
        <v>1012</v>
      </c>
      <c r="D4180" s="550"/>
      <c r="E4180" s="550" t="s">
        <v>16</v>
      </c>
      <c r="F4180" s="405">
        <v>26.5</v>
      </c>
      <c r="G4180" s="229">
        <f>Bahan!D297/(1/(0.25*0.25))</f>
        <v>5625</v>
      </c>
      <c r="H4180" s="230">
        <f>+G4180*F4180</f>
        <v>149062.5</v>
      </c>
      <c r="M4180" s="405">
        <v>26.5</v>
      </c>
    </row>
    <row r="4181" spans="2:13" ht="18.75" customHeight="1" x14ac:dyDescent="0.25">
      <c r="B4181" s="550"/>
      <c r="C4181" s="223" t="str">
        <f>C4156</f>
        <v>Pasir pasang</v>
      </c>
      <c r="D4181" s="550"/>
      <c r="E4181" s="550" t="str">
        <f>E4156</f>
        <v>M³</v>
      </c>
      <c r="F4181" s="405">
        <f>F4156</f>
        <v>7.5499999999999998E-2</v>
      </c>
      <c r="G4181" s="229">
        <f>G4156</f>
        <v>230000</v>
      </c>
      <c r="H4181" s="230">
        <f>+G4181*F4181</f>
        <v>17365</v>
      </c>
      <c r="M4181" s="405">
        <f>M4156</f>
        <v>7.5499999999999998E-2</v>
      </c>
    </row>
    <row r="4182" spans="2:13" ht="18.75" customHeight="1" x14ac:dyDescent="0.25">
      <c r="B4182" s="550"/>
      <c r="C4182" s="223" t="s">
        <v>708</v>
      </c>
      <c r="D4182" s="550"/>
      <c r="E4182" s="550" t="s">
        <v>5</v>
      </c>
      <c r="F4182" s="405">
        <v>10.4</v>
      </c>
      <c r="G4182" s="234">
        <f>G4155</f>
        <v>1700</v>
      </c>
      <c r="H4182" s="230">
        <f>+G4182*F4182</f>
        <v>17680</v>
      </c>
      <c r="M4182" s="405">
        <v>10.4</v>
      </c>
    </row>
    <row r="4183" spans="2:13" ht="18.75" customHeight="1" x14ac:dyDescent="0.25">
      <c r="B4183" s="550"/>
      <c r="C4183" s="223"/>
      <c r="D4183" s="630" t="s">
        <v>643</v>
      </c>
      <c r="E4183" s="630"/>
      <c r="F4183" s="630"/>
      <c r="G4183" s="623"/>
      <c r="H4183" s="231">
        <f>SUM(H4180:H4182)</f>
        <v>184107.5</v>
      </c>
      <c r="M4183" s="18"/>
    </row>
    <row r="4184" spans="2:13" ht="18.75" customHeight="1" x14ac:dyDescent="0.25">
      <c r="B4184" s="550"/>
      <c r="C4184" s="223"/>
      <c r="D4184" s="550"/>
      <c r="E4184" s="224"/>
      <c r="F4184" s="225"/>
      <c r="G4184" s="290"/>
      <c r="H4184" s="226"/>
      <c r="M4184" s="225"/>
    </row>
    <row r="4185" spans="2:13" ht="18.75" customHeight="1" x14ac:dyDescent="0.25">
      <c r="B4185" s="550" t="s">
        <v>644</v>
      </c>
      <c r="C4185" s="223" t="s">
        <v>645</v>
      </c>
      <c r="D4185" s="550"/>
      <c r="E4185" s="224"/>
      <c r="F4185" s="225"/>
      <c r="G4185" s="290"/>
      <c r="H4185" s="235"/>
      <c r="M4185" s="225"/>
    </row>
    <row r="4186" spans="2:13" ht="18.75" customHeight="1" x14ac:dyDescent="0.25">
      <c r="B4186" s="236"/>
      <c r="C4186" s="232"/>
      <c r="D4186" s="550"/>
      <c r="E4186" s="224"/>
      <c r="F4186" s="237" t="s">
        <v>646</v>
      </c>
      <c r="G4186" s="290"/>
      <c r="H4186" s="230"/>
      <c r="M4186" s="237" t="s">
        <v>646</v>
      </c>
    </row>
    <row r="4187" spans="2:13" ht="18.75" customHeight="1" x14ac:dyDescent="0.25">
      <c r="B4187" s="236"/>
      <c r="C4187" s="232"/>
      <c r="D4187" s="550"/>
      <c r="E4187" s="224"/>
      <c r="F4187" s="237"/>
      <c r="G4187" s="290"/>
      <c r="H4187" s="226"/>
      <c r="M4187" s="237"/>
    </row>
    <row r="4188" spans="2:13" ht="18.75" customHeight="1" x14ac:dyDescent="0.25">
      <c r="B4188" s="354"/>
      <c r="C4188" s="362"/>
      <c r="D4188" s="239"/>
      <c r="E4188" s="266"/>
      <c r="F4188" s="241"/>
      <c r="G4188" s="370"/>
      <c r="H4188" s="369"/>
      <c r="M4188" s="241"/>
    </row>
    <row r="4189" spans="2:13" ht="18.75" customHeight="1" x14ac:dyDescent="0.25">
      <c r="B4189" s="356" t="s">
        <v>647</v>
      </c>
      <c r="C4189" s="363" t="s">
        <v>648</v>
      </c>
      <c r="D4189" s="435"/>
      <c r="E4189" s="92"/>
      <c r="F4189" s="183"/>
      <c r="G4189" s="295"/>
      <c r="H4189" s="357">
        <f>H4177+H4183+H4186</f>
        <v>228177.5</v>
      </c>
      <c r="M4189" s="183"/>
    </row>
    <row r="4190" spans="2:13" ht="18.75" customHeight="1" x14ac:dyDescent="0.25">
      <c r="B4190" s="356" t="s">
        <v>649</v>
      </c>
      <c r="C4190" s="364" t="s">
        <v>650</v>
      </c>
      <c r="D4190" s="435"/>
      <c r="E4190" s="92"/>
      <c r="F4190" s="184" t="str">
        <f>$J$5</f>
        <v>8,0 % x D</v>
      </c>
      <c r="G4190" s="295"/>
      <c r="H4190" s="358">
        <f>+H4189*$K$5</f>
        <v>18254.2</v>
      </c>
      <c r="M4190" s="184" t="str">
        <f>$J$5</f>
        <v>8,0 % x D</v>
      </c>
    </row>
    <row r="4191" spans="2:13" ht="18.75" customHeight="1" x14ac:dyDescent="0.25">
      <c r="B4191" s="356" t="s">
        <v>651</v>
      </c>
      <c r="C4191" s="365" t="s">
        <v>652</v>
      </c>
      <c r="D4191" s="435"/>
      <c r="E4191" s="91"/>
      <c r="F4191" s="185"/>
      <c r="G4191" s="296"/>
      <c r="H4191" s="359">
        <f>ROUNDUP((H4190+H4189)/100,0)*100</f>
        <v>246500</v>
      </c>
      <c r="M4191" s="185"/>
    </row>
    <row r="4192" spans="2:13" ht="18.75" customHeight="1" x14ac:dyDescent="0.25">
      <c r="B4192" s="360"/>
      <c r="C4192" s="366"/>
      <c r="D4192" s="245"/>
      <c r="E4192" s="246"/>
      <c r="F4192" s="247"/>
      <c r="G4192" s="299"/>
      <c r="H4192" s="361"/>
      <c r="M4192" s="247"/>
    </row>
    <row r="4193" spans="2:13" ht="18.75" customHeight="1" x14ac:dyDescent="0.25">
      <c r="B4193" s="92"/>
      <c r="C4193" s="104"/>
      <c r="D4193" s="435"/>
      <c r="E4193" s="91"/>
      <c r="F4193" s="185"/>
      <c r="G4193" s="168"/>
      <c r="H4193" s="139"/>
      <c r="M4193" s="185"/>
    </row>
    <row r="4194" spans="2:13" ht="18.75" customHeight="1" x14ac:dyDescent="0.25">
      <c r="B4194" s="19">
        <v>4</v>
      </c>
      <c r="C4194" s="93" t="s">
        <v>1016</v>
      </c>
      <c r="D4194" s="19"/>
      <c r="E4194" s="21"/>
      <c r="F4194" s="176"/>
      <c r="G4194" s="165"/>
      <c r="H4194" s="119"/>
      <c r="M4194" s="176"/>
    </row>
    <row r="4195" spans="2:13" ht="18.75" customHeight="1" x14ac:dyDescent="0.25">
      <c r="B4195" s="618" t="s">
        <v>620</v>
      </c>
      <c r="C4195" s="620" t="s">
        <v>621</v>
      </c>
      <c r="D4195" s="618" t="s">
        <v>622</v>
      </c>
      <c r="E4195" s="618" t="s">
        <v>2</v>
      </c>
      <c r="F4195" s="615" t="s">
        <v>623</v>
      </c>
      <c r="G4195" s="289" t="s">
        <v>624</v>
      </c>
      <c r="H4195" s="256" t="s">
        <v>625</v>
      </c>
      <c r="M4195" s="615" t="s">
        <v>623</v>
      </c>
    </row>
    <row r="4196" spans="2:13" ht="18.75" customHeight="1" x14ac:dyDescent="0.25">
      <c r="B4196" s="619"/>
      <c r="C4196" s="621"/>
      <c r="D4196" s="619"/>
      <c r="E4196" s="619"/>
      <c r="F4196" s="616"/>
      <c r="G4196" s="289" t="s">
        <v>626</v>
      </c>
      <c r="H4196" s="256" t="s">
        <v>626</v>
      </c>
      <c r="M4196" s="616"/>
    </row>
    <row r="4197" spans="2:13" ht="18.75" customHeight="1" x14ac:dyDescent="0.25">
      <c r="B4197" s="221"/>
      <c r="C4197" s="222"/>
      <c r="D4197" s="221"/>
      <c r="E4197" s="550"/>
      <c r="F4197" s="555"/>
      <c r="G4197" s="551"/>
      <c r="H4197" s="220"/>
      <c r="M4197" s="590"/>
    </row>
    <row r="4198" spans="2:13" ht="18.75" customHeight="1" x14ac:dyDescent="0.25">
      <c r="B4198" s="550" t="s">
        <v>627</v>
      </c>
      <c r="C4198" s="223" t="s">
        <v>628</v>
      </c>
      <c r="D4198" s="550"/>
      <c r="E4198" s="224"/>
      <c r="F4198" s="225"/>
      <c r="G4198" s="290"/>
      <c r="H4198" s="226"/>
      <c r="M4198" s="225"/>
    </row>
    <row r="4199" spans="2:13" ht="18.75" customHeight="1" x14ac:dyDescent="0.25">
      <c r="B4199" s="550"/>
      <c r="C4199" s="227" t="s">
        <v>629</v>
      </c>
      <c r="D4199" s="550" t="s">
        <v>630</v>
      </c>
      <c r="E4199" s="224" t="s">
        <v>631</v>
      </c>
      <c r="F4199" s="228">
        <f t="shared" ref="F4199:F4202" si="200">$K$8*M4199</f>
        <v>0.25</v>
      </c>
      <c r="G4199" s="229">
        <f>G4173</f>
        <v>95000</v>
      </c>
      <c r="H4199" s="230">
        <f>+G4199*F4199</f>
        <v>23750</v>
      </c>
      <c r="M4199" s="228">
        <v>0.25</v>
      </c>
    </row>
    <row r="4200" spans="2:13" ht="18.75" customHeight="1" x14ac:dyDescent="0.25">
      <c r="B4200" s="550"/>
      <c r="C4200" s="227" t="s">
        <v>1508</v>
      </c>
      <c r="D4200" s="550" t="s">
        <v>632</v>
      </c>
      <c r="E4200" s="224" t="s">
        <v>631</v>
      </c>
      <c r="F4200" s="228">
        <f t="shared" si="200"/>
        <v>0.125</v>
      </c>
      <c r="G4200" s="229">
        <f>G4174</f>
        <v>110000</v>
      </c>
      <c r="H4200" s="230">
        <f>+G4200*F4200</f>
        <v>13750</v>
      </c>
      <c r="M4200" s="228">
        <v>0.125</v>
      </c>
    </row>
    <row r="4201" spans="2:13" ht="18.75" customHeight="1" x14ac:dyDescent="0.25">
      <c r="B4201" s="550"/>
      <c r="C4201" s="227" t="s">
        <v>633</v>
      </c>
      <c r="D4201" s="550" t="s">
        <v>634</v>
      </c>
      <c r="E4201" s="224" t="s">
        <v>631</v>
      </c>
      <c r="F4201" s="228">
        <f t="shared" si="200"/>
        <v>1.2999999999999999E-2</v>
      </c>
      <c r="G4201" s="229">
        <f>G4175</f>
        <v>115000</v>
      </c>
      <c r="H4201" s="230">
        <f>+G4201*F4201</f>
        <v>1495</v>
      </c>
      <c r="M4201" s="228">
        <v>1.2999999999999999E-2</v>
      </c>
    </row>
    <row r="4202" spans="2:13" ht="18.75" customHeight="1" x14ac:dyDescent="0.25">
      <c r="B4202" s="550"/>
      <c r="C4202" s="227" t="s">
        <v>600</v>
      </c>
      <c r="D4202" s="550" t="s">
        <v>635</v>
      </c>
      <c r="E4202" s="224" t="s">
        <v>631</v>
      </c>
      <c r="F4202" s="228">
        <f t="shared" si="200"/>
        <v>1.2999999999999999E-2</v>
      </c>
      <c r="G4202" s="229">
        <f>G4176</f>
        <v>140000</v>
      </c>
      <c r="H4202" s="230">
        <f>+G4202*F4202</f>
        <v>1820</v>
      </c>
      <c r="M4202" s="228">
        <v>1.2999999999999999E-2</v>
      </c>
    </row>
    <row r="4203" spans="2:13" ht="18.75" customHeight="1" x14ac:dyDescent="0.25">
      <c r="B4203" s="550"/>
      <c r="C4203" s="223"/>
      <c r="D4203" s="550"/>
      <c r="E4203" s="224"/>
      <c r="F4203" s="233" t="s">
        <v>636</v>
      </c>
      <c r="G4203" s="290"/>
      <c r="H4203" s="231">
        <f>SUM(H4199:H4202)</f>
        <v>40815</v>
      </c>
      <c r="M4203" s="233" t="s">
        <v>636</v>
      </c>
    </row>
    <row r="4204" spans="2:13" ht="18.75" customHeight="1" x14ac:dyDescent="0.25">
      <c r="B4204" s="550" t="s">
        <v>637</v>
      </c>
      <c r="C4204" s="223" t="s">
        <v>638</v>
      </c>
      <c r="D4204" s="550"/>
      <c r="E4204" s="224"/>
      <c r="F4204" s="225"/>
      <c r="G4204" s="290"/>
      <c r="H4204" s="226"/>
      <c r="M4204" s="225"/>
    </row>
    <row r="4205" spans="2:13" ht="18.75" customHeight="1" x14ac:dyDescent="0.25">
      <c r="B4205" s="550"/>
      <c r="C4205" s="223" t="s">
        <v>1017</v>
      </c>
      <c r="D4205" s="550"/>
      <c r="E4205" s="550" t="s">
        <v>16</v>
      </c>
      <c r="F4205" s="405">
        <v>6.63</v>
      </c>
      <c r="G4205" s="410">
        <f>Bahan!D298/(1/(0.4*0.4))</f>
        <v>14240.000000000002</v>
      </c>
      <c r="H4205" s="230">
        <f>+G4205*F4205</f>
        <v>94411.200000000012</v>
      </c>
      <c r="M4205" s="405">
        <v>6.63</v>
      </c>
    </row>
    <row r="4206" spans="2:13" ht="18.75" customHeight="1" x14ac:dyDescent="0.25">
      <c r="B4206" s="550"/>
      <c r="C4206" s="223" t="s">
        <v>708</v>
      </c>
      <c r="D4206" s="550"/>
      <c r="E4206" s="550" t="s">
        <v>5</v>
      </c>
      <c r="F4206" s="405">
        <v>9.8000000000000007</v>
      </c>
      <c r="G4206" s="234">
        <f>G4182</f>
        <v>1700</v>
      </c>
      <c r="H4206" s="230">
        <f>+G4206*F4206</f>
        <v>16660</v>
      </c>
      <c r="M4206" s="405">
        <v>9.8000000000000007</v>
      </c>
    </row>
    <row r="4207" spans="2:13" ht="18.75" customHeight="1" x14ac:dyDescent="0.25">
      <c r="B4207" s="550"/>
      <c r="C4207" s="223" t="s">
        <v>1018</v>
      </c>
      <c r="D4207" s="550"/>
      <c r="E4207" s="550" t="s">
        <v>5</v>
      </c>
      <c r="F4207" s="405">
        <v>1.3</v>
      </c>
      <c r="G4207" s="410">
        <f>Bahan!D581</f>
        <v>14500</v>
      </c>
      <c r="H4207" s="230">
        <f>+G4207*F4207</f>
        <v>18850</v>
      </c>
      <c r="M4207" s="405">
        <v>1.3</v>
      </c>
    </row>
    <row r="4208" spans="2:13" ht="18.75" customHeight="1" x14ac:dyDescent="0.25">
      <c r="B4208" s="550"/>
      <c r="C4208" s="223" t="s">
        <v>661</v>
      </c>
      <c r="D4208" s="550"/>
      <c r="E4208" s="224" t="s">
        <v>1013</v>
      </c>
      <c r="F4208" s="228">
        <v>7.5499999999999998E-2</v>
      </c>
      <c r="G4208" s="234">
        <f>G4181</f>
        <v>230000</v>
      </c>
      <c r="H4208" s="230">
        <f>+G4208*F4208</f>
        <v>17365</v>
      </c>
      <c r="M4208" s="228">
        <v>7.5499999999999998E-2</v>
      </c>
    </row>
    <row r="4209" spans="2:13" ht="18.75" customHeight="1" x14ac:dyDescent="0.25">
      <c r="B4209" s="550"/>
      <c r="C4209" s="223"/>
      <c r="D4209" s="550"/>
      <c r="E4209" s="224"/>
      <c r="F4209" s="237" t="s">
        <v>643</v>
      </c>
      <c r="G4209" s="290"/>
      <c r="H4209" s="231">
        <f>SUM(H4205:H4208)</f>
        <v>147286.20000000001</v>
      </c>
      <c r="M4209" s="237" t="s">
        <v>643</v>
      </c>
    </row>
    <row r="4210" spans="2:13" ht="18.75" customHeight="1" x14ac:dyDescent="0.25">
      <c r="B4210" s="550"/>
      <c r="C4210" s="223"/>
      <c r="D4210" s="550"/>
      <c r="E4210" s="224"/>
      <c r="F4210" s="225"/>
      <c r="G4210" s="290"/>
      <c r="H4210" s="226"/>
      <c r="M4210" s="225"/>
    </row>
    <row r="4211" spans="2:13" ht="18.75" customHeight="1" x14ac:dyDescent="0.25">
      <c r="B4211" s="550" t="s">
        <v>644</v>
      </c>
      <c r="C4211" s="223" t="s">
        <v>645</v>
      </c>
      <c r="D4211" s="550"/>
      <c r="E4211" s="224"/>
      <c r="F4211" s="225"/>
      <c r="G4211" s="290"/>
      <c r="H4211" s="235"/>
      <c r="M4211" s="225"/>
    </row>
    <row r="4212" spans="2:13" ht="18.75" customHeight="1" x14ac:dyDescent="0.25">
      <c r="B4212" s="236"/>
      <c r="C4212" s="232"/>
      <c r="D4212" s="550"/>
      <c r="E4212" s="224"/>
      <c r="F4212" s="237" t="s">
        <v>646</v>
      </c>
      <c r="G4212" s="290"/>
      <c r="H4212" s="230"/>
      <c r="M4212" s="237" t="s">
        <v>646</v>
      </c>
    </row>
    <row r="4213" spans="2:13" ht="18.75" customHeight="1" x14ac:dyDescent="0.25">
      <c r="B4213" s="236"/>
      <c r="C4213" s="232"/>
      <c r="D4213" s="550"/>
      <c r="E4213" s="224"/>
      <c r="F4213" s="237"/>
      <c r="G4213" s="290"/>
      <c r="H4213" s="226"/>
      <c r="M4213" s="237"/>
    </row>
    <row r="4214" spans="2:13" ht="18.75" customHeight="1" x14ac:dyDescent="0.25">
      <c r="B4214" s="354"/>
      <c r="C4214" s="362"/>
      <c r="D4214" s="239"/>
      <c r="E4214" s="266"/>
      <c r="F4214" s="241"/>
      <c r="G4214" s="370"/>
      <c r="H4214" s="369"/>
      <c r="M4214" s="241"/>
    </row>
    <row r="4215" spans="2:13" ht="18.75" customHeight="1" x14ac:dyDescent="0.25">
      <c r="B4215" s="356" t="s">
        <v>647</v>
      </c>
      <c r="C4215" s="363" t="s">
        <v>648</v>
      </c>
      <c r="D4215" s="435"/>
      <c r="E4215" s="92"/>
      <c r="F4215" s="183"/>
      <c r="G4215" s="295"/>
      <c r="H4215" s="357">
        <f>+H4212+H4209+H4203</f>
        <v>188101.2</v>
      </c>
      <c r="M4215" s="183"/>
    </row>
    <row r="4216" spans="2:13" ht="18.75" customHeight="1" x14ac:dyDescent="0.25">
      <c r="B4216" s="356" t="s">
        <v>649</v>
      </c>
      <c r="C4216" s="364" t="s">
        <v>650</v>
      </c>
      <c r="D4216" s="435"/>
      <c r="E4216" s="92"/>
      <c r="F4216" s="184" t="str">
        <f>$J$5</f>
        <v>8,0 % x D</v>
      </c>
      <c r="G4216" s="295"/>
      <c r="H4216" s="358">
        <f>+H4215*$K$5</f>
        <v>15048.096000000001</v>
      </c>
      <c r="M4216" s="184" t="str">
        <f>$J$5</f>
        <v>8,0 % x D</v>
      </c>
    </row>
    <row r="4217" spans="2:13" ht="18.75" customHeight="1" x14ac:dyDescent="0.25">
      <c r="B4217" s="356" t="s">
        <v>651</v>
      </c>
      <c r="C4217" s="365" t="s">
        <v>652</v>
      </c>
      <c r="D4217" s="435"/>
      <c r="E4217" s="91"/>
      <c r="F4217" s="185"/>
      <c r="G4217" s="296"/>
      <c r="H4217" s="359">
        <f>ROUNDUP((H4216+H4215)/100,0)*100</f>
        <v>203200</v>
      </c>
      <c r="M4217" s="185"/>
    </row>
    <row r="4218" spans="2:13" ht="18.75" customHeight="1" x14ac:dyDescent="0.25">
      <c r="B4218" s="360"/>
      <c r="C4218" s="366"/>
      <c r="D4218" s="245"/>
      <c r="E4218" s="246"/>
      <c r="F4218" s="247"/>
      <c r="G4218" s="299"/>
      <c r="H4218" s="361"/>
      <c r="M4218" s="247"/>
    </row>
    <row r="4219" spans="2:13" ht="18.75" customHeight="1" x14ac:dyDescent="0.25">
      <c r="B4219" s="22"/>
      <c r="C4219" s="104"/>
      <c r="E4219" s="21"/>
      <c r="F4219" s="176"/>
      <c r="G4219" s="165"/>
      <c r="H4219" s="119"/>
      <c r="M4219" s="176"/>
    </row>
    <row r="4220" spans="2:13" ht="18.75" customHeight="1" x14ac:dyDescent="0.25">
      <c r="B4220" s="19">
        <v>5</v>
      </c>
      <c r="C4220" s="93" t="s">
        <v>1019</v>
      </c>
      <c r="D4220" s="19"/>
      <c r="E4220" s="21"/>
      <c r="F4220" s="176"/>
      <c r="G4220" s="165"/>
      <c r="H4220" s="119"/>
      <c r="M4220" s="176"/>
    </row>
    <row r="4221" spans="2:13" ht="18.75" customHeight="1" x14ac:dyDescent="0.25">
      <c r="B4221" s="618" t="s">
        <v>620</v>
      </c>
      <c r="C4221" s="620" t="s">
        <v>621</v>
      </c>
      <c r="D4221" s="618" t="s">
        <v>622</v>
      </c>
      <c r="E4221" s="618" t="s">
        <v>2</v>
      </c>
      <c r="F4221" s="615" t="s">
        <v>623</v>
      </c>
      <c r="G4221" s="289" t="s">
        <v>624</v>
      </c>
      <c r="H4221" s="256" t="s">
        <v>625</v>
      </c>
      <c r="M4221" s="615" t="s">
        <v>623</v>
      </c>
    </row>
    <row r="4222" spans="2:13" ht="18.75" customHeight="1" x14ac:dyDescent="0.25">
      <c r="B4222" s="619"/>
      <c r="C4222" s="621"/>
      <c r="D4222" s="619"/>
      <c r="E4222" s="619"/>
      <c r="F4222" s="616"/>
      <c r="G4222" s="289" t="s">
        <v>626</v>
      </c>
      <c r="H4222" s="256" t="s">
        <v>626</v>
      </c>
      <c r="M4222" s="616"/>
    </row>
    <row r="4223" spans="2:13" ht="18.75" customHeight="1" x14ac:dyDescent="0.25">
      <c r="B4223" s="221"/>
      <c r="C4223" s="222"/>
      <c r="D4223" s="221"/>
      <c r="E4223" s="550"/>
      <c r="F4223" s="555"/>
      <c r="G4223" s="551"/>
      <c r="H4223" s="220"/>
      <c r="M4223" s="590"/>
    </row>
    <row r="4224" spans="2:13" ht="18.75" customHeight="1" x14ac:dyDescent="0.25">
      <c r="B4224" s="550" t="s">
        <v>627</v>
      </c>
      <c r="C4224" s="223" t="s">
        <v>628</v>
      </c>
      <c r="D4224" s="550"/>
      <c r="E4224" s="224"/>
      <c r="F4224" s="225"/>
      <c r="G4224" s="290"/>
      <c r="H4224" s="226"/>
      <c r="M4224" s="225"/>
    </row>
    <row r="4225" spans="2:13" ht="18.75" customHeight="1" x14ac:dyDescent="0.25">
      <c r="B4225" s="550"/>
      <c r="C4225" s="227" t="s">
        <v>629</v>
      </c>
      <c r="D4225" s="550" t="s">
        <v>630</v>
      </c>
      <c r="E4225" s="224" t="s">
        <v>631</v>
      </c>
      <c r="F4225" s="228">
        <f t="shared" ref="F4225:F4228" si="201">$K$8*M4225</f>
        <v>0.26</v>
      </c>
      <c r="G4225" s="229">
        <f>G4199</f>
        <v>95000</v>
      </c>
      <c r="H4225" s="230">
        <f>+G4225*F4225</f>
        <v>24700</v>
      </c>
      <c r="M4225" s="228">
        <v>0.26</v>
      </c>
    </row>
    <row r="4226" spans="2:13" ht="18.75" customHeight="1" x14ac:dyDescent="0.25">
      <c r="B4226" s="550"/>
      <c r="C4226" s="227" t="s">
        <v>1508</v>
      </c>
      <c r="D4226" s="550" t="s">
        <v>632</v>
      </c>
      <c r="E4226" s="224" t="s">
        <v>631</v>
      </c>
      <c r="F4226" s="228">
        <f t="shared" si="201"/>
        <v>0.13</v>
      </c>
      <c r="G4226" s="229">
        <f>G4200</f>
        <v>110000</v>
      </c>
      <c r="H4226" s="230">
        <f>+G4226*F4226</f>
        <v>14300</v>
      </c>
      <c r="M4226" s="228">
        <v>0.13</v>
      </c>
    </row>
    <row r="4227" spans="2:13" ht="18.75" customHeight="1" x14ac:dyDescent="0.25">
      <c r="B4227" s="550"/>
      <c r="C4227" s="227" t="s">
        <v>633</v>
      </c>
      <c r="D4227" s="550" t="s">
        <v>634</v>
      </c>
      <c r="E4227" s="224" t="s">
        <v>631</v>
      </c>
      <c r="F4227" s="228">
        <f t="shared" si="201"/>
        <v>1.2999999999999999E-2</v>
      </c>
      <c r="G4227" s="229">
        <f>G4201</f>
        <v>115000</v>
      </c>
      <c r="H4227" s="230">
        <f>+G4227*F4227</f>
        <v>1495</v>
      </c>
      <c r="M4227" s="228">
        <v>1.2999999999999999E-2</v>
      </c>
    </row>
    <row r="4228" spans="2:13" ht="18.75" customHeight="1" x14ac:dyDescent="0.25">
      <c r="B4228" s="550"/>
      <c r="C4228" s="227" t="s">
        <v>600</v>
      </c>
      <c r="D4228" s="550" t="s">
        <v>635</v>
      </c>
      <c r="E4228" s="224" t="s">
        <v>631</v>
      </c>
      <c r="F4228" s="228">
        <f t="shared" si="201"/>
        <v>1.2999999999999999E-2</v>
      </c>
      <c r="G4228" s="229">
        <f>G4202</f>
        <v>140000</v>
      </c>
      <c r="H4228" s="230">
        <f>+G4228*F4228</f>
        <v>1820</v>
      </c>
      <c r="M4228" s="228">
        <v>1.2999999999999999E-2</v>
      </c>
    </row>
    <row r="4229" spans="2:13" ht="18.75" customHeight="1" x14ac:dyDescent="0.25">
      <c r="B4229" s="550"/>
      <c r="C4229" s="223"/>
      <c r="D4229" s="550"/>
      <c r="E4229" s="224"/>
      <c r="F4229" s="233" t="s">
        <v>636</v>
      </c>
      <c r="G4229" s="290"/>
      <c r="H4229" s="231">
        <f>SUM(H4225:H4228)</f>
        <v>42315</v>
      </c>
      <c r="M4229" s="233" t="s">
        <v>636</v>
      </c>
    </row>
    <row r="4230" spans="2:13" ht="18.75" customHeight="1" x14ac:dyDescent="0.25">
      <c r="B4230" s="550"/>
      <c r="C4230" s="223"/>
      <c r="D4230" s="550"/>
      <c r="E4230" s="224"/>
      <c r="F4230" s="233"/>
      <c r="G4230" s="290"/>
      <c r="H4230" s="231"/>
      <c r="M4230" s="233"/>
    </row>
    <row r="4231" spans="2:13" ht="18.75" customHeight="1" x14ac:dyDescent="0.25">
      <c r="B4231" s="550" t="s">
        <v>637</v>
      </c>
      <c r="C4231" s="223" t="s">
        <v>638</v>
      </c>
      <c r="D4231" s="550"/>
      <c r="E4231" s="224"/>
      <c r="F4231" s="225"/>
      <c r="G4231" s="290"/>
      <c r="H4231" s="226"/>
      <c r="M4231" s="225"/>
    </row>
    <row r="4232" spans="2:13" ht="18.75" customHeight="1" x14ac:dyDescent="0.25">
      <c r="B4232" s="550"/>
      <c r="C4232" s="223" t="s">
        <v>1017</v>
      </c>
      <c r="D4232" s="550"/>
      <c r="E4232" s="550" t="s">
        <v>16</v>
      </c>
      <c r="F4232" s="405">
        <v>11.87</v>
      </c>
      <c r="G4232" s="410">
        <f>Bahan!D298/(1/0.3^2)</f>
        <v>8010</v>
      </c>
      <c r="H4232" s="230">
        <f>+G4232*F4232</f>
        <v>95078.7</v>
      </c>
      <c r="M4232" s="405">
        <v>11.87</v>
      </c>
    </row>
    <row r="4233" spans="2:13" ht="18.75" customHeight="1" x14ac:dyDescent="0.25">
      <c r="B4233" s="550"/>
      <c r="C4233" s="223" t="s">
        <v>708</v>
      </c>
      <c r="D4233" s="550"/>
      <c r="E4233" s="550" t="s">
        <v>5</v>
      </c>
      <c r="F4233" s="405">
        <v>10</v>
      </c>
      <c r="G4233" s="234">
        <f>G4206</f>
        <v>1700</v>
      </c>
      <c r="H4233" s="230">
        <f>+G4233*F4233</f>
        <v>17000</v>
      </c>
      <c r="M4233" s="405">
        <v>10</v>
      </c>
    </row>
    <row r="4234" spans="2:13" ht="18.75" customHeight="1" x14ac:dyDescent="0.25">
      <c r="B4234" s="550"/>
      <c r="C4234" s="223" t="s">
        <v>1018</v>
      </c>
      <c r="D4234" s="550"/>
      <c r="E4234" s="550" t="s">
        <v>5</v>
      </c>
      <c r="F4234" s="405">
        <v>1.5</v>
      </c>
      <c r="G4234" s="410">
        <f>G4207</f>
        <v>14500</v>
      </c>
      <c r="H4234" s="230">
        <f>+G4234*F4234</f>
        <v>21750</v>
      </c>
      <c r="M4234" s="405">
        <v>1.5</v>
      </c>
    </row>
    <row r="4235" spans="2:13" ht="18.75" customHeight="1" x14ac:dyDescent="0.25">
      <c r="B4235" s="550"/>
      <c r="C4235" s="223" t="s">
        <v>661</v>
      </c>
      <c r="D4235" s="550"/>
      <c r="E4235" s="224" t="s">
        <v>1013</v>
      </c>
      <c r="F4235" s="228">
        <v>7.5499999999999998E-2</v>
      </c>
      <c r="G4235" s="234">
        <f>G4208</f>
        <v>230000</v>
      </c>
      <c r="H4235" s="230">
        <f>+G4235*F4235</f>
        <v>17365</v>
      </c>
      <c r="M4235" s="228">
        <v>7.5499999999999998E-2</v>
      </c>
    </row>
    <row r="4236" spans="2:13" ht="18.75" customHeight="1" x14ac:dyDescent="0.25">
      <c r="B4236" s="550"/>
      <c r="C4236" s="223"/>
      <c r="D4236" s="550"/>
      <c r="E4236" s="224"/>
      <c r="F4236" s="237" t="s">
        <v>643</v>
      </c>
      <c r="G4236" s="290"/>
      <c r="H4236" s="231">
        <f>SUM(H4232:H4235)</f>
        <v>151193.70000000001</v>
      </c>
      <c r="M4236" s="237" t="s">
        <v>643</v>
      </c>
    </row>
    <row r="4237" spans="2:13" ht="18.75" customHeight="1" x14ac:dyDescent="0.25">
      <c r="B4237" s="550"/>
      <c r="C4237" s="223"/>
      <c r="D4237" s="550"/>
      <c r="E4237" s="224"/>
      <c r="F4237" s="225"/>
      <c r="G4237" s="290"/>
      <c r="H4237" s="226"/>
      <c r="M4237" s="225"/>
    </row>
    <row r="4238" spans="2:13" ht="18.75" customHeight="1" x14ac:dyDescent="0.25">
      <c r="B4238" s="550" t="s">
        <v>644</v>
      </c>
      <c r="C4238" s="223" t="s">
        <v>645</v>
      </c>
      <c r="D4238" s="550"/>
      <c r="E4238" s="224"/>
      <c r="F4238" s="225"/>
      <c r="G4238" s="290"/>
      <c r="H4238" s="235"/>
      <c r="M4238" s="225"/>
    </row>
    <row r="4239" spans="2:13" ht="18.75" customHeight="1" x14ac:dyDescent="0.25">
      <c r="B4239" s="236"/>
      <c r="C4239" s="232"/>
      <c r="D4239" s="550"/>
      <c r="E4239" s="224"/>
      <c r="F4239" s="237" t="s">
        <v>646</v>
      </c>
      <c r="G4239" s="290"/>
      <c r="H4239" s="230"/>
      <c r="M4239" s="237" t="s">
        <v>646</v>
      </c>
    </row>
    <row r="4240" spans="2:13" ht="18.75" customHeight="1" x14ac:dyDescent="0.25">
      <c r="B4240" s="236"/>
      <c r="C4240" s="232"/>
      <c r="D4240" s="550"/>
      <c r="E4240" s="224"/>
      <c r="F4240" s="237"/>
      <c r="G4240" s="290"/>
      <c r="H4240" s="230"/>
      <c r="M4240" s="237"/>
    </row>
    <row r="4241" spans="2:13" ht="18.75" customHeight="1" x14ac:dyDescent="0.25">
      <c r="B4241" s="354"/>
      <c r="C4241" s="362"/>
      <c r="D4241" s="239"/>
      <c r="E4241" s="266"/>
      <c r="F4241" s="241"/>
      <c r="G4241" s="370"/>
      <c r="H4241" s="369"/>
      <c r="M4241" s="241"/>
    </row>
    <row r="4242" spans="2:13" ht="18.75" customHeight="1" x14ac:dyDescent="0.25">
      <c r="B4242" s="356" t="s">
        <v>647</v>
      </c>
      <c r="C4242" s="363" t="s">
        <v>648</v>
      </c>
      <c r="D4242" s="435"/>
      <c r="E4242" s="92"/>
      <c r="F4242" s="183"/>
      <c r="G4242" s="295"/>
      <c r="H4242" s="357">
        <f>+H4239+H4236+H4229</f>
        <v>193508.7</v>
      </c>
      <c r="M4242" s="183"/>
    </row>
    <row r="4243" spans="2:13" ht="18.75" customHeight="1" x14ac:dyDescent="0.25">
      <c r="B4243" s="356" t="s">
        <v>649</v>
      </c>
      <c r="C4243" s="364" t="s">
        <v>650</v>
      </c>
      <c r="D4243" s="435"/>
      <c r="E4243" s="92"/>
      <c r="F4243" s="184" t="str">
        <f>$J$5</f>
        <v>8,0 % x D</v>
      </c>
      <c r="G4243" s="295"/>
      <c r="H4243" s="358">
        <f>+H4242*$K$5</f>
        <v>15480.696000000002</v>
      </c>
      <c r="M4243" s="184" t="str">
        <f>$J$5</f>
        <v>8,0 % x D</v>
      </c>
    </row>
    <row r="4244" spans="2:13" ht="18.75" customHeight="1" x14ac:dyDescent="0.25">
      <c r="B4244" s="356" t="s">
        <v>651</v>
      </c>
      <c r="C4244" s="365" t="s">
        <v>652</v>
      </c>
      <c r="D4244" s="435"/>
      <c r="E4244" s="91"/>
      <c r="F4244" s="185"/>
      <c r="G4244" s="296"/>
      <c r="H4244" s="359">
        <f>ROUNDUP((H4243+H4242)/100,0)*100</f>
        <v>209000</v>
      </c>
      <c r="M4244" s="185"/>
    </row>
    <row r="4245" spans="2:13" ht="18.75" customHeight="1" x14ac:dyDescent="0.25">
      <c r="B4245" s="360"/>
      <c r="C4245" s="366"/>
      <c r="D4245" s="245"/>
      <c r="E4245" s="246"/>
      <c r="F4245" s="247"/>
      <c r="G4245" s="299"/>
      <c r="H4245" s="361"/>
      <c r="M4245" s="247"/>
    </row>
    <row r="4246" spans="2:13" ht="18.75" customHeight="1" x14ac:dyDescent="0.25">
      <c r="B4246" s="92"/>
      <c r="C4246" s="104"/>
      <c r="D4246" s="435"/>
      <c r="E4246" s="91"/>
      <c r="F4246" s="185"/>
      <c r="G4246" s="168"/>
      <c r="H4246" s="139"/>
      <c r="M4246" s="185"/>
    </row>
    <row r="4247" spans="2:13" ht="18.75" customHeight="1" x14ac:dyDescent="0.25">
      <c r="B4247" s="19">
        <v>6</v>
      </c>
      <c r="C4247" s="93" t="s">
        <v>1020</v>
      </c>
      <c r="D4247" s="19"/>
      <c r="E4247" s="21"/>
      <c r="F4247" s="176"/>
      <c r="G4247" s="165"/>
      <c r="H4247" s="119"/>
      <c r="M4247" s="176"/>
    </row>
    <row r="4248" spans="2:13" ht="18.75" customHeight="1" x14ac:dyDescent="0.25">
      <c r="B4248" s="618" t="s">
        <v>620</v>
      </c>
      <c r="C4248" s="620" t="s">
        <v>621</v>
      </c>
      <c r="D4248" s="618" t="s">
        <v>622</v>
      </c>
      <c r="E4248" s="618" t="s">
        <v>2</v>
      </c>
      <c r="F4248" s="615" t="s">
        <v>623</v>
      </c>
      <c r="G4248" s="289" t="s">
        <v>624</v>
      </c>
      <c r="H4248" s="256" t="s">
        <v>625</v>
      </c>
      <c r="M4248" s="615" t="s">
        <v>623</v>
      </c>
    </row>
    <row r="4249" spans="2:13" ht="18.75" customHeight="1" x14ac:dyDescent="0.25">
      <c r="B4249" s="619"/>
      <c r="C4249" s="621"/>
      <c r="D4249" s="619"/>
      <c r="E4249" s="619"/>
      <c r="F4249" s="616"/>
      <c r="G4249" s="289" t="s">
        <v>626</v>
      </c>
      <c r="H4249" s="256" t="s">
        <v>626</v>
      </c>
      <c r="M4249" s="616"/>
    </row>
    <row r="4250" spans="2:13" ht="18.75" customHeight="1" x14ac:dyDescent="0.25">
      <c r="B4250" s="221"/>
      <c r="C4250" s="222"/>
      <c r="D4250" s="221"/>
      <c r="E4250" s="550"/>
      <c r="F4250" s="555"/>
      <c r="G4250" s="551"/>
      <c r="H4250" s="220"/>
      <c r="M4250" s="590"/>
    </row>
    <row r="4251" spans="2:13" ht="18.75" customHeight="1" x14ac:dyDescent="0.25">
      <c r="B4251" s="550" t="s">
        <v>627</v>
      </c>
      <c r="C4251" s="223" t="s">
        <v>628</v>
      </c>
      <c r="D4251" s="550"/>
      <c r="E4251" s="224"/>
      <c r="F4251" s="225"/>
      <c r="G4251" s="290"/>
      <c r="H4251" s="226"/>
      <c r="M4251" s="225"/>
    </row>
    <row r="4252" spans="2:13" ht="18.75" customHeight="1" x14ac:dyDescent="0.25">
      <c r="B4252" s="550"/>
      <c r="C4252" s="227" t="s">
        <v>629</v>
      </c>
      <c r="D4252" s="550" t="s">
        <v>630</v>
      </c>
      <c r="E4252" s="224" t="s">
        <v>631</v>
      </c>
      <c r="F4252" s="228">
        <f t="shared" ref="F4252:F4255" si="202">$K$8*M4252</f>
        <v>0.27</v>
      </c>
      <c r="G4252" s="229">
        <f>G4225</f>
        <v>95000</v>
      </c>
      <c r="H4252" s="230">
        <f>+G4252*F4252</f>
        <v>25650</v>
      </c>
      <c r="M4252" s="228">
        <v>0.27</v>
      </c>
    </row>
    <row r="4253" spans="2:13" ht="18.75" customHeight="1" x14ac:dyDescent="0.25">
      <c r="B4253" s="550"/>
      <c r="C4253" s="227" t="s">
        <v>1508</v>
      </c>
      <c r="D4253" s="550" t="s">
        <v>632</v>
      </c>
      <c r="E4253" s="224" t="s">
        <v>631</v>
      </c>
      <c r="F4253" s="228">
        <f t="shared" si="202"/>
        <v>0.13500000000000001</v>
      </c>
      <c r="G4253" s="229">
        <f>G4226</f>
        <v>110000</v>
      </c>
      <c r="H4253" s="230">
        <f>+G4253*F4253</f>
        <v>14850.000000000002</v>
      </c>
      <c r="M4253" s="228">
        <v>0.13500000000000001</v>
      </c>
    </row>
    <row r="4254" spans="2:13" ht="18.75" customHeight="1" x14ac:dyDescent="0.25">
      <c r="B4254" s="550"/>
      <c r="C4254" s="227" t="s">
        <v>633</v>
      </c>
      <c r="D4254" s="550" t="s">
        <v>634</v>
      </c>
      <c r="E4254" s="224" t="s">
        <v>631</v>
      </c>
      <c r="F4254" s="228">
        <f t="shared" si="202"/>
        <v>1.4E-2</v>
      </c>
      <c r="G4254" s="229">
        <f>G4227</f>
        <v>115000</v>
      </c>
      <c r="H4254" s="230">
        <f>+G4254*F4254</f>
        <v>1610</v>
      </c>
      <c r="M4254" s="228">
        <v>1.4E-2</v>
      </c>
    </row>
    <row r="4255" spans="2:13" ht="18.75" customHeight="1" x14ac:dyDescent="0.25">
      <c r="B4255" s="550"/>
      <c r="C4255" s="227" t="s">
        <v>600</v>
      </c>
      <c r="D4255" s="550" t="s">
        <v>635</v>
      </c>
      <c r="E4255" s="224" t="s">
        <v>631</v>
      </c>
      <c r="F4255" s="228">
        <f t="shared" si="202"/>
        <v>1.4E-2</v>
      </c>
      <c r="G4255" s="229">
        <f>G4228</f>
        <v>140000</v>
      </c>
      <c r="H4255" s="230">
        <f>+G4255*F4255</f>
        <v>1960</v>
      </c>
      <c r="M4255" s="228">
        <v>1.4E-2</v>
      </c>
    </row>
    <row r="4256" spans="2:13" ht="18.75" customHeight="1" x14ac:dyDescent="0.25">
      <c r="B4256" s="550"/>
      <c r="C4256" s="223"/>
      <c r="D4256" s="550"/>
      <c r="E4256" s="224"/>
      <c r="F4256" s="233" t="s">
        <v>636</v>
      </c>
      <c r="G4256" s="290"/>
      <c r="H4256" s="231">
        <f>SUM(H4252:H4255)</f>
        <v>44070</v>
      </c>
      <c r="M4256" s="233" t="s">
        <v>636</v>
      </c>
    </row>
    <row r="4257" spans="2:13" ht="18.75" customHeight="1" x14ac:dyDescent="0.25">
      <c r="B4257" s="550"/>
      <c r="C4257" s="223"/>
      <c r="D4257" s="550"/>
      <c r="E4257" s="224"/>
      <c r="F4257" s="233"/>
      <c r="G4257" s="290"/>
      <c r="H4257" s="231"/>
      <c r="M4257" s="233"/>
    </row>
    <row r="4258" spans="2:13" ht="18.75" customHeight="1" x14ac:dyDescent="0.25">
      <c r="B4258" s="550" t="s">
        <v>637</v>
      </c>
      <c r="C4258" s="223" t="s">
        <v>638</v>
      </c>
      <c r="D4258" s="550"/>
      <c r="E4258" s="224"/>
      <c r="F4258" s="225"/>
      <c r="G4258" s="290"/>
      <c r="H4258" s="226"/>
      <c r="M4258" s="225"/>
    </row>
    <row r="4259" spans="2:13" ht="18.75" customHeight="1" x14ac:dyDescent="0.25">
      <c r="B4259" s="550"/>
      <c r="C4259" s="223" t="s">
        <v>1017</v>
      </c>
      <c r="D4259" s="550"/>
      <c r="E4259" s="550" t="s">
        <v>16</v>
      </c>
      <c r="F4259" s="405">
        <v>26.5</v>
      </c>
      <c r="G4259" s="410">
        <f>Bahan!D298/(1/0.25^2)</f>
        <v>5562.5</v>
      </c>
      <c r="H4259" s="230">
        <f>+G4259*F4259</f>
        <v>147406.25</v>
      </c>
      <c r="M4259" s="405">
        <v>26.5</v>
      </c>
    </row>
    <row r="4260" spans="2:13" ht="18.75" customHeight="1" x14ac:dyDescent="0.25">
      <c r="B4260" s="550"/>
      <c r="C4260" s="223" t="s">
        <v>708</v>
      </c>
      <c r="D4260" s="550"/>
      <c r="E4260" s="550" t="s">
        <v>5</v>
      </c>
      <c r="F4260" s="405">
        <v>10.4</v>
      </c>
      <c r="G4260" s="234">
        <f>G4233</f>
        <v>1700</v>
      </c>
      <c r="H4260" s="230">
        <f>+G4260*F4260</f>
        <v>17680</v>
      </c>
      <c r="M4260" s="405">
        <v>10.4</v>
      </c>
    </row>
    <row r="4261" spans="2:13" ht="18.75" customHeight="1" x14ac:dyDescent="0.25">
      <c r="B4261" s="550"/>
      <c r="C4261" s="223" t="s">
        <v>1018</v>
      </c>
      <c r="D4261" s="550"/>
      <c r="E4261" s="550" t="s">
        <v>5</v>
      </c>
      <c r="F4261" s="405">
        <v>1.62</v>
      </c>
      <c r="G4261" s="410">
        <f>G4234</f>
        <v>14500</v>
      </c>
      <c r="H4261" s="230">
        <f>+G4261*F4261</f>
        <v>23490</v>
      </c>
      <c r="M4261" s="405">
        <v>1.62</v>
      </c>
    </row>
    <row r="4262" spans="2:13" ht="18.75" customHeight="1" x14ac:dyDescent="0.25">
      <c r="B4262" s="550"/>
      <c r="C4262" s="223" t="s">
        <v>661</v>
      </c>
      <c r="D4262" s="550"/>
      <c r="E4262" s="224" t="s">
        <v>1013</v>
      </c>
      <c r="F4262" s="228">
        <v>7.5499999999999998E-2</v>
      </c>
      <c r="G4262" s="234">
        <f>G4235</f>
        <v>230000</v>
      </c>
      <c r="H4262" s="230">
        <f>+G4262*F4262</f>
        <v>17365</v>
      </c>
      <c r="M4262" s="228">
        <v>7.5499999999999998E-2</v>
      </c>
    </row>
    <row r="4263" spans="2:13" ht="18.75" customHeight="1" x14ac:dyDescent="0.25">
      <c r="B4263" s="550"/>
      <c r="C4263" s="223"/>
      <c r="D4263" s="550"/>
      <c r="E4263" s="224"/>
      <c r="F4263" s="237" t="s">
        <v>643</v>
      </c>
      <c r="G4263" s="290"/>
      <c r="H4263" s="231">
        <f>SUM(H4259:H4262)</f>
        <v>205941.25</v>
      </c>
      <c r="M4263" s="237" t="s">
        <v>643</v>
      </c>
    </row>
    <row r="4264" spans="2:13" ht="18.75" customHeight="1" x14ac:dyDescent="0.25">
      <c r="B4264" s="550"/>
      <c r="C4264" s="223"/>
      <c r="D4264" s="550"/>
      <c r="E4264" s="224"/>
      <c r="F4264" s="225"/>
      <c r="G4264" s="290"/>
      <c r="H4264" s="226"/>
      <c r="M4264" s="225"/>
    </row>
    <row r="4265" spans="2:13" ht="18.75" customHeight="1" x14ac:dyDescent="0.25">
      <c r="B4265" s="550" t="s">
        <v>644</v>
      </c>
      <c r="C4265" s="223" t="s">
        <v>645</v>
      </c>
      <c r="D4265" s="550"/>
      <c r="E4265" s="224"/>
      <c r="F4265" s="225"/>
      <c r="G4265" s="290"/>
      <c r="H4265" s="235"/>
      <c r="M4265" s="225"/>
    </row>
    <row r="4266" spans="2:13" ht="18.75" customHeight="1" x14ac:dyDescent="0.25">
      <c r="B4266" s="236"/>
      <c r="C4266" s="232"/>
      <c r="D4266" s="550"/>
      <c r="E4266" s="224"/>
      <c r="F4266" s="237" t="s">
        <v>646</v>
      </c>
      <c r="G4266" s="290"/>
      <c r="H4266" s="230"/>
      <c r="M4266" s="237" t="s">
        <v>646</v>
      </c>
    </row>
    <row r="4267" spans="2:13" ht="18.75" customHeight="1" x14ac:dyDescent="0.25">
      <c r="B4267" s="236"/>
      <c r="C4267" s="232"/>
      <c r="D4267" s="550"/>
      <c r="E4267" s="224"/>
      <c r="F4267" s="237"/>
      <c r="G4267" s="290"/>
      <c r="H4267" s="226"/>
      <c r="M4267" s="237"/>
    </row>
    <row r="4268" spans="2:13" ht="18.75" customHeight="1" x14ac:dyDescent="0.25">
      <c r="B4268" s="354"/>
      <c r="C4268" s="362"/>
      <c r="D4268" s="239"/>
      <c r="E4268" s="266"/>
      <c r="F4268" s="241"/>
      <c r="G4268" s="370"/>
      <c r="H4268" s="369"/>
      <c r="M4268" s="241"/>
    </row>
    <row r="4269" spans="2:13" ht="18.75" customHeight="1" x14ac:dyDescent="0.25">
      <c r="B4269" s="356" t="s">
        <v>647</v>
      </c>
      <c r="C4269" s="363" t="s">
        <v>648</v>
      </c>
      <c r="D4269" s="435"/>
      <c r="E4269" s="92"/>
      <c r="F4269" s="183"/>
      <c r="G4269" s="295"/>
      <c r="H4269" s="357">
        <f>+H4266+H4263+H4256</f>
        <v>250011.25</v>
      </c>
      <c r="M4269" s="183"/>
    </row>
    <row r="4270" spans="2:13" ht="18.75" customHeight="1" x14ac:dyDescent="0.25">
      <c r="B4270" s="356" t="s">
        <v>649</v>
      </c>
      <c r="C4270" s="364" t="s">
        <v>650</v>
      </c>
      <c r="D4270" s="435"/>
      <c r="E4270" s="92"/>
      <c r="F4270" s="184" t="str">
        <f>$J$5</f>
        <v>8,0 % x D</v>
      </c>
      <c r="G4270" s="295"/>
      <c r="H4270" s="358">
        <f>+H4269*$K$5</f>
        <v>20000.900000000001</v>
      </c>
      <c r="M4270" s="184" t="str">
        <f>$J$5</f>
        <v>8,0 % x D</v>
      </c>
    </row>
    <row r="4271" spans="2:13" ht="18.75" customHeight="1" x14ac:dyDescent="0.25">
      <c r="B4271" s="356" t="s">
        <v>651</v>
      </c>
      <c r="C4271" s="365" t="s">
        <v>652</v>
      </c>
      <c r="D4271" s="435"/>
      <c r="E4271" s="91"/>
      <c r="F4271" s="185"/>
      <c r="G4271" s="296"/>
      <c r="H4271" s="359">
        <f>ROUNDUP((H4270+H4269)/100,0)*100</f>
        <v>270100</v>
      </c>
      <c r="M4271" s="185"/>
    </row>
    <row r="4272" spans="2:13" ht="18.75" customHeight="1" x14ac:dyDescent="0.25">
      <c r="B4272" s="360"/>
      <c r="C4272" s="366"/>
      <c r="D4272" s="245"/>
      <c r="E4272" s="246"/>
      <c r="F4272" s="247"/>
      <c r="G4272" s="299"/>
      <c r="H4272" s="361"/>
      <c r="M4272" s="247"/>
    </row>
    <row r="4273" spans="2:13" ht="18.75" customHeight="1" x14ac:dyDescent="0.25">
      <c r="B4273" s="22"/>
      <c r="C4273" s="104"/>
      <c r="E4273" s="21"/>
      <c r="F4273" s="176"/>
      <c r="G4273" s="165"/>
      <c r="H4273" s="119"/>
      <c r="M4273" s="176"/>
    </row>
    <row r="4274" spans="2:13" ht="18.75" customHeight="1" x14ac:dyDescent="0.25">
      <c r="B4274" s="19">
        <v>7</v>
      </c>
      <c r="C4274" s="93" t="s">
        <v>1021</v>
      </c>
      <c r="D4274" s="19"/>
      <c r="E4274" s="21"/>
      <c r="F4274" s="176"/>
      <c r="G4274" s="165"/>
      <c r="H4274" s="119"/>
      <c r="M4274" s="176"/>
    </row>
    <row r="4275" spans="2:13" ht="18.75" customHeight="1" x14ac:dyDescent="0.25">
      <c r="B4275" s="618" t="s">
        <v>620</v>
      </c>
      <c r="C4275" s="620" t="s">
        <v>621</v>
      </c>
      <c r="D4275" s="618" t="s">
        <v>622</v>
      </c>
      <c r="E4275" s="618" t="s">
        <v>2</v>
      </c>
      <c r="F4275" s="615" t="s">
        <v>623</v>
      </c>
      <c r="G4275" s="289" t="s">
        <v>624</v>
      </c>
      <c r="H4275" s="256" t="s">
        <v>625</v>
      </c>
      <c r="M4275" s="615" t="s">
        <v>623</v>
      </c>
    </row>
    <row r="4276" spans="2:13" ht="18.75" customHeight="1" x14ac:dyDescent="0.25">
      <c r="B4276" s="619"/>
      <c r="C4276" s="621"/>
      <c r="D4276" s="619"/>
      <c r="E4276" s="619"/>
      <c r="F4276" s="616"/>
      <c r="G4276" s="289" t="s">
        <v>626</v>
      </c>
      <c r="H4276" s="256" t="s">
        <v>626</v>
      </c>
      <c r="M4276" s="616"/>
    </row>
    <row r="4277" spans="2:13" ht="18.75" customHeight="1" x14ac:dyDescent="0.25">
      <c r="B4277" s="221"/>
      <c r="C4277" s="222"/>
      <c r="D4277" s="221"/>
      <c r="E4277" s="550"/>
      <c r="F4277" s="555"/>
      <c r="G4277" s="551"/>
      <c r="H4277" s="220"/>
      <c r="M4277" s="590"/>
    </row>
    <row r="4278" spans="2:13" ht="18.75" customHeight="1" x14ac:dyDescent="0.25">
      <c r="B4278" s="550" t="s">
        <v>627</v>
      </c>
      <c r="C4278" s="223" t="s">
        <v>628</v>
      </c>
      <c r="D4278" s="550"/>
      <c r="E4278" s="224"/>
      <c r="F4278" s="225"/>
      <c r="G4278" s="290"/>
      <c r="H4278" s="226"/>
      <c r="M4278" s="225"/>
    </row>
    <row r="4279" spans="2:13" ht="18.75" customHeight="1" x14ac:dyDescent="0.25">
      <c r="B4279" s="550"/>
      <c r="C4279" s="227" t="s">
        <v>629</v>
      </c>
      <c r="D4279" s="550" t="s">
        <v>630</v>
      </c>
      <c r="E4279" s="224" t="s">
        <v>631</v>
      </c>
      <c r="F4279" s="228">
        <f t="shared" ref="F4279:F4282" si="203">$K$8*M4279</f>
        <v>0.25</v>
      </c>
      <c r="G4279" s="229">
        <f>G4225</f>
        <v>95000</v>
      </c>
      <c r="H4279" s="230">
        <f>+G4279*F4279</f>
        <v>23750</v>
      </c>
      <c r="M4279" s="228">
        <v>0.25</v>
      </c>
    </row>
    <row r="4280" spans="2:13" ht="18.75" customHeight="1" x14ac:dyDescent="0.25">
      <c r="B4280" s="550"/>
      <c r="C4280" s="227" t="s">
        <v>1508</v>
      </c>
      <c r="D4280" s="550" t="s">
        <v>632</v>
      </c>
      <c r="E4280" s="224" t="s">
        <v>631</v>
      </c>
      <c r="F4280" s="228">
        <f t="shared" si="203"/>
        <v>0.125</v>
      </c>
      <c r="G4280" s="229">
        <f>G4226</f>
        <v>110000</v>
      </c>
      <c r="H4280" s="230">
        <f>+G4280*F4280</f>
        <v>13750</v>
      </c>
      <c r="M4280" s="228">
        <v>0.125</v>
      </c>
    </row>
    <row r="4281" spans="2:13" ht="18.75" customHeight="1" x14ac:dyDescent="0.25">
      <c r="B4281" s="550"/>
      <c r="C4281" s="227" t="s">
        <v>633</v>
      </c>
      <c r="D4281" s="550" t="s">
        <v>634</v>
      </c>
      <c r="E4281" s="224" t="s">
        <v>631</v>
      </c>
      <c r="F4281" s="228">
        <f t="shared" si="203"/>
        <v>1.2999999999999999E-2</v>
      </c>
      <c r="G4281" s="229">
        <f>G4227</f>
        <v>115000</v>
      </c>
      <c r="H4281" s="230">
        <f>+G4281*F4281</f>
        <v>1495</v>
      </c>
      <c r="M4281" s="228">
        <v>1.2999999999999999E-2</v>
      </c>
    </row>
    <row r="4282" spans="2:13" ht="18.75" customHeight="1" x14ac:dyDescent="0.25">
      <c r="B4282" s="550"/>
      <c r="C4282" s="227" t="s">
        <v>600</v>
      </c>
      <c r="D4282" s="550" t="s">
        <v>635</v>
      </c>
      <c r="E4282" s="224" t="s">
        <v>631</v>
      </c>
      <c r="F4282" s="228">
        <f t="shared" si="203"/>
        <v>1.2999999999999999E-2</v>
      </c>
      <c r="G4282" s="229">
        <f>G4228</f>
        <v>140000</v>
      </c>
      <c r="H4282" s="230">
        <f>+G4282*F4282</f>
        <v>1820</v>
      </c>
      <c r="M4282" s="228">
        <v>1.2999999999999999E-2</v>
      </c>
    </row>
    <row r="4283" spans="2:13" ht="18.75" customHeight="1" x14ac:dyDescent="0.25">
      <c r="B4283" s="550"/>
      <c r="C4283" s="223"/>
      <c r="D4283" s="550"/>
      <c r="E4283" s="224"/>
      <c r="F4283" s="233" t="s">
        <v>636</v>
      </c>
      <c r="G4283" s="290"/>
      <c r="H4283" s="231">
        <f>SUM(H4279:H4282)</f>
        <v>40815</v>
      </c>
      <c r="M4283" s="233" t="s">
        <v>636</v>
      </c>
    </row>
    <row r="4284" spans="2:13" ht="18.75" customHeight="1" x14ac:dyDescent="0.25">
      <c r="B4284" s="550"/>
      <c r="C4284" s="223"/>
      <c r="D4284" s="550"/>
      <c r="E4284" s="224"/>
      <c r="F4284" s="233"/>
      <c r="G4284" s="290"/>
      <c r="H4284" s="231"/>
      <c r="M4284" s="233"/>
    </row>
    <row r="4285" spans="2:13" ht="18.75" customHeight="1" x14ac:dyDescent="0.25">
      <c r="B4285" s="550" t="s">
        <v>637</v>
      </c>
      <c r="C4285" s="223" t="s">
        <v>638</v>
      </c>
      <c r="D4285" s="550"/>
      <c r="E4285" s="224"/>
      <c r="F4285" s="225"/>
      <c r="G4285" s="290"/>
      <c r="H4285" s="226"/>
      <c r="M4285" s="225"/>
    </row>
    <row r="4286" spans="2:13" ht="18.75" customHeight="1" x14ac:dyDescent="0.25">
      <c r="B4286" s="550"/>
      <c r="C4286" s="223" t="s">
        <v>1022</v>
      </c>
      <c r="D4286" s="550"/>
      <c r="E4286" s="550" t="s">
        <v>16</v>
      </c>
      <c r="F4286" s="405">
        <v>6.63</v>
      </c>
      <c r="G4286" s="418">
        <f>Bahan!D299/(1/0.4^2)</f>
        <v>9920.0000000000018</v>
      </c>
      <c r="H4286" s="230">
        <f>+G4286*F4286</f>
        <v>65769.600000000006</v>
      </c>
      <c r="M4286" s="405">
        <v>6.63</v>
      </c>
    </row>
    <row r="4287" spans="2:13" ht="18.75" customHeight="1" x14ac:dyDescent="0.25">
      <c r="B4287" s="550"/>
      <c r="C4287" s="223" t="s">
        <v>708</v>
      </c>
      <c r="D4287" s="550"/>
      <c r="E4287" s="550" t="s">
        <v>5</v>
      </c>
      <c r="F4287" s="405">
        <v>9.8000000000000007</v>
      </c>
      <c r="G4287" s="234">
        <f>G4260</f>
        <v>1700</v>
      </c>
      <c r="H4287" s="230">
        <f>+G4287*F4287</f>
        <v>16660</v>
      </c>
      <c r="M4287" s="405">
        <v>9.8000000000000007</v>
      </c>
    </row>
    <row r="4288" spans="2:13" ht="18.75" customHeight="1" x14ac:dyDescent="0.25">
      <c r="B4288" s="550"/>
      <c r="C4288" s="223" t="s">
        <v>1018</v>
      </c>
      <c r="D4288" s="550"/>
      <c r="E4288" s="550" t="s">
        <v>5</v>
      </c>
      <c r="F4288" s="405">
        <v>1.3</v>
      </c>
      <c r="G4288" s="410">
        <f>G4261</f>
        <v>14500</v>
      </c>
      <c r="H4288" s="230">
        <f>+G4288*F4288</f>
        <v>18850</v>
      </c>
      <c r="M4288" s="405">
        <v>1.3</v>
      </c>
    </row>
    <row r="4289" spans="2:13" ht="18.75" customHeight="1" x14ac:dyDescent="0.25">
      <c r="B4289" s="550"/>
      <c r="C4289" s="223" t="s">
        <v>661</v>
      </c>
      <c r="D4289" s="550"/>
      <c r="E4289" s="224" t="s">
        <v>1013</v>
      </c>
      <c r="F4289" s="228">
        <v>7.5499999999999998E-2</v>
      </c>
      <c r="G4289" s="234">
        <f>G4262</f>
        <v>230000</v>
      </c>
      <c r="H4289" s="230">
        <f>+G4289*F4289</f>
        <v>17365</v>
      </c>
      <c r="M4289" s="228">
        <v>7.5499999999999998E-2</v>
      </c>
    </row>
    <row r="4290" spans="2:13" ht="18.75" customHeight="1" x14ac:dyDescent="0.25">
      <c r="B4290" s="550"/>
      <c r="C4290" s="223"/>
      <c r="D4290" s="550"/>
      <c r="E4290" s="224"/>
      <c r="F4290" s="237" t="s">
        <v>643</v>
      </c>
      <c r="G4290" s="290"/>
      <c r="H4290" s="231">
        <f>SUM(H4286:H4289)</f>
        <v>118644.6</v>
      </c>
      <c r="M4290" s="237" t="s">
        <v>643</v>
      </c>
    </row>
    <row r="4291" spans="2:13" ht="18.75" customHeight="1" x14ac:dyDescent="0.25">
      <c r="B4291" s="550"/>
      <c r="C4291" s="223"/>
      <c r="D4291" s="550"/>
      <c r="E4291" s="224"/>
      <c r="F4291" s="225"/>
      <c r="G4291" s="290"/>
      <c r="H4291" s="226"/>
      <c r="M4291" s="225"/>
    </row>
    <row r="4292" spans="2:13" ht="18.75" customHeight="1" x14ac:dyDescent="0.25">
      <c r="B4292" s="550" t="s">
        <v>644</v>
      </c>
      <c r="C4292" s="223" t="s">
        <v>645</v>
      </c>
      <c r="D4292" s="550"/>
      <c r="E4292" s="224"/>
      <c r="F4292" s="225"/>
      <c r="G4292" s="290"/>
      <c r="H4292" s="235"/>
      <c r="M4292" s="225"/>
    </row>
    <row r="4293" spans="2:13" ht="18.75" customHeight="1" x14ac:dyDescent="0.25">
      <c r="B4293" s="236"/>
      <c r="C4293" s="232"/>
      <c r="D4293" s="550"/>
      <c r="E4293" s="224"/>
      <c r="F4293" s="237" t="s">
        <v>646</v>
      </c>
      <c r="G4293" s="290"/>
      <c r="H4293" s="230"/>
      <c r="M4293" s="237" t="s">
        <v>646</v>
      </c>
    </row>
    <row r="4294" spans="2:13" ht="18.75" customHeight="1" x14ac:dyDescent="0.25">
      <c r="B4294" s="236"/>
      <c r="C4294" s="232"/>
      <c r="D4294" s="550"/>
      <c r="E4294" s="224"/>
      <c r="F4294" s="237"/>
      <c r="G4294" s="290"/>
      <c r="H4294" s="226"/>
      <c r="M4294" s="237"/>
    </row>
    <row r="4295" spans="2:13" ht="18.75" customHeight="1" x14ac:dyDescent="0.25">
      <c r="B4295" s="354"/>
      <c r="C4295" s="362"/>
      <c r="D4295" s="239"/>
      <c r="E4295" s="240"/>
      <c r="F4295" s="241"/>
      <c r="G4295" s="293"/>
      <c r="H4295" s="355"/>
      <c r="M4295" s="241"/>
    </row>
    <row r="4296" spans="2:13" ht="18.75" customHeight="1" x14ac:dyDescent="0.25">
      <c r="B4296" s="356" t="s">
        <v>647</v>
      </c>
      <c r="C4296" s="363" t="s">
        <v>648</v>
      </c>
      <c r="D4296" s="435"/>
      <c r="E4296" s="92"/>
      <c r="F4296" s="183"/>
      <c r="G4296" s="295"/>
      <c r="H4296" s="357">
        <f>+H4293+H4290+H4283</f>
        <v>159459.6</v>
      </c>
      <c r="M4296" s="183"/>
    </row>
    <row r="4297" spans="2:13" ht="18.75" customHeight="1" x14ac:dyDescent="0.25">
      <c r="B4297" s="356" t="s">
        <v>649</v>
      </c>
      <c r="C4297" s="364" t="s">
        <v>650</v>
      </c>
      <c r="D4297" s="435"/>
      <c r="E4297" s="92"/>
      <c r="F4297" s="184" t="str">
        <f>$J$5</f>
        <v>8,0 % x D</v>
      </c>
      <c r="G4297" s="295"/>
      <c r="H4297" s="358">
        <f>+H4296*$K$5</f>
        <v>12756.768</v>
      </c>
      <c r="M4297" s="184" t="str">
        <f>$J$5</f>
        <v>8,0 % x D</v>
      </c>
    </row>
    <row r="4298" spans="2:13" ht="18.75" customHeight="1" x14ac:dyDescent="0.25">
      <c r="B4298" s="356" t="s">
        <v>651</v>
      </c>
      <c r="C4298" s="365" t="s">
        <v>652</v>
      </c>
      <c r="D4298" s="435"/>
      <c r="E4298" s="91"/>
      <c r="F4298" s="185"/>
      <c r="G4298" s="296"/>
      <c r="H4298" s="359">
        <f>ROUNDUP((H4297+H4296)/100,0)*100</f>
        <v>172300</v>
      </c>
      <c r="M4298" s="185"/>
    </row>
    <row r="4299" spans="2:13" ht="18.75" customHeight="1" x14ac:dyDescent="0.25">
      <c r="B4299" s="360"/>
      <c r="C4299" s="366"/>
      <c r="D4299" s="245"/>
      <c r="E4299" s="246"/>
      <c r="F4299" s="247"/>
      <c r="G4299" s="299"/>
      <c r="H4299" s="361"/>
      <c r="M4299" s="247"/>
    </row>
    <row r="4300" spans="2:13" ht="18.75" customHeight="1" x14ac:dyDescent="0.25">
      <c r="B4300" s="92"/>
      <c r="C4300" s="104"/>
      <c r="D4300" s="435"/>
      <c r="E4300" s="91"/>
      <c r="F4300" s="185"/>
      <c r="G4300" s="168"/>
      <c r="H4300" s="139"/>
      <c r="M4300" s="185"/>
    </row>
    <row r="4301" spans="2:13" ht="18.75" customHeight="1" x14ac:dyDescent="0.25">
      <c r="B4301" s="19">
        <v>8</v>
      </c>
      <c r="C4301" s="93" t="s">
        <v>1023</v>
      </c>
      <c r="D4301" s="19"/>
      <c r="E4301" s="21"/>
      <c r="F4301" s="176"/>
      <c r="G4301" s="165"/>
      <c r="H4301" s="119"/>
      <c r="M4301" s="176"/>
    </row>
    <row r="4302" spans="2:13" ht="18.75" customHeight="1" x14ac:dyDescent="0.25">
      <c r="B4302" s="618" t="s">
        <v>620</v>
      </c>
      <c r="C4302" s="620" t="s">
        <v>621</v>
      </c>
      <c r="D4302" s="618" t="s">
        <v>622</v>
      </c>
      <c r="E4302" s="618" t="s">
        <v>2</v>
      </c>
      <c r="F4302" s="615" t="s">
        <v>623</v>
      </c>
      <c r="G4302" s="289" t="s">
        <v>624</v>
      </c>
      <c r="H4302" s="256" t="s">
        <v>625</v>
      </c>
      <c r="M4302" s="615" t="s">
        <v>623</v>
      </c>
    </row>
    <row r="4303" spans="2:13" ht="18.75" customHeight="1" x14ac:dyDescent="0.25">
      <c r="B4303" s="619"/>
      <c r="C4303" s="621"/>
      <c r="D4303" s="619"/>
      <c r="E4303" s="619"/>
      <c r="F4303" s="616"/>
      <c r="G4303" s="289" t="s">
        <v>626</v>
      </c>
      <c r="H4303" s="256" t="s">
        <v>626</v>
      </c>
      <c r="M4303" s="616"/>
    </row>
    <row r="4304" spans="2:13" ht="18.75" customHeight="1" x14ac:dyDescent="0.25">
      <c r="B4304" s="221"/>
      <c r="C4304" s="222"/>
      <c r="D4304" s="221"/>
      <c r="E4304" s="550"/>
      <c r="F4304" s="555"/>
      <c r="G4304" s="551"/>
      <c r="H4304" s="220"/>
      <c r="M4304" s="590"/>
    </row>
    <row r="4305" spans="2:13" ht="18.75" customHeight="1" x14ac:dyDescent="0.25">
      <c r="B4305" s="550" t="s">
        <v>627</v>
      </c>
      <c r="C4305" s="223" t="s">
        <v>628</v>
      </c>
      <c r="D4305" s="550"/>
      <c r="E4305" s="224"/>
      <c r="F4305" s="225"/>
      <c r="G4305" s="290"/>
      <c r="H4305" s="226"/>
      <c r="M4305" s="225"/>
    </row>
    <row r="4306" spans="2:13" ht="18.75" customHeight="1" x14ac:dyDescent="0.25">
      <c r="B4306" s="550"/>
      <c r="C4306" s="227" t="s">
        <v>629</v>
      </c>
      <c r="D4306" s="550" t="s">
        <v>630</v>
      </c>
      <c r="E4306" s="224" t="s">
        <v>631</v>
      </c>
      <c r="F4306" s="228">
        <f t="shared" ref="F4306:F4309" si="204">$K$8*M4306</f>
        <v>0.26</v>
      </c>
      <c r="G4306" s="229">
        <f>G4279</f>
        <v>95000</v>
      </c>
      <c r="H4306" s="230">
        <f>+G4306*F4306</f>
        <v>24700</v>
      </c>
      <c r="M4306" s="228">
        <v>0.26</v>
      </c>
    </row>
    <row r="4307" spans="2:13" ht="18.75" customHeight="1" x14ac:dyDescent="0.25">
      <c r="B4307" s="550"/>
      <c r="C4307" s="227" t="s">
        <v>1508</v>
      </c>
      <c r="D4307" s="550" t="s">
        <v>632</v>
      </c>
      <c r="E4307" s="224" t="s">
        <v>631</v>
      </c>
      <c r="F4307" s="228">
        <f t="shared" si="204"/>
        <v>0.13</v>
      </c>
      <c r="G4307" s="229">
        <f>G4280</f>
        <v>110000</v>
      </c>
      <c r="H4307" s="230">
        <f>+G4307*F4307</f>
        <v>14300</v>
      </c>
      <c r="M4307" s="228">
        <v>0.13</v>
      </c>
    </row>
    <row r="4308" spans="2:13" ht="18.75" customHeight="1" x14ac:dyDescent="0.25">
      <c r="B4308" s="550"/>
      <c r="C4308" s="227" t="s">
        <v>633</v>
      </c>
      <c r="D4308" s="550" t="s">
        <v>634</v>
      </c>
      <c r="E4308" s="224" t="s">
        <v>631</v>
      </c>
      <c r="F4308" s="228">
        <f t="shared" si="204"/>
        <v>1.2999999999999999E-2</v>
      </c>
      <c r="G4308" s="229">
        <f>G4281</f>
        <v>115000</v>
      </c>
      <c r="H4308" s="230">
        <f>+G4308*F4308</f>
        <v>1495</v>
      </c>
      <c r="M4308" s="228">
        <v>1.2999999999999999E-2</v>
      </c>
    </row>
    <row r="4309" spans="2:13" ht="18.75" customHeight="1" x14ac:dyDescent="0.25">
      <c r="B4309" s="550"/>
      <c r="C4309" s="227" t="s">
        <v>600</v>
      </c>
      <c r="D4309" s="550" t="s">
        <v>635</v>
      </c>
      <c r="E4309" s="224" t="s">
        <v>631</v>
      </c>
      <c r="F4309" s="228">
        <f t="shared" si="204"/>
        <v>1.2999999999999999E-2</v>
      </c>
      <c r="G4309" s="229">
        <f>G4282</f>
        <v>140000</v>
      </c>
      <c r="H4309" s="230">
        <f>+G4309*F4309</f>
        <v>1820</v>
      </c>
      <c r="M4309" s="228">
        <v>1.2999999999999999E-2</v>
      </c>
    </row>
    <row r="4310" spans="2:13" ht="18.75" customHeight="1" x14ac:dyDescent="0.25">
      <c r="B4310" s="550"/>
      <c r="C4310" s="223"/>
      <c r="D4310" s="550"/>
      <c r="E4310" s="224"/>
      <c r="F4310" s="233" t="s">
        <v>636</v>
      </c>
      <c r="G4310" s="290"/>
      <c r="H4310" s="231">
        <f>SUM(H4306:H4309)</f>
        <v>42315</v>
      </c>
      <c r="M4310" s="233" t="s">
        <v>636</v>
      </c>
    </row>
    <row r="4311" spans="2:13" ht="18.75" customHeight="1" x14ac:dyDescent="0.25">
      <c r="B4311" s="550"/>
      <c r="C4311" s="223"/>
      <c r="D4311" s="550"/>
      <c r="E4311" s="224"/>
      <c r="F4311" s="233"/>
      <c r="G4311" s="290"/>
      <c r="H4311" s="231"/>
      <c r="M4311" s="233"/>
    </row>
    <row r="4312" spans="2:13" ht="18.75" customHeight="1" x14ac:dyDescent="0.25">
      <c r="B4312" s="550" t="s">
        <v>637</v>
      </c>
      <c r="C4312" s="223" t="s">
        <v>638</v>
      </c>
      <c r="D4312" s="550"/>
      <c r="E4312" s="224"/>
      <c r="F4312" s="225"/>
      <c r="G4312" s="290"/>
      <c r="H4312" s="226"/>
      <c r="M4312" s="225"/>
    </row>
    <row r="4313" spans="2:13" ht="18.75" customHeight="1" x14ac:dyDescent="0.25">
      <c r="B4313" s="550"/>
      <c r="C4313" s="223" t="s">
        <v>1022</v>
      </c>
      <c r="D4313" s="550"/>
      <c r="E4313" s="550" t="s">
        <v>16</v>
      </c>
      <c r="F4313" s="405">
        <v>11.87</v>
      </c>
      <c r="G4313" s="418">
        <f>Bahan!D299/11.1</f>
        <v>5585.5855855855862</v>
      </c>
      <c r="H4313" s="230">
        <f>+G4313*F4313</f>
        <v>66300.900900900902</v>
      </c>
      <c r="M4313" s="405">
        <v>11.87</v>
      </c>
    </row>
    <row r="4314" spans="2:13" ht="18.75" customHeight="1" x14ac:dyDescent="0.25">
      <c r="B4314" s="550"/>
      <c r="C4314" s="223" t="s">
        <v>708</v>
      </c>
      <c r="D4314" s="550"/>
      <c r="E4314" s="550" t="s">
        <v>5</v>
      </c>
      <c r="F4314" s="405">
        <v>10</v>
      </c>
      <c r="G4314" s="234">
        <f>G4287</f>
        <v>1700</v>
      </c>
      <c r="H4314" s="230">
        <f>+G4314*F4314</f>
        <v>17000</v>
      </c>
      <c r="M4314" s="405">
        <v>10</v>
      </c>
    </row>
    <row r="4315" spans="2:13" ht="18.75" customHeight="1" x14ac:dyDescent="0.25">
      <c r="B4315" s="550"/>
      <c r="C4315" s="223" t="s">
        <v>1018</v>
      </c>
      <c r="D4315" s="550"/>
      <c r="E4315" s="550" t="s">
        <v>5</v>
      </c>
      <c r="F4315" s="405">
        <v>1.5</v>
      </c>
      <c r="G4315" s="410">
        <f>G4288</f>
        <v>14500</v>
      </c>
      <c r="H4315" s="230">
        <f>+G4315*F4315</f>
        <v>21750</v>
      </c>
      <c r="M4315" s="405">
        <v>1.5</v>
      </c>
    </row>
    <row r="4316" spans="2:13" ht="18.75" customHeight="1" x14ac:dyDescent="0.25">
      <c r="B4316" s="550"/>
      <c r="C4316" s="223" t="s">
        <v>661</v>
      </c>
      <c r="D4316" s="550"/>
      <c r="E4316" s="224" t="s">
        <v>1013</v>
      </c>
      <c r="F4316" s="228">
        <v>7.5499999999999998E-2</v>
      </c>
      <c r="G4316" s="234">
        <f>G4289</f>
        <v>230000</v>
      </c>
      <c r="H4316" s="230">
        <f>+G4316*F4316</f>
        <v>17365</v>
      </c>
      <c r="M4316" s="228">
        <v>7.5499999999999998E-2</v>
      </c>
    </row>
    <row r="4317" spans="2:13" ht="18.75" customHeight="1" x14ac:dyDescent="0.25">
      <c r="B4317" s="550"/>
      <c r="C4317" s="223"/>
      <c r="D4317" s="550"/>
      <c r="E4317" s="224"/>
      <c r="F4317" s="237" t="s">
        <v>643</v>
      </c>
      <c r="G4317" s="290"/>
      <c r="H4317" s="231">
        <f>SUM(H4313:H4316)</f>
        <v>122415.9009009009</v>
      </c>
      <c r="M4317" s="237" t="s">
        <v>643</v>
      </c>
    </row>
    <row r="4318" spans="2:13" ht="18.75" customHeight="1" x14ac:dyDescent="0.25">
      <c r="B4318" s="550"/>
      <c r="C4318" s="223"/>
      <c r="D4318" s="550"/>
      <c r="E4318" s="224"/>
      <c r="F4318" s="225"/>
      <c r="G4318" s="290"/>
      <c r="H4318" s="226"/>
      <c r="M4318" s="225"/>
    </row>
    <row r="4319" spans="2:13" ht="18.75" customHeight="1" x14ac:dyDescent="0.25">
      <c r="B4319" s="550" t="s">
        <v>644</v>
      </c>
      <c r="C4319" s="223" t="s">
        <v>645</v>
      </c>
      <c r="D4319" s="550"/>
      <c r="E4319" s="224"/>
      <c r="F4319" s="225"/>
      <c r="G4319" s="290"/>
      <c r="H4319" s="235"/>
      <c r="M4319" s="225"/>
    </row>
    <row r="4320" spans="2:13" ht="18.75" customHeight="1" x14ac:dyDescent="0.25">
      <c r="B4320" s="236"/>
      <c r="C4320" s="232"/>
      <c r="D4320" s="550"/>
      <c r="E4320" s="224"/>
      <c r="F4320" s="237" t="s">
        <v>646</v>
      </c>
      <c r="G4320" s="290"/>
      <c r="H4320" s="230"/>
      <c r="M4320" s="237" t="s">
        <v>646</v>
      </c>
    </row>
    <row r="4321" spans="2:13" ht="18.75" customHeight="1" x14ac:dyDescent="0.25">
      <c r="B4321" s="236"/>
      <c r="C4321" s="232"/>
      <c r="D4321" s="550"/>
      <c r="E4321" s="224"/>
      <c r="F4321" s="237"/>
      <c r="G4321" s="290"/>
      <c r="H4321" s="226"/>
      <c r="M4321" s="237"/>
    </row>
    <row r="4322" spans="2:13" ht="18.75" customHeight="1" x14ac:dyDescent="0.25">
      <c r="B4322" s="354"/>
      <c r="C4322" s="362"/>
      <c r="D4322" s="239"/>
      <c r="E4322" s="240"/>
      <c r="F4322" s="241"/>
      <c r="G4322" s="293"/>
      <c r="H4322" s="355"/>
      <c r="M4322" s="241"/>
    </row>
    <row r="4323" spans="2:13" ht="18.75" customHeight="1" x14ac:dyDescent="0.25">
      <c r="B4323" s="356" t="s">
        <v>647</v>
      </c>
      <c r="C4323" s="363" t="s">
        <v>648</v>
      </c>
      <c r="D4323" s="435"/>
      <c r="E4323" s="92"/>
      <c r="F4323" s="183"/>
      <c r="G4323" s="295"/>
      <c r="H4323" s="357">
        <f>+H4320+H4317+H4310</f>
        <v>164730.90090090089</v>
      </c>
      <c r="M4323" s="183"/>
    </row>
    <row r="4324" spans="2:13" ht="18.75" customHeight="1" x14ac:dyDescent="0.25">
      <c r="B4324" s="356" t="s">
        <v>649</v>
      </c>
      <c r="C4324" s="364" t="s">
        <v>650</v>
      </c>
      <c r="D4324" s="435"/>
      <c r="E4324" s="92"/>
      <c r="F4324" s="184" t="str">
        <f>$J$5</f>
        <v>8,0 % x D</v>
      </c>
      <c r="G4324" s="295"/>
      <c r="H4324" s="358">
        <f>+H4323*$K$5</f>
        <v>13178.472072072071</v>
      </c>
      <c r="M4324" s="184" t="str">
        <f>$J$5</f>
        <v>8,0 % x D</v>
      </c>
    </row>
    <row r="4325" spans="2:13" ht="18.75" customHeight="1" x14ac:dyDescent="0.25">
      <c r="B4325" s="356" t="s">
        <v>651</v>
      </c>
      <c r="C4325" s="365" t="s">
        <v>652</v>
      </c>
      <c r="D4325" s="435"/>
      <c r="E4325" s="91"/>
      <c r="F4325" s="185"/>
      <c r="G4325" s="296"/>
      <c r="H4325" s="359">
        <f>ROUNDUP((H4324+H4323)/100,0)*100</f>
        <v>178000</v>
      </c>
      <c r="M4325" s="185"/>
    </row>
    <row r="4326" spans="2:13" ht="18.75" customHeight="1" x14ac:dyDescent="0.25">
      <c r="B4326" s="360"/>
      <c r="C4326" s="366"/>
      <c r="D4326" s="245"/>
      <c r="E4326" s="246"/>
      <c r="F4326" s="247"/>
      <c r="G4326" s="299"/>
      <c r="H4326" s="361"/>
      <c r="M4326" s="247"/>
    </row>
    <row r="4327" spans="2:13" ht="18.75" customHeight="1" x14ac:dyDescent="0.25">
      <c r="B4327" s="22"/>
      <c r="C4327" s="104"/>
      <c r="E4327" s="21"/>
      <c r="F4327" s="176"/>
      <c r="G4327" s="165"/>
      <c r="H4327" s="119"/>
      <c r="M4327" s="176"/>
    </row>
    <row r="4328" spans="2:13" ht="18.75" customHeight="1" x14ac:dyDescent="0.25">
      <c r="B4328" s="19">
        <v>9</v>
      </c>
      <c r="C4328" s="93" t="s">
        <v>1024</v>
      </c>
      <c r="D4328" s="19"/>
      <c r="E4328" s="21"/>
      <c r="F4328" s="176"/>
      <c r="G4328" s="165"/>
      <c r="H4328" s="119"/>
      <c r="M4328" s="176"/>
    </row>
    <row r="4329" spans="2:13" ht="18.75" customHeight="1" x14ac:dyDescent="0.25">
      <c r="B4329" s="618" t="s">
        <v>620</v>
      </c>
      <c r="C4329" s="620" t="s">
        <v>621</v>
      </c>
      <c r="D4329" s="618" t="s">
        <v>622</v>
      </c>
      <c r="E4329" s="618" t="s">
        <v>2</v>
      </c>
      <c r="F4329" s="615" t="s">
        <v>623</v>
      </c>
      <c r="G4329" s="289" t="s">
        <v>624</v>
      </c>
      <c r="H4329" s="256" t="s">
        <v>625</v>
      </c>
      <c r="M4329" s="615" t="s">
        <v>623</v>
      </c>
    </row>
    <row r="4330" spans="2:13" ht="18.75" customHeight="1" x14ac:dyDescent="0.25">
      <c r="B4330" s="619"/>
      <c r="C4330" s="621"/>
      <c r="D4330" s="619"/>
      <c r="E4330" s="619"/>
      <c r="F4330" s="616"/>
      <c r="G4330" s="289" t="s">
        <v>626</v>
      </c>
      <c r="H4330" s="256" t="s">
        <v>626</v>
      </c>
      <c r="M4330" s="616"/>
    </row>
    <row r="4331" spans="2:13" ht="18.75" customHeight="1" x14ac:dyDescent="0.25">
      <c r="B4331" s="221"/>
      <c r="C4331" s="222"/>
      <c r="D4331" s="221"/>
      <c r="E4331" s="550"/>
      <c r="F4331" s="555"/>
      <c r="G4331" s="551"/>
      <c r="H4331" s="220"/>
      <c r="M4331" s="590"/>
    </row>
    <row r="4332" spans="2:13" ht="18.75" customHeight="1" x14ac:dyDescent="0.25">
      <c r="B4332" s="550" t="s">
        <v>627</v>
      </c>
      <c r="C4332" s="223" t="s">
        <v>628</v>
      </c>
      <c r="D4332" s="550"/>
      <c r="E4332" s="224"/>
      <c r="F4332" s="225"/>
      <c r="G4332" s="290"/>
      <c r="H4332" s="226"/>
      <c r="M4332" s="225"/>
    </row>
    <row r="4333" spans="2:13" ht="18.75" customHeight="1" x14ac:dyDescent="0.25">
      <c r="B4333" s="550"/>
      <c r="C4333" s="227" t="s">
        <v>629</v>
      </c>
      <c r="D4333" s="550" t="s">
        <v>630</v>
      </c>
      <c r="E4333" s="224" t="s">
        <v>631</v>
      </c>
      <c r="F4333" s="228">
        <f t="shared" ref="F4333:F4336" si="205">$K$8*M4333</f>
        <v>0.25</v>
      </c>
      <c r="G4333" s="229">
        <f>G4306</f>
        <v>95000</v>
      </c>
      <c r="H4333" s="230">
        <f>+G4333*F4333</f>
        <v>23750</v>
      </c>
      <c r="M4333" s="228">
        <v>0.25</v>
      </c>
    </row>
    <row r="4334" spans="2:13" ht="18.75" customHeight="1" x14ac:dyDescent="0.25">
      <c r="B4334" s="550"/>
      <c r="C4334" s="227" t="s">
        <v>1508</v>
      </c>
      <c r="D4334" s="550" t="s">
        <v>632</v>
      </c>
      <c r="E4334" s="224" t="s">
        <v>631</v>
      </c>
      <c r="F4334" s="228">
        <f t="shared" si="205"/>
        <v>0.125</v>
      </c>
      <c r="G4334" s="229">
        <f>G4307</f>
        <v>110000</v>
      </c>
      <c r="H4334" s="230">
        <f>+G4334*F4334</f>
        <v>13750</v>
      </c>
      <c r="M4334" s="228">
        <v>0.125</v>
      </c>
    </row>
    <row r="4335" spans="2:13" ht="18.75" customHeight="1" x14ac:dyDescent="0.25">
      <c r="B4335" s="550"/>
      <c r="C4335" s="227" t="s">
        <v>633</v>
      </c>
      <c r="D4335" s="550" t="s">
        <v>634</v>
      </c>
      <c r="E4335" s="224" t="s">
        <v>631</v>
      </c>
      <c r="F4335" s="228">
        <f t="shared" si="205"/>
        <v>1.2999999999999999E-2</v>
      </c>
      <c r="G4335" s="229">
        <f>G4308</f>
        <v>115000</v>
      </c>
      <c r="H4335" s="230">
        <f>+G4335*F4335</f>
        <v>1495</v>
      </c>
      <c r="M4335" s="228">
        <v>1.2999999999999999E-2</v>
      </c>
    </row>
    <row r="4336" spans="2:13" ht="18.75" customHeight="1" x14ac:dyDescent="0.25">
      <c r="B4336" s="550"/>
      <c r="C4336" s="227" t="s">
        <v>600</v>
      </c>
      <c r="D4336" s="550" t="s">
        <v>635</v>
      </c>
      <c r="E4336" s="224" t="s">
        <v>631</v>
      </c>
      <c r="F4336" s="228">
        <f t="shared" si="205"/>
        <v>1.2999999999999999E-2</v>
      </c>
      <c r="G4336" s="229">
        <f>G4309</f>
        <v>140000</v>
      </c>
      <c r="H4336" s="230">
        <f>+G4336*F4336</f>
        <v>1820</v>
      </c>
      <c r="M4336" s="228">
        <v>1.2999999999999999E-2</v>
      </c>
    </row>
    <row r="4337" spans="2:13" ht="18.75" customHeight="1" x14ac:dyDescent="0.25">
      <c r="B4337" s="550"/>
      <c r="C4337" s="223"/>
      <c r="D4337" s="550"/>
      <c r="E4337" s="224"/>
      <c r="F4337" s="233" t="s">
        <v>636</v>
      </c>
      <c r="G4337" s="290"/>
      <c r="H4337" s="231">
        <f>SUM(H4333:H4336)</f>
        <v>40815</v>
      </c>
      <c r="M4337" s="233" t="s">
        <v>636</v>
      </c>
    </row>
    <row r="4338" spans="2:13" ht="18.75" customHeight="1" x14ac:dyDescent="0.25">
      <c r="B4338" s="550"/>
      <c r="C4338" s="223"/>
      <c r="D4338" s="550"/>
      <c r="E4338" s="224"/>
      <c r="F4338" s="233"/>
      <c r="G4338" s="290"/>
      <c r="H4338" s="231"/>
      <c r="M4338" s="233"/>
    </row>
    <row r="4339" spans="2:13" ht="18.75" customHeight="1" x14ac:dyDescent="0.25">
      <c r="B4339" s="550" t="s">
        <v>637</v>
      </c>
      <c r="C4339" s="223" t="s">
        <v>638</v>
      </c>
      <c r="D4339" s="550"/>
      <c r="E4339" s="224"/>
      <c r="F4339" s="225"/>
      <c r="G4339" s="290"/>
      <c r="H4339" s="226"/>
      <c r="M4339" s="225"/>
    </row>
    <row r="4340" spans="2:13" ht="18.75" customHeight="1" x14ac:dyDescent="0.25">
      <c r="B4340" s="550"/>
      <c r="C4340" s="223" t="s">
        <v>1025</v>
      </c>
      <c r="D4340" s="550"/>
      <c r="E4340" s="550" t="s">
        <v>58</v>
      </c>
      <c r="F4340" s="405">
        <v>6.63</v>
      </c>
      <c r="G4340" s="234">
        <f>Bahan!$D$282/F4340</f>
        <v>90497.737556561086</v>
      </c>
      <c r="H4340" s="230">
        <f>+G4340*F4340</f>
        <v>600000</v>
      </c>
      <c r="M4340" s="405">
        <v>6.63</v>
      </c>
    </row>
    <row r="4341" spans="2:13" ht="18.75" customHeight="1" x14ac:dyDescent="0.25">
      <c r="B4341" s="550"/>
      <c r="C4341" s="223" t="s">
        <v>708</v>
      </c>
      <c r="D4341" s="550"/>
      <c r="E4341" s="550" t="s">
        <v>5</v>
      </c>
      <c r="F4341" s="405">
        <v>9.8000000000000007</v>
      </c>
      <c r="G4341" s="234">
        <f>+G4102</f>
        <v>1700</v>
      </c>
      <c r="H4341" s="230">
        <f>+G4341*F4341</f>
        <v>16660</v>
      </c>
      <c r="M4341" s="405">
        <v>9.8000000000000007</v>
      </c>
    </row>
    <row r="4342" spans="2:13" ht="18.75" customHeight="1" x14ac:dyDescent="0.25">
      <c r="B4342" s="550"/>
      <c r="C4342" s="223" t="s">
        <v>1018</v>
      </c>
      <c r="D4342" s="550"/>
      <c r="E4342" s="550" t="s">
        <v>5</v>
      </c>
      <c r="F4342" s="405">
        <v>1.3</v>
      </c>
      <c r="G4342" s="410">
        <f>G4315</f>
        <v>14500</v>
      </c>
      <c r="H4342" s="230">
        <f>+G4342*F4342</f>
        <v>18850</v>
      </c>
      <c r="M4342" s="405">
        <v>1.3</v>
      </c>
    </row>
    <row r="4343" spans="2:13" ht="18.75" customHeight="1" x14ac:dyDescent="0.25">
      <c r="B4343" s="550"/>
      <c r="C4343" s="223" t="s">
        <v>661</v>
      </c>
      <c r="D4343" s="550"/>
      <c r="E4343" s="224" t="s">
        <v>1013</v>
      </c>
      <c r="F4343" s="228">
        <v>7.5499999999999998E-2</v>
      </c>
      <c r="G4343" s="234">
        <f>+G4080</f>
        <v>230000</v>
      </c>
      <c r="H4343" s="230">
        <f>+G4343*F4343</f>
        <v>17365</v>
      </c>
      <c r="M4343" s="228">
        <v>7.5499999999999998E-2</v>
      </c>
    </row>
    <row r="4344" spans="2:13" ht="18.75" customHeight="1" x14ac:dyDescent="0.25">
      <c r="B4344" s="550"/>
      <c r="C4344" s="223"/>
      <c r="D4344" s="550"/>
      <c r="E4344" s="224"/>
      <c r="F4344" s="237" t="s">
        <v>643</v>
      </c>
      <c r="G4344" s="290"/>
      <c r="H4344" s="231">
        <f>SUM(H4340:H4343)</f>
        <v>652875</v>
      </c>
      <c r="M4344" s="237" t="s">
        <v>643</v>
      </c>
    </row>
    <row r="4345" spans="2:13" ht="18.75" customHeight="1" x14ac:dyDescent="0.25">
      <c r="B4345" s="550"/>
      <c r="C4345" s="223"/>
      <c r="D4345" s="550"/>
      <c r="E4345" s="224"/>
      <c r="F4345" s="225"/>
      <c r="G4345" s="290"/>
      <c r="H4345" s="226"/>
      <c r="M4345" s="225"/>
    </row>
    <row r="4346" spans="2:13" ht="18.75" customHeight="1" x14ac:dyDescent="0.25">
      <c r="B4346" s="550" t="s">
        <v>644</v>
      </c>
      <c r="C4346" s="223" t="s">
        <v>645</v>
      </c>
      <c r="D4346" s="550"/>
      <c r="E4346" s="224"/>
      <c r="F4346" s="225"/>
      <c r="G4346" s="290"/>
      <c r="H4346" s="235"/>
      <c r="M4346" s="225"/>
    </row>
    <row r="4347" spans="2:13" ht="18.75" customHeight="1" x14ac:dyDescent="0.25">
      <c r="B4347" s="236"/>
      <c r="C4347" s="232"/>
      <c r="D4347" s="550"/>
      <c r="E4347" s="224"/>
      <c r="F4347" s="237" t="s">
        <v>646</v>
      </c>
      <c r="G4347" s="290"/>
      <c r="H4347" s="230"/>
      <c r="M4347" s="237" t="s">
        <v>646</v>
      </c>
    </row>
    <row r="4348" spans="2:13" ht="18.75" customHeight="1" x14ac:dyDescent="0.25">
      <c r="B4348" s="236"/>
      <c r="C4348" s="232"/>
      <c r="D4348" s="550"/>
      <c r="E4348" s="224"/>
      <c r="F4348" s="237"/>
      <c r="G4348" s="290"/>
      <c r="H4348" s="226"/>
      <c r="M4348" s="237"/>
    </row>
    <row r="4349" spans="2:13" ht="18.75" customHeight="1" x14ac:dyDescent="0.25">
      <c r="B4349" s="354"/>
      <c r="C4349" s="362"/>
      <c r="D4349" s="239"/>
      <c r="E4349" s="266"/>
      <c r="F4349" s="241"/>
      <c r="G4349" s="370"/>
      <c r="H4349" s="369"/>
      <c r="M4349" s="241"/>
    </row>
    <row r="4350" spans="2:13" ht="18.75" customHeight="1" x14ac:dyDescent="0.25">
      <c r="B4350" s="356" t="s">
        <v>647</v>
      </c>
      <c r="C4350" s="363" t="s">
        <v>648</v>
      </c>
      <c r="D4350" s="435"/>
      <c r="E4350" s="92"/>
      <c r="F4350" s="183"/>
      <c r="G4350" s="295"/>
      <c r="H4350" s="357">
        <f>+H4347+H4344+H4337</f>
        <v>693690</v>
      </c>
      <c r="M4350" s="183"/>
    </row>
    <row r="4351" spans="2:13" ht="18.75" customHeight="1" x14ac:dyDescent="0.25">
      <c r="B4351" s="356" t="s">
        <v>649</v>
      </c>
      <c r="C4351" s="364" t="s">
        <v>650</v>
      </c>
      <c r="D4351" s="435"/>
      <c r="E4351" s="92"/>
      <c r="F4351" s="184" t="str">
        <f>$J$5</f>
        <v>8,0 % x D</v>
      </c>
      <c r="G4351" s="295"/>
      <c r="H4351" s="358">
        <f>+H4350*$K$5</f>
        <v>55495.200000000004</v>
      </c>
      <c r="M4351" s="184" t="str">
        <f>$J$5</f>
        <v>8,0 % x D</v>
      </c>
    </row>
    <row r="4352" spans="2:13" ht="18.75" customHeight="1" x14ac:dyDescent="0.25">
      <c r="B4352" s="356" t="s">
        <v>651</v>
      </c>
      <c r="C4352" s="365" t="s">
        <v>652</v>
      </c>
      <c r="D4352" s="435"/>
      <c r="E4352" s="91"/>
      <c r="F4352" s="185"/>
      <c r="G4352" s="296"/>
      <c r="H4352" s="359">
        <f>ROUNDUP((H4351+H4350)/100,0)*100</f>
        <v>749200</v>
      </c>
      <c r="M4352" s="185"/>
    </row>
    <row r="4353" spans="2:13" ht="18.75" customHeight="1" x14ac:dyDescent="0.25">
      <c r="B4353" s="360"/>
      <c r="C4353" s="366"/>
      <c r="D4353" s="245"/>
      <c r="E4353" s="246"/>
      <c r="F4353" s="247"/>
      <c r="G4353" s="299"/>
      <c r="H4353" s="361"/>
      <c r="M4353" s="247"/>
    </row>
    <row r="4354" spans="2:13" ht="18.75" customHeight="1" x14ac:dyDescent="0.25">
      <c r="B4354" s="92"/>
      <c r="C4354" s="104"/>
      <c r="D4354" s="435"/>
      <c r="E4354" s="91"/>
      <c r="F4354" s="185"/>
      <c r="G4354" s="168"/>
      <c r="H4354" s="139"/>
      <c r="M4354" s="185"/>
    </row>
    <row r="4355" spans="2:13" ht="18.75" customHeight="1" x14ac:dyDescent="0.25">
      <c r="B4355" s="19">
        <v>10</v>
      </c>
      <c r="C4355" s="93" t="s">
        <v>1026</v>
      </c>
      <c r="D4355" s="19"/>
      <c r="E4355" s="21"/>
      <c r="F4355" s="176"/>
      <c r="G4355" s="165"/>
      <c r="H4355" s="119"/>
      <c r="M4355" s="176"/>
    </row>
    <row r="4356" spans="2:13" ht="18.75" customHeight="1" x14ac:dyDescent="0.25">
      <c r="B4356" s="618" t="s">
        <v>620</v>
      </c>
      <c r="C4356" s="620" t="s">
        <v>621</v>
      </c>
      <c r="D4356" s="618" t="s">
        <v>622</v>
      </c>
      <c r="E4356" s="618" t="s">
        <v>2</v>
      </c>
      <c r="F4356" s="615" t="s">
        <v>623</v>
      </c>
      <c r="G4356" s="289" t="s">
        <v>624</v>
      </c>
      <c r="H4356" s="256" t="s">
        <v>625</v>
      </c>
      <c r="M4356" s="615" t="s">
        <v>623</v>
      </c>
    </row>
    <row r="4357" spans="2:13" ht="18.75" customHeight="1" x14ac:dyDescent="0.25">
      <c r="B4357" s="619"/>
      <c r="C4357" s="621"/>
      <c r="D4357" s="619"/>
      <c r="E4357" s="619"/>
      <c r="F4357" s="616"/>
      <c r="G4357" s="289" t="s">
        <v>626</v>
      </c>
      <c r="H4357" s="256" t="s">
        <v>626</v>
      </c>
      <c r="M4357" s="616"/>
    </row>
    <row r="4358" spans="2:13" ht="18.75" customHeight="1" x14ac:dyDescent="0.25">
      <c r="B4358" s="221"/>
      <c r="C4358" s="222"/>
      <c r="D4358" s="221"/>
      <c r="E4358" s="550"/>
      <c r="F4358" s="555"/>
      <c r="G4358" s="551"/>
      <c r="H4358" s="220"/>
      <c r="M4358" s="590"/>
    </row>
    <row r="4359" spans="2:13" ht="18.75" customHeight="1" x14ac:dyDescent="0.25">
      <c r="B4359" s="550" t="s">
        <v>627</v>
      </c>
      <c r="C4359" s="223" t="s">
        <v>628</v>
      </c>
      <c r="D4359" s="550"/>
      <c r="E4359" s="224"/>
      <c r="F4359" s="225"/>
      <c r="G4359" s="290"/>
      <c r="H4359" s="226"/>
      <c r="M4359" s="225"/>
    </row>
    <row r="4360" spans="2:13" ht="18.75" customHeight="1" x14ac:dyDescent="0.25">
      <c r="B4360" s="550"/>
      <c r="C4360" s="227" t="s">
        <v>629</v>
      </c>
      <c r="D4360" s="550" t="s">
        <v>630</v>
      </c>
      <c r="E4360" s="224" t="s">
        <v>631</v>
      </c>
      <c r="F4360" s="228">
        <f t="shared" ref="F4360:F4363" si="206">$K$8*M4360</f>
        <v>0.26</v>
      </c>
      <c r="G4360" s="229">
        <f>G4306</f>
        <v>95000</v>
      </c>
      <c r="H4360" s="230">
        <f>+G4360*F4360</f>
        <v>24700</v>
      </c>
      <c r="M4360" s="228">
        <v>0.26</v>
      </c>
    </row>
    <row r="4361" spans="2:13" ht="18.75" customHeight="1" x14ac:dyDescent="0.25">
      <c r="B4361" s="550"/>
      <c r="C4361" s="227" t="s">
        <v>1508</v>
      </c>
      <c r="D4361" s="550" t="s">
        <v>632</v>
      </c>
      <c r="E4361" s="224" t="s">
        <v>631</v>
      </c>
      <c r="F4361" s="228">
        <f t="shared" si="206"/>
        <v>0.13</v>
      </c>
      <c r="G4361" s="229">
        <f>G4307</f>
        <v>110000</v>
      </c>
      <c r="H4361" s="230">
        <f>+G4361*F4361</f>
        <v>14300</v>
      </c>
      <c r="M4361" s="228">
        <v>0.13</v>
      </c>
    </row>
    <row r="4362" spans="2:13" ht="18.75" customHeight="1" x14ac:dyDescent="0.25">
      <c r="B4362" s="550"/>
      <c r="C4362" s="227" t="s">
        <v>633</v>
      </c>
      <c r="D4362" s="550" t="s">
        <v>634</v>
      </c>
      <c r="E4362" s="224" t="s">
        <v>631</v>
      </c>
      <c r="F4362" s="228">
        <f t="shared" si="206"/>
        <v>1.2999999999999999E-2</v>
      </c>
      <c r="G4362" s="229">
        <f>G4308</f>
        <v>115000</v>
      </c>
      <c r="H4362" s="230">
        <f>+G4362*F4362</f>
        <v>1495</v>
      </c>
      <c r="M4362" s="228">
        <v>1.2999999999999999E-2</v>
      </c>
    </row>
    <row r="4363" spans="2:13" ht="18.75" customHeight="1" x14ac:dyDescent="0.25">
      <c r="B4363" s="550"/>
      <c r="C4363" s="227" t="s">
        <v>600</v>
      </c>
      <c r="D4363" s="550" t="s">
        <v>635</v>
      </c>
      <c r="E4363" s="224" t="s">
        <v>631</v>
      </c>
      <c r="F4363" s="228">
        <f t="shared" si="206"/>
        <v>1.2999999999999999E-2</v>
      </c>
      <c r="G4363" s="229">
        <f>G4309</f>
        <v>140000</v>
      </c>
      <c r="H4363" s="230">
        <f>+G4363*F4363</f>
        <v>1820</v>
      </c>
      <c r="M4363" s="228">
        <v>1.2999999999999999E-2</v>
      </c>
    </row>
    <row r="4364" spans="2:13" ht="18.75" customHeight="1" x14ac:dyDescent="0.25">
      <c r="B4364" s="550"/>
      <c r="C4364" s="223"/>
      <c r="D4364" s="550"/>
      <c r="E4364" s="224"/>
      <c r="F4364" s="233" t="s">
        <v>636</v>
      </c>
      <c r="G4364" s="290"/>
      <c r="H4364" s="231">
        <f>SUM(H4360:H4363)</f>
        <v>42315</v>
      </c>
      <c r="M4364" s="233" t="s">
        <v>636</v>
      </c>
    </row>
    <row r="4365" spans="2:13" ht="18.75" customHeight="1" x14ac:dyDescent="0.25">
      <c r="B4365" s="550"/>
      <c r="C4365" s="223"/>
      <c r="D4365" s="550"/>
      <c r="E4365" s="224"/>
      <c r="F4365" s="233"/>
      <c r="G4365" s="290"/>
      <c r="H4365" s="231"/>
      <c r="M4365" s="233"/>
    </row>
    <row r="4366" spans="2:13" ht="18.75" customHeight="1" x14ac:dyDescent="0.25">
      <c r="B4366" s="550" t="s">
        <v>637</v>
      </c>
      <c r="C4366" s="223" t="s">
        <v>638</v>
      </c>
      <c r="D4366" s="550"/>
      <c r="E4366" s="224"/>
      <c r="F4366" s="225"/>
      <c r="G4366" s="290"/>
      <c r="H4366" s="226"/>
      <c r="M4366" s="225"/>
    </row>
    <row r="4367" spans="2:13" ht="18.75" customHeight="1" x14ac:dyDescent="0.25">
      <c r="B4367" s="550"/>
      <c r="C4367" s="223" t="s">
        <v>1025</v>
      </c>
      <c r="D4367" s="550"/>
      <c r="E4367" s="550" t="s">
        <v>16</v>
      </c>
      <c r="F4367" s="405">
        <v>11.87</v>
      </c>
      <c r="G4367" s="234">
        <f>Bahan!$D$282/F4367</f>
        <v>50547.598989048027</v>
      </c>
      <c r="H4367" s="230">
        <f>+G4367*F4367</f>
        <v>600000</v>
      </c>
      <c r="M4367" s="405">
        <v>11.87</v>
      </c>
    </row>
    <row r="4368" spans="2:13" ht="18.75" customHeight="1" x14ac:dyDescent="0.25">
      <c r="B4368" s="550"/>
      <c r="C4368" s="223" t="s">
        <v>708</v>
      </c>
      <c r="D4368" s="550"/>
      <c r="E4368" s="550" t="s">
        <v>5</v>
      </c>
      <c r="F4368" s="405">
        <v>10</v>
      </c>
      <c r="G4368" s="234">
        <f>G4341</f>
        <v>1700</v>
      </c>
      <c r="H4368" s="230">
        <f>+G4368*F4368</f>
        <v>17000</v>
      </c>
      <c r="M4368" s="405">
        <v>10</v>
      </c>
    </row>
    <row r="4369" spans="2:13" ht="18.75" customHeight="1" x14ac:dyDescent="0.25">
      <c r="B4369" s="550"/>
      <c r="C4369" s="223" t="s">
        <v>1018</v>
      </c>
      <c r="D4369" s="550"/>
      <c r="E4369" s="550" t="s">
        <v>5</v>
      </c>
      <c r="F4369" s="405">
        <v>1.5</v>
      </c>
      <c r="G4369" s="410">
        <f>G4342</f>
        <v>14500</v>
      </c>
      <c r="H4369" s="230">
        <f>+G4369*F4369</f>
        <v>21750</v>
      </c>
      <c r="M4369" s="405">
        <v>1.5</v>
      </c>
    </row>
    <row r="4370" spans="2:13" ht="18.75" customHeight="1" x14ac:dyDescent="0.25">
      <c r="B4370" s="550"/>
      <c r="C4370" s="223" t="s">
        <v>661</v>
      </c>
      <c r="D4370" s="550"/>
      <c r="E4370" s="224" t="s">
        <v>1013</v>
      </c>
      <c r="F4370" s="228">
        <v>7.5499999999999998E-2</v>
      </c>
      <c r="G4370" s="234">
        <f>G4343</f>
        <v>230000</v>
      </c>
      <c r="H4370" s="230">
        <f>+G4370*F4370</f>
        <v>17365</v>
      </c>
      <c r="M4370" s="228">
        <v>7.5499999999999998E-2</v>
      </c>
    </row>
    <row r="4371" spans="2:13" ht="18.75" customHeight="1" x14ac:dyDescent="0.25">
      <c r="B4371" s="550"/>
      <c r="C4371" s="223"/>
      <c r="D4371" s="550"/>
      <c r="E4371" s="224"/>
      <c r="F4371" s="237" t="s">
        <v>643</v>
      </c>
      <c r="G4371" s="290"/>
      <c r="H4371" s="231">
        <f>SUM(H4367:H4370)</f>
        <v>656115</v>
      </c>
      <c r="M4371" s="237" t="s">
        <v>643</v>
      </c>
    </row>
    <row r="4372" spans="2:13" ht="18.75" customHeight="1" x14ac:dyDescent="0.25">
      <c r="B4372" s="550"/>
      <c r="C4372" s="223"/>
      <c r="D4372" s="550"/>
      <c r="E4372" s="224"/>
      <c r="F4372" s="225"/>
      <c r="G4372" s="290"/>
      <c r="H4372" s="226"/>
      <c r="M4372" s="225"/>
    </row>
    <row r="4373" spans="2:13" ht="18.75" customHeight="1" x14ac:dyDescent="0.25">
      <c r="B4373" s="550" t="s">
        <v>644</v>
      </c>
      <c r="C4373" s="223" t="s">
        <v>645</v>
      </c>
      <c r="D4373" s="550"/>
      <c r="E4373" s="224"/>
      <c r="F4373" s="225"/>
      <c r="G4373" s="290"/>
      <c r="H4373" s="235"/>
      <c r="M4373" s="225"/>
    </row>
    <row r="4374" spans="2:13" ht="18.75" customHeight="1" x14ac:dyDescent="0.25">
      <c r="B4374" s="236"/>
      <c r="C4374" s="232"/>
      <c r="D4374" s="550"/>
      <c r="E4374" s="224"/>
      <c r="F4374" s="237" t="s">
        <v>646</v>
      </c>
      <c r="G4374" s="290"/>
      <c r="H4374" s="230"/>
      <c r="M4374" s="237" t="s">
        <v>646</v>
      </c>
    </row>
    <row r="4375" spans="2:13" ht="18.75" customHeight="1" x14ac:dyDescent="0.25">
      <c r="B4375" s="236"/>
      <c r="C4375" s="232"/>
      <c r="D4375" s="550"/>
      <c r="E4375" s="224"/>
      <c r="F4375" s="237"/>
      <c r="G4375" s="290"/>
      <c r="H4375" s="226"/>
      <c r="M4375" s="237"/>
    </row>
    <row r="4376" spans="2:13" ht="18.75" customHeight="1" x14ac:dyDescent="0.25">
      <c r="B4376" s="354"/>
      <c r="C4376" s="362"/>
      <c r="D4376" s="239"/>
      <c r="E4376" s="240"/>
      <c r="F4376" s="241"/>
      <c r="G4376" s="293"/>
      <c r="H4376" s="355"/>
      <c r="M4376" s="241"/>
    </row>
    <row r="4377" spans="2:13" ht="18.75" customHeight="1" x14ac:dyDescent="0.25">
      <c r="B4377" s="356" t="s">
        <v>647</v>
      </c>
      <c r="C4377" s="363" t="s">
        <v>648</v>
      </c>
      <c r="D4377" s="435"/>
      <c r="E4377" s="92"/>
      <c r="F4377" s="183"/>
      <c r="G4377" s="295"/>
      <c r="H4377" s="357">
        <f>+H4374+H4371+H4364</f>
        <v>698430</v>
      </c>
      <c r="M4377" s="183"/>
    </row>
    <row r="4378" spans="2:13" ht="18.75" customHeight="1" x14ac:dyDescent="0.25">
      <c r="B4378" s="356" t="s">
        <v>649</v>
      </c>
      <c r="C4378" s="364" t="s">
        <v>650</v>
      </c>
      <c r="D4378" s="435"/>
      <c r="E4378" s="92"/>
      <c r="F4378" s="184" t="str">
        <f>$J$5</f>
        <v>8,0 % x D</v>
      </c>
      <c r="G4378" s="295"/>
      <c r="H4378" s="358">
        <f>+H4377*$K$5</f>
        <v>55874.400000000001</v>
      </c>
      <c r="M4378" s="184" t="str">
        <f>$J$5</f>
        <v>8,0 % x D</v>
      </c>
    </row>
    <row r="4379" spans="2:13" ht="18.75" customHeight="1" x14ac:dyDescent="0.25">
      <c r="B4379" s="356" t="s">
        <v>651</v>
      </c>
      <c r="C4379" s="365" t="s">
        <v>652</v>
      </c>
      <c r="D4379" s="435"/>
      <c r="E4379" s="91"/>
      <c r="F4379" s="185"/>
      <c r="G4379" s="296"/>
      <c r="H4379" s="359">
        <f>ROUNDUP((H4378+H4377)/100,0)*100</f>
        <v>754400</v>
      </c>
      <c r="M4379" s="185"/>
    </row>
    <row r="4380" spans="2:13" ht="18.75" customHeight="1" x14ac:dyDescent="0.25">
      <c r="B4380" s="360"/>
      <c r="C4380" s="366"/>
      <c r="D4380" s="245"/>
      <c r="E4380" s="246"/>
      <c r="F4380" s="247"/>
      <c r="G4380" s="299"/>
      <c r="H4380" s="361"/>
      <c r="M4380" s="247"/>
    </row>
    <row r="4381" spans="2:13" ht="18.75" customHeight="1" x14ac:dyDescent="0.25">
      <c r="B4381" s="22"/>
      <c r="C4381" s="104"/>
      <c r="E4381" s="21"/>
      <c r="F4381" s="176"/>
      <c r="G4381" s="165"/>
      <c r="H4381" s="119"/>
      <c r="M4381" s="176"/>
    </row>
    <row r="4382" spans="2:13" ht="18.75" customHeight="1" x14ac:dyDescent="0.25">
      <c r="B4382" s="19">
        <f>B4355+1</f>
        <v>11</v>
      </c>
      <c r="C4382" s="93" t="s">
        <v>1030</v>
      </c>
      <c r="D4382" s="19"/>
      <c r="E4382" s="21"/>
      <c r="F4382" s="176"/>
      <c r="G4382" s="165"/>
      <c r="H4382" s="119"/>
      <c r="M4382" s="176"/>
    </row>
    <row r="4383" spans="2:13" ht="18.75" customHeight="1" x14ac:dyDescent="0.25">
      <c r="B4383" s="618" t="s">
        <v>620</v>
      </c>
      <c r="C4383" s="620" t="s">
        <v>621</v>
      </c>
      <c r="D4383" s="618" t="s">
        <v>622</v>
      </c>
      <c r="E4383" s="618" t="s">
        <v>2</v>
      </c>
      <c r="F4383" s="615" t="s">
        <v>623</v>
      </c>
      <c r="G4383" s="289" t="s">
        <v>624</v>
      </c>
      <c r="H4383" s="256" t="s">
        <v>625</v>
      </c>
      <c r="M4383" s="615" t="s">
        <v>623</v>
      </c>
    </row>
    <row r="4384" spans="2:13" ht="18.75" customHeight="1" x14ac:dyDescent="0.25">
      <c r="B4384" s="619"/>
      <c r="C4384" s="621"/>
      <c r="D4384" s="619"/>
      <c r="E4384" s="619"/>
      <c r="F4384" s="616"/>
      <c r="G4384" s="289" t="s">
        <v>626</v>
      </c>
      <c r="H4384" s="256" t="s">
        <v>626</v>
      </c>
      <c r="M4384" s="616"/>
    </row>
    <row r="4385" spans="2:13" ht="18.75" customHeight="1" x14ac:dyDescent="0.25">
      <c r="B4385" s="221"/>
      <c r="C4385" s="222"/>
      <c r="D4385" s="221"/>
      <c r="E4385" s="550"/>
      <c r="F4385" s="555"/>
      <c r="G4385" s="551"/>
      <c r="H4385" s="220"/>
      <c r="M4385" s="590"/>
    </row>
    <row r="4386" spans="2:13" ht="18.75" customHeight="1" x14ac:dyDescent="0.25">
      <c r="B4386" s="550" t="s">
        <v>627</v>
      </c>
      <c r="C4386" s="223" t="s">
        <v>628</v>
      </c>
      <c r="D4386" s="550"/>
      <c r="E4386" s="224"/>
      <c r="F4386" s="225"/>
      <c r="G4386" s="290"/>
      <c r="H4386" s="226"/>
      <c r="M4386" s="225"/>
    </row>
    <row r="4387" spans="2:13" ht="18.75" customHeight="1" x14ac:dyDescent="0.25">
      <c r="B4387" s="550"/>
      <c r="C4387" s="227" t="s">
        <v>629</v>
      </c>
      <c r="D4387" s="550" t="s">
        <v>630</v>
      </c>
      <c r="E4387" s="224" t="s">
        <v>631</v>
      </c>
      <c r="F4387" s="228">
        <f t="shared" ref="F4387:F4390" si="207">$K$8*M4387</f>
        <v>0.24</v>
      </c>
      <c r="G4387" s="229">
        <f>G4360</f>
        <v>95000</v>
      </c>
      <c r="H4387" s="230">
        <f>+G4387*F4387</f>
        <v>22800</v>
      </c>
      <c r="M4387" s="228">
        <v>0.24</v>
      </c>
    </row>
    <row r="4388" spans="2:13" ht="18.75" customHeight="1" x14ac:dyDescent="0.25">
      <c r="B4388" s="550"/>
      <c r="C4388" s="227" t="s">
        <v>1508</v>
      </c>
      <c r="D4388" s="550" t="s">
        <v>632</v>
      </c>
      <c r="E4388" s="224" t="s">
        <v>631</v>
      </c>
      <c r="F4388" s="228">
        <f t="shared" si="207"/>
        <v>0.12</v>
      </c>
      <c r="G4388" s="229">
        <f t="shared" ref="G4388:G4390" si="208">G4361</f>
        <v>110000</v>
      </c>
      <c r="H4388" s="230">
        <f>+G4388*F4388</f>
        <v>13200</v>
      </c>
      <c r="M4388" s="228">
        <v>0.12</v>
      </c>
    </row>
    <row r="4389" spans="2:13" ht="18.75" customHeight="1" x14ac:dyDescent="0.25">
      <c r="B4389" s="550"/>
      <c r="C4389" s="227" t="s">
        <v>633</v>
      </c>
      <c r="D4389" s="550" t="s">
        <v>634</v>
      </c>
      <c r="E4389" s="224" t="s">
        <v>631</v>
      </c>
      <c r="F4389" s="228">
        <f t="shared" si="207"/>
        <v>1.2E-2</v>
      </c>
      <c r="G4389" s="229">
        <f t="shared" si="208"/>
        <v>115000</v>
      </c>
      <c r="H4389" s="230">
        <f>+G4389*F4389</f>
        <v>1380</v>
      </c>
      <c r="M4389" s="228">
        <v>1.2E-2</v>
      </c>
    </row>
    <row r="4390" spans="2:13" ht="18.75" customHeight="1" x14ac:dyDescent="0.25">
      <c r="B4390" s="550"/>
      <c r="C4390" s="227" t="s">
        <v>600</v>
      </c>
      <c r="D4390" s="550" t="s">
        <v>635</v>
      </c>
      <c r="E4390" s="224" t="s">
        <v>631</v>
      </c>
      <c r="F4390" s="228">
        <f t="shared" si="207"/>
        <v>1.2E-2</v>
      </c>
      <c r="G4390" s="229">
        <f t="shared" si="208"/>
        <v>140000</v>
      </c>
      <c r="H4390" s="230">
        <f>+G4390*F4390</f>
        <v>1680</v>
      </c>
      <c r="M4390" s="228">
        <v>1.2E-2</v>
      </c>
    </row>
    <row r="4391" spans="2:13" ht="18.75" customHeight="1" x14ac:dyDescent="0.25">
      <c r="B4391" s="550"/>
      <c r="C4391" s="223"/>
      <c r="D4391" s="550"/>
      <c r="E4391" s="224"/>
      <c r="F4391" s="233" t="s">
        <v>636</v>
      </c>
      <c r="G4391" s="290"/>
      <c r="H4391" s="231">
        <f>SUM(H4387:H4390)</f>
        <v>39060</v>
      </c>
      <c r="M4391" s="233" t="s">
        <v>636</v>
      </c>
    </row>
    <row r="4392" spans="2:13" ht="18.75" customHeight="1" x14ac:dyDescent="0.25">
      <c r="B4392" s="550"/>
      <c r="C4392" s="223"/>
      <c r="D4392" s="550"/>
      <c r="E4392" s="224"/>
      <c r="F4392" s="233"/>
      <c r="G4392" s="290"/>
      <c r="H4392" s="231"/>
      <c r="M4392" s="233"/>
    </row>
    <row r="4393" spans="2:13" ht="18.75" customHeight="1" x14ac:dyDescent="0.25">
      <c r="B4393" s="550" t="s">
        <v>637</v>
      </c>
      <c r="C4393" s="223" t="s">
        <v>638</v>
      </c>
      <c r="D4393" s="550"/>
      <c r="E4393" s="224"/>
      <c r="F4393" s="225"/>
      <c r="G4393" s="290"/>
      <c r="H4393" s="226"/>
      <c r="M4393" s="225"/>
    </row>
    <row r="4394" spans="2:13" ht="18.75" customHeight="1" x14ac:dyDescent="0.25">
      <c r="B4394" s="550"/>
      <c r="C4394" s="223" t="s">
        <v>1028</v>
      </c>
      <c r="D4394" s="550"/>
      <c r="E4394" s="550" t="s">
        <v>16</v>
      </c>
      <c r="F4394" s="405">
        <v>3.1</v>
      </c>
      <c r="G4394" s="234">
        <f>Bahan!$D$301/F4394</f>
        <v>20000</v>
      </c>
      <c r="H4394" s="230">
        <f>+G4394*F4394</f>
        <v>62000</v>
      </c>
      <c r="M4394" s="405">
        <v>3.1</v>
      </c>
    </row>
    <row r="4395" spans="2:13" ht="18.75" customHeight="1" x14ac:dyDescent="0.25">
      <c r="B4395" s="550"/>
      <c r="C4395" s="223" t="s">
        <v>708</v>
      </c>
      <c r="D4395" s="550"/>
      <c r="E4395" s="550" t="s">
        <v>5</v>
      </c>
      <c r="F4395" s="405">
        <v>9.6</v>
      </c>
      <c r="G4395" s="234">
        <f>G4368</f>
        <v>1700</v>
      </c>
      <c r="H4395" s="230">
        <f>+G4395*F4395</f>
        <v>16320</v>
      </c>
      <c r="M4395" s="405">
        <v>9.6</v>
      </c>
    </row>
    <row r="4396" spans="2:13" ht="18.75" customHeight="1" x14ac:dyDescent="0.25">
      <c r="B4396" s="550"/>
      <c r="C4396" s="223" t="s">
        <v>1018</v>
      </c>
      <c r="D4396" s="550"/>
      <c r="E4396" s="550" t="s">
        <v>5</v>
      </c>
      <c r="F4396" s="405">
        <v>1.5</v>
      </c>
      <c r="G4396" s="410">
        <f>G4369</f>
        <v>14500</v>
      </c>
      <c r="H4396" s="230">
        <f>+G4396*F4396</f>
        <v>21750</v>
      </c>
      <c r="M4396" s="405">
        <v>1.5</v>
      </c>
    </row>
    <row r="4397" spans="2:13" ht="18.75" customHeight="1" x14ac:dyDescent="0.25">
      <c r="B4397" s="550"/>
      <c r="C4397" s="223" t="s">
        <v>661</v>
      </c>
      <c r="D4397" s="550"/>
      <c r="E4397" s="224" t="s">
        <v>1013</v>
      </c>
      <c r="F4397" s="228">
        <v>7.5499999999999998E-2</v>
      </c>
      <c r="G4397" s="234">
        <f>G4370</f>
        <v>230000</v>
      </c>
      <c r="H4397" s="230">
        <f>+G4397*F4397</f>
        <v>17365</v>
      </c>
      <c r="M4397" s="228">
        <v>7.5499999999999998E-2</v>
      </c>
    </row>
    <row r="4398" spans="2:13" ht="18.75" customHeight="1" x14ac:dyDescent="0.25">
      <c r="B4398" s="550"/>
      <c r="C4398" s="223"/>
      <c r="D4398" s="550"/>
      <c r="E4398" s="224"/>
      <c r="F4398" s="237" t="s">
        <v>643</v>
      </c>
      <c r="G4398" s="290"/>
      <c r="H4398" s="231">
        <f>SUM(H4394:H4397)</f>
        <v>117435</v>
      </c>
      <c r="M4398" s="237" t="s">
        <v>643</v>
      </c>
    </row>
    <row r="4399" spans="2:13" ht="18.75" customHeight="1" x14ac:dyDescent="0.25">
      <c r="B4399" s="550"/>
      <c r="C4399" s="223"/>
      <c r="D4399" s="550"/>
      <c r="E4399" s="224"/>
      <c r="F4399" s="225"/>
      <c r="G4399" s="290"/>
      <c r="H4399" s="226"/>
      <c r="M4399" s="225"/>
    </row>
    <row r="4400" spans="2:13" ht="18.75" customHeight="1" x14ac:dyDescent="0.25">
      <c r="B4400" s="550" t="s">
        <v>644</v>
      </c>
      <c r="C4400" s="223" t="s">
        <v>645</v>
      </c>
      <c r="D4400" s="550"/>
      <c r="E4400" s="224"/>
      <c r="F4400" s="225"/>
      <c r="G4400" s="290"/>
      <c r="H4400" s="235"/>
      <c r="M4400" s="225"/>
    </row>
    <row r="4401" spans="2:13" ht="18.75" customHeight="1" x14ac:dyDescent="0.25">
      <c r="B4401" s="236"/>
      <c r="C4401" s="232"/>
      <c r="D4401" s="550"/>
      <c r="E4401" s="224"/>
      <c r="F4401" s="237" t="s">
        <v>646</v>
      </c>
      <c r="G4401" s="290"/>
      <c r="H4401" s="230"/>
      <c r="M4401" s="237" t="s">
        <v>646</v>
      </c>
    </row>
    <row r="4402" spans="2:13" ht="18.75" customHeight="1" x14ac:dyDescent="0.25">
      <c r="B4402" s="236"/>
      <c r="C4402" s="232"/>
      <c r="D4402" s="550"/>
      <c r="E4402" s="224"/>
      <c r="F4402" s="237"/>
      <c r="G4402" s="290"/>
      <c r="H4402" s="226"/>
      <c r="M4402" s="237"/>
    </row>
    <row r="4403" spans="2:13" ht="18.75" customHeight="1" x14ac:dyDescent="0.25">
      <c r="B4403" s="354"/>
      <c r="C4403" s="362"/>
      <c r="D4403" s="239"/>
      <c r="E4403" s="266"/>
      <c r="F4403" s="241"/>
      <c r="G4403" s="370"/>
      <c r="H4403" s="369"/>
      <c r="M4403" s="241"/>
    </row>
    <row r="4404" spans="2:13" ht="18.75" customHeight="1" x14ac:dyDescent="0.25">
      <c r="B4404" s="356" t="s">
        <v>647</v>
      </c>
      <c r="C4404" s="363" t="s">
        <v>648</v>
      </c>
      <c r="D4404" s="435"/>
      <c r="E4404" s="92"/>
      <c r="F4404" s="183"/>
      <c r="G4404" s="295"/>
      <c r="H4404" s="357">
        <f>+H4401+H4398+H4391</f>
        <v>156495</v>
      </c>
      <c r="M4404" s="183"/>
    </row>
    <row r="4405" spans="2:13" ht="18.75" customHeight="1" x14ac:dyDescent="0.25">
      <c r="B4405" s="356" t="s">
        <v>649</v>
      </c>
      <c r="C4405" s="364" t="s">
        <v>650</v>
      </c>
      <c r="D4405" s="435"/>
      <c r="E4405" s="92"/>
      <c r="F4405" s="184" t="str">
        <f>$J$5</f>
        <v>8,0 % x D</v>
      </c>
      <c r="G4405" s="295"/>
      <c r="H4405" s="358">
        <f>+H4404*$K$5</f>
        <v>12519.6</v>
      </c>
      <c r="M4405" s="184" t="str">
        <f>$J$5</f>
        <v>8,0 % x D</v>
      </c>
    </row>
    <row r="4406" spans="2:13" ht="18.75" customHeight="1" x14ac:dyDescent="0.25">
      <c r="B4406" s="356" t="s">
        <v>651</v>
      </c>
      <c r="C4406" s="365" t="s">
        <v>652</v>
      </c>
      <c r="D4406" s="435"/>
      <c r="E4406" s="91"/>
      <c r="F4406" s="185"/>
      <c r="G4406" s="296"/>
      <c r="H4406" s="359">
        <f>ROUNDUP((H4405+H4404)/100,0)*100</f>
        <v>169100</v>
      </c>
      <c r="M4406" s="185"/>
    </row>
    <row r="4407" spans="2:13" ht="18.75" customHeight="1" x14ac:dyDescent="0.25">
      <c r="B4407" s="360"/>
      <c r="C4407" s="366"/>
      <c r="D4407" s="245"/>
      <c r="E4407" s="246"/>
      <c r="F4407" s="247"/>
      <c r="G4407" s="299"/>
      <c r="H4407" s="361"/>
      <c r="M4407" s="247"/>
    </row>
    <row r="4408" spans="2:13" ht="18.75" customHeight="1" x14ac:dyDescent="0.25">
      <c r="B4408" s="92"/>
      <c r="C4408" s="104"/>
      <c r="D4408" s="435"/>
      <c r="E4408" s="91"/>
      <c r="F4408" s="185"/>
      <c r="G4408" s="168"/>
      <c r="H4408" s="139"/>
      <c r="M4408" s="185"/>
    </row>
    <row r="4409" spans="2:13" ht="18.75" customHeight="1" x14ac:dyDescent="0.25">
      <c r="B4409" s="19">
        <v>12</v>
      </c>
      <c r="C4409" s="93" t="s">
        <v>1027</v>
      </c>
      <c r="D4409" s="19"/>
      <c r="E4409" s="21"/>
      <c r="F4409" s="176"/>
      <c r="G4409" s="165"/>
      <c r="H4409" s="119"/>
      <c r="M4409" s="176"/>
    </row>
    <row r="4410" spans="2:13" ht="18.75" customHeight="1" x14ac:dyDescent="0.25">
      <c r="B4410" s="618" t="s">
        <v>620</v>
      </c>
      <c r="C4410" s="620" t="s">
        <v>621</v>
      </c>
      <c r="D4410" s="618" t="s">
        <v>622</v>
      </c>
      <c r="E4410" s="618" t="s">
        <v>2</v>
      </c>
      <c r="F4410" s="615" t="s">
        <v>623</v>
      </c>
      <c r="G4410" s="289" t="s">
        <v>624</v>
      </c>
      <c r="H4410" s="256" t="s">
        <v>625</v>
      </c>
      <c r="M4410" s="615" t="s">
        <v>623</v>
      </c>
    </row>
    <row r="4411" spans="2:13" ht="18.75" customHeight="1" x14ac:dyDescent="0.25">
      <c r="B4411" s="619"/>
      <c r="C4411" s="621"/>
      <c r="D4411" s="619"/>
      <c r="E4411" s="619"/>
      <c r="F4411" s="616"/>
      <c r="G4411" s="289" t="s">
        <v>626</v>
      </c>
      <c r="H4411" s="256" t="s">
        <v>626</v>
      </c>
      <c r="M4411" s="616"/>
    </row>
    <row r="4412" spans="2:13" ht="18.75" customHeight="1" x14ac:dyDescent="0.25">
      <c r="B4412" s="221"/>
      <c r="C4412" s="222"/>
      <c r="D4412" s="221"/>
      <c r="E4412" s="550"/>
      <c r="F4412" s="555"/>
      <c r="G4412" s="551"/>
      <c r="H4412" s="220"/>
      <c r="M4412" s="590"/>
    </row>
    <row r="4413" spans="2:13" ht="18.75" customHeight="1" x14ac:dyDescent="0.25">
      <c r="B4413" s="550" t="s">
        <v>627</v>
      </c>
      <c r="C4413" s="223" t="s">
        <v>628</v>
      </c>
      <c r="D4413" s="550"/>
      <c r="E4413" s="224"/>
      <c r="F4413" s="225"/>
      <c r="G4413" s="290"/>
      <c r="H4413" s="226"/>
      <c r="M4413" s="225"/>
    </row>
    <row r="4414" spans="2:13" ht="18.75" customHeight="1" x14ac:dyDescent="0.25">
      <c r="B4414" s="550"/>
      <c r="C4414" s="227" t="s">
        <v>629</v>
      </c>
      <c r="D4414" s="550" t="s">
        <v>630</v>
      </c>
      <c r="E4414" s="224" t="s">
        <v>631</v>
      </c>
      <c r="F4414" s="228">
        <f t="shared" ref="F4414:F4417" si="209">$K$8*M4414</f>
        <v>0.25</v>
      </c>
      <c r="G4414" s="229">
        <f>G4387</f>
        <v>95000</v>
      </c>
      <c r="H4414" s="230">
        <f>+G4414*F4414</f>
        <v>23750</v>
      </c>
      <c r="M4414" s="228">
        <v>0.25</v>
      </c>
    </row>
    <row r="4415" spans="2:13" ht="18.75" customHeight="1" x14ac:dyDescent="0.25">
      <c r="B4415" s="550"/>
      <c r="C4415" s="227" t="s">
        <v>1508</v>
      </c>
      <c r="D4415" s="550" t="s">
        <v>632</v>
      </c>
      <c r="E4415" s="224" t="s">
        <v>631</v>
      </c>
      <c r="F4415" s="228">
        <f t="shared" si="209"/>
        <v>0.125</v>
      </c>
      <c r="G4415" s="229">
        <f>G4388</f>
        <v>110000</v>
      </c>
      <c r="H4415" s="230">
        <f>+G4415*F4415</f>
        <v>13750</v>
      </c>
      <c r="M4415" s="228">
        <v>0.125</v>
      </c>
    </row>
    <row r="4416" spans="2:13" ht="18.75" customHeight="1" x14ac:dyDescent="0.25">
      <c r="B4416" s="550"/>
      <c r="C4416" s="227" t="s">
        <v>633</v>
      </c>
      <c r="D4416" s="550" t="s">
        <v>634</v>
      </c>
      <c r="E4416" s="224" t="s">
        <v>631</v>
      </c>
      <c r="F4416" s="228">
        <f t="shared" si="209"/>
        <v>1.2999999999999999E-2</v>
      </c>
      <c r="G4416" s="229">
        <f>G4389</f>
        <v>115000</v>
      </c>
      <c r="H4416" s="230">
        <f>+G4416*F4416</f>
        <v>1495</v>
      </c>
      <c r="M4416" s="228">
        <v>1.2999999999999999E-2</v>
      </c>
    </row>
    <row r="4417" spans="2:13" ht="18.75" customHeight="1" x14ac:dyDescent="0.25">
      <c r="B4417" s="550"/>
      <c r="C4417" s="227" t="s">
        <v>600</v>
      </c>
      <c r="D4417" s="550" t="s">
        <v>635</v>
      </c>
      <c r="E4417" s="224" t="s">
        <v>631</v>
      </c>
      <c r="F4417" s="228">
        <f t="shared" si="209"/>
        <v>1.2999999999999999E-2</v>
      </c>
      <c r="G4417" s="229">
        <f>G4390</f>
        <v>140000</v>
      </c>
      <c r="H4417" s="230">
        <f>+G4417*F4417</f>
        <v>1820</v>
      </c>
      <c r="M4417" s="228">
        <v>1.2999999999999999E-2</v>
      </c>
    </row>
    <row r="4418" spans="2:13" ht="18.75" customHeight="1" x14ac:dyDescent="0.25">
      <c r="B4418" s="550"/>
      <c r="C4418" s="223"/>
      <c r="D4418" s="550"/>
      <c r="E4418" s="224"/>
      <c r="F4418" s="233" t="s">
        <v>636</v>
      </c>
      <c r="G4418" s="290"/>
      <c r="H4418" s="231">
        <f>SUM(H4414:H4417)</f>
        <v>40815</v>
      </c>
      <c r="M4418" s="233" t="s">
        <v>636</v>
      </c>
    </row>
    <row r="4419" spans="2:13" ht="18.75" customHeight="1" x14ac:dyDescent="0.25">
      <c r="B4419" s="550"/>
      <c r="C4419" s="223"/>
      <c r="D4419" s="550"/>
      <c r="E4419" s="224"/>
      <c r="F4419" s="233"/>
      <c r="G4419" s="290"/>
      <c r="H4419" s="231"/>
      <c r="M4419" s="233"/>
    </row>
    <row r="4420" spans="2:13" ht="18.75" customHeight="1" x14ac:dyDescent="0.25">
      <c r="B4420" s="550" t="s">
        <v>637</v>
      </c>
      <c r="C4420" s="223" t="s">
        <v>638</v>
      </c>
      <c r="D4420" s="550"/>
      <c r="E4420" s="224"/>
      <c r="F4420" s="225"/>
      <c r="G4420" s="290"/>
      <c r="H4420" s="226"/>
      <c r="M4420" s="225"/>
    </row>
    <row r="4421" spans="2:13" ht="18.75" customHeight="1" x14ac:dyDescent="0.25">
      <c r="B4421" s="550"/>
      <c r="C4421" s="223" t="s">
        <v>1028</v>
      </c>
      <c r="D4421" s="550"/>
      <c r="E4421" s="550" t="s">
        <v>16</v>
      </c>
      <c r="F4421" s="405">
        <v>9.6300000000000008</v>
      </c>
      <c r="G4421" s="234">
        <f>Bahan!$D$301/F4421</f>
        <v>6438.213914849428</v>
      </c>
      <c r="H4421" s="230">
        <f>+G4421*F4421</f>
        <v>61999.999999999993</v>
      </c>
      <c r="M4421" s="405">
        <v>9.6300000000000008</v>
      </c>
    </row>
    <row r="4422" spans="2:13" ht="18.75" customHeight="1" x14ac:dyDescent="0.25">
      <c r="B4422" s="550"/>
      <c r="C4422" s="223" t="s">
        <v>708</v>
      </c>
      <c r="D4422" s="550"/>
      <c r="E4422" s="550" t="s">
        <v>5</v>
      </c>
      <c r="F4422" s="405">
        <v>9.8000000000000007</v>
      </c>
      <c r="G4422" s="234">
        <f>G4395</f>
        <v>1700</v>
      </c>
      <c r="H4422" s="230">
        <f>+G4422*F4422</f>
        <v>16660</v>
      </c>
      <c r="M4422" s="405">
        <v>9.8000000000000007</v>
      </c>
    </row>
    <row r="4423" spans="2:13" ht="18.75" customHeight="1" x14ac:dyDescent="0.25">
      <c r="B4423" s="550"/>
      <c r="C4423" s="223" t="s">
        <v>1018</v>
      </c>
      <c r="D4423" s="550"/>
      <c r="E4423" s="550" t="s">
        <v>5</v>
      </c>
      <c r="F4423" s="405">
        <v>1.3</v>
      </c>
      <c r="G4423" s="410">
        <f>G4396</f>
        <v>14500</v>
      </c>
      <c r="H4423" s="230">
        <f>+G4423*F4423</f>
        <v>18850</v>
      </c>
      <c r="M4423" s="405">
        <v>1.3</v>
      </c>
    </row>
    <row r="4424" spans="2:13" ht="18.75" customHeight="1" x14ac:dyDescent="0.25">
      <c r="B4424" s="550"/>
      <c r="C4424" s="223" t="s">
        <v>661</v>
      </c>
      <c r="D4424" s="550"/>
      <c r="E4424" s="224" t="s">
        <v>1013</v>
      </c>
      <c r="F4424" s="228">
        <v>7.5499999999999998E-2</v>
      </c>
      <c r="G4424" s="234">
        <f>G4397</f>
        <v>230000</v>
      </c>
      <c r="H4424" s="230">
        <f>+G4424*F4424</f>
        <v>17365</v>
      </c>
      <c r="M4424" s="228">
        <v>7.5499999999999998E-2</v>
      </c>
    </row>
    <row r="4425" spans="2:13" ht="18.75" customHeight="1" x14ac:dyDescent="0.25">
      <c r="B4425" s="550"/>
      <c r="C4425" s="223"/>
      <c r="D4425" s="550"/>
      <c r="E4425" s="224"/>
      <c r="F4425" s="237" t="s">
        <v>643</v>
      </c>
      <c r="G4425" s="290"/>
      <c r="H4425" s="231">
        <f>SUM(H4421:H4424)</f>
        <v>114875</v>
      </c>
      <c r="M4425" s="237" t="s">
        <v>643</v>
      </c>
    </row>
    <row r="4426" spans="2:13" ht="18.75" customHeight="1" x14ac:dyDescent="0.25">
      <c r="B4426" s="550"/>
      <c r="C4426" s="223"/>
      <c r="D4426" s="550"/>
      <c r="E4426" s="224"/>
      <c r="F4426" s="225"/>
      <c r="G4426" s="290"/>
      <c r="H4426" s="226"/>
      <c r="M4426" s="225"/>
    </row>
    <row r="4427" spans="2:13" ht="18.75" customHeight="1" x14ac:dyDescent="0.25">
      <c r="B4427" s="550" t="s">
        <v>644</v>
      </c>
      <c r="C4427" s="223" t="s">
        <v>645</v>
      </c>
      <c r="D4427" s="550"/>
      <c r="E4427" s="224"/>
      <c r="F4427" s="225"/>
      <c r="G4427" s="290"/>
      <c r="H4427" s="235"/>
      <c r="M4427" s="225"/>
    </row>
    <row r="4428" spans="2:13" ht="18.75" customHeight="1" x14ac:dyDescent="0.25">
      <c r="B4428" s="236"/>
      <c r="C4428" s="232"/>
      <c r="D4428" s="550"/>
      <c r="E4428" s="224"/>
      <c r="F4428" s="237" t="s">
        <v>646</v>
      </c>
      <c r="G4428" s="290"/>
      <c r="H4428" s="230"/>
      <c r="M4428" s="237" t="s">
        <v>646</v>
      </c>
    </row>
    <row r="4429" spans="2:13" ht="18.75" customHeight="1" x14ac:dyDescent="0.25">
      <c r="B4429" s="236"/>
      <c r="C4429" s="232"/>
      <c r="D4429" s="550"/>
      <c r="E4429" s="224"/>
      <c r="F4429" s="237"/>
      <c r="G4429" s="290"/>
      <c r="H4429" s="226"/>
      <c r="M4429" s="237"/>
    </row>
    <row r="4430" spans="2:13" ht="18.75" customHeight="1" x14ac:dyDescent="0.25">
      <c r="B4430" s="354"/>
      <c r="C4430" s="362"/>
      <c r="D4430" s="239"/>
      <c r="E4430" s="266"/>
      <c r="F4430" s="241"/>
      <c r="G4430" s="370"/>
      <c r="H4430" s="369"/>
      <c r="M4430" s="241"/>
    </row>
    <row r="4431" spans="2:13" ht="18.75" customHeight="1" x14ac:dyDescent="0.25">
      <c r="B4431" s="356" t="s">
        <v>647</v>
      </c>
      <c r="C4431" s="363" t="s">
        <v>648</v>
      </c>
      <c r="D4431" s="435"/>
      <c r="E4431" s="92"/>
      <c r="F4431" s="183"/>
      <c r="G4431" s="295"/>
      <c r="H4431" s="357">
        <f>+H4428+H4425+H4418</f>
        <v>155690</v>
      </c>
      <c r="M4431" s="183"/>
    </row>
    <row r="4432" spans="2:13" ht="18.75" customHeight="1" x14ac:dyDescent="0.25">
      <c r="B4432" s="356" t="s">
        <v>649</v>
      </c>
      <c r="C4432" s="364" t="s">
        <v>650</v>
      </c>
      <c r="D4432" s="435"/>
      <c r="E4432" s="92"/>
      <c r="F4432" s="184" t="str">
        <f>$J$5</f>
        <v>8,0 % x D</v>
      </c>
      <c r="G4432" s="295"/>
      <c r="H4432" s="358">
        <f>+H4431*$K$5</f>
        <v>12455.2</v>
      </c>
      <c r="M4432" s="184" t="str">
        <f>$J$5</f>
        <v>8,0 % x D</v>
      </c>
    </row>
    <row r="4433" spans="2:13" ht="18.75" customHeight="1" x14ac:dyDescent="0.25">
      <c r="B4433" s="356" t="s">
        <v>651</v>
      </c>
      <c r="C4433" s="365" t="s">
        <v>652</v>
      </c>
      <c r="D4433" s="435"/>
      <c r="E4433" s="91"/>
      <c r="F4433" s="185"/>
      <c r="G4433" s="296"/>
      <c r="H4433" s="359">
        <f>ROUNDUP((H4432+H4431)/100,0)*100</f>
        <v>168200</v>
      </c>
      <c r="M4433" s="185"/>
    </row>
    <row r="4434" spans="2:13" ht="18.75" customHeight="1" x14ac:dyDescent="0.25">
      <c r="B4434" s="360"/>
      <c r="C4434" s="366"/>
      <c r="D4434" s="245"/>
      <c r="E4434" s="246"/>
      <c r="F4434" s="247"/>
      <c r="G4434" s="299"/>
      <c r="H4434" s="361"/>
      <c r="M4434" s="247"/>
    </row>
    <row r="4435" spans="2:13" ht="18.75" customHeight="1" x14ac:dyDescent="0.25">
      <c r="B4435" s="22"/>
      <c r="C4435" s="104"/>
      <c r="E4435" s="21"/>
      <c r="F4435" s="176"/>
      <c r="G4435" s="165"/>
      <c r="H4435" s="119"/>
      <c r="M4435" s="176"/>
    </row>
    <row r="4436" spans="2:13" ht="18.75" customHeight="1" x14ac:dyDescent="0.25">
      <c r="B4436" s="19">
        <v>13</v>
      </c>
      <c r="C4436" s="93" t="s">
        <v>1029</v>
      </c>
      <c r="D4436" s="19"/>
      <c r="E4436" s="21"/>
      <c r="F4436" s="176"/>
      <c r="G4436" s="165"/>
      <c r="H4436" s="119"/>
      <c r="M4436" s="176"/>
    </row>
    <row r="4437" spans="2:13" ht="18.75" customHeight="1" x14ac:dyDescent="0.25">
      <c r="B4437" s="618" t="s">
        <v>620</v>
      </c>
      <c r="C4437" s="620" t="s">
        <v>621</v>
      </c>
      <c r="D4437" s="618" t="s">
        <v>622</v>
      </c>
      <c r="E4437" s="618" t="s">
        <v>2</v>
      </c>
      <c r="F4437" s="615" t="s">
        <v>623</v>
      </c>
      <c r="G4437" s="289" t="s">
        <v>624</v>
      </c>
      <c r="H4437" s="256" t="s">
        <v>625</v>
      </c>
      <c r="M4437" s="615" t="s">
        <v>623</v>
      </c>
    </row>
    <row r="4438" spans="2:13" ht="18.75" customHeight="1" x14ac:dyDescent="0.25">
      <c r="B4438" s="619"/>
      <c r="C4438" s="621"/>
      <c r="D4438" s="619"/>
      <c r="E4438" s="619"/>
      <c r="F4438" s="616"/>
      <c r="G4438" s="289" t="s">
        <v>626</v>
      </c>
      <c r="H4438" s="256" t="s">
        <v>626</v>
      </c>
      <c r="M4438" s="616"/>
    </row>
    <row r="4439" spans="2:13" ht="18.75" customHeight="1" x14ac:dyDescent="0.25">
      <c r="B4439" s="221"/>
      <c r="C4439" s="222"/>
      <c r="D4439" s="221"/>
      <c r="E4439" s="550"/>
      <c r="F4439" s="555"/>
      <c r="G4439" s="551"/>
      <c r="H4439" s="220"/>
      <c r="M4439" s="590"/>
    </row>
    <row r="4440" spans="2:13" ht="18.75" customHeight="1" x14ac:dyDescent="0.25">
      <c r="B4440" s="550" t="s">
        <v>627</v>
      </c>
      <c r="C4440" s="223" t="s">
        <v>628</v>
      </c>
      <c r="D4440" s="550"/>
      <c r="E4440" s="224"/>
      <c r="F4440" s="225"/>
      <c r="G4440" s="290"/>
      <c r="H4440" s="226"/>
      <c r="M4440" s="225"/>
    </row>
    <row r="4441" spans="2:13" ht="18.75" customHeight="1" x14ac:dyDescent="0.25">
      <c r="B4441" s="550"/>
      <c r="C4441" s="227" t="s">
        <v>629</v>
      </c>
      <c r="D4441" s="550" t="s">
        <v>630</v>
      </c>
      <c r="E4441" s="224" t="s">
        <v>631</v>
      </c>
      <c r="F4441" s="228">
        <f t="shared" ref="F4441:F4444" si="210">$K$8*M4441</f>
        <v>0.26</v>
      </c>
      <c r="G4441" s="229">
        <f>G4414</f>
        <v>95000</v>
      </c>
      <c r="H4441" s="230">
        <f>+G4441*F4441</f>
        <v>24700</v>
      </c>
      <c r="M4441" s="228">
        <v>0.26</v>
      </c>
    </row>
    <row r="4442" spans="2:13" ht="18.75" customHeight="1" x14ac:dyDescent="0.25">
      <c r="B4442" s="550"/>
      <c r="C4442" s="227" t="s">
        <v>1508</v>
      </c>
      <c r="D4442" s="550" t="s">
        <v>632</v>
      </c>
      <c r="E4442" s="224" t="s">
        <v>631</v>
      </c>
      <c r="F4442" s="228">
        <f t="shared" si="210"/>
        <v>0.13</v>
      </c>
      <c r="G4442" s="229">
        <f>G4415</f>
        <v>110000</v>
      </c>
      <c r="H4442" s="230">
        <f>+G4442*F4442</f>
        <v>14300</v>
      </c>
      <c r="M4442" s="228">
        <v>0.13</v>
      </c>
    </row>
    <row r="4443" spans="2:13" ht="18.75" customHeight="1" x14ac:dyDescent="0.25">
      <c r="B4443" s="550"/>
      <c r="C4443" s="227" t="s">
        <v>633</v>
      </c>
      <c r="D4443" s="550" t="s">
        <v>634</v>
      </c>
      <c r="E4443" s="224" t="s">
        <v>631</v>
      </c>
      <c r="F4443" s="228">
        <f t="shared" si="210"/>
        <v>1.2999999999999999E-2</v>
      </c>
      <c r="G4443" s="229">
        <f>G4416</f>
        <v>115000</v>
      </c>
      <c r="H4443" s="230">
        <f>+G4443*F4443</f>
        <v>1495</v>
      </c>
      <c r="M4443" s="228">
        <v>1.2999999999999999E-2</v>
      </c>
    </row>
    <row r="4444" spans="2:13" ht="18.75" customHeight="1" x14ac:dyDescent="0.25">
      <c r="B4444" s="550"/>
      <c r="C4444" s="227" t="s">
        <v>600</v>
      </c>
      <c r="D4444" s="550" t="s">
        <v>635</v>
      </c>
      <c r="E4444" s="224" t="s">
        <v>631</v>
      </c>
      <c r="F4444" s="228">
        <f t="shared" si="210"/>
        <v>1.2999999999999999E-2</v>
      </c>
      <c r="G4444" s="229">
        <f>G4417</f>
        <v>140000</v>
      </c>
      <c r="H4444" s="230">
        <f>+G4444*F4444</f>
        <v>1820</v>
      </c>
      <c r="M4444" s="228">
        <v>1.2999999999999999E-2</v>
      </c>
    </row>
    <row r="4445" spans="2:13" ht="18.75" customHeight="1" x14ac:dyDescent="0.25">
      <c r="B4445" s="550"/>
      <c r="C4445" s="223"/>
      <c r="D4445" s="550"/>
      <c r="E4445" s="224"/>
      <c r="F4445" s="233" t="s">
        <v>636</v>
      </c>
      <c r="G4445" s="290"/>
      <c r="H4445" s="231">
        <f>SUM(H4441:H4444)</f>
        <v>42315</v>
      </c>
      <c r="M4445" s="233" t="s">
        <v>636</v>
      </c>
    </row>
    <row r="4446" spans="2:13" ht="18.75" customHeight="1" x14ac:dyDescent="0.25">
      <c r="B4446" s="550"/>
      <c r="C4446" s="223"/>
      <c r="D4446" s="550"/>
      <c r="E4446" s="224"/>
      <c r="F4446" s="233"/>
      <c r="G4446" s="290"/>
      <c r="H4446" s="231"/>
      <c r="M4446" s="233"/>
    </row>
    <row r="4447" spans="2:13" ht="18.75" customHeight="1" x14ac:dyDescent="0.25">
      <c r="B4447" s="550" t="s">
        <v>637</v>
      </c>
      <c r="C4447" s="223" t="s">
        <v>638</v>
      </c>
      <c r="D4447" s="550"/>
      <c r="E4447" s="224"/>
      <c r="F4447" s="225"/>
      <c r="G4447" s="290"/>
      <c r="H4447" s="226"/>
      <c r="M4447" s="225"/>
    </row>
    <row r="4448" spans="2:13" ht="18.75" customHeight="1" x14ac:dyDescent="0.25">
      <c r="B4448" s="550"/>
      <c r="C4448" s="223" t="s">
        <v>1028</v>
      </c>
      <c r="D4448" s="550"/>
      <c r="E4448" s="550" t="s">
        <v>16</v>
      </c>
      <c r="F4448" s="405">
        <v>11.87</v>
      </c>
      <c r="G4448" s="234">
        <f>Bahan!$D$301/F4448</f>
        <v>5223.2518955349624</v>
      </c>
      <c r="H4448" s="230">
        <f>+G4448*F4448</f>
        <v>62000</v>
      </c>
      <c r="M4448" s="405">
        <v>11.87</v>
      </c>
    </row>
    <row r="4449" spans="2:13" ht="18.75" customHeight="1" x14ac:dyDescent="0.25">
      <c r="B4449" s="550"/>
      <c r="C4449" s="223" t="s">
        <v>708</v>
      </c>
      <c r="D4449" s="550"/>
      <c r="E4449" s="550" t="s">
        <v>5</v>
      </c>
      <c r="F4449" s="405">
        <v>10</v>
      </c>
      <c r="G4449" s="234">
        <f>G4422</f>
        <v>1700</v>
      </c>
      <c r="H4449" s="230">
        <f>+G4449*F4449</f>
        <v>17000</v>
      </c>
      <c r="M4449" s="405">
        <v>10</v>
      </c>
    </row>
    <row r="4450" spans="2:13" ht="18.75" customHeight="1" x14ac:dyDescent="0.25">
      <c r="B4450" s="550"/>
      <c r="C4450" s="223" t="s">
        <v>1018</v>
      </c>
      <c r="D4450" s="550"/>
      <c r="E4450" s="550" t="s">
        <v>5</v>
      </c>
      <c r="F4450" s="405">
        <v>1.5</v>
      </c>
      <c r="G4450" s="410">
        <f>G4423</f>
        <v>14500</v>
      </c>
      <c r="H4450" s="230">
        <f>+G4450*F4450</f>
        <v>21750</v>
      </c>
      <c r="M4450" s="405">
        <v>1.5</v>
      </c>
    </row>
    <row r="4451" spans="2:13" ht="18.75" customHeight="1" x14ac:dyDescent="0.25">
      <c r="B4451" s="550"/>
      <c r="C4451" s="223" t="s">
        <v>661</v>
      </c>
      <c r="D4451" s="550"/>
      <c r="E4451" s="224" t="s">
        <v>1013</v>
      </c>
      <c r="F4451" s="228">
        <v>7.5499999999999998E-2</v>
      </c>
      <c r="G4451" s="234">
        <f>G4424</f>
        <v>230000</v>
      </c>
      <c r="H4451" s="230">
        <f>+G4451*F4451</f>
        <v>17365</v>
      </c>
      <c r="M4451" s="228">
        <v>7.5499999999999998E-2</v>
      </c>
    </row>
    <row r="4452" spans="2:13" ht="18.75" customHeight="1" x14ac:dyDescent="0.25">
      <c r="B4452" s="550"/>
      <c r="C4452" s="223"/>
      <c r="D4452" s="550"/>
      <c r="E4452" s="224"/>
      <c r="F4452" s="237" t="s">
        <v>643</v>
      </c>
      <c r="G4452" s="290"/>
      <c r="H4452" s="231">
        <f>SUM(H4448:H4451)</f>
        <v>118115</v>
      </c>
      <c r="M4452" s="237" t="s">
        <v>643</v>
      </c>
    </row>
    <row r="4453" spans="2:13" ht="18.75" customHeight="1" x14ac:dyDescent="0.25">
      <c r="B4453" s="550"/>
      <c r="C4453" s="223"/>
      <c r="D4453" s="550"/>
      <c r="E4453" s="224"/>
      <c r="F4453" s="225"/>
      <c r="G4453" s="290"/>
      <c r="H4453" s="226"/>
      <c r="M4453" s="225"/>
    </row>
    <row r="4454" spans="2:13" ht="18.75" customHeight="1" x14ac:dyDescent="0.25">
      <c r="B4454" s="550" t="s">
        <v>644</v>
      </c>
      <c r="C4454" s="223" t="s">
        <v>645</v>
      </c>
      <c r="D4454" s="550"/>
      <c r="E4454" s="224"/>
      <c r="F4454" s="225"/>
      <c r="G4454" s="290"/>
      <c r="H4454" s="235"/>
      <c r="M4454" s="225"/>
    </row>
    <row r="4455" spans="2:13" ht="18.75" customHeight="1" x14ac:dyDescent="0.25">
      <c r="B4455" s="236"/>
      <c r="C4455" s="232"/>
      <c r="D4455" s="550"/>
      <c r="E4455" s="224"/>
      <c r="F4455" s="237" t="s">
        <v>646</v>
      </c>
      <c r="G4455" s="290"/>
      <c r="H4455" s="230"/>
      <c r="M4455" s="237" t="s">
        <v>646</v>
      </c>
    </row>
    <row r="4456" spans="2:13" ht="18.75" customHeight="1" x14ac:dyDescent="0.25">
      <c r="B4456" s="236"/>
      <c r="C4456" s="232"/>
      <c r="D4456" s="550"/>
      <c r="E4456" s="224"/>
      <c r="F4456" s="237"/>
      <c r="G4456" s="290"/>
      <c r="H4456" s="230"/>
      <c r="M4456" s="237"/>
    </row>
    <row r="4457" spans="2:13" ht="18.75" customHeight="1" x14ac:dyDescent="0.25">
      <c r="B4457" s="354"/>
      <c r="C4457" s="362"/>
      <c r="D4457" s="239"/>
      <c r="E4457" s="266"/>
      <c r="F4457" s="241"/>
      <c r="G4457" s="370"/>
      <c r="H4457" s="369"/>
      <c r="M4457" s="241"/>
    </row>
    <row r="4458" spans="2:13" ht="18.75" customHeight="1" x14ac:dyDescent="0.25">
      <c r="B4458" s="356" t="s">
        <v>647</v>
      </c>
      <c r="C4458" s="363" t="s">
        <v>648</v>
      </c>
      <c r="D4458" s="435"/>
      <c r="E4458" s="92"/>
      <c r="F4458" s="183"/>
      <c r="G4458" s="295"/>
      <c r="H4458" s="357">
        <f>+H4455+H4452+H4445</f>
        <v>160430</v>
      </c>
      <c r="M4458" s="183"/>
    </row>
    <row r="4459" spans="2:13" ht="18.75" customHeight="1" x14ac:dyDescent="0.25">
      <c r="B4459" s="356" t="s">
        <v>649</v>
      </c>
      <c r="C4459" s="364" t="s">
        <v>650</v>
      </c>
      <c r="D4459" s="435"/>
      <c r="E4459" s="92"/>
      <c r="F4459" s="184" t="str">
        <f>$J$5</f>
        <v>8,0 % x D</v>
      </c>
      <c r="G4459" s="295"/>
      <c r="H4459" s="358">
        <f>+H4458*$K$5</f>
        <v>12834.4</v>
      </c>
      <c r="M4459" s="184" t="str">
        <f>$J$5</f>
        <v>8,0 % x D</v>
      </c>
    </row>
    <row r="4460" spans="2:13" ht="18.75" customHeight="1" x14ac:dyDescent="0.25">
      <c r="B4460" s="356" t="s">
        <v>651</v>
      </c>
      <c r="C4460" s="365" t="s">
        <v>652</v>
      </c>
      <c r="D4460" s="435"/>
      <c r="E4460" s="91"/>
      <c r="F4460" s="185"/>
      <c r="G4460" s="296"/>
      <c r="H4460" s="359">
        <f>ROUNDUP((H4459+H4458)/100,0)*100</f>
        <v>173300</v>
      </c>
      <c r="M4460" s="185"/>
    </row>
    <row r="4461" spans="2:13" ht="18.75" customHeight="1" x14ac:dyDescent="0.25">
      <c r="B4461" s="360"/>
      <c r="C4461" s="366"/>
      <c r="D4461" s="245"/>
      <c r="E4461" s="246"/>
      <c r="F4461" s="247"/>
      <c r="G4461" s="299"/>
      <c r="H4461" s="361"/>
      <c r="M4461" s="247"/>
    </row>
    <row r="4462" spans="2:13" ht="18.75" customHeight="1" x14ac:dyDescent="0.25">
      <c r="B4462" s="92"/>
      <c r="C4462" s="104"/>
      <c r="D4462" s="435"/>
      <c r="E4462" s="91"/>
      <c r="F4462" s="185"/>
      <c r="G4462" s="168"/>
      <c r="H4462" s="139"/>
      <c r="M4462" s="185"/>
    </row>
    <row r="4463" spans="2:13" ht="18.75" customHeight="1" x14ac:dyDescent="0.25">
      <c r="B4463" s="19">
        <v>14</v>
      </c>
      <c r="C4463" s="93" t="s">
        <v>1789</v>
      </c>
      <c r="D4463" s="19"/>
      <c r="E4463" s="21"/>
      <c r="F4463" s="176"/>
      <c r="G4463" s="165"/>
      <c r="H4463" s="119"/>
      <c r="M4463" s="176"/>
    </row>
    <row r="4464" spans="2:13" ht="18.75" customHeight="1" x14ac:dyDescent="0.25">
      <c r="B4464" s="618" t="s">
        <v>620</v>
      </c>
      <c r="C4464" s="620" t="s">
        <v>621</v>
      </c>
      <c r="D4464" s="618" t="s">
        <v>622</v>
      </c>
      <c r="E4464" s="618" t="s">
        <v>2</v>
      </c>
      <c r="F4464" s="615" t="s">
        <v>623</v>
      </c>
      <c r="G4464" s="289" t="s">
        <v>624</v>
      </c>
      <c r="H4464" s="256" t="s">
        <v>625</v>
      </c>
      <c r="M4464" s="615" t="s">
        <v>623</v>
      </c>
    </row>
    <row r="4465" spans="2:13" ht="18.75" customHeight="1" x14ac:dyDescent="0.25">
      <c r="B4465" s="619"/>
      <c r="C4465" s="621"/>
      <c r="D4465" s="619"/>
      <c r="E4465" s="619"/>
      <c r="F4465" s="616"/>
      <c r="G4465" s="289" t="s">
        <v>626</v>
      </c>
      <c r="H4465" s="256" t="s">
        <v>626</v>
      </c>
      <c r="M4465" s="616"/>
    </row>
    <row r="4466" spans="2:13" ht="18.75" customHeight="1" x14ac:dyDescent="0.25">
      <c r="B4466" s="221"/>
      <c r="C4466" s="222"/>
      <c r="D4466" s="221"/>
      <c r="E4466" s="550"/>
      <c r="F4466" s="555"/>
      <c r="G4466" s="551"/>
      <c r="H4466" s="220"/>
      <c r="M4466" s="590"/>
    </row>
    <row r="4467" spans="2:13" ht="18.75" customHeight="1" x14ac:dyDescent="0.25">
      <c r="B4467" s="550" t="s">
        <v>627</v>
      </c>
      <c r="C4467" s="223" t="s">
        <v>628</v>
      </c>
      <c r="D4467" s="550"/>
      <c r="E4467" s="224"/>
      <c r="F4467" s="225"/>
      <c r="G4467" s="290"/>
      <c r="H4467" s="226"/>
      <c r="M4467" s="225"/>
    </row>
    <row r="4468" spans="2:13" ht="18.75" customHeight="1" x14ac:dyDescent="0.25">
      <c r="B4468" s="550"/>
      <c r="C4468" s="227" t="s">
        <v>629</v>
      </c>
      <c r="D4468" s="550" t="s">
        <v>630</v>
      </c>
      <c r="E4468" s="224" t="s">
        <v>631</v>
      </c>
      <c r="F4468" s="228">
        <f t="shared" ref="F4468:F4471" si="211">$K$8*M4468</f>
        <v>0.09</v>
      </c>
      <c r="G4468" s="229">
        <f>G4441</f>
        <v>95000</v>
      </c>
      <c r="H4468" s="230">
        <f>+G4468*F4468</f>
        <v>8550</v>
      </c>
      <c r="M4468" s="228">
        <v>0.09</v>
      </c>
    </row>
    <row r="4469" spans="2:13" ht="18.75" customHeight="1" x14ac:dyDescent="0.25">
      <c r="B4469" s="550"/>
      <c r="C4469" s="227" t="s">
        <v>1508</v>
      </c>
      <c r="D4469" s="550" t="s">
        <v>632</v>
      </c>
      <c r="E4469" s="224" t="s">
        <v>631</v>
      </c>
      <c r="F4469" s="228">
        <f t="shared" si="211"/>
        <v>0.09</v>
      </c>
      <c r="G4469" s="229">
        <f>G4442</f>
        <v>110000</v>
      </c>
      <c r="H4469" s="230">
        <f>+G4469*F4469</f>
        <v>9900</v>
      </c>
      <c r="M4469" s="228">
        <v>0.09</v>
      </c>
    </row>
    <row r="4470" spans="2:13" ht="18.75" customHeight="1" x14ac:dyDescent="0.25">
      <c r="B4470" s="550"/>
      <c r="C4470" s="227" t="s">
        <v>633</v>
      </c>
      <c r="D4470" s="550" t="s">
        <v>634</v>
      </c>
      <c r="E4470" s="224" t="s">
        <v>631</v>
      </c>
      <c r="F4470" s="228">
        <f t="shared" si="211"/>
        <v>8.9999999999999993E-3</v>
      </c>
      <c r="G4470" s="229">
        <f>G4443</f>
        <v>115000</v>
      </c>
      <c r="H4470" s="230">
        <f>+G4470*F4470</f>
        <v>1035</v>
      </c>
      <c r="M4470" s="228">
        <v>8.9999999999999993E-3</v>
      </c>
    </row>
    <row r="4471" spans="2:13" ht="18.75" customHeight="1" x14ac:dyDescent="0.25">
      <c r="B4471" s="550"/>
      <c r="C4471" s="227" t="s">
        <v>600</v>
      </c>
      <c r="D4471" s="550" t="s">
        <v>635</v>
      </c>
      <c r="E4471" s="224" t="s">
        <v>631</v>
      </c>
      <c r="F4471" s="228">
        <f t="shared" si="211"/>
        <v>5.0000000000000001E-3</v>
      </c>
      <c r="G4471" s="229">
        <f>G4444</f>
        <v>140000</v>
      </c>
      <c r="H4471" s="230">
        <f>+G4471*F4471</f>
        <v>700</v>
      </c>
      <c r="M4471" s="228">
        <v>5.0000000000000001E-3</v>
      </c>
    </row>
    <row r="4472" spans="2:13" ht="18.75" customHeight="1" x14ac:dyDescent="0.25">
      <c r="B4472" s="550"/>
      <c r="C4472" s="223"/>
      <c r="D4472" s="550"/>
      <c r="E4472" s="224"/>
      <c r="F4472" s="233" t="s">
        <v>636</v>
      </c>
      <c r="G4472" s="290"/>
      <c r="H4472" s="231">
        <f>SUM(H4468:H4471)</f>
        <v>20185</v>
      </c>
      <c r="M4472" s="233" t="s">
        <v>636</v>
      </c>
    </row>
    <row r="4473" spans="2:13" ht="18.75" customHeight="1" x14ac:dyDescent="0.25">
      <c r="B4473" s="550"/>
      <c r="C4473" s="223"/>
      <c r="D4473" s="550"/>
      <c r="E4473" s="224"/>
      <c r="F4473" s="233"/>
      <c r="G4473" s="290"/>
      <c r="H4473" s="231"/>
      <c r="M4473" s="233"/>
    </row>
    <row r="4474" spans="2:13" ht="18.75" customHeight="1" x14ac:dyDescent="0.25">
      <c r="B4474" s="550" t="s">
        <v>637</v>
      </c>
      <c r="C4474" s="223" t="s">
        <v>638</v>
      </c>
      <c r="D4474" s="550"/>
      <c r="E4474" s="224"/>
      <c r="F4474" s="225"/>
      <c r="G4474" s="290"/>
      <c r="H4474" s="226"/>
      <c r="M4474" s="225"/>
    </row>
    <row r="4475" spans="2:13" ht="18.75" customHeight="1" x14ac:dyDescent="0.25">
      <c r="B4475" s="550"/>
      <c r="C4475" s="223" t="s">
        <v>1031</v>
      </c>
      <c r="D4475" s="550"/>
      <c r="E4475" s="550" t="s">
        <v>16</v>
      </c>
      <c r="F4475" s="405">
        <v>5.3</v>
      </c>
      <c r="G4475" s="418">
        <f>Bahan!D297/(1/(0.15*0.2))</f>
        <v>2700</v>
      </c>
      <c r="H4475" s="230">
        <f>+G4475*F4475</f>
        <v>14310</v>
      </c>
      <c r="J4475" s="472"/>
      <c r="M4475" s="405">
        <v>5.3</v>
      </c>
    </row>
    <row r="4476" spans="2:13" ht="18.75" customHeight="1" x14ac:dyDescent="0.25">
      <c r="B4476" s="550"/>
      <c r="C4476" s="223" t="s">
        <v>708</v>
      </c>
      <c r="D4476" s="550"/>
      <c r="E4476" s="550" t="s">
        <v>5</v>
      </c>
      <c r="F4476" s="405">
        <v>1.55</v>
      </c>
      <c r="G4476" s="234">
        <f>G4449</f>
        <v>1700</v>
      </c>
      <c r="H4476" s="230">
        <f>+G4476*F4476</f>
        <v>2635</v>
      </c>
      <c r="M4476" s="405">
        <v>1.55</v>
      </c>
    </row>
    <row r="4477" spans="2:13" ht="18.75" customHeight="1" x14ac:dyDescent="0.25">
      <c r="B4477" s="550"/>
      <c r="C4477" s="223" t="s">
        <v>661</v>
      </c>
      <c r="D4477" s="550"/>
      <c r="E4477" s="224" t="s">
        <v>1013</v>
      </c>
      <c r="F4477" s="228">
        <v>3.5000000000000001E-3</v>
      </c>
      <c r="G4477" s="234">
        <f>G4451</f>
        <v>230000</v>
      </c>
      <c r="H4477" s="230">
        <f>+G4477*F4477</f>
        <v>805</v>
      </c>
      <c r="M4477" s="228">
        <v>3.5000000000000001E-3</v>
      </c>
    </row>
    <row r="4478" spans="2:13" ht="18.75" customHeight="1" x14ac:dyDescent="0.25">
      <c r="B4478" s="550"/>
      <c r="C4478" s="223"/>
      <c r="D4478" s="550"/>
      <c r="E4478" s="224"/>
      <c r="F4478" s="237" t="s">
        <v>643</v>
      </c>
      <c r="G4478" s="290"/>
      <c r="H4478" s="231">
        <f>SUM(H4475:H4477)</f>
        <v>17750</v>
      </c>
      <c r="M4478" s="237" t="s">
        <v>643</v>
      </c>
    </row>
    <row r="4479" spans="2:13" ht="18.75" customHeight="1" x14ac:dyDescent="0.25">
      <c r="B4479" s="550"/>
      <c r="C4479" s="223"/>
      <c r="D4479" s="550"/>
      <c r="E4479" s="224"/>
      <c r="F4479" s="225"/>
      <c r="G4479" s="290"/>
      <c r="H4479" s="226"/>
      <c r="M4479" s="225"/>
    </row>
    <row r="4480" spans="2:13" ht="18.75" customHeight="1" x14ac:dyDescent="0.25">
      <c r="B4480" s="550" t="s">
        <v>644</v>
      </c>
      <c r="C4480" s="223" t="s">
        <v>645</v>
      </c>
      <c r="D4480" s="550"/>
      <c r="E4480" s="224"/>
      <c r="F4480" s="225"/>
      <c r="G4480" s="290"/>
      <c r="H4480" s="235"/>
      <c r="M4480" s="225"/>
    </row>
    <row r="4481" spans="2:13" ht="18.75" customHeight="1" x14ac:dyDescent="0.25">
      <c r="B4481" s="236"/>
      <c r="C4481" s="232"/>
      <c r="D4481" s="550"/>
      <c r="E4481" s="224"/>
      <c r="F4481" s="237" t="s">
        <v>646</v>
      </c>
      <c r="G4481" s="290"/>
      <c r="H4481" s="230"/>
      <c r="M4481" s="237" t="s">
        <v>646</v>
      </c>
    </row>
    <row r="4482" spans="2:13" ht="18.75" customHeight="1" x14ac:dyDescent="0.25">
      <c r="B4482" s="236"/>
      <c r="C4482" s="232"/>
      <c r="D4482" s="550"/>
      <c r="E4482" s="224"/>
      <c r="F4482" s="237"/>
      <c r="G4482" s="290"/>
      <c r="H4482" s="230"/>
      <c r="M4482" s="237"/>
    </row>
    <row r="4483" spans="2:13" ht="18.75" customHeight="1" x14ac:dyDescent="0.25">
      <c r="B4483" s="354"/>
      <c r="C4483" s="362"/>
      <c r="D4483" s="239"/>
      <c r="E4483" s="266"/>
      <c r="F4483" s="241"/>
      <c r="G4483" s="370"/>
      <c r="H4483" s="369"/>
      <c r="M4483" s="241"/>
    </row>
    <row r="4484" spans="2:13" ht="18.75" customHeight="1" x14ac:dyDescent="0.25">
      <c r="B4484" s="356" t="s">
        <v>647</v>
      </c>
      <c r="C4484" s="363" t="s">
        <v>648</v>
      </c>
      <c r="D4484" s="435"/>
      <c r="E4484" s="92"/>
      <c r="F4484" s="183"/>
      <c r="G4484" s="295"/>
      <c r="H4484" s="357">
        <f>+H4481+H4478+H4472</f>
        <v>37935</v>
      </c>
      <c r="M4484" s="183"/>
    </row>
    <row r="4485" spans="2:13" ht="18.75" customHeight="1" x14ac:dyDescent="0.25">
      <c r="B4485" s="356" t="s">
        <v>649</v>
      </c>
      <c r="C4485" s="364" t="s">
        <v>650</v>
      </c>
      <c r="D4485" s="435"/>
      <c r="E4485" s="92"/>
      <c r="F4485" s="184" t="str">
        <f>$J$5</f>
        <v>8,0 % x D</v>
      </c>
      <c r="G4485" s="295"/>
      <c r="H4485" s="358">
        <f>+H4484*$K$5</f>
        <v>3034.8</v>
      </c>
      <c r="M4485" s="184" t="str">
        <f>$J$5</f>
        <v>8,0 % x D</v>
      </c>
    </row>
    <row r="4486" spans="2:13" ht="18.75" customHeight="1" x14ac:dyDescent="0.25">
      <c r="B4486" s="356" t="s">
        <v>651</v>
      </c>
      <c r="C4486" s="365" t="s">
        <v>652</v>
      </c>
      <c r="D4486" s="435"/>
      <c r="E4486" s="91"/>
      <c r="F4486" s="185"/>
      <c r="G4486" s="296"/>
      <c r="H4486" s="359">
        <f>ROUNDUP((H4485+H4484)/100,0)*100</f>
        <v>41000</v>
      </c>
      <c r="M4486" s="185"/>
    </row>
    <row r="4487" spans="2:13" ht="18.75" customHeight="1" x14ac:dyDescent="0.25">
      <c r="B4487" s="360"/>
      <c r="C4487" s="366"/>
      <c r="D4487" s="245"/>
      <c r="E4487" s="246"/>
      <c r="F4487" s="247"/>
      <c r="G4487" s="299"/>
      <c r="H4487" s="361"/>
      <c r="M4487" s="247"/>
    </row>
    <row r="4488" spans="2:13" ht="18.75" customHeight="1" x14ac:dyDescent="0.25">
      <c r="B4488" s="22"/>
      <c r="C4488" s="104"/>
      <c r="E4488" s="21"/>
      <c r="F4488" s="176"/>
      <c r="G4488" s="165"/>
      <c r="H4488" s="119"/>
      <c r="M4488" s="176"/>
    </row>
    <row r="4489" spans="2:13" ht="18.75" customHeight="1" x14ac:dyDescent="0.25">
      <c r="B4489" s="19">
        <v>15</v>
      </c>
      <c r="C4489" s="93" t="s">
        <v>1790</v>
      </c>
      <c r="D4489" s="19"/>
      <c r="E4489" s="21"/>
      <c r="F4489" s="176"/>
      <c r="G4489" s="165"/>
      <c r="H4489" s="119"/>
      <c r="M4489" s="176"/>
    </row>
    <row r="4490" spans="2:13" ht="18.75" customHeight="1" x14ac:dyDescent="0.25">
      <c r="B4490" s="618" t="s">
        <v>620</v>
      </c>
      <c r="C4490" s="620" t="s">
        <v>621</v>
      </c>
      <c r="D4490" s="618" t="s">
        <v>622</v>
      </c>
      <c r="E4490" s="618" t="s">
        <v>2</v>
      </c>
      <c r="F4490" s="615" t="s">
        <v>623</v>
      </c>
      <c r="G4490" s="289" t="s">
        <v>624</v>
      </c>
      <c r="H4490" s="256" t="s">
        <v>625</v>
      </c>
      <c r="M4490" s="615" t="s">
        <v>623</v>
      </c>
    </row>
    <row r="4491" spans="2:13" ht="18.75" customHeight="1" x14ac:dyDescent="0.25">
      <c r="B4491" s="619"/>
      <c r="C4491" s="621"/>
      <c r="D4491" s="619"/>
      <c r="E4491" s="619"/>
      <c r="F4491" s="616"/>
      <c r="G4491" s="289" t="s">
        <v>626</v>
      </c>
      <c r="H4491" s="256" t="s">
        <v>626</v>
      </c>
      <c r="M4491" s="616"/>
    </row>
    <row r="4492" spans="2:13" ht="18.75" customHeight="1" x14ac:dyDescent="0.25">
      <c r="B4492" s="221"/>
      <c r="C4492" s="222"/>
      <c r="D4492" s="221"/>
      <c r="E4492" s="550"/>
      <c r="F4492" s="555"/>
      <c r="G4492" s="551"/>
      <c r="H4492" s="220"/>
      <c r="M4492" s="590"/>
    </row>
    <row r="4493" spans="2:13" ht="18.75" customHeight="1" x14ac:dyDescent="0.25">
      <c r="B4493" s="550" t="s">
        <v>627</v>
      </c>
      <c r="C4493" s="223" t="s">
        <v>628</v>
      </c>
      <c r="D4493" s="550"/>
      <c r="E4493" s="224"/>
      <c r="F4493" s="225"/>
      <c r="G4493" s="290"/>
      <c r="H4493" s="226"/>
      <c r="M4493" s="225"/>
    </row>
    <row r="4494" spans="2:13" ht="18.75" customHeight="1" x14ac:dyDescent="0.25">
      <c r="B4494" s="550"/>
      <c r="C4494" s="227" t="s">
        <v>629</v>
      </c>
      <c r="D4494" s="550" t="s">
        <v>630</v>
      </c>
      <c r="E4494" s="224" t="s">
        <v>631</v>
      </c>
      <c r="F4494" s="228">
        <f t="shared" ref="F4494:F4497" si="212">$K$8*M4494</f>
        <v>0.09</v>
      </c>
      <c r="G4494" s="229">
        <f>G4468</f>
        <v>95000</v>
      </c>
      <c r="H4494" s="230">
        <f>+G4494*F4494</f>
        <v>8550</v>
      </c>
      <c r="M4494" s="228">
        <v>0.09</v>
      </c>
    </row>
    <row r="4495" spans="2:13" ht="18.75" customHeight="1" x14ac:dyDescent="0.25">
      <c r="B4495" s="550"/>
      <c r="C4495" s="227" t="s">
        <v>1508</v>
      </c>
      <c r="D4495" s="550" t="s">
        <v>632</v>
      </c>
      <c r="E4495" s="224" t="s">
        <v>631</v>
      </c>
      <c r="F4495" s="228">
        <f t="shared" si="212"/>
        <v>0.09</v>
      </c>
      <c r="G4495" s="229">
        <f>G4469</f>
        <v>110000</v>
      </c>
      <c r="H4495" s="230">
        <f>+G4495*F4495</f>
        <v>9900</v>
      </c>
      <c r="M4495" s="228">
        <v>0.09</v>
      </c>
    </row>
    <row r="4496" spans="2:13" ht="18.75" customHeight="1" x14ac:dyDescent="0.25">
      <c r="B4496" s="550"/>
      <c r="C4496" s="227" t="s">
        <v>633</v>
      </c>
      <c r="D4496" s="550" t="s">
        <v>634</v>
      </c>
      <c r="E4496" s="224" t="s">
        <v>631</v>
      </c>
      <c r="F4496" s="228">
        <f t="shared" si="212"/>
        <v>8.9999999999999993E-3</v>
      </c>
      <c r="G4496" s="229">
        <f>G4470</f>
        <v>115000</v>
      </c>
      <c r="H4496" s="230">
        <f>+G4496*F4496</f>
        <v>1035</v>
      </c>
      <c r="M4496" s="228">
        <v>8.9999999999999993E-3</v>
      </c>
    </row>
    <row r="4497" spans="2:13" ht="18.75" customHeight="1" x14ac:dyDescent="0.25">
      <c r="B4497" s="550"/>
      <c r="C4497" s="227" t="s">
        <v>600</v>
      </c>
      <c r="D4497" s="550" t="s">
        <v>635</v>
      </c>
      <c r="E4497" s="224" t="s">
        <v>631</v>
      </c>
      <c r="F4497" s="228">
        <f t="shared" si="212"/>
        <v>5.0000000000000001E-3</v>
      </c>
      <c r="G4497" s="229">
        <f>G4471</f>
        <v>140000</v>
      </c>
      <c r="H4497" s="230">
        <f>+G4497*F4497</f>
        <v>700</v>
      </c>
      <c r="M4497" s="228">
        <v>5.0000000000000001E-3</v>
      </c>
    </row>
    <row r="4498" spans="2:13" ht="18.75" customHeight="1" x14ac:dyDescent="0.25">
      <c r="B4498" s="550"/>
      <c r="C4498" s="223"/>
      <c r="D4498" s="550"/>
      <c r="E4498" s="224"/>
      <c r="F4498" s="233" t="s">
        <v>636</v>
      </c>
      <c r="G4498" s="290"/>
      <c r="H4498" s="231">
        <f>SUM(H4494:H4497)</f>
        <v>20185</v>
      </c>
      <c r="M4498" s="233" t="s">
        <v>636</v>
      </c>
    </row>
    <row r="4499" spans="2:13" ht="18.75" customHeight="1" x14ac:dyDescent="0.25">
      <c r="B4499" s="550"/>
      <c r="C4499" s="223"/>
      <c r="D4499" s="550"/>
      <c r="E4499" s="224"/>
      <c r="F4499" s="233"/>
      <c r="G4499" s="290"/>
      <c r="H4499" s="231"/>
      <c r="M4499" s="233"/>
    </row>
    <row r="4500" spans="2:13" ht="18.75" customHeight="1" x14ac:dyDescent="0.25">
      <c r="B4500" s="550" t="s">
        <v>637</v>
      </c>
      <c r="C4500" s="223" t="s">
        <v>638</v>
      </c>
      <c r="D4500" s="550"/>
      <c r="E4500" s="224"/>
      <c r="F4500" s="225"/>
      <c r="G4500" s="290"/>
      <c r="H4500" s="226"/>
      <c r="M4500" s="225"/>
    </row>
    <row r="4501" spans="2:13" ht="18.75" customHeight="1" x14ac:dyDescent="0.25">
      <c r="B4501" s="550"/>
      <c r="C4501" s="223" t="s">
        <v>1031</v>
      </c>
      <c r="D4501" s="550"/>
      <c r="E4501" s="550" t="s">
        <v>16</v>
      </c>
      <c r="F4501" s="405">
        <v>3.53</v>
      </c>
      <c r="G4501" s="321">
        <f>Bahan!D297/(1/(0.1*0.3))</f>
        <v>2700</v>
      </c>
      <c r="H4501" s="230">
        <f>+G4501*F4501</f>
        <v>9531</v>
      </c>
      <c r="M4501" s="405">
        <v>3.53</v>
      </c>
    </row>
    <row r="4502" spans="2:13" ht="18.75" customHeight="1" x14ac:dyDescent="0.25">
      <c r="B4502" s="550"/>
      <c r="C4502" s="223" t="s">
        <v>708</v>
      </c>
      <c r="D4502" s="550"/>
      <c r="E4502" s="550" t="s">
        <v>5</v>
      </c>
      <c r="F4502" s="405">
        <v>1.24</v>
      </c>
      <c r="G4502" s="234">
        <f>G4476</f>
        <v>1700</v>
      </c>
      <c r="H4502" s="230">
        <f>+G4502*F4502</f>
        <v>2108</v>
      </c>
      <c r="M4502" s="405">
        <v>1.24</v>
      </c>
    </row>
    <row r="4503" spans="2:13" ht="18.75" customHeight="1" x14ac:dyDescent="0.25">
      <c r="B4503" s="550"/>
      <c r="C4503" s="223" t="s">
        <v>661</v>
      </c>
      <c r="D4503" s="550"/>
      <c r="E4503" s="224" t="s">
        <v>1013</v>
      </c>
      <c r="F4503" s="228">
        <v>3.0000000000000001E-3</v>
      </c>
      <c r="G4503" s="234">
        <f>G4477</f>
        <v>230000</v>
      </c>
      <c r="H4503" s="230">
        <f>+G4503*F4503</f>
        <v>690</v>
      </c>
      <c r="M4503" s="228">
        <v>3.0000000000000001E-3</v>
      </c>
    </row>
    <row r="4504" spans="2:13" ht="18.75" customHeight="1" x14ac:dyDescent="0.25">
      <c r="B4504" s="550"/>
      <c r="C4504" s="223"/>
      <c r="D4504" s="550"/>
      <c r="E4504" s="224"/>
      <c r="F4504" s="237" t="s">
        <v>643</v>
      </c>
      <c r="G4504" s="290"/>
      <c r="H4504" s="231">
        <f>SUM(H4501:H4503)</f>
        <v>12329</v>
      </c>
      <c r="M4504" s="237" t="s">
        <v>643</v>
      </c>
    </row>
    <row r="4505" spans="2:13" ht="18.75" customHeight="1" x14ac:dyDescent="0.25">
      <c r="B4505" s="550"/>
      <c r="C4505" s="223"/>
      <c r="D4505" s="550"/>
      <c r="E4505" s="224"/>
      <c r="F4505" s="225"/>
      <c r="G4505" s="290"/>
      <c r="H4505" s="226"/>
      <c r="M4505" s="225"/>
    </row>
    <row r="4506" spans="2:13" ht="18.75" customHeight="1" x14ac:dyDescent="0.25">
      <c r="B4506" s="550" t="s">
        <v>644</v>
      </c>
      <c r="C4506" s="223" t="s">
        <v>645</v>
      </c>
      <c r="D4506" s="550"/>
      <c r="E4506" s="224"/>
      <c r="F4506" s="225"/>
      <c r="G4506" s="290"/>
      <c r="H4506" s="235"/>
      <c r="M4506" s="225"/>
    </row>
    <row r="4507" spans="2:13" ht="18.75" customHeight="1" x14ac:dyDescent="0.25">
      <c r="B4507" s="236"/>
      <c r="C4507" s="232"/>
      <c r="D4507" s="550"/>
      <c r="E4507" s="224"/>
      <c r="F4507" s="237" t="s">
        <v>646</v>
      </c>
      <c r="G4507" s="290"/>
      <c r="H4507" s="230"/>
      <c r="M4507" s="237" t="s">
        <v>646</v>
      </c>
    </row>
    <row r="4508" spans="2:13" ht="18.75" customHeight="1" x14ac:dyDescent="0.25">
      <c r="B4508" s="236"/>
      <c r="C4508" s="232"/>
      <c r="D4508" s="550"/>
      <c r="E4508" s="224"/>
      <c r="F4508" s="237"/>
      <c r="G4508" s="290"/>
      <c r="H4508" s="226"/>
      <c r="M4508" s="237"/>
    </row>
    <row r="4509" spans="2:13" ht="18.75" customHeight="1" x14ac:dyDescent="0.25">
      <c r="B4509" s="354"/>
      <c r="C4509" s="362"/>
      <c r="D4509" s="239"/>
      <c r="E4509" s="266"/>
      <c r="F4509" s="241"/>
      <c r="G4509" s="370"/>
      <c r="H4509" s="369"/>
      <c r="M4509" s="241"/>
    </row>
    <row r="4510" spans="2:13" ht="18.75" customHeight="1" x14ac:dyDescent="0.25">
      <c r="B4510" s="356" t="s">
        <v>647</v>
      </c>
      <c r="C4510" s="363" t="s">
        <v>648</v>
      </c>
      <c r="D4510" s="435"/>
      <c r="E4510" s="92"/>
      <c r="F4510" s="183"/>
      <c r="G4510" s="295"/>
      <c r="H4510" s="357">
        <f>+H4507+H4504+H4498</f>
        <v>32514</v>
      </c>
      <c r="M4510" s="183"/>
    </row>
    <row r="4511" spans="2:13" ht="18.75" customHeight="1" x14ac:dyDescent="0.25">
      <c r="B4511" s="356" t="s">
        <v>649</v>
      </c>
      <c r="C4511" s="364" t="s">
        <v>650</v>
      </c>
      <c r="D4511" s="435"/>
      <c r="E4511" s="92"/>
      <c r="F4511" s="184" t="str">
        <f>$J$5</f>
        <v>8,0 % x D</v>
      </c>
      <c r="G4511" s="295"/>
      <c r="H4511" s="358">
        <f>+H4510*$K$5</f>
        <v>2601.12</v>
      </c>
      <c r="M4511" s="184" t="str">
        <f>$J$5</f>
        <v>8,0 % x D</v>
      </c>
    </row>
    <row r="4512" spans="2:13" ht="18.75" customHeight="1" x14ac:dyDescent="0.25">
      <c r="B4512" s="356" t="s">
        <v>651</v>
      </c>
      <c r="C4512" s="365" t="s">
        <v>652</v>
      </c>
      <c r="D4512" s="435"/>
      <c r="E4512" s="91"/>
      <c r="F4512" s="185"/>
      <c r="G4512" s="296"/>
      <c r="H4512" s="359">
        <f>ROUNDUP((H4511+H4510)/100,0)*100</f>
        <v>35200</v>
      </c>
      <c r="M4512" s="185"/>
    </row>
    <row r="4513" spans="2:13" ht="18.75" customHeight="1" x14ac:dyDescent="0.25">
      <c r="B4513" s="360"/>
      <c r="C4513" s="366"/>
      <c r="D4513" s="245"/>
      <c r="E4513" s="246"/>
      <c r="F4513" s="247"/>
      <c r="G4513" s="299"/>
      <c r="H4513" s="361"/>
      <c r="M4513" s="247"/>
    </row>
    <row r="4514" spans="2:13" ht="18.75" customHeight="1" x14ac:dyDescent="0.25">
      <c r="B4514" s="92"/>
      <c r="C4514" s="104"/>
      <c r="D4514" s="435"/>
      <c r="E4514" s="91"/>
      <c r="F4514" s="185"/>
      <c r="G4514" s="168"/>
      <c r="H4514" s="139"/>
      <c r="M4514" s="185"/>
    </row>
    <row r="4515" spans="2:13" ht="18.75" customHeight="1" x14ac:dyDescent="0.25">
      <c r="B4515" s="19">
        <v>16</v>
      </c>
      <c r="C4515" s="93" t="s">
        <v>1791</v>
      </c>
      <c r="D4515" s="19"/>
      <c r="E4515" s="21"/>
      <c r="F4515" s="176"/>
      <c r="G4515" s="165"/>
      <c r="H4515" s="119"/>
      <c r="M4515" s="176"/>
    </row>
    <row r="4516" spans="2:13" ht="18.75" customHeight="1" x14ac:dyDescent="0.25">
      <c r="B4516" s="618" t="s">
        <v>620</v>
      </c>
      <c r="C4516" s="620" t="s">
        <v>621</v>
      </c>
      <c r="D4516" s="618" t="s">
        <v>622</v>
      </c>
      <c r="E4516" s="618" t="s">
        <v>2</v>
      </c>
      <c r="F4516" s="615" t="s">
        <v>623</v>
      </c>
      <c r="G4516" s="289" t="s">
        <v>624</v>
      </c>
      <c r="H4516" s="256" t="s">
        <v>625</v>
      </c>
      <c r="M4516" s="615" t="s">
        <v>623</v>
      </c>
    </row>
    <row r="4517" spans="2:13" ht="18.75" customHeight="1" x14ac:dyDescent="0.25">
      <c r="B4517" s="619"/>
      <c r="C4517" s="621"/>
      <c r="D4517" s="619"/>
      <c r="E4517" s="619"/>
      <c r="F4517" s="616"/>
      <c r="G4517" s="289" t="s">
        <v>626</v>
      </c>
      <c r="H4517" s="256" t="s">
        <v>626</v>
      </c>
      <c r="M4517" s="616"/>
    </row>
    <row r="4518" spans="2:13" ht="18.75" customHeight="1" x14ac:dyDescent="0.25">
      <c r="B4518" s="221"/>
      <c r="C4518" s="222"/>
      <c r="D4518" s="221"/>
      <c r="E4518" s="550"/>
      <c r="F4518" s="555"/>
      <c r="G4518" s="551"/>
      <c r="H4518" s="220"/>
      <c r="M4518" s="590"/>
    </row>
    <row r="4519" spans="2:13" ht="18.75" customHeight="1" x14ac:dyDescent="0.25">
      <c r="B4519" s="550" t="s">
        <v>627</v>
      </c>
      <c r="C4519" s="223" t="s">
        <v>628</v>
      </c>
      <c r="D4519" s="550"/>
      <c r="E4519" s="224"/>
      <c r="F4519" s="225"/>
      <c r="G4519" s="290"/>
      <c r="H4519" s="226"/>
      <c r="M4519" s="225"/>
    </row>
    <row r="4520" spans="2:13" ht="18.75" customHeight="1" x14ac:dyDescent="0.25">
      <c r="B4520" s="550"/>
      <c r="C4520" s="227" t="s">
        <v>629</v>
      </c>
      <c r="D4520" s="550" t="s">
        <v>630</v>
      </c>
      <c r="E4520" s="224" t="s">
        <v>631</v>
      </c>
      <c r="F4520" s="228">
        <f t="shared" ref="F4520:F4523" si="213">$K$8*M4520</f>
        <v>0.09</v>
      </c>
      <c r="G4520" s="229">
        <f>G4494</f>
        <v>95000</v>
      </c>
      <c r="H4520" s="230">
        <f>+G4520*F4520</f>
        <v>8550</v>
      </c>
      <c r="M4520" s="228">
        <v>0.09</v>
      </c>
    </row>
    <row r="4521" spans="2:13" ht="18.75" customHeight="1" x14ac:dyDescent="0.25">
      <c r="B4521" s="550"/>
      <c r="C4521" s="227" t="s">
        <v>1508</v>
      </c>
      <c r="D4521" s="550" t="s">
        <v>632</v>
      </c>
      <c r="E4521" s="224" t="s">
        <v>631</v>
      </c>
      <c r="F4521" s="228">
        <f t="shared" si="213"/>
        <v>0.09</v>
      </c>
      <c r="G4521" s="229">
        <f>G4495</f>
        <v>110000</v>
      </c>
      <c r="H4521" s="230">
        <f>+G4521*F4521</f>
        <v>9900</v>
      </c>
      <c r="M4521" s="228">
        <v>0.09</v>
      </c>
    </row>
    <row r="4522" spans="2:13" ht="18.75" customHeight="1" x14ac:dyDescent="0.25">
      <c r="B4522" s="550"/>
      <c r="C4522" s="227" t="s">
        <v>633</v>
      </c>
      <c r="D4522" s="550" t="s">
        <v>634</v>
      </c>
      <c r="E4522" s="224" t="s">
        <v>631</v>
      </c>
      <c r="F4522" s="228">
        <f t="shared" si="213"/>
        <v>8.9999999999999993E-3</v>
      </c>
      <c r="G4522" s="229">
        <f>G4496</f>
        <v>115000</v>
      </c>
      <c r="H4522" s="230">
        <f>+G4522*F4522</f>
        <v>1035</v>
      </c>
      <c r="M4522" s="228">
        <v>8.9999999999999993E-3</v>
      </c>
    </row>
    <row r="4523" spans="2:13" ht="18.75" customHeight="1" x14ac:dyDescent="0.25">
      <c r="B4523" s="550"/>
      <c r="C4523" s="227" t="s">
        <v>600</v>
      </c>
      <c r="D4523" s="550" t="s">
        <v>635</v>
      </c>
      <c r="E4523" s="224" t="s">
        <v>631</v>
      </c>
      <c r="F4523" s="228">
        <f t="shared" si="213"/>
        <v>5.0000000000000001E-3</v>
      </c>
      <c r="G4523" s="229">
        <f>G4497</f>
        <v>140000</v>
      </c>
      <c r="H4523" s="230">
        <f>+G4523*F4523</f>
        <v>700</v>
      </c>
      <c r="M4523" s="228">
        <v>5.0000000000000001E-3</v>
      </c>
    </row>
    <row r="4524" spans="2:13" ht="18.75" customHeight="1" x14ac:dyDescent="0.25">
      <c r="B4524" s="550"/>
      <c r="C4524" s="223"/>
      <c r="D4524" s="550"/>
      <c r="E4524" s="224"/>
      <c r="F4524" s="233" t="s">
        <v>636</v>
      </c>
      <c r="G4524" s="290"/>
      <c r="H4524" s="231">
        <f>SUM(H4520:H4523)</f>
        <v>20185</v>
      </c>
      <c r="M4524" s="233" t="s">
        <v>636</v>
      </c>
    </row>
    <row r="4525" spans="2:13" ht="18.75" customHeight="1" x14ac:dyDescent="0.25">
      <c r="B4525" s="550"/>
      <c r="C4525" s="223"/>
      <c r="D4525" s="550"/>
      <c r="E4525" s="224"/>
      <c r="F4525" s="233"/>
      <c r="G4525" s="290"/>
      <c r="H4525" s="231"/>
      <c r="M4525" s="233"/>
    </row>
    <row r="4526" spans="2:13" ht="18.75" customHeight="1" x14ac:dyDescent="0.25">
      <c r="B4526" s="550" t="s">
        <v>637</v>
      </c>
      <c r="C4526" s="223" t="s">
        <v>638</v>
      </c>
      <c r="D4526" s="550"/>
      <c r="E4526" s="224"/>
      <c r="F4526" s="225"/>
      <c r="G4526" s="290"/>
      <c r="H4526" s="226"/>
      <c r="M4526" s="225"/>
    </row>
    <row r="4527" spans="2:13" ht="18.75" customHeight="1" x14ac:dyDescent="0.25">
      <c r="B4527" s="550"/>
      <c r="C4527" s="223" t="s">
        <v>1031</v>
      </c>
      <c r="D4527" s="550"/>
      <c r="E4527" s="550" t="s">
        <v>16</v>
      </c>
      <c r="F4527" s="405">
        <v>2.65</v>
      </c>
      <c r="G4527" s="234">
        <f>Bahan!D297/(1/(0.1*0.4))</f>
        <v>3600.0000000000005</v>
      </c>
      <c r="H4527" s="230">
        <f>+G4527*F4527</f>
        <v>9540</v>
      </c>
      <c r="M4527" s="405">
        <v>2.65</v>
      </c>
    </row>
    <row r="4528" spans="2:13" ht="18.75" customHeight="1" x14ac:dyDescent="0.25">
      <c r="B4528" s="550"/>
      <c r="C4528" s="223" t="s">
        <v>708</v>
      </c>
      <c r="D4528" s="550"/>
      <c r="E4528" s="550" t="s">
        <v>5</v>
      </c>
      <c r="F4528" s="405">
        <v>1.24</v>
      </c>
      <c r="G4528" s="234">
        <f>G4502</f>
        <v>1700</v>
      </c>
      <c r="H4528" s="230">
        <f>+G4528*F4528</f>
        <v>2108</v>
      </c>
      <c r="M4528" s="405">
        <v>1.24</v>
      </c>
    </row>
    <row r="4529" spans="2:13" ht="18.75" customHeight="1" x14ac:dyDescent="0.25">
      <c r="B4529" s="550"/>
      <c r="C4529" s="223" t="s">
        <v>661</v>
      </c>
      <c r="D4529" s="550"/>
      <c r="E4529" s="224" t="s">
        <v>1013</v>
      </c>
      <c r="F4529" s="228">
        <v>3.0000000000000001E-3</v>
      </c>
      <c r="G4529" s="234">
        <f>G4503</f>
        <v>230000</v>
      </c>
      <c r="H4529" s="230">
        <f>+G4529*F4529</f>
        <v>690</v>
      </c>
      <c r="M4529" s="228">
        <v>3.0000000000000001E-3</v>
      </c>
    </row>
    <row r="4530" spans="2:13" ht="18.75" customHeight="1" x14ac:dyDescent="0.25">
      <c r="B4530" s="550"/>
      <c r="C4530" s="223"/>
      <c r="D4530" s="550"/>
      <c r="E4530" s="224"/>
      <c r="F4530" s="237" t="s">
        <v>643</v>
      </c>
      <c r="G4530" s="290"/>
      <c r="H4530" s="231">
        <f>SUM(H4527:H4529)</f>
        <v>12338</v>
      </c>
      <c r="M4530" s="237" t="s">
        <v>643</v>
      </c>
    </row>
    <row r="4531" spans="2:13" ht="18.75" customHeight="1" x14ac:dyDescent="0.25">
      <c r="B4531" s="550"/>
      <c r="C4531" s="223"/>
      <c r="D4531" s="550"/>
      <c r="E4531" s="224"/>
      <c r="F4531" s="225"/>
      <c r="G4531" s="290"/>
      <c r="H4531" s="226"/>
      <c r="M4531" s="225"/>
    </row>
    <row r="4532" spans="2:13" ht="18.75" customHeight="1" x14ac:dyDescent="0.25">
      <c r="B4532" s="550" t="s">
        <v>644</v>
      </c>
      <c r="C4532" s="223" t="s">
        <v>645</v>
      </c>
      <c r="D4532" s="550"/>
      <c r="E4532" s="224"/>
      <c r="F4532" s="225"/>
      <c r="G4532" s="290"/>
      <c r="H4532" s="235"/>
      <c r="M4532" s="225"/>
    </row>
    <row r="4533" spans="2:13" ht="18.75" customHeight="1" x14ac:dyDescent="0.25">
      <c r="B4533" s="236"/>
      <c r="C4533" s="232"/>
      <c r="D4533" s="550"/>
      <c r="E4533" s="224"/>
      <c r="F4533" s="237" t="s">
        <v>646</v>
      </c>
      <c r="G4533" s="290"/>
      <c r="H4533" s="230"/>
      <c r="M4533" s="237" t="s">
        <v>646</v>
      </c>
    </row>
    <row r="4534" spans="2:13" ht="18.75" customHeight="1" x14ac:dyDescent="0.25">
      <c r="B4534" s="236"/>
      <c r="C4534" s="232"/>
      <c r="D4534" s="550"/>
      <c r="E4534" s="224"/>
      <c r="F4534" s="237"/>
      <c r="G4534" s="290"/>
      <c r="H4534" s="226"/>
      <c r="M4534" s="237"/>
    </row>
    <row r="4535" spans="2:13" ht="18.75" customHeight="1" x14ac:dyDescent="0.25">
      <c r="B4535" s="354"/>
      <c r="C4535" s="362"/>
      <c r="D4535" s="239"/>
      <c r="E4535" s="266"/>
      <c r="F4535" s="241"/>
      <c r="G4535" s="370"/>
      <c r="H4535" s="369"/>
      <c r="M4535" s="241"/>
    </row>
    <row r="4536" spans="2:13" ht="18.75" customHeight="1" x14ac:dyDescent="0.25">
      <c r="B4536" s="356" t="s">
        <v>647</v>
      </c>
      <c r="C4536" s="363" t="s">
        <v>648</v>
      </c>
      <c r="D4536" s="435"/>
      <c r="E4536" s="92"/>
      <c r="F4536" s="183"/>
      <c r="G4536" s="295"/>
      <c r="H4536" s="357">
        <f>+H4533+H4530+H4524</f>
        <v>32523</v>
      </c>
      <c r="M4536" s="183"/>
    </row>
    <row r="4537" spans="2:13" ht="18.75" customHeight="1" x14ac:dyDescent="0.25">
      <c r="B4537" s="356" t="s">
        <v>649</v>
      </c>
      <c r="C4537" s="364" t="s">
        <v>650</v>
      </c>
      <c r="D4537" s="435"/>
      <c r="E4537" s="92"/>
      <c r="F4537" s="184" t="str">
        <f>$J$5</f>
        <v>8,0 % x D</v>
      </c>
      <c r="G4537" s="295"/>
      <c r="H4537" s="358">
        <f>+H4536*$K$5</f>
        <v>2601.84</v>
      </c>
      <c r="M4537" s="184" t="str">
        <f>$J$5</f>
        <v>8,0 % x D</v>
      </c>
    </row>
    <row r="4538" spans="2:13" ht="18.75" customHeight="1" x14ac:dyDescent="0.25">
      <c r="B4538" s="356" t="s">
        <v>651</v>
      </c>
      <c r="C4538" s="365" t="s">
        <v>652</v>
      </c>
      <c r="D4538" s="435"/>
      <c r="E4538" s="91"/>
      <c r="F4538" s="185"/>
      <c r="G4538" s="296"/>
      <c r="H4538" s="359">
        <f>ROUNDUP((H4537+H4536)/100,0)*100</f>
        <v>35200</v>
      </c>
      <c r="M4538" s="185"/>
    </row>
    <row r="4539" spans="2:13" ht="18.75" customHeight="1" x14ac:dyDescent="0.25">
      <c r="B4539" s="360"/>
      <c r="C4539" s="366"/>
      <c r="D4539" s="245"/>
      <c r="E4539" s="246"/>
      <c r="F4539" s="247"/>
      <c r="G4539" s="299"/>
      <c r="H4539" s="361"/>
      <c r="M4539" s="247"/>
    </row>
    <row r="4540" spans="2:13" ht="18.75" customHeight="1" x14ac:dyDescent="0.25">
      <c r="B4540" s="22"/>
      <c r="C4540" s="104"/>
      <c r="E4540" s="21"/>
      <c r="F4540" s="176"/>
      <c r="G4540" s="165"/>
      <c r="H4540" s="119"/>
      <c r="M4540" s="176"/>
    </row>
    <row r="4541" spans="2:13" ht="18.75" customHeight="1" x14ac:dyDescent="0.25">
      <c r="B4541" s="19">
        <v>17</v>
      </c>
      <c r="C4541" s="93" t="s">
        <v>1792</v>
      </c>
      <c r="D4541" s="19"/>
      <c r="E4541" s="21"/>
      <c r="F4541" s="176"/>
      <c r="G4541" s="165"/>
      <c r="H4541" s="119"/>
      <c r="M4541" s="176"/>
    </row>
    <row r="4542" spans="2:13" ht="18.75" customHeight="1" x14ac:dyDescent="0.25">
      <c r="B4542" s="618" t="s">
        <v>620</v>
      </c>
      <c r="C4542" s="620" t="s">
        <v>621</v>
      </c>
      <c r="D4542" s="618" t="s">
        <v>622</v>
      </c>
      <c r="E4542" s="618" t="s">
        <v>2</v>
      </c>
      <c r="F4542" s="615" t="s">
        <v>623</v>
      </c>
      <c r="G4542" s="289" t="s">
        <v>624</v>
      </c>
      <c r="H4542" s="256" t="s">
        <v>625</v>
      </c>
      <c r="M4542" s="615" t="s">
        <v>623</v>
      </c>
    </row>
    <row r="4543" spans="2:13" ht="18.75" customHeight="1" x14ac:dyDescent="0.25">
      <c r="B4543" s="619"/>
      <c r="C4543" s="621"/>
      <c r="D4543" s="619"/>
      <c r="E4543" s="619"/>
      <c r="F4543" s="616"/>
      <c r="G4543" s="289" t="s">
        <v>626</v>
      </c>
      <c r="H4543" s="256" t="s">
        <v>626</v>
      </c>
      <c r="M4543" s="616"/>
    </row>
    <row r="4544" spans="2:13" ht="18.75" customHeight="1" x14ac:dyDescent="0.25">
      <c r="B4544" s="221"/>
      <c r="C4544" s="222"/>
      <c r="D4544" s="221"/>
      <c r="E4544" s="550"/>
      <c r="F4544" s="555"/>
      <c r="G4544" s="551"/>
      <c r="H4544" s="220"/>
      <c r="M4544" s="590"/>
    </row>
    <row r="4545" spans="2:13" ht="18.75" customHeight="1" x14ac:dyDescent="0.25">
      <c r="B4545" s="550" t="s">
        <v>627</v>
      </c>
      <c r="C4545" s="223" t="s">
        <v>628</v>
      </c>
      <c r="D4545" s="550"/>
      <c r="E4545" s="224"/>
      <c r="F4545" s="225"/>
      <c r="G4545" s="290"/>
      <c r="H4545" s="226"/>
      <c r="M4545" s="225"/>
    </row>
    <row r="4546" spans="2:13" ht="18.75" customHeight="1" x14ac:dyDescent="0.25">
      <c r="B4546" s="550"/>
      <c r="C4546" s="227" t="s">
        <v>629</v>
      </c>
      <c r="D4546" s="550" t="s">
        <v>630</v>
      </c>
      <c r="E4546" s="224" t="s">
        <v>631</v>
      </c>
      <c r="F4546" s="228">
        <f t="shared" ref="F4546:F4549" si="214">$K$8*M4546</f>
        <v>0.09</v>
      </c>
      <c r="G4546" s="229">
        <f>G4520</f>
        <v>95000</v>
      </c>
      <c r="H4546" s="230">
        <f>+G4546*F4546</f>
        <v>8550</v>
      </c>
      <c r="M4546" s="228">
        <v>0.09</v>
      </c>
    </row>
    <row r="4547" spans="2:13" ht="18.75" customHeight="1" x14ac:dyDescent="0.25">
      <c r="B4547" s="550"/>
      <c r="C4547" s="227" t="s">
        <v>1508</v>
      </c>
      <c r="D4547" s="550" t="s">
        <v>632</v>
      </c>
      <c r="E4547" s="224" t="s">
        <v>631</v>
      </c>
      <c r="F4547" s="228">
        <f t="shared" si="214"/>
        <v>0.09</v>
      </c>
      <c r="G4547" s="229">
        <f>G4521</f>
        <v>110000</v>
      </c>
      <c r="H4547" s="230">
        <f>+G4547*F4547</f>
        <v>9900</v>
      </c>
      <c r="M4547" s="228">
        <v>0.09</v>
      </c>
    </row>
    <row r="4548" spans="2:13" ht="18.75" customHeight="1" x14ac:dyDescent="0.25">
      <c r="B4548" s="550"/>
      <c r="C4548" s="227" t="s">
        <v>633</v>
      </c>
      <c r="D4548" s="550" t="s">
        <v>634</v>
      </c>
      <c r="E4548" s="224" t="s">
        <v>631</v>
      </c>
      <c r="F4548" s="228">
        <f t="shared" si="214"/>
        <v>8.9999999999999993E-3</v>
      </c>
      <c r="G4548" s="229">
        <f>G4522</f>
        <v>115000</v>
      </c>
      <c r="H4548" s="230">
        <f>+G4548*F4548</f>
        <v>1035</v>
      </c>
      <c r="M4548" s="228">
        <v>8.9999999999999993E-3</v>
      </c>
    </row>
    <row r="4549" spans="2:13" ht="18.75" customHeight="1" x14ac:dyDescent="0.25">
      <c r="B4549" s="550"/>
      <c r="C4549" s="227" t="s">
        <v>600</v>
      </c>
      <c r="D4549" s="550" t="s">
        <v>635</v>
      </c>
      <c r="E4549" s="224" t="s">
        <v>631</v>
      </c>
      <c r="F4549" s="228">
        <f t="shared" si="214"/>
        <v>5.0000000000000001E-3</v>
      </c>
      <c r="G4549" s="229">
        <f>G4523</f>
        <v>140000</v>
      </c>
      <c r="H4549" s="230">
        <f>+G4549*F4549</f>
        <v>700</v>
      </c>
      <c r="M4549" s="228">
        <v>5.0000000000000001E-3</v>
      </c>
    </row>
    <row r="4550" spans="2:13" ht="18.75" customHeight="1" x14ac:dyDescent="0.25">
      <c r="B4550" s="550"/>
      <c r="C4550" s="223"/>
      <c r="D4550" s="550"/>
      <c r="E4550" s="224"/>
      <c r="F4550" s="233" t="s">
        <v>636</v>
      </c>
      <c r="G4550" s="290"/>
      <c r="H4550" s="231">
        <f>SUM(H4546:H4549)</f>
        <v>20185</v>
      </c>
      <c r="M4550" s="233" t="s">
        <v>636</v>
      </c>
    </row>
    <row r="4551" spans="2:13" ht="18.75" customHeight="1" x14ac:dyDescent="0.25">
      <c r="B4551" s="550"/>
      <c r="C4551" s="223"/>
      <c r="D4551" s="550"/>
      <c r="E4551" s="224"/>
      <c r="F4551" s="233"/>
      <c r="G4551" s="290"/>
      <c r="H4551" s="231"/>
      <c r="M4551" s="233"/>
    </row>
    <row r="4552" spans="2:13" ht="18.75" customHeight="1" x14ac:dyDescent="0.25">
      <c r="B4552" s="550" t="s">
        <v>637</v>
      </c>
      <c r="C4552" s="223" t="s">
        <v>638</v>
      </c>
      <c r="D4552" s="550"/>
      <c r="E4552" s="224"/>
      <c r="F4552" s="225"/>
      <c r="G4552" s="290"/>
      <c r="H4552" s="226"/>
      <c r="M4552" s="225"/>
    </row>
    <row r="4553" spans="2:13" ht="18.75" customHeight="1" x14ac:dyDescent="0.25">
      <c r="B4553" s="550"/>
      <c r="C4553" s="223" t="s">
        <v>1032</v>
      </c>
      <c r="D4553" s="550"/>
      <c r="E4553" s="550" t="s">
        <v>16</v>
      </c>
      <c r="F4553" s="405">
        <v>2.65</v>
      </c>
      <c r="G4553" s="234">
        <f>Bahan!$D$298/(1/(0.1*0.2))</f>
        <v>1780.0000000000002</v>
      </c>
      <c r="H4553" s="230">
        <f>+G4553*F4553</f>
        <v>4717</v>
      </c>
      <c r="M4553" s="405">
        <v>2.65</v>
      </c>
    </row>
    <row r="4554" spans="2:13" ht="18.75" customHeight="1" x14ac:dyDescent="0.25">
      <c r="B4554" s="550"/>
      <c r="C4554" s="223" t="s">
        <v>708</v>
      </c>
      <c r="D4554" s="550"/>
      <c r="E4554" s="550" t="s">
        <v>5</v>
      </c>
      <c r="F4554" s="405">
        <v>1.1399999999999999</v>
      </c>
      <c r="G4554" s="234">
        <f>G4528</f>
        <v>1700</v>
      </c>
      <c r="H4554" s="230">
        <f>+G4554*F4554</f>
        <v>1937.9999999999998</v>
      </c>
      <c r="M4554" s="405">
        <v>1.1399999999999999</v>
      </c>
    </row>
    <row r="4555" spans="2:13" ht="18.75" customHeight="1" x14ac:dyDescent="0.25">
      <c r="B4555" s="550"/>
      <c r="C4555" s="223" t="s">
        <v>1018</v>
      </c>
      <c r="D4555" s="550"/>
      <c r="E4555" s="550" t="s">
        <v>5</v>
      </c>
      <c r="F4555" s="405">
        <v>0.1</v>
      </c>
      <c r="G4555" s="410">
        <f>G4450</f>
        <v>14500</v>
      </c>
      <c r="H4555" s="230">
        <f>+G4555*F4555</f>
        <v>1450</v>
      </c>
      <c r="M4555" s="405">
        <v>0.1</v>
      </c>
    </row>
    <row r="4556" spans="2:13" ht="18.75" customHeight="1" x14ac:dyDescent="0.25">
      <c r="B4556" s="550"/>
      <c r="C4556" s="223" t="s">
        <v>661</v>
      </c>
      <c r="D4556" s="550"/>
      <c r="E4556" s="224" t="s">
        <v>1013</v>
      </c>
      <c r="F4556" s="228">
        <v>3.0000000000000001E-3</v>
      </c>
      <c r="G4556" s="234">
        <f>G4529</f>
        <v>230000</v>
      </c>
      <c r="H4556" s="230">
        <f>+G4556*F4556</f>
        <v>690</v>
      </c>
      <c r="M4556" s="228">
        <v>3.0000000000000001E-3</v>
      </c>
    </row>
    <row r="4557" spans="2:13" ht="18.75" customHeight="1" x14ac:dyDescent="0.25">
      <c r="B4557" s="550"/>
      <c r="C4557" s="223"/>
      <c r="D4557" s="550"/>
      <c r="E4557" s="224"/>
      <c r="F4557" s="237" t="s">
        <v>643</v>
      </c>
      <c r="G4557" s="290"/>
      <c r="H4557" s="231">
        <f>SUM(H4553:H4556)</f>
        <v>8795</v>
      </c>
      <c r="M4557" s="237" t="s">
        <v>643</v>
      </c>
    </row>
    <row r="4558" spans="2:13" ht="18.75" customHeight="1" x14ac:dyDescent="0.25">
      <c r="B4558" s="550"/>
      <c r="C4558" s="223"/>
      <c r="D4558" s="550"/>
      <c r="E4558" s="224"/>
      <c r="F4558" s="225"/>
      <c r="G4558" s="290"/>
      <c r="H4558" s="226"/>
      <c r="M4558" s="225"/>
    </row>
    <row r="4559" spans="2:13" ht="18.75" customHeight="1" x14ac:dyDescent="0.25">
      <c r="B4559" s="550" t="s">
        <v>644</v>
      </c>
      <c r="C4559" s="223" t="s">
        <v>645</v>
      </c>
      <c r="D4559" s="550"/>
      <c r="E4559" s="224"/>
      <c r="F4559" s="225"/>
      <c r="G4559" s="290"/>
      <c r="H4559" s="235"/>
      <c r="M4559" s="225"/>
    </row>
    <row r="4560" spans="2:13" ht="18.75" customHeight="1" x14ac:dyDescent="0.25">
      <c r="B4560" s="236"/>
      <c r="C4560" s="232"/>
      <c r="D4560" s="550"/>
      <c r="E4560" s="224"/>
      <c r="F4560" s="237" t="s">
        <v>646</v>
      </c>
      <c r="G4560" s="290"/>
      <c r="H4560" s="230"/>
      <c r="M4560" s="237" t="s">
        <v>646</v>
      </c>
    </row>
    <row r="4561" spans="2:13" ht="18.75" customHeight="1" x14ac:dyDescent="0.25">
      <c r="B4561" s="236"/>
      <c r="C4561" s="232"/>
      <c r="D4561" s="550"/>
      <c r="E4561" s="224"/>
      <c r="F4561" s="237"/>
      <c r="G4561" s="290"/>
      <c r="H4561" s="226"/>
      <c r="M4561" s="237"/>
    </row>
    <row r="4562" spans="2:13" ht="18.75" customHeight="1" x14ac:dyDescent="0.25">
      <c r="B4562" s="354"/>
      <c r="C4562" s="362"/>
      <c r="D4562" s="239"/>
      <c r="E4562" s="266"/>
      <c r="F4562" s="241"/>
      <c r="G4562" s="370"/>
      <c r="H4562" s="369"/>
      <c r="M4562" s="241"/>
    </row>
    <row r="4563" spans="2:13" ht="18.75" customHeight="1" x14ac:dyDescent="0.25">
      <c r="B4563" s="356" t="s">
        <v>647</v>
      </c>
      <c r="C4563" s="363" t="s">
        <v>648</v>
      </c>
      <c r="D4563" s="435"/>
      <c r="E4563" s="92"/>
      <c r="F4563" s="183"/>
      <c r="G4563" s="295"/>
      <c r="H4563" s="357">
        <f>+H4560+H4557+H4550</f>
        <v>28980</v>
      </c>
      <c r="M4563" s="183"/>
    </row>
    <row r="4564" spans="2:13" ht="18.75" customHeight="1" x14ac:dyDescent="0.25">
      <c r="B4564" s="356" t="s">
        <v>649</v>
      </c>
      <c r="C4564" s="364" t="s">
        <v>650</v>
      </c>
      <c r="D4564" s="435"/>
      <c r="E4564" s="92"/>
      <c r="F4564" s="184" t="str">
        <f>$J$5</f>
        <v>8,0 % x D</v>
      </c>
      <c r="G4564" s="295"/>
      <c r="H4564" s="358">
        <f>+H4563*$K$5</f>
        <v>2318.4</v>
      </c>
      <c r="M4564" s="184" t="str">
        <f>$J$5</f>
        <v>8,0 % x D</v>
      </c>
    </row>
    <row r="4565" spans="2:13" ht="18.75" customHeight="1" x14ac:dyDescent="0.25">
      <c r="B4565" s="356" t="s">
        <v>651</v>
      </c>
      <c r="C4565" s="365" t="s">
        <v>652</v>
      </c>
      <c r="D4565" s="435"/>
      <c r="E4565" s="91"/>
      <c r="F4565" s="185"/>
      <c r="G4565" s="296"/>
      <c r="H4565" s="359">
        <f>ROUNDUP((H4564+H4563)/100,0)*100</f>
        <v>31300</v>
      </c>
      <c r="M4565" s="185"/>
    </row>
    <row r="4566" spans="2:13" ht="18.75" customHeight="1" x14ac:dyDescent="0.25">
      <c r="B4566" s="360"/>
      <c r="C4566" s="366"/>
      <c r="D4566" s="245"/>
      <c r="E4566" s="246"/>
      <c r="F4566" s="247"/>
      <c r="G4566" s="299"/>
      <c r="H4566" s="361"/>
      <c r="M4566" s="247"/>
    </row>
    <row r="4567" spans="2:13" ht="18.75" customHeight="1" x14ac:dyDescent="0.25">
      <c r="B4567" s="92"/>
      <c r="C4567" s="104"/>
      <c r="D4567" s="435"/>
      <c r="E4567" s="91"/>
      <c r="F4567" s="185"/>
      <c r="G4567" s="168"/>
      <c r="H4567" s="139"/>
      <c r="M4567" s="185"/>
    </row>
    <row r="4568" spans="2:13" ht="18.75" customHeight="1" x14ac:dyDescent="0.25">
      <c r="B4568" s="19">
        <v>18</v>
      </c>
      <c r="C4568" s="93" t="s">
        <v>1793</v>
      </c>
      <c r="D4568" s="19"/>
      <c r="E4568" s="21"/>
      <c r="F4568" s="176"/>
      <c r="G4568" s="165"/>
      <c r="H4568" s="119"/>
      <c r="M4568" s="176"/>
    </row>
    <row r="4569" spans="2:13" ht="18.75" customHeight="1" x14ac:dyDescent="0.25">
      <c r="B4569" s="618" t="s">
        <v>620</v>
      </c>
      <c r="C4569" s="620" t="s">
        <v>621</v>
      </c>
      <c r="D4569" s="618" t="s">
        <v>622</v>
      </c>
      <c r="E4569" s="618" t="s">
        <v>2</v>
      </c>
      <c r="F4569" s="615" t="s">
        <v>623</v>
      </c>
      <c r="G4569" s="289" t="s">
        <v>624</v>
      </c>
      <c r="H4569" s="256" t="s">
        <v>625</v>
      </c>
      <c r="M4569" s="615" t="s">
        <v>623</v>
      </c>
    </row>
    <row r="4570" spans="2:13" ht="18.75" customHeight="1" x14ac:dyDescent="0.25">
      <c r="B4570" s="619"/>
      <c r="C4570" s="621"/>
      <c r="D4570" s="619"/>
      <c r="E4570" s="619"/>
      <c r="F4570" s="616"/>
      <c r="G4570" s="289" t="s">
        <v>626</v>
      </c>
      <c r="H4570" s="256" t="s">
        <v>626</v>
      </c>
      <c r="M4570" s="616"/>
    </row>
    <row r="4571" spans="2:13" ht="18.75" customHeight="1" x14ac:dyDescent="0.25">
      <c r="B4571" s="221"/>
      <c r="C4571" s="222"/>
      <c r="D4571" s="221"/>
      <c r="E4571" s="550"/>
      <c r="F4571" s="555"/>
      <c r="G4571" s="551"/>
      <c r="H4571" s="220"/>
      <c r="M4571" s="590"/>
    </row>
    <row r="4572" spans="2:13" ht="18.75" customHeight="1" x14ac:dyDescent="0.25">
      <c r="B4572" s="550" t="s">
        <v>627</v>
      </c>
      <c r="C4572" s="223" t="s">
        <v>628</v>
      </c>
      <c r="D4572" s="550"/>
      <c r="E4572" s="224"/>
      <c r="F4572" s="225"/>
      <c r="G4572" s="290"/>
      <c r="H4572" s="226"/>
      <c r="K4572" s="415"/>
      <c r="M4572" s="225"/>
    </row>
    <row r="4573" spans="2:13" ht="18.75" customHeight="1" x14ac:dyDescent="0.25">
      <c r="B4573" s="550"/>
      <c r="C4573" s="227" t="s">
        <v>629</v>
      </c>
      <c r="D4573" s="550" t="s">
        <v>630</v>
      </c>
      <c r="E4573" s="224" t="s">
        <v>631</v>
      </c>
      <c r="F4573" s="228">
        <f t="shared" ref="F4573:F4576" si="215">$K$8*M4573</f>
        <v>7.4999999999999997E-2</v>
      </c>
      <c r="G4573" s="229">
        <f>G4546</f>
        <v>95000</v>
      </c>
      <c r="H4573" s="230">
        <f>+G4573*F4573</f>
        <v>7125</v>
      </c>
      <c r="K4573" s="415"/>
      <c r="M4573" s="228">
        <v>7.4999999999999997E-2</v>
      </c>
    </row>
    <row r="4574" spans="2:13" ht="18.75" customHeight="1" x14ac:dyDescent="0.25">
      <c r="B4574" s="550"/>
      <c r="C4574" s="227" t="s">
        <v>1508</v>
      </c>
      <c r="D4574" s="550" t="s">
        <v>632</v>
      </c>
      <c r="E4574" s="224" t="s">
        <v>631</v>
      </c>
      <c r="F4574" s="228">
        <f t="shared" si="215"/>
        <v>0.03</v>
      </c>
      <c r="G4574" s="229">
        <f>G4547</f>
        <v>110000</v>
      </c>
      <c r="H4574" s="230">
        <f>+G4574*F4574</f>
        <v>3300</v>
      </c>
      <c r="K4574" s="415"/>
      <c r="M4574" s="228">
        <v>0.03</v>
      </c>
    </row>
    <row r="4575" spans="2:13" ht="18.75" customHeight="1" x14ac:dyDescent="0.25">
      <c r="B4575" s="550"/>
      <c r="C4575" s="227" t="s">
        <v>633</v>
      </c>
      <c r="D4575" s="550" t="s">
        <v>634</v>
      </c>
      <c r="E4575" s="224" t="s">
        <v>631</v>
      </c>
      <c r="F4575" s="228">
        <f t="shared" si="215"/>
        <v>3.0000000000000001E-3</v>
      </c>
      <c r="G4575" s="229">
        <f>G4548</f>
        <v>115000</v>
      </c>
      <c r="H4575" s="230">
        <f>+G4575*F4575</f>
        <v>345</v>
      </c>
      <c r="K4575" s="415"/>
      <c r="M4575" s="228">
        <v>3.0000000000000001E-3</v>
      </c>
    </row>
    <row r="4576" spans="2:13" ht="18.75" customHeight="1" x14ac:dyDescent="0.25">
      <c r="B4576" s="550"/>
      <c r="C4576" s="227" t="s">
        <v>600</v>
      </c>
      <c r="D4576" s="550" t="s">
        <v>635</v>
      </c>
      <c r="E4576" s="224" t="s">
        <v>631</v>
      </c>
      <c r="F4576" s="228">
        <f t="shared" si="215"/>
        <v>3.0000000000000001E-3</v>
      </c>
      <c r="G4576" s="229">
        <f>G4549</f>
        <v>140000</v>
      </c>
      <c r="H4576" s="230">
        <f>+G4576*F4576</f>
        <v>420</v>
      </c>
      <c r="K4576" s="415"/>
      <c r="M4576" s="228">
        <v>3.0000000000000001E-3</v>
      </c>
    </row>
    <row r="4577" spans="2:13" ht="18.75" customHeight="1" x14ac:dyDescent="0.25">
      <c r="B4577" s="550"/>
      <c r="C4577" s="223"/>
      <c r="D4577" s="550"/>
      <c r="E4577" s="224"/>
      <c r="F4577" s="233" t="s">
        <v>636</v>
      </c>
      <c r="G4577" s="290"/>
      <c r="H4577" s="231">
        <f>SUM(H4573:H4576)</f>
        <v>11190</v>
      </c>
      <c r="K4577" s="415"/>
      <c r="M4577" s="233" t="s">
        <v>636</v>
      </c>
    </row>
    <row r="4578" spans="2:13" ht="18.75" customHeight="1" x14ac:dyDescent="0.25">
      <c r="B4578" s="550"/>
      <c r="C4578" s="223"/>
      <c r="D4578" s="550"/>
      <c r="E4578" s="224"/>
      <c r="F4578" s="233"/>
      <c r="G4578" s="290"/>
      <c r="H4578" s="230"/>
      <c r="K4578" s="415"/>
      <c r="M4578" s="233"/>
    </row>
    <row r="4579" spans="2:13" ht="18.75" customHeight="1" x14ac:dyDescent="0.25">
      <c r="B4579" s="550" t="s">
        <v>637</v>
      </c>
      <c r="C4579" s="223" t="s">
        <v>638</v>
      </c>
      <c r="D4579" s="550"/>
      <c r="E4579" s="224"/>
      <c r="F4579" s="225"/>
      <c r="G4579" s="290"/>
      <c r="H4579" s="226"/>
      <c r="K4579" s="415"/>
      <c r="M4579" s="225"/>
    </row>
    <row r="4580" spans="2:13" ht="18.75" customHeight="1" x14ac:dyDescent="0.25">
      <c r="B4580" s="550"/>
      <c r="C4580" s="223" t="s">
        <v>1032</v>
      </c>
      <c r="D4580" s="550"/>
      <c r="E4580" s="550" t="s">
        <v>14</v>
      </c>
      <c r="F4580" s="405">
        <v>1.1000000000000001</v>
      </c>
      <c r="G4580" s="234">
        <f>Bahan!$D$298/(1/(0.1*0.3))</f>
        <v>2670</v>
      </c>
      <c r="H4580" s="230">
        <f>+G4580*F4580</f>
        <v>2937.0000000000005</v>
      </c>
      <c r="M4580" s="405">
        <v>1.1000000000000001</v>
      </c>
    </row>
    <row r="4581" spans="2:13" ht="18.75" customHeight="1" x14ac:dyDescent="0.25">
      <c r="B4581" s="550"/>
      <c r="C4581" s="223" t="s">
        <v>708</v>
      </c>
      <c r="D4581" s="550"/>
      <c r="E4581" s="550" t="s">
        <v>5</v>
      </c>
      <c r="F4581" s="405">
        <v>1.1399999999999999</v>
      </c>
      <c r="G4581" s="234">
        <f>G4554</f>
        <v>1700</v>
      </c>
      <c r="H4581" s="230">
        <f>+G4581*F4581</f>
        <v>1937.9999999999998</v>
      </c>
      <c r="M4581" s="405">
        <v>1.1399999999999999</v>
      </c>
    </row>
    <row r="4582" spans="2:13" ht="18.75" customHeight="1" x14ac:dyDescent="0.25">
      <c r="B4582" s="550"/>
      <c r="C4582" s="223" t="s">
        <v>1018</v>
      </c>
      <c r="D4582" s="550"/>
      <c r="E4582" s="550" t="s">
        <v>5</v>
      </c>
      <c r="F4582" s="405">
        <v>0.5</v>
      </c>
      <c r="G4582" s="410">
        <f>G4555</f>
        <v>14500</v>
      </c>
      <c r="H4582" s="230">
        <f>+G4582*F4582</f>
        <v>7250</v>
      </c>
      <c r="M4582" s="405">
        <v>0.5</v>
      </c>
    </row>
    <row r="4583" spans="2:13" ht="18.75" customHeight="1" x14ac:dyDescent="0.25">
      <c r="B4583" s="550"/>
      <c r="C4583" s="223" t="s">
        <v>661</v>
      </c>
      <c r="D4583" s="550"/>
      <c r="E4583" s="224" t="s">
        <v>1013</v>
      </c>
      <c r="F4583" s="228">
        <v>3.0000000000000001E-3</v>
      </c>
      <c r="G4583" s="234">
        <f>G4556</f>
        <v>230000</v>
      </c>
      <c r="H4583" s="230">
        <f>+G4583*F4583</f>
        <v>690</v>
      </c>
      <c r="M4583" s="228">
        <v>3.0000000000000001E-3</v>
      </c>
    </row>
    <row r="4584" spans="2:13" ht="18.75" customHeight="1" x14ac:dyDescent="0.25">
      <c r="B4584" s="550"/>
      <c r="C4584" s="223"/>
      <c r="D4584" s="550"/>
      <c r="E4584" s="224"/>
      <c r="F4584" s="237" t="s">
        <v>643</v>
      </c>
      <c r="G4584" s="290"/>
      <c r="H4584" s="231">
        <f>SUM(H4580:H4583)</f>
        <v>12815</v>
      </c>
      <c r="M4584" s="237" t="s">
        <v>643</v>
      </c>
    </row>
    <row r="4585" spans="2:13" ht="18.75" customHeight="1" x14ac:dyDescent="0.25">
      <c r="B4585" s="550"/>
      <c r="C4585" s="223"/>
      <c r="D4585" s="550"/>
      <c r="E4585" s="224"/>
      <c r="F4585" s="225"/>
      <c r="G4585" s="290"/>
      <c r="H4585" s="226"/>
      <c r="M4585" s="225"/>
    </row>
    <row r="4586" spans="2:13" ht="18.75" customHeight="1" x14ac:dyDescent="0.25">
      <c r="B4586" s="550" t="s">
        <v>644</v>
      </c>
      <c r="C4586" s="223" t="s">
        <v>645</v>
      </c>
      <c r="D4586" s="550"/>
      <c r="E4586" s="224"/>
      <c r="F4586" s="225"/>
      <c r="G4586" s="290"/>
      <c r="H4586" s="235"/>
      <c r="M4586" s="225"/>
    </row>
    <row r="4587" spans="2:13" ht="18.75" customHeight="1" x14ac:dyDescent="0.25">
      <c r="B4587" s="236"/>
      <c r="C4587" s="232"/>
      <c r="D4587" s="550"/>
      <c r="E4587" s="224"/>
      <c r="F4587" s="237" t="s">
        <v>646</v>
      </c>
      <c r="G4587" s="290"/>
      <c r="H4587" s="230"/>
      <c r="M4587" s="237" t="s">
        <v>646</v>
      </c>
    </row>
    <row r="4588" spans="2:13" ht="18.75" customHeight="1" x14ac:dyDescent="0.25">
      <c r="B4588" s="236"/>
      <c r="C4588" s="232"/>
      <c r="D4588" s="550"/>
      <c r="E4588" s="224"/>
      <c r="F4588" s="237"/>
      <c r="G4588" s="290"/>
      <c r="H4588" s="226"/>
      <c r="M4588" s="237"/>
    </row>
    <row r="4589" spans="2:13" ht="18.75" customHeight="1" x14ac:dyDescent="0.25">
      <c r="B4589" s="354"/>
      <c r="C4589" s="362"/>
      <c r="D4589" s="239"/>
      <c r="E4589" s="266"/>
      <c r="F4589" s="241"/>
      <c r="G4589" s="370"/>
      <c r="H4589" s="369"/>
      <c r="M4589" s="241"/>
    </row>
    <row r="4590" spans="2:13" ht="18.75" customHeight="1" x14ac:dyDescent="0.25">
      <c r="B4590" s="356" t="s">
        <v>647</v>
      </c>
      <c r="C4590" s="363" t="s">
        <v>648</v>
      </c>
      <c r="D4590" s="435"/>
      <c r="E4590" s="92"/>
      <c r="F4590" s="183"/>
      <c r="G4590" s="295"/>
      <c r="H4590" s="357">
        <f>+H4587+H4584+H4577</f>
        <v>24005</v>
      </c>
      <c r="M4590" s="183"/>
    </row>
    <row r="4591" spans="2:13" ht="18.75" customHeight="1" x14ac:dyDescent="0.25">
      <c r="B4591" s="356" t="s">
        <v>649</v>
      </c>
      <c r="C4591" s="364" t="s">
        <v>650</v>
      </c>
      <c r="D4591" s="435"/>
      <c r="E4591" s="92"/>
      <c r="F4591" s="184" t="str">
        <f>$J$5</f>
        <v>8,0 % x D</v>
      </c>
      <c r="G4591" s="295"/>
      <c r="H4591" s="358">
        <f>+H4590*$K$5</f>
        <v>1920.4</v>
      </c>
      <c r="M4591" s="184" t="str">
        <f>$J$5</f>
        <v>8,0 % x D</v>
      </c>
    </row>
    <row r="4592" spans="2:13" ht="18.75" customHeight="1" x14ac:dyDescent="0.25">
      <c r="B4592" s="356" t="s">
        <v>651</v>
      </c>
      <c r="C4592" s="365" t="s">
        <v>652</v>
      </c>
      <c r="D4592" s="435"/>
      <c r="E4592" s="91"/>
      <c r="F4592" s="185"/>
      <c r="G4592" s="296"/>
      <c r="H4592" s="359">
        <f>ROUNDUP((H4591+H4590)/100,0)*100</f>
        <v>26000</v>
      </c>
      <c r="M4592" s="185"/>
    </row>
    <row r="4593" spans="2:13" ht="18.75" customHeight="1" x14ac:dyDescent="0.25">
      <c r="B4593" s="360"/>
      <c r="C4593" s="366"/>
      <c r="D4593" s="245"/>
      <c r="E4593" s="246"/>
      <c r="F4593" s="247"/>
      <c r="G4593" s="299"/>
      <c r="H4593" s="361"/>
      <c r="M4593" s="247"/>
    </row>
    <row r="4594" spans="2:13" ht="18.75" customHeight="1" x14ac:dyDescent="0.25">
      <c r="B4594" s="22"/>
      <c r="C4594" s="104"/>
      <c r="E4594" s="21"/>
      <c r="F4594" s="176"/>
      <c r="G4594" s="165"/>
      <c r="H4594" s="119"/>
      <c r="M4594" s="176"/>
    </row>
    <row r="4595" spans="2:13" ht="18.75" customHeight="1" x14ac:dyDescent="0.25">
      <c r="B4595" s="19">
        <v>19</v>
      </c>
      <c r="C4595" s="93" t="s">
        <v>1794</v>
      </c>
      <c r="D4595" s="19"/>
      <c r="E4595" s="21"/>
      <c r="F4595" s="176"/>
      <c r="G4595" s="165"/>
      <c r="H4595" s="119"/>
      <c r="M4595" s="176"/>
    </row>
    <row r="4596" spans="2:13" ht="18.75" customHeight="1" x14ac:dyDescent="0.25">
      <c r="B4596" s="618" t="s">
        <v>620</v>
      </c>
      <c r="C4596" s="620" t="s">
        <v>621</v>
      </c>
      <c r="D4596" s="618" t="s">
        <v>622</v>
      </c>
      <c r="E4596" s="618" t="s">
        <v>2</v>
      </c>
      <c r="F4596" s="615" t="s">
        <v>623</v>
      </c>
      <c r="G4596" s="289" t="s">
        <v>624</v>
      </c>
      <c r="H4596" s="256" t="s">
        <v>625</v>
      </c>
      <c r="M4596" s="615" t="s">
        <v>623</v>
      </c>
    </row>
    <row r="4597" spans="2:13" ht="18.75" customHeight="1" x14ac:dyDescent="0.25">
      <c r="B4597" s="619"/>
      <c r="C4597" s="621"/>
      <c r="D4597" s="619"/>
      <c r="E4597" s="619"/>
      <c r="F4597" s="616"/>
      <c r="G4597" s="289" t="s">
        <v>626</v>
      </c>
      <c r="H4597" s="256" t="s">
        <v>626</v>
      </c>
      <c r="M4597" s="616"/>
    </row>
    <row r="4598" spans="2:13" ht="18.75" customHeight="1" x14ac:dyDescent="0.25">
      <c r="B4598" s="221"/>
      <c r="C4598" s="222"/>
      <c r="D4598" s="221"/>
      <c r="E4598" s="550"/>
      <c r="F4598" s="555"/>
      <c r="G4598" s="551"/>
      <c r="H4598" s="220"/>
      <c r="M4598" s="590"/>
    </row>
    <row r="4599" spans="2:13" ht="18.75" customHeight="1" x14ac:dyDescent="0.25">
      <c r="B4599" s="550" t="s">
        <v>627</v>
      </c>
      <c r="C4599" s="223" t="s">
        <v>628</v>
      </c>
      <c r="D4599" s="550"/>
      <c r="E4599" s="224"/>
      <c r="F4599" s="225"/>
      <c r="G4599" s="290"/>
      <c r="H4599" s="226"/>
      <c r="M4599" s="225"/>
    </row>
    <row r="4600" spans="2:13" ht="18.75" customHeight="1" x14ac:dyDescent="0.25">
      <c r="B4600" s="550"/>
      <c r="C4600" s="227" t="s">
        <v>629</v>
      </c>
      <c r="D4600" s="550" t="s">
        <v>630</v>
      </c>
      <c r="E4600" s="224" t="s">
        <v>631</v>
      </c>
      <c r="F4600" s="228">
        <f t="shared" ref="F4600:F4603" si="216">$K$8*M4600</f>
        <v>0.09</v>
      </c>
      <c r="G4600" s="229">
        <f>G4573</f>
        <v>95000</v>
      </c>
      <c r="H4600" s="230">
        <f>+G4600*F4600</f>
        <v>8550</v>
      </c>
      <c r="M4600" s="228">
        <v>0.09</v>
      </c>
    </row>
    <row r="4601" spans="2:13" ht="18.75" customHeight="1" x14ac:dyDescent="0.25">
      <c r="B4601" s="550"/>
      <c r="C4601" s="227" t="s">
        <v>1508</v>
      </c>
      <c r="D4601" s="550" t="s">
        <v>632</v>
      </c>
      <c r="E4601" s="224" t="s">
        <v>631</v>
      </c>
      <c r="F4601" s="228">
        <f t="shared" si="216"/>
        <v>0.09</v>
      </c>
      <c r="G4601" s="229">
        <f>G4574</f>
        <v>110000</v>
      </c>
      <c r="H4601" s="230">
        <f>+G4601*F4601</f>
        <v>9900</v>
      </c>
      <c r="M4601" s="228">
        <v>0.09</v>
      </c>
    </row>
    <row r="4602" spans="2:13" ht="18.75" customHeight="1" x14ac:dyDescent="0.25">
      <c r="B4602" s="550"/>
      <c r="C4602" s="227" t="s">
        <v>633</v>
      </c>
      <c r="D4602" s="550" t="s">
        <v>634</v>
      </c>
      <c r="E4602" s="224" t="s">
        <v>631</v>
      </c>
      <c r="F4602" s="228">
        <f t="shared" si="216"/>
        <v>8.9999999999999993E-3</v>
      </c>
      <c r="G4602" s="229">
        <f>G4575</f>
        <v>115000</v>
      </c>
      <c r="H4602" s="230">
        <f>+G4602*F4602</f>
        <v>1035</v>
      </c>
      <c r="M4602" s="228">
        <v>8.9999999999999993E-3</v>
      </c>
    </row>
    <row r="4603" spans="2:13" ht="18.75" customHeight="1" x14ac:dyDescent="0.25">
      <c r="B4603" s="550"/>
      <c r="C4603" s="227" t="s">
        <v>600</v>
      </c>
      <c r="D4603" s="550" t="s">
        <v>635</v>
      </c>
      <c r="E4603" s="224" t="s">
        <v>631</v>
      </c>
      <c r="F4603" s="228">
        <f t="shared" si="216"/>
        <v>5.0000000000000001E-3</v>
      </c>
      <c r="G4603" s="229">
        <f>G4576</f>
        <v>140000</v>
      </c>
      <c r="H4603" s="230">
        <f>+G4603*F4603</f>
        <v>700</v>
      </c>
      <c r="M4603" s="228">
        <v>5.0000000000000001E-3</v>
      </c>
    </row>
    <row r="4604" spans="2:13" ht="18.75" customHeight="1" x14ac:dyDescent="0.25">
      <c r="B4604" s="550"/>
      <c r="C4604" s="223"/>
      <c r="D4604" s="550"/>
      <c r="E4604" s="224"/>
      <c r="F4604" s="233" t="s">
        <v>636</v>
      </c>
      <c r="G4604" s="290"/>
      <c r="H4604" s="231">
        <f>SUM(H4600:H4603)</f>
        <v>20185</v>
      </c>
      <c r="M4604" s="233" t="s">
        <v>636</v>
      </c>
    </row>
    <row r="4605" spans="2:13" ht="18.75" customHeight="1" x14ac:dyDescent="0.25">
      <c r="B4605" s="550"/>
      <c r="C4605" s="223"/>
      <c r="D4605" s="550"/>
      <c r="E4605" s="224"/>
      <c r="F4605" s="233"/>
      <c r="G4605" s="290"/>
      <c r="H4605" s="231"/>
      <c r="M4605" s="233"/>
    </row>
    <row r="4606" spans="2:13" ht="18.75" customHeight="1" x14ac:dyDescent="0.25">
      <c r="B4606" s="550" t="s">
        <v>637</v>
      </c>
      <c r="C4606" s="223" t="s">
        <v>638</v>
      </c>
      <c r="D4606" s="550"/>
      <c r="E4606" s="224"/>
      <c r="F4606" s="225"/>
      <c r="G4606" s="290"/>
      <c r="H4606" s="226"/>
      <c r="M4606" s="225"/>
    </row>
    <row r="4607" spans="2:13" ht="18.75" customHeight="1" x14ac:dyDescent="0.25">
      <c r="B4607" s="550"/>
      <c r="C4607" s="223" t="s">
        <v>1032</v>
      </c>
      <c r="D4607" s="550"/>
      <c r="E4607" s="550" t="s">
        <v>16</v>
      </c>
      <c r="F4607" s="405">
        <v>2.65</v>
      </c>
      <c r="G4607" s="234">
        <f>Bahan!$D$298/(1/(0.1*0.4))</f>
        <v>3560.0000000000005</v>
      </c>
      <c r="H4607" s="230">
        <f>+G4607*F4607</f>
        <v>9434</v>
      </c>
      <c r="M4607" s="405">
        <v>2.65</v>
      </c>
    </row>
    <row r="4608" spans="2:13" ht="18.75" customHeight="1" x14ac:dyDescent="0.25">
      <c r="B4608" s="550"/>
      <c r="C4608" s="223" t="s">
        <v>708</v>
      </c>
      <c r="D4608" s="550"/>
      <c r="E4608" s="550" t="s">
        <v>5</v>
      </c>
      <c r="F4608" s="405">
        <v>1.1399999999999999</v>
      </c>
      <c r="G4608" s="234">
        <f>G4581</f>
        <v>1700</v>
      </c>
      <c r="H4608" s="230">
        <f>+G4608*F4608</f>
        <v>1937.9999999999998</v>
      </c>
      <c r="M4608" s="405">
        <v>1.1399999999999999</v>
      </c>
    </row>
    <row r="4609" spans="2:13" ht="18.75" customHeight="1" x14ac:dyDescent="0.25">
      <c r="B4609" s="550"/>
      <c r="C4609" s="223" t="s">
        <v>1018</v>
      </c>
      <c r="D4609" s="550"/>
      <c r="E4609" s="550" t="s">
        <v>5</v>
      </c>
      <c r="F4609" s="405">
        <v>0.1</v>
      </c>
      <c r="G4609" s="234">
        <f>G4582</f>
        <v>14500</v>
      </c>
      <c r="H4609" s="230">
        <f>+G4609*F4609</f>
        <v>1450</v>
      </c>
      <c r="M4609" s="405">
        <v>0.1</v>
      </c>
    </row>
    <row r="4610" spans="2:13" ht="18.75" customHeight="1" x14ac:dyDescent="0.25">
      <c r="B4610" s="550"/>
      <c r="C4610" s="223" t="s">
        <v>661</v>
      </c>
      <c r="D4610" s="550"/>
      <c r="E4610" s="224" t="s">
        <v>1013</v>
      </c>
      <c r="F4610" s="228">
        <v>3.0000000000000001E-3</v>
      </c>
      <c r="G4610" s="234">
        <f>G4583</f>
        <v>230000</v>
      </c>
      <c r="H4610" s="230">
        <f>+G4610*F4610</f>
        <v>690</v>
      </c>
      <c r="M4610" s="228">
        <v>3.0000000000000001E-3</v>
      </c>
    </row>
    <row r="4611" spans="2:13" ht="18.75" customHeight="1" x14ac:dyDescent="0.25">
      <c r="B4611" s="550"/>
      <c r="C4611" s="223"/>
      <c r="D4611" s="550"/>
      <c r="E4611" s="224"/>
      <c r="F4611" s="237" t="s">
        <v>643</v>
      </c>
      <c r="G4611" s="290"/>
      <c r="H4611" s="231">
        <f>SUM(H4607:H4610)</f>
        <v>13512</v>
      </c>
      <c r="M4611" s="237" t="s">
        <v>643</v>
      </c>
    </row>
    <row r="4612" spans="2:13" ht="18.75" customHeight="1" x14ac:dyDescent="0.25">
      <c r="B4612" s="550"/>
      <c r="C4612" s="223"/>
      <c r="D4612" s="550"/>
      <c r="E4612" s="224"/>
      <c r="F4612" s="225"/>
      <c r="G4612" s="290"/>
      <c r="H4612" s="226"/>
      <c r="M4612" s="225"/>
    </row>
    <row r="4613" spans="2:13" ht="18.75" customHeight="1" x14ac:dyDescent="0.25">
      <c r="B4613" s="550" t="s">
        <v>644</v>
      </c>
      <c r="C4613" s="223" t="s">
        <v>645</v>
      </c>
      <c r="D4613" s="550"/>
      <c r="E4613" s="224"/>
      <c r="F4613" s="225"/>
      <c r="G4613" s="290"/>
      <c r="H4613" s="235"/>
      <c r="M4613" s="225"/>
    </row>
    <row r="4614" spans="2:13" ht="18.75" customHeight="1" x14ac:dyDescent="0.25">
      <c r="B4614" s="236"/>
      <c r="C4614" s="232"/>
      <c r="D4614" s="550"/>
      <c r="E4614" s="224"/>
      <c r="F4614" s="237" t="s">
        <v>646</v>
      </c>
      <c r="G4614" s="290"/>
      <c r="H4614" s="230"/>
      <c r="M4614" s="237" t="s">
        <v>646</v>
      </c>
    </row>
    <row r="4615" spans="2:13" ht="18.75" customHeight="1" x14ac:dyDescent="0.25">
      <c r="B4615" s="236"/>
      <c r="C4615" s="232"/>
      <c r="D4615" s="550"/>
      <c r="E4615" s="224"/>
      <c r="F4615" s="237"/>
      <c r="G4615" s="290"/>
      <c r="H4615" s="226"/>
      <c r="M4615" s="237"/>
    </row>
    <row r="4616" spans="2:13" ht="18.75" customHeight="1" x14ac:dyDescent="0.25">
      <c r="B4616" s="354"/>
      <c r="C4616" s="362"/>
      <c r="D4616" s="239"/>
      <c r="E4616" s="266"/>
      <c r="F4616" s="241"/>
      <c r="G4616" s="370"/>
      <c r="H4616" s="369"/>
      <c r="M4616" s="241"/>
    </row>
    <row r="4617" spans="2:13" ht="18.75" customHeight="1" x14ac:dyDescent="0.25">
      <c r="B4617" s="356" t="s">
        <v>647</v>
      </c>
      <c r="C4617" s="363" t="s">
        <v>648</v>
      </c>
      <c r="D4617" s="435"/>
      <c r="E4617" s="92"/>
      <c r="F4617" s="183"/>
      <c r="G4617" s="295"/>
      <c r="H4617" s="357">
        <f>+H4614+H4611+H4604</f>
        <v>33697</v>
      </c>
      <c r="M4617" s="183"/>
    </row>
    <row r="4618" spans="2:13" ht="18.75" customHeight="1" x14ac:dyDescent="0.25">
      <c r="B4618" s="356" t="s">
        <v>649</v>
      </c>
      <c r="C4618" s="364" t="s">
        <v>650</v>
      </c>
      <c r="D4618" s="435"/>
      <c r="E4618" s="92"/>
      <c r="F4618" s="184" t="str">
        <f>$J$5</f>
        <v>8,0 % x D</v>
      </c>
      <c r="G4618" s="295"/>
      <c r="H4618" s="358">
        <f>+H4617*$K$5</f>
        <v>2695.76</v>
      </c>
      <c r="M4618" s="184" t="str">
        <f>$J$5</f>
        <v>8,0 % x D</v>
      </c>
    </row>
    <row r="4619" spans="2:13" ht="18.75" customHeight="1" x14ac:dyDescent="0.25">
      <c r="B4619" s="356" t="s">
        <v>651</v>
      </c>
      <c r="C4619" s="365" t="s">
        <v>652</v>
      </c>
      <c r="D4619" s="435"/>
      <c r="E4619" s="91"/>
      <c r="F4619" s="185"/>
      <c r="G4619" s="296"/>
      <c r="H4619" s="359">
        <f>ROUNDUP((H4618+H4617)/100,0)*100</f>
        <v>36400</v>
      </c>
      <c r="M4619" s="185"/>
    </row>
    <row r="4620" spans="2:13" ht="18.75" customHeight="1" x14ac:dyDescent="0.25">
      <c r="B4620" s="360"/>
      <c r="C4620" s="366"/>
      <c r="D4620" s="245"/>
      <c r="E4620" s="246"/>
      <c r="F4620" s="247"/>
      <c r="G4620" s="299"/>
      <c r="H4620" s="361"/>
      <c r="M4620" s="247"/>
    </row>
    <row r="4621" spans="2:13" ht="18.75" customHeight="1" x14ac:dyDescent="0.25">
      <c r="B4621" s="92"/>
      <c r="C4621" s="104"/>
      <c r="D4621" s="435"/>
      <c r="E4621" s="91"/>
      <c r="F4621" s="185"/>
      <c r="G4621" s="168"/>
      <c r="H4621" s="139"/>
      <c r="M4621" s="185"/>
    </row>
    <row r="4622" spans="2:13" ht="18.75" customHeight="1" x14ac:dyDescent="0.25">
      <c r="B4622" s="19">
        <v>20</v>
      </c>
      <c r="C4622" s="93" t="s">
        <v>1795</v>
      </c>
      <c r="D4622" s="19"/>
      <c r="E4622" s="21"/>
      <c r="F4622" s="176"/>
      <c r="G4622" s="165"/>
      <c r="H4622" s="119"/>
      <c r="M4622" s="176"/>
    </row>
    <row r="4623" spans="2:13" ht="18.75" customHeight="1" x14ac:dyDescent="0.25">
      <c r="B4623" s="618" t="s">
        <v>620</v>
      </c>
      <c r="C4623" s="620" t="s">
        <v>621</v>
      </c>
      <c r="D4623" s="618" t="s">
        <v>622</v>
      </c>
      <c r="E4623" s="618" t="s">
        <v>2</v>
      </c>
      <c r="F4623" s="615" t="s">
        <v>623</v>
      </c>
      <c r="G4623" s="289" t="s">
        <v>624</v>
      </c>
      <c r="H4623" s="256" t="s">
        <v>625</v>
      </c>
      <c r="M4623" s="615" t="s">
        <v>623</v>
      </c>
    </row>
    <row r="4624" spans="2:13" ht="18.75" customHeight="1" x14ac:dyDescent="0.25">
      <c r="B4624" s="619"/>
      <c r="C4624" s="621"/>
      <c r="D4624" s="619"/>
      <c r="E4624" s="619"/>
      <c r="F4624" s="616"/>
      <c r="G4624" s="289" t="s">
        <v>626</v>
      </c>
      <c r="H4624" s="256" t="s">
        <v>626</v>
      </c>
      <c r="M4624" s="616"/>
    </row>
    <row r="4625" spans="2:13" ht="18.75" customHeight="1" x14ac:dyDescent="0.25">
      <c r="B4625" s="221"/>
      <c r="C4625" s="222"/>
      <c r="D4625" s="221"/>
      <c r="E4625" s="550"/>
      <c r="F4625" s="555"/>
      <c r="G4625" s="551"/>
      <c r="H4625" s="220"/>
      <c r="M4625" s="590"/>
    </row>
    <row r="4626" spans="2:13" ht="18.75" customHeight="1" x14ac:dyDescent="0.25">
      <c r="B4626" s="550" t="s">
        <v>627</v>
      </c>
      <c r="C4626" s="223" t="s">
        <v>628</v>
      </c>
      <c r="D4626" s="550"/>
      <c r="E4626" s="224"/>
      <c r="F4626" s="225"/>
      <c r="G4626" s="290"/>
      <c r="H4626" s="226"/>
      <c r="M4626" s="225"/>
    </row>
    <row r="4627" spans="2:13" ht="18.75" customHeight="1" x14ac:dyDescent="0.25">
      <c r="B4627" s="550"/>
      <c r="C4627" s="227" t="s">
        <v>629</v>
      </c>
      <c r="D4627" s="550" t="s">
        <v>630</v>
      </c>
      <c r="E4627" s="224" t="s">
        <v>631</v>
      </c>
      <c r="F4627" s="228">
        <f t="shared" ref="F4627:F4630" si="217">$K$8*M4627</f>
        <v>0.09</v>
      </c>
      <c r="G4627" s="229">
        <f>G4600</f>
        <v>95000</v>
      </c>
      <c r="H4627" s="230">
        <f>+G4627*F4627</f>
        <v>8550</v>
      </c>
      <c r="M4627" s="228">
        <v>0.09</v>
      </c>
    </row>
    <row r="4628" spans="2:13" ht="18.75" customHeight="1" x14ac:dyDescent="0.25">
      <c r="B4628" s="550"/>
      <c r="C4628" s="227" t="s">
        <v>1508</v>
      </c>
      <c r="D4628" s="550" t="s">
        <v>632</v>
      </c>
      <c r="E4628" s="224" t="s">
        <v>631</v>
      </c>
      <c r="F4628" s="228">
        <f t="shared" si="217"/>
        <v>0.09</v>
      </c>
      <c r="G4628" s="229">
        <f>G4601</f>
        <v>110000</v>
      </c>
      <c r="H4628" s="230">
        <f>+G4628*F4628</f>
        <v>9900</v>
      </c>
      <c r="M4628" s="228">
        <v>0.09</v>
      </c>
    </row>
    <row r="4629" spans="2:13" ht="18.75" customHeight="1" x14ac:dyDescent="0.25">
      <c r="B4629" s="550"/>
      <c r="C4629" s="227" t="s">
        <v>633</v>
      </c>
      <c r="D4629" s="550" t="s">
        <v>634</v>
      </c>
      <c r="E4629" s="224" t="s">
        <v>631</v>
      </c>
      <c r="F4629" s="228">
        <f t="shared" si="217"/>
        <v>8.9999999999999993E-3</v>
      </c>
      <c r="G4629" s="229">
        <f>G4602</f>
        <v>115000</v>
      </c>
      <c r="H4629" s="230">
        <f>+G4629*F4629</f>
        <v>1035</v>
      </c>
      <c r="M4629" s="228">
        <v>8.9999999999999993E-3</v>
      </c>
    </row>
    <row r="4630" spans="2:13" ht="18.75" customHeight="1" x14ac:dyDescent="0.25">
      <c r="B4630" s="550"/>
      <c r="C4630" s="227" t="s">
        <v>600</v>
      </c>
      <c r="D4630" s="550" t="s">
        <v>635</v>
      </c>
      <c r="E4630" s="224" t="s">
        <v>631</v>
      </c>
      <c r="F4630" s="228">
        <f t="shared" si="217"/>
        <v>5.0000000000000001E-3</v>
      </c>
      <c r="G4630" s="229">
        <f>G4603</f>
        <v>140000</v>
      </c>
      <c r="H4630" s="230">
        <f>+G4630*F4630</f>
        <v>700</v>
      </c>
      <c r="M4630" s="228">
        <v>5.0000000000000001E-3</v>
      </c>
    </row>
    <row r="4631" spans="2:13" ht="18.75" customHeight="1" x14ac:dyDescent="0.25">
      <c r="B4631" s="550"/>
      <c r="C4631" s="223"/>
      <c r="D4631" s="550"/>
      <c r="E4631" s="224"/>
      <c r="F4631" s="233" t="s">
        <v>636</v>
      </c>
      <c r="G4631" s="290"/>
      <c r="H4631" s="231">
        <f>SUM(H4627:H4630)</f>
        <v>20185</v>
      </c>
      <c r="M4631" s="233" t="s">
        <v>636</v>
      </c>
    </row>
    <row r="4632" spans="2:13" ht="18.75" customHeight="1" x14ac:dyDescent="0.25">
      <c r="B4632" s="550"/>
      <c r="C4632" s="223"/>
      <c r="D4632" s="550"/>
      <c r="E4632" s="224"/>
      <c r="F4632" s="233"/>
      <c r="G4632" s="290"/>
      <c r="H4632" s="231"/>
      <c r="M4632" s="233"/>
    </row>
    <row r="4633" spans="2:13" ht="18.75" customHeight="1" x14ac:dyDescent="0.25">
      <c r="B4633" s="550" t="s">
        <v>637</v>
      </c>
      <c r="C4633" s="223" t="s">
        <v>638</v>
      </c>
      <c r="D4633" s="550"/>
      <c r="E4633" s="224"/>
      <c r="F4633" s="225"/>
      <c r="G4633" s="290"/>
      <c r="H4633" s="226"/>
      <c r="M4633" s="225"/>
    </row>
    <row r="4634" spans="2:13" ht="18.75" customHeight="1" x14ac:dyDescent="0.25">
      <c r="B4634" s="550"/>
      <c r="C4634" s="223" t="s">
        <v>1033</v>
      </c>
      <c r="D4634" s="550"/>
      <c r="E4634" s="550" t="s">
        <v>16</v>
      </c>
      <c r="F4634" s="405">
        <v>3.53</v>
      </c>
      <c r="G4634" s="234">
        <f>Bahan!$D$299/(1/(0.1*0.3))</f>
        <v>1859.9999999999998</v>
      </c>
      <c r="H4634" s="230">
        <f>+G4634*F4634</f>
        <v>6565.7999999999993</v>
      </c>
      <c r="M4634" s="405">
        <v>3.53</v>
      </c>
    </row>
    <row r="4635" spans="2:13" ht="18.75" customHeight="1" x14ac:dyDescent="0.25">
      <c r="B4635" s="550"/>
      <c r="C4635" s="223" t="s">
        <v>708</v>
      </c>
      <c r="D4635" s="550"/>
      <c r="E4635" s="550" t="s">
        <v>5</v>
      </c>
      <c r="F4635" s="405">
        <v>1.1399999999999999</v>
      </c>
      <c r="G4635" s="234">
        <f>G4608</f>
        <v>1700</v>
      </c>
      <c r="H4635" s="230">
        <f>+G4635*F4635</f>
        <v>1937.9999999999998</v>
      </c>
      <c r="M4635" s="405">
        <v>1.1399999999999999</v>
      </c>
    </row>
    <row r="4636" spans="2:13" ht="18.75" customHeight="1" x14ac:dyDescent="0.25">
      <c r="B4636" s="550"/>
      <c r="C4636" s="223" t="s">
        <v>1018</v>
      </c>
      <c r="D4636" s="550"/>
      <c r="E4636" s="550" t="s">
        <v>5</v>
      </c>
      <c r="F4636" s="405">
        <v>0.1</v>
      </c>
      <c r="G4636" s="234">
        <f>G4609</f>
        <v>14500</v>
      </c>
      <c r="H4636" s="230">
        <f>+G4636*F4636</f>
        <v>1450</v>
      </c>
      <c r="M4636" s="405">
        <v>0.1</v>
      </c>
    </row>
    <row r="4637" spans="2:13" ht="18.75" customHeight="1" x14ac:dyDescent="0.25">
      <c r="B4637" s="550"/>
      <c r="C4637" s="223" t="s">
        <v>661</v>
      </c>
      <c r="D4637" s="550"/>
      <c r="E4637" s="224" t="s">
        <v>1013</v>
      </c>
      <c r="F4637" s="228">
        <v>3.0000000000000001E-3</v>
      </c>
      <c r="G4637" s="234">
        <f>G4610</f>
        <v>230000</v>
      </c>
      <c r="H4637" s="230">
        <f>+G4637*F4637</f>
        <v>690</v>
      </c>
      <c r="M4637" s="228">
        <v>3.0000000000000001E-3</v>
      </c>
    </row>
    <row r="4638" spans="2:13" ht="18.75" customHeight="1" x14ac:dyDescent="0.25">
      <c r="B4638" s="550"/>
      <c r="C4638" s="223"/>
      <c r="D4638" s="550"/>
      <c r="E4638" s="224"/>
      <c r="F4638" s="237" t="s">
        <v>643</v>
      </c>
      <c r="G4638" s="290"/>
      <c r="H4638" s="231">
        <f>SUM(H4634:H4637)</f>
        <v>10643.8</v>
      </c>
      <c r="M4638" s="237" t="s">
        <v>643</v>
      </c>
    </row>
    <row r="4639" spans="2:13" ht="18.75" customHeight="1" x14ac:dyDescent="0.25">
      <c r="B4639" s="550"/>
      <c r="C4639" s="223"/>
      <c r="D4639" s="550"/>
      <c r="E4639" s="224"/>
      <c r="F4639" s="225"/>
      <c r="G4639" s="290"/>
      <c r="H4639" s="226"/>
      <c r="M4639" s="225"/>
    </row>
    <row r="4640" spans="2:13" ht="18.75" customHeight="1" x14ac:dyDescent="0.25">
      <c r="B4640" s="550" t="s">
        <v>644</v>
      </c>
      <c r="C4640" s="223" t="s">
        <v>645</v>
      </c>
      <c r="D4640" s="550"/>
      <c r="E4640" s="224"/>
      <c r="F4640" s="225"/>
      <c r="G4640" s="290"/>
      <c r="H4640" s="235"/>
      <c r="M4640" s="225"/>
    </row>
    <row r="4641" spans="2:13" ht="18.75" customHeight="1" x14ac:dyDescent="0.25">
      <c r="B4641" s="236"/>
      <c r="C4641" s="232"/>
      <c r="D4641" s="550"/>
      <c r="E4641" s="224"/>
      <c r="F4641" s="237" t="s">
        <v>646</v>
      </c>
      <c r="G4641" s="290"/>
      <c r="H4641" s="230"/>
      <c r="M4641" s="237" t="s">
        <v>646</v>
      </c>
    </row>
    <row r="4642" spans="2:13" ht="18.75" customHeight="1" x14ac:dyDescent="0.25">
      <c r="B4642" s="236"/>
      <c r="C4642" s="232"/>
      <c r="D4642" s="550"/>
      <c r="E4642" s="224"/>
      <c r="F4642" s="237"/>
      <c r="G4642" s="290"/>
      <c r="H4642" s="226"/>
      <c r="M4642" s="237"/>
    </row>
    <row r="4643" spans="2:13" ht="18.75" customHeight="1" x14ac:dyDescent="0.25">
      <c r="B4643" s="354"/>
      <c r="C4643" s="362"/>
      <c r="D4643" s="239"/>
      <c r="E4643" s="266"/>
      <c r="F4643" s="241"/>
      <c r="G4643" s="370"/>
      <c r="H4643" s="369"/>
      <c r="M4643" s="241"/>
    </row>
    <row r="4644" spans="2:13" ht="18.75" customHeight="1" x14ac:dyDescent="0.25">
      <c r="B4644" s="356" t="s">
        <v>647</v>
      </c>
      <c r="C4644" s="363" t="s">
        <v>648</v>
      </c>
      <c r="D4644" s="435"/>
      <c r="E4644" s="92"/>
      <c r="F4644" s="183"/>
      <c r="G4644" s="295"/>
      <c r="H4644" s="357">
        <f>+H4641+H4638+H4631</f>
        <v>30828.799999999999</v>
      </c>
      <c r="M4644" s="183"/>
    </row>
    <row r="4645" spans="2:13" ht="18.75" customHeight="1" x14ac:dyDescent="0.25">
      <c r="B4645" s="356" t="s">
        <v>649</v>
      </c>
      <c r="C4645" s="364" t="s">
        <v>650</v>
      </c>
      <c r="D4645" s="435"/>
      <c r="E4645" s="92"/>
      <c r="F4645" s="184" t="str">
        <f>$J$5</f>
        <v>8,0 % x D</v>
      </c>
      <c r="G4645" s="295"/>
      <c r="H4645" s="358">
        <f>+H4644*$K$5</f>
        <v>2466.3040000000001</v>
      </c>
      <c r="M4645" s="184" t="str">
        <f>$J$5</f>
        <v>8,0 % x D</v>
      </c>
    </row>
    <row r="4646" spans="2:13" ht="18.75" customHeight="1" x14ac:dyDescent="0.25">
      <c r="B4646" s="356" t="s">
        <v>651</v>
      </c>
      <c r="C4646" s="365" t="s">
        <v>652</v>
      </c>
      <c r="D4646" s="435"/>
      <c r="E4646" s="91"/>
      <c r="F4646" s="185"/>
      <c r="G4646" s="296"/>
      <c r="H4646" s="359">
        <f>ROUNDUP((H4645+H4644)/100,0)*100</f>
        <v>33300</v>
      </c>
      <c r="M4646" s="185"/>
    </row>
    <row r="4647" spans="2:13" ht="18.75" customHeight="1" x14ac:dyDescent="0.25">
      <c r="B4647" s="360"/>
      <c r="C4647" s="366"/>
      <c r="D4647" s="245"/>
      <c r="E4647" s="246"/>
      <c r="F4647" s="247"/>
      <c r="G4647" s="299"/>
      <c r="H4647" s="361"/>
      <c r="M4647" s="247"/>
    </row>
    <row r="4648" spans="2:13" ht="18.75" customHeight="1" x14ac:dyDescent="0.25">
      <c r="B4648" s="22"/>
      <c r="C4648" s="104"/>
      <c r="E4648" s="21"/>
      <c r="F4648" s="176"/>
      <c r="G4648" s="165"/>
      <c r="H4648" s="119"/>
      <c r="M4648" s="176"/>
    </row>
    <row r="4649" spans="2:13" ht="18.75" customHeight="1" x14ac:dyDescent="0.25">
      <c r="B4649" s="19">
        <v>21</v>
      </c>
      <c r="C4649" s="93" t="s">
        <v>1796</v>
      </c>
      <c r="D4649" s="19"/>
      <c r="E4649" s="21"/>
      <c r="F4649" s="176"/>
      <c r="G4649" s="165"/>
      <c r="H4649" s="119"/>
      <c r="M4649" s="176"/>
    </row>
    <row r="4650" spans="2:13" ht="18.75" customHeight="1" x14ac:dyDescent="0.25">
      <c r="B4650" s="618" t="s">
        <v>620</v>
      </c>
      <c r="C4650" s="620" t="s">
        <v>621</v>
      </c>
      <c r="D4650" s="618" t="s">
        <v>622</v>
      </c>
      <c r="E4650" s="618" t="s">
        <v>2</v>
      </c>
      <c r="F4650" s="615" t="s">
        <v>623</v>
      </c>
      <c r="G4650" s="289" t="s">
        <v>624</v>
      </c>
      <c r="H4650" s="256" t="s">
        <v>625</v>
      </c>
      <c r="M4650" s="615" t="s">
        <v>623</v>
      </c>
    </row>
    <row r="4651" spans="2:13" ht="18.75" customHeight="1" x14ac:dyDescent="0.25">
      <c r="B4651" s="619"/>
      <c r="C4651" s="621"/>
      <c r="D4651" s="619"/>
      <c r="E4651" s="619"/>
      <c r="F4651" s="616"/>
      <c r="G4651" s="289" t="s">
        <v>626</v>
      </c>
      <c r="H4651" s="256" t="s">
        <v>626</v>
      </c>
      <c r="M4651" s="616"/>
    </row>
    <row r="4652" spans="2:13" ht="18.75" customHeight="1" x14ac:dyDescent="0.25">
      <c r="B4652" s="221"/>
      <c r="C4652" s="222"/>
      <c r="D4652" s="221"/>
      <c r="E4652" s="550"/>
      <c r="F4652" s="555"/>
      <c r="G4652" s="551"/>
      <c r="H4652" s="220"/>
      <c r="M4652" s="590"/>
    </row>
    <row r="4653" spans="2:13" ht="18.75" customHeight="1" x14ac:dyDescent="0.25">
      <c r="B4653" s="550" t="s">
        <v>627</v>
      </c>
      <c r="C4653" s="223" t="s">
        <v>628</v>
      </c>
      <c r="D4653" s="550"/>
      <c r="E4653" s="224"/>
      <c r="F4653" s="225"/>
      <c r="G4653" s="290"/>
      <c r="H4653" s="226"/>
      <c r="M4653" s="225"/>
    </row>
    <row r="4654" spans="2:13" ht="18.75" customHeight="1" x14ac:dyDescent="0.25">
      <c r="B4654" s="550"/>
      <c r="C4654" s="227" t="s">
        <v>629</v>
      </c>
      <c r="D4654" s="550" t="s">
        <v>630</v>
      </c>
      <c r="E4654" s="224" t="s">
        <v>631</v>
      </c>
      <c r="F4654" s="228">
        <f t="shared" ref="F4654:F4657" si="218">$K$8*M4654</f>
        <v>0.09</v>
      </c>
      <c r="G4654" s="229">
        <f>G4627</f>
        <v>95000</v>
      </c>
      <c r="H4654" s="230">
        <f>+G4654*F4654</f>
        <v>8550</v>
      </c>
      <c r="M4654" s="228">
        <v>0.09</v>
      </c>
    </row>
    <row r="4655" spans="2:13" ht="18.75" customHeight="1" x14ac:dyDescent="0.25">
      <c r="B4655" s="550"/>
      <c r="C4655" s="227" t="s">
        <v>1508</v>
      </c>
      <c r="D4655" s="550" t="s">
        <v>632</v>
      </c>
      <c r="E4655" s="224" t="s">
        <v>631</v>
      </c>
      <c r="F4655" s="228">
        <f t="shared" si="218"/>
        <v>0.09</v>
      </c>
      <c r="G4655" s="229">
        <f>G4628</f>
        <v>110000</v>
      </c>
      <c r="H4655" s="230">
        <f>+G4655*F4655</f>
        <v>9900</v>
      </c>
      <c r="M4655" s="228">
        <v>0.09</v>
      </c>
    </row>
    <row r="4656" spans="2:13" ht="18.75" customHeight="1" x14ac:dyDescent="0.25">
      <c r="B4656" s="550"/>
      <c r="C4656" s="227" t="s">
        <v>633</v>
      </c>
      <c r="D4656" s="550" t="s">
        <v>634</v>
      </c>
      <c r="E4656" s="224" t="s">
        <v>631</v>
      </c>
      <c r="F4656" s="228">
        <f t="shared" si="218"/>
        <v>8.9999999999999993E-3</v>
      </c>
      <c r="G4656" s="229">
        <f>G4629</f>
        <v>115000</v>
      </c>
      <c r="H4656" s="230">
        <f>+G4656*F4656</f>
        <v>1035</v>
      </c>
      <c r="M4656" s="228">
        <v>8.9999999999999993E-3</v>
      </c>
    </row>
    <row r="4657" spans="2:13" ht="18.75" customHeight="1" x14ac:dyDescent="0.25">
      <c r="B4657" s="550"/>
      <c r="C4657" s="227" t="s">
        <v>600</v>
      </c>
      <c r="D4657" s="550" t="s">
        <v>635</v>
      </c>
      <c r="E4657" s="224" t="s">
        <v>631</v>
      </c>
      <c r="F4657" s="228">
        <f t="shared" si="218"/>
        <v>5.0000000000000001E-3</v>
      </c>
      <c r="G4657" s="229">
        <f>G4630</f>
        <v>140000</v>
      </c>
      <c r="H4657" s="230">
        <f>+G4657*F4657</f>
        <v>700</v>
      </c>
      <c r="M4657" s="228">
        <v>5.0000000000000001E-3</v>
      </c>
    </row>
    <row r="4658" spans="2:13" ht="18.75" customHeight="1" x14ac:dyDescent="0.25">
      <c r="B4658" s="550"/>
      <c r="C4658" s="223"/>
      <c r="D4658" s="550"/>
      <c r="E4658" s="224"/>
      <c r="F4658" s="233" t="s">
        <v>636</v>
      </c>
      <c r="G4658" s="290"/>
      <c r="H4658" s="231">
        <f>SUM(H4654:H4657)</f>
        <v>20185</v>
      </c>
      <c r="M4658" s="233" t="s">
        <v>636</v>
      </c>
    </row>
    <row r="4659" spans="2:13" ht="18.75" customHeight="1" x14ac:dyDescent="0.25">
      <c r="B4659" s="550"/>
      <c r="C4659" s="223"/>
      <c r="D4659" s="550"/>
      <c r="E4659" s="224"/>
      <c r="F4659" s="233"/>
      <c r="G4659" s="290"/>
      <c r="H4659" s="231"/>
      <c r="M4659" s="233"/>
    </row>
    <row r="4660" spans="2:13" ht="18.75" customHeight="1" x14ac:dyDescent="0.25">
      <c r="B4660" s="550" t="s">
        <v>637</v>
      </c>
      <c r="C4660" s="223" t="s">
        <v>638</v>
      </c>
      <c r="D4660" s="550"/>
      <c r="E4660" s="224"/>
      <c r="F4660" s="225"/>
      <c r="G4660" s="290"/>
      <c r="H4660" s="226"/>
      <c r="M4660" s="225"/>
    </row>
    <row r="4661" spans="2:13" ht="18.75" customHeight="1" x14ac:dyDescent="0.25">
      <c r="B4661" s="550"/>
      <c r="C4661" s="223" t="s">
        <v>1033</v>
      </c>
      <c r="D4661" s="550"/>
      <c r="E4661" s="550" t="s">
        <v>16</v>
      </c>
      <c r="F4661" s="405">
        <v>2.65</v>
      </c>
      <c r="G4661" s="234">
        <f>Bahan!$D$299/(1/(0.1*0.4))</f>
        <v>2480.0000000000005</v>
      </c>
      <c r="H4661" s="230">
        <f>+G4661*F4661</f>
        <v>6572.0000000000009</v>
      </c>
      <c r="M4661" s="405">
        <v>2.65</v>
      </c>
    </row>
    <row r="4662" spans="2:13" ht="18.75" customHeight="1" x14ac:dyDescent="0.25">
      <c r="B4662" s="550"/>
      <c r="C4662" s="223" t="s">
        <v>708</v>
      </c>
      <c r="D4662" s="550"/>
      <c r="E4662" s="550" t="s">
        <v>5</v>
      </c>
      <c r="F4662" s="405">
        <v>1.1399999999999999</v>
      </c>
      <c r="G4662" s="234">
        <f>G4635</f>
        <v>1700</v>
      </c>
      <c r="H4662" s="230">
        <f>+G4662*F4662</f>
        <v>1937.9999999999998</v>
      </c>
      <c r="M4662" s="405">
        <v>1.1399999999999999</v>
      </c>
    </row>
    <row r="4663" spans="2:13" ht="18.75" customHeight="1" x14ac:dyDescent="0.25">
      <c r="B4663" s="550"/>
      <c r="C4663" s="223" t="s">
        <v>1018</v>
      </c>
      <c r="D4663" s="550"/>
      <c r="E4663" s="550" t="s">
        <v>5</v>
      </c>
      <c r="F4663" s="405">
        <v>0.1</v>
      </c>
      <c r="G4663" s="234">
        <f>G4636</f>
        <v>14500</v>
      </c>
      <c r="H4663" s="230">
        <f>+G4663*F4663</f>
        <v>1450</v>
      </c>
      <c r="M4663" s="405">
        <v>0.1</v>
      </c>
    </row>
    <row r="4664" spans="2:13" ht="18.75" customHeight="1" x14ac:dyDescent="0.25">
      <c r="B4664" s="550"/>
      <c r="C4664" s="223" t="s">
        <v>661</v>
      </c>
      <c r="D4664" s="550"/>
      <c r="E4664" s="224" t="s">
        <v>1013</v>
      </c>
      <c r="F4664" s="228">
        <v>3.0000000000000001E-3</v>
      </c>
      <c r="G4664" s="234">
        <f>G4637</f>
        <v>230000</v>
      </c>
      <c r="H4664" s="230">
        <f>+G4664*F4664</f>
        <v>690</v>
      </c>
      <c r="M4664" s="228">
        <v>3.0000000000000001E-3</v>
      </c>
    </row>
    <row r="4665" spans="2:13" ht="18.75" customHeight="1" x14ac:dyDescent="0.25">
      <c r="B4665" s="550"/>
      <c r="C4665" s="223"/>
      <c r="D4665" s="550"/>
      <c r="E4665" s="224"/>
      <c r="F4665" s="237" t="s">
        <v>643</v>
      </c>
      <c r="G4665" s="290"/>
      <c r="H4665" s="231">
        <f>SUM(H4661:H4664)</f>
        <v>10650</v>
      </c>
      <c r="M4665" s="237" t="s">
        <v>643</v>
      </c>
    </row>
    <row r="4666" spans="2:13" ht="18.75" customHeight="1" x14ac:dyDescent="0.25">
      <c r="B4666" s="550"/>
      <c r="C4666" s="223"/>
      <c r="D4666" s="550"/>
      <c r="E4666" s="224"/>
      <c r="F4666" s="225"/>
      <c r="G4666" s="290"/>
      <c r="H4666" s="226"/>
      <c r="M4666" s="225"/>
    </row>
    <row r="4667" spans="2:13" ht="18.75" customHeight="1" x14ac:dyDescent="0.25">
      <c r="B4667" s="550" t="s">
        <v>644</v>
      </c>
      <c r="C4667" s="223" t="s">
        <v>645</v>
      </c>
      <c r="D4667" s="550"/>
      <c r="E4667" s="224"/>
      <c r="F4667" s="225"/>
      <c r="G4667" s="290"/>
      <c r="H4667" s="235"/>
      <c r="M4667" s="225"/>
    </row>
    <row r="4668" spans="2:13" ht="18.75" customHeight="1" x14ac:dyDescent="0.25">
      <c r="B4668" s="236"/>
      <c r="C4668" s="232"/>
      <c r="D4668" s="550"/>
      <c r="E4668" s="224"/>
      <c r="F4668" s="237" t="s">
        <v>646</v>
      </c>
      <c r="G4668" s="290"/>
      <c r="H4668" s="230"/>
      <c r="M4668" s="237" t="s">
        <v>646</v>
      </c>
    </row>
    <row r="4669" spans="2:13" ht="18.75" customHeight="1" x14ac:dyDescent="0.25">
      <c r="B4669" s="236"/>
      <c r="C4669" s="232"/>
      <c r="D4669" s="550"/>
      <c r="E4669" s="224"/>
      <c r="F4669" s="237"/>
      <c r="G4669" s="290"/>
      <c r="H4669" s="230"/>
      <c r="M4669" s="237"/>
    </row>
    <row r="4670" spans="2:13" ht="18.75" customHeight="1" x14ac:dyDescent="0.25">
      <c r="B4670" s="354"/>
      <c r="C4670" s="362"/>
      <c r="D4670" s="239"/>
      <c r="E4670" s="266"/>
      <c r="F4670" s="241"/>
      <c r="G4670" s="370"/>
      <c r="H4670" s="369"/>
      <c r="M4670" s="241"/>
    </row>
    <row r="4671" spans="2:13" ht="18.75" customHeight="1" x14ac:dyDescent="0.25">
      <c r="B4671" s="356" t="s">
        <v>647</v>
      </c>
      <c r="C4671" s="363" t="s">
        <v>648</v>
      </c>
      <c r="D4671" s="435"/>
      <c r="E4671" s="92"/>
      <c r="F4671" s="183"/>
      <c r="G4671" s="295"/>
      <c r="H4671" s="357">
        <f>+H4668+H4665+H4658</f>
        <v>30835</v>
      </c>
      <c r="M4671" s="183"/>
    </row>
    <row r="4672" spans="2:13" ht="18.75" customHeight="1" x14ac:dyDescent="0.25">
      <c r="B4672" s="356" t="s">
        <v>649</v>
      </c>
      <c r="C4672" s="364" t="s">
        <v>650</v>
      </c>
      <c r="D4672" s="435"/>
      <c r="E4672" s="92"/>
      <c r="F4672" s="184" t="str">
        <f>$J$5</f>
        <v>8,0 % x D</v>
      </c>
      <c r="G4672" s="295"/>
      <c r="H4672" s="358">
        <f>+H4671*$K$5</f>
        <v>2466.8000000000002</v>
      </c>
      <c r="M4672" s="184" t="str">
        <f>$J$5</f>
        <v>8,0 % x D</v>
      </c>
    </row>
    <row r="4673" spans="2:13" ht="18.75" customHeight="1" x14ac:dyDescent="0.25">
      <c r="B4673" s="356" t="s">
        <v>651</v>
      </c>
      <c r="C4673" s="365" t="s">
        <v>652</v>
      </c>
      <c r="D4673" s="435"/>
      <c r="E4673" s="91"/>
      <c r="F4673" s="185"/>
      <c r="G4673" s="296"/>
      <c r="H4673" s="359">
        <f>ROUNDUP((H4672+H4671)/100,0)*100</f>
        <v>33400</v>
      </c>
      <c r="M4673" s="185"/>
    </row>
    <row r="4674" spans="2:13" ht="18.75" customHeight="1" x14ac:dyDescent="0.25">
      <c r="B4674" s="360"/>
      <c r="C4674" s="366"/>
      <c r="D4674" s="245"/>
      <c r="E4674" s="246"/>
      <c r="F4674" s="247"/>
      <c r="G4674" s="299"/>
      <c r="H4674" s="361"/>
      <c r="M4674" s="247"/>
    </row>
    <row r="4675" spans="2:13" ht="18.75" customHeight="1" x14ac:dyDescent="0.25">
      <c r="B4675" s="92"/>
      <c r="C4675" s="104"/>
      <c r="D4675" s="435"/>
      <c r="E4675" s="91"/>
      <c r="F4675" s="185"/>
      <c r="G4675" s="168"/>
      <c r="H4675" s="139"/>
      <c r="M4675" s="185"/>
    </row>
    <row r="4676" spans="2:13" ht="18.75" customHeight="1" x14ac:dyDescent="0.25">
      <c r="B4676" s="19">
        <v>22</v>
      </c>
      <c r="C4676" s="93" t="s">
        <v>1797</v>
      </c>
      <c r="D4676" s="19"/>
      <c r="E4676" s="21"/>
      <c r="F4676" s="176"/>
      <c r="G4676" s="165"/>
      <c r="H4676" s="119"/>
      <c r="M4676" s="176"/>
    </row>
    <row r="4677" spans="2:13" ht="18.75" customHeight="1" x14ac:dyDescent="0.25">
      <c r="B4677" s="618" t="s">
        <v>620</v>
      </c>
      <c r="C4677" s="620" t="s">
        <v>621</v>
      </c>
      <c r="D4677" s="618" t="s">
        <v>622</v>
      </c>
      <c r="E4677" s="618" t="s">
        <v>2</v>
      </c>
      <c r="F4677" s="615" t="s">
        <v>623</v>
      </c>
      <c r="G4677" s="289" t="s">
        <v>624</v>
      </c>
      <c r="H4677" s="256" t="s">
        <v>625</v>
      </c>
      <c r="M4677" s="615" t="s">
        <v>623</v>
      </c>
    </row>
    <row r="4678" spans="2:13" ht="18.75" customHeight="1" x14ac:dyDescent="0.25">
      <c r="B4678" s="619"/>
      <c r="C4678" s="621"/>
      <c r="D4678" s="619"/>
      <c r="E4678" s="619"/>
      <c r="F4678" s="616"/>
      <c r="G4678" s="289" t="s">
        <v>626</v>
      </c>
      <c r="H4678" s="256" t="s">
        <v>626</v>
      </c>
      <c r="M4678" s="616"/>
    </row>
    <row r="4679" spans="2:13" ht="18.75" customHeight="1" x14ac:dyDescent="0.25">
      <c r="B4679" s="221"/>
      <c r="C4679" s="222"/>
      <c r="D4679" s="221"/>
      <c r="E4679" s="550"/>
      <c r="F4679" s="555"/>
      <c r="G4679" s="551"/>
      <c r="H4679" s="220"/>
      <c r="M4679" s="590"/>
    </row>
    <row r="4680" spans="2:13" ht="18.75" customHeight="1" x14ac:dyDescent="0.25">
      <c r="B4680" s="550" t="s">
        <v>627</v>
      </c>
      <c r="C4680" s="223" t="s">
        <v>628</v>
      </c>
      <c r="D4680" s="550"/>
      <c r="E4680" s="224"/>
      <c r="F4680" s="225"/>
      <c r="G4680" s="290"/>
      <c r="H4680" s="226"/>
      <c r="M4680" s="225"/>
    </row>
    <row r="4681" spans="2:13" ht="18.75" customHeight="1" x14ac:dyDescent="0.25">
      <c r="B4681" s="550"/>
      <c r="C4681" s="227" t="s">
        <v>629</v>
      </c>
      <c r="D4681" s="550" t="s">
        <v>630</v>
      </c>
      <c r="E4681" s="224" t="s">
        <v>631</v>
      </c>
      <c r="F4681" s="228">
        <f t="shared" ref="F4681:F4684" si="219">$K$8*M4681</f>
        <v>0.09</v>
      </c>
      <c r="G4681" s="229">
        <f>G4654</f>
        <v>95000</v>
      </c>
      <c r="H4681" s="230">
        <f>+G4681*F4681</f>
        <v>8550</v>
      </c>
      <c r="M4681" s="228">
        <v>0.09</v>
      </c>
    </row>
    <row r="4682" spans="2:13" ht="18.75" customHeight="1" x14ac:dyDescent="0.25">
      <c r="B4682" s="550"/>
      <c r="C4682" s="227" t="s">
        <v>1508</v>
      </c>
      <c r="D4682" s="550" t="s">
        <v>632</v>
      </c>
      <c r="E4682" s="224" t="s">
        <v>631</v>
      </c>
      <c r="F4682" s="228">
        <f t="shared" si="219"/>
        <v>0.09</v>
      </c>
      <c r="G4682" s="229">
        <f>G4655</f>
        <v>110000</v>
      </c>
      <c r="H4682" s="230">
        <f>+G4682*F4682</f>
        <v>9900</v>
      </c>
      <c r="M4682" s="228">
        <v>0.09</v>
      </c>
    </row>
    <row r="4683" spans="2:13" ht="18.75" customHeight="1" x14ac:dyDescent="0.25">
      <c r="B4683" s="550"/>
      <c r="C4683" s="227" t="s">
        <v>633</v>
      </c>
      <c r="D4683" s="550" t="s">
        <v>634</v>
      </c>
      <c r="E4683" s="224" t="s">
        <v>631</v>
      </c>
      <c r="F4683" s="228">
        <f t="shared" si="219"/>
        <v>8.9999999999999993E-3</v>
      </c>
      <c r="G4683" s="229">
        <f>G4656</f>
        <v>115000</v>
      </c>
      <c r="H4683" s="230">
        <f>+G4683*F4683</f>
        <v>1035</v>
      </c>
      <c r="M4683" s="228">
        <v>8.9999999999999993E-3</v>
      </c>
    </row>
    <row r="4684" spans="2:13" ht="18.75" customHeight="1" x14ac:dyDescent="0.25">
      <c r="B4684" s="550"/>
      <c r="C4684" s="227" t="s">
        <v>600</v>
      </c>
      <c r="D4684" s="550" t="s">
        <v>635</v>
      </c>
      <c r="E4684" s="224" t="s">
        <v>631</v>
      </c>
      <c r="F4684" s="228">
        <f t="shared" si="219"/>
        <v>5.0000000000000001E-3</v>
      </c>
      <c r="G4684" s="229">
        <f>G4657</f>
        <v>140000</v>
      </c>
      <c r="H4684" s="230">
        <f>+G4684*F4684</f>
        <v>700</v>
      </c>
      <c r="M4684" s="228">
        <v>5.0000000000000001E-3</v>
      </c>
    </row>
    <row r="4685" spans="2:13" ht="18.75" customHeight="1" x14ac:dyDescent="0.25">
      <c r="B4685" s="550"/>
      <c r="C4685" s="223"/>
      <c r="D4685" s="550"/>
      <c r="E4685" s="224"/>
      <c r="F4685" s="233" t="s">
        <v>636</v>
      </c>
      <c r="G4685" s="290"/>
      <c r="H4685" s="231">
        <f>SUM(H4681:H4684)</f>
        <v>20185</v>
      </c>
      <c r="M4685" s="233" t="s">
        <v>636</v>
      </c>
    </row>
    <row r="4686" spans="2:13" ht="18.75" customHeight="1" x14ac:dyDescent="0.25">
      <c r="B4686" s="550"/>
      <c r="C4686" s="223"/>
      <c r="D4686" s="550"/>
      <c r="E4686" s="224"/>
      <c r="F4686" s="233"/>
      <c r="G4686" s="290"/>
      <c r="H4686" s="231"/>
      <c r="M4686" s="233"/>
    </row>
    <row r="4687" spans="2:13" ht="18.75" customHeight="1" x14ac:dyDescent="0.25">
      <c r="B4687" s="550" t="s">
        <v>637</v>
      </c>
      <c r="C4687" s="223" t="s">
        <v>638</v>
      </c>
      <c r="D4687" s="550"/>
      <c r="E4687" s="224"/>
      <c r="F4687" s="225"/>
      <c r="G4687" s="290"/>
      <c r="H4687" s="226"/>
      <c r="M4687" s="225"/>
    </row>
    <row r="4688" spans="2:13" ht="18.75" customHeight="1" x14ac:dyDescent="0.25">
      <c r="B4688" s="550"/>
      <c r="C4688" s="223" t="s">
        <v>1034</v>
      </c>
      <c r="D4688" s="550"/>
      <c r="E4688" s="550" t="s">
        <v>16</v>
      </c>
      <c r="F4688" s="405">
        <v>2.65</v>
      </c>
      <c r="G4688" s="234">
        <f>Bahan!$D$293/(1/(0.1*0.4))</f>
        <v>14200.000000000002</v>
      </c>
      <c r="H4688" s="230">
        <f>+G4688*F4688</f>
        <v>37630</v>
      </c>
      <c r="M4688" s="405">
        <v>2.65</v>
      </c>
    </row>
    <row r="4689" spans="2:13" ht="18.75" customHeight="1" x14ac:dyDescent="0.25">
      <c r="B4689" s="550"/>
      <c r="C4689" s="223" t="s">
        <v>708</v>
      </c>
      <c r="D4689" s="550"/>
      <c r="E4689" s="550" t="s">
        <v>5</v>
      </c>
      <c r="F4689" s="405">
        <v>1.1399999999999999</v>
      </c>
      <c r="G4689" s="234">
        <f>G4662</f>
        <v>1700</v>
      </c>
      <c r="H4689" s="230">
        <f>+G4689*F4689</f>
        <v>1937.9999999999998</v>
      </c>
      <c r="M4689" s="405">
        <v>1.1399999999999999</v>
      </c>
    </row>
    <row r="4690" spans="2:13" ht="18.75" customHeight="1" x14ac:dyDescent="0.25">
      <c r="B4690" s="550"/>
      <c r="C4690" s="223" t="s">
        <v>1018</v>
      </c>
      <c r="D4690" s="550"/>
      <c r="E4690" s="550" t="s">
        <v>5</v>
      </c>
      <c r="F4690" s="405">
        <v>0.1</v>
      </c>
      <c r="G4690" s="234">
        <f>G4663</f>
        <v>14500</v>
      </c>
      <c r="H4690" s="230">
        <f>+G4690*F4690</f>
        <v>1450</v>
      </c>
      <c r="M4690" s="405">
        <v>0.1</v>
      </c>
    </row>
    <row r="4691" spans="2:13" ht="18.75" customHeight="1" x14ac:dyDescent="0.25">
      <c r="B4691" s="550"/>
      <c r="C4691" s="223" t="s">
        <v>661</v>
      </c>
      <c r="D4691" s="550"/>
      <c r="E4691" s="224" t="s">
        <v>1013</v>
      </c>
      <c r="F4691" s="228">
        <v>3.0000000000000001E-3</v>
      </c>
      <c r="G4691" s="234">
        <f>G4664</f>
        <v>230000</v>
      </c>
      <c r="H4691" s="230">
        <f>+G4691*F4691</f>
        <v>690</v>
      </c>
      <c r="M4691" s="228">
        <v>3.0000000000000001E-3</v>
      </c>
    </row>
    <row r="4692" spans="2:13" ht="18.75" customHeight="1" x14ac:dyDescent="0.25">
      <c r="B4692" s="550"/>
      <c r="C4692" s="223"/>
      <c r="D4692" s="550"/>
      <c r="E4692" s="224"/>
      <c r="F4692" s="237" t="s">
        <v>643</v>
      </c>
      <c r="G4692" s="290"/>
      <c r="H4692" s="231">
        <f>SUM(H4688:H4691)</f>
        <v>41708</v>
      </c>
      <c r="M4692" s="237" t="s">
        <v>643</v>
      </c>
    </row>
    <row r="4693" spans="2:13" ht="18.75" customHeight="1" x14ac:dyDescent="0.25">
      <c r="B4693" s="550"/>
      <c r="C4693" s="223"/>
      <c r="D4693" s="550"/>
      <c r="E4693" s="224"/>
      <c r="F4693" s="225"/>
      <c r="G4693" s="290"/>
      <c r="H4693" s="226"/>
      <c r="M4693" s="225"/>
    </row>
    <row r="4694" spans="2:13" ht="18.75" customHeight="1" x14ac:dyDescent="0.25">
      <c r="B4694" s="550" t="s">
        <v>644</v>
      </c>
      <c r="C4694" s="223" t="s">
        <v>645</v>
      </c>
      <c r="D4694" s="550"/>
      <c r="E4694" s="224"/>
      <c r="F4694" s="225"/>
      <c r="G4694" s="290"/>
      <c r="H4694" s="235"/>
      <c r="M4694" s="225"/>
    </row>
    <row r="4695" spans="2:13" ht="18.75" customHeight="1" x14ac:dyDescent="0.25">
      <c r="B4695" s="236"/>
      <c r="C4695" s="232"/>
      <c r="D4695" s="550"/>
      <c r="E4695" s="224"/>
      <c r="F4695" s="237" t="s">
        <v>646</v>
      </c>
      <c r="G4695" s="290"/>
      <c r="H4695" s="230"/>
      <c r="M4695" s="237" t="s">
        <v>646</v>
      </c>
    </row>
    <row r="4696" spans="2:13" ht="18.75" customHeight="1" x14ac:dyDescent="0.25">
      <c r="B4696" s="236"/>
      <c r="C4696" s="232"/>
      <c r="D4696" s="550"/>
      <c r="E4696" s="224"/>
      <c r="F4696" s="237"/>
      <c r="G4696" s="290"/>
      <c r="H4696" s="230"/>
      <c r="M4696" s="237"/>
    </row>
    <row r="4697" spans="2:13" ht="18.75" customHeight="1" x14ac:dyDescent="0.25">
      <c r="B4697" s="354"/>
      <c r="C4697" s="362"/>
      <c r="D4697" s="239"/>
      <c r="E4697" s="266"/>
      <c r="F4697" s="241"/>
      <c r="G4697" s="370"/>
      <c r="H4697" s="369"/>
      <c r="M4697" s="241"/>
    </row>
    <row r="4698" spans="2:13" ht="18.75" customHeight="1" x14ac:dyDescent="0.25">
      <c r="B4698" s="356" t="s">
        <v>647</v>
      </c>
      <c r="C4698" s="363" t="s">
        <v>648</v>
      </c>
      <c r="D4698" s="435"/>
      <c r="E4698" s="92"/>
      <c r="F4698" s="183"/>
      <c r="G4698" s="295"/>
      <c r="H4698" s="357">
        <f>+H4695+H4692+H4685</f>
        <v>61893</v>
      </c>
      <c r="M4698" s="183"/>
    </row>
    <row r="4699" spans="2:13" ht="18.75" customHeight="1" x14ac:dyDescent="0.25">
      <c r="B4699" s="356" t="s">
        <v>649</v>
      </c>
      <c r="C4699" s="364" t="s">
        <v>650</v>
      </c>
      <c r="D4699" s="435"/>
      <c r="E4699" s="92"/>
      <c r="F4699" s="184" t="str">
        <f>$J$5</f>
        <v>8,0 % x D</v>
      </c>
      <c r="G4699" s="295"/>
      <c r="H4699" s="358">
        <f>+H4698*$K$5</f>
        <v>4951.4400000000005</v>
      </c>
      <c r="M4699" s="184" t="str">
        <f>$J$5</f>
        <v>8,0 % x D</v>
      </c>
    </row>
    <row r="4700" spans="2:13" ht="18.75" customHeight="1" x14ac:dyDescent="0.25">
      <c r="B4700" s="356" t="s">
        <v>651</v>
      </c>
      <c r="C4700" s="365" t="s">
        <v>652</v>
      </c>
      <c r="D4700" s="435"/>
      <c r="E4700" s="91"/>
      <c r="F4700" s="185"/>
      <c r="G4700" s="296"/>
      <c r="H4700" s="359">
        <f>ROUNDUP((H4699+H4698)/100,0)*100</f>
        <v>66900</v>
      </c>
      <c r="M4700" s="185"/>
    </row>
    <row r="4701" spans="2:13" ht="18.75" customHeight="1" x14ac:dyDescent="0.25">
      <c r="B4701" s="360"/>
      <c r="C4701" s="366"/>
      <c r="D4701" s="245"/>
      <c r="E4701" s="246"/>
      <c r="F4701" s="247"/>
      <c r="G4701" s="299"/>
      <c r="H4701" s="361"/>
      <c r="M4701" s="247"/>
    </row>
    <row r="4702" spans="2:13" ht="18.75" customHeight="1" x14ac:dyDescent="0.25">
      <c r="B4702" s="22"/>
      <c r="C4702" s="104"/>
      <c r="E4702" s="21"/>
      <c r="F4702" s="176"/>
      <c r="G4702" s="165"/>
      <c r="H4702" s="119"/>
      <c r="M4702" s="176"/>
    </row>
    <row r="4703" spans="2:13" ht="18.75" customHeight="1" x14ac:dyDescent="0.25">
      <c r="B4703" s="19">
        <v>23</v>
      </c>
      <c r="C4703" s="93" t="s">
        <v>1798</v>
      </c>
      <c r="D4703" s="19"/>
      <c r="E4703" s="21"/>
      <c r="F4703" s="176"/>
      <c r="G4703" s="165"/>
      <c r="H4703" s="119"/>
      <c r="M4703" s="176"/>
    </row>
    <row r="4704" spans="2:13" ht="18.75" customHeight="1" x14ac:dyDescent="0.25">
      <c r="B4704" s="618" t="s">
        <v>620</v>
      </c>
      <c r="C4704" s="620" t="s">
        <v>621</v>
      </c>
      <c r="D4704" s="618" t="s">
        <v>622</v>
      </c>
      <c r="E4704" s="618" t="s">
        <v>2</v>
      </c>
      <c r="F4704" s="615" t="s">
        <v>623</v>
      </c>
      <c r="G4704" s="289" t="s">
        <v>624</v>
      </c>
      <c r="H4704" s="256" t="s">
        <v>625</v>
      </c>
      <c r="M4704" s="615" t="s">
        <v>623</v>
      </c>
    </row>
    <row r="4705" spans="2:13" ht="18.75" customHeight="1" x14ac:dyDescent="0.25">
      <c r="B4705" s="619"/>
      <c r="C4705" s="621"/>
      <c r="D4705" s="619"/>
      <c r="E4705" s="619"/>
      <c r="F4705" s="616"/>
      <c r="G4705" s="289" t="s">
        <v>626</v>
      </c>
      <c r="H4705" s="256" t="s">
        <v>626</v>
      </c>
      <c r="M4705" s="616"/>
    </row>
    <row r="4706" spans="2:13" ht="18.75" customHeight="1" x14ac:dyDescent="0.25">
      <c r="B4706" s="221"/>
      <c r="C4706" s="222"/>
      <c r="D4706" s="221"/>
      <c r="E4706" s="550"/>
      <c r="F4706" s="555"/>
      <c r="G4706" s="551"/>
      <c r="H4706" s="220"/>
      <c r="M4706" s="590"/>
    </row>
    <row r="4707" spans="2:13" ht="18.75" customHeight="1" x14ac:dyDescent="0.25">
      <c r="B4707" s="550" t="s">
        <v>627</v>
      </c>
      <c r="C4707" s="223" t="s">
        <v>628</v>
      </c>
      <c r="D4707" s="550"/>
      <c r="E4707" s="224"/>
      <c r="F4707" s="225"/>
      <c r="G4707" s="290"/>
      <c r="H4707" s="226"/>
      <c r="M4707" s="225"/>
    </row>
    <row r="4708" spans="2:13" ht="18.75" customHeight="1" x14ac:dyDescent="0.25">
      <c r="B4708" s="550"/>
      <c r="C4708" s="227" t="s">
        <v>629</v>
      </c>
      <c r="D4708" s="550" t="s">
        <v>630</v>
      </c>
      <c r="E4708" s="224" t="s">
        <v>631</v>
      </c>
      <c r="F4708" s="228">
        <f t="shared" ref="F4708:F4711" si="220">$K$8*M4708</f>
        <v>0.09</v>
      </c>
      <c r="G4708" s="229">
        <f>G4681</f>
        <v>95000</v>
      </c>
      <c r="H4708" s="230">
        <f>+G4708*F4708</f>
        <v>8550</v>
      </c>
      <c r="M4708" s="228">
        <v>0.09</v>
      </c>
    </row>
    <row r="4709" spans="2:13" ht="18.75" customHeight="1" x14ac:dyDescent="0.25">
      <c r="B4709" s="550"/>
      <c r="C4709" s="227" t="s">
        <v>1508</v>
      </c>
      <c r="D4709" s="550" t="s">
        <v>632</v>
      </c>
      <c r="E4709" s="224" t="s">
        <v>631</v>
      </c>
      <c r="F4709" s="228">
        <f t="shared" si="220"/>
        <v>0.09</v>
      </c>
      <c r="G4709" s="229">
        <f>G4682</f>
        <v>110000</v>
      </c>
      <c r="H4709" s="230">
        <f>+G4709*F4709</f>
        <v>9900</v>
      </c>
      <c r="M4709" s="228">
        <v>0.09</v>
      </c>
    </row>
    <row r="4710" spans="2:13" ht="18.75" customHeight="1" x14ac:dyDescent="0.25">
      <c r="B4710" s="550"/>
      <c r="C4710" s="227" t="s">
        <v>633</v>
      </c>
      <c r="D4710" s="550" t="s">
        <v>634</v>
      </c>
      <c r="E4710" s="224" t="s">
        <v>631</v>
      </c>
      <c r="F4710" s="228">
        <f t="shared" si="220"/>
        <v>8.9999999999999993E-3</v>
      </c>
      <c r="G4710" s="229">
        <f>G4683</f>
        <v>115000</v>
      </c>
      <c r="H4710" s="230">
        <f>+G4710*F4710</f>
        <v>1035</v>
      </c>
      <c r="M4710" s="228">
        <v>8.9999999999999993E-3</v>
      </c>
    </row>
    <row r="4711" spans="2:13" ht="18.75" customHeight="1" x14ac:dyDescent="0.25">
      <c r="B4711" s="550"/>
      <c r="C4711" s="227" t="s">
        <v>600</v>
      </c>
      <c r="D4711" s="550" t="s">
        <v>635</v>
      </c>
      <c r="E4711" s="224" t="s">
        <v>631</v>
      </c>
      <c r="F4711" s="228">
        <f t="shared" si="220"/>
        <v>5.0000000000000001E-3</v>
      </c>
      <c r="G4711" s="229">
        <f>G4684</f>
        <v>140000</v>
      </c>
      <c r="H4711" s="230">
        <f>+G4711*F4711</f>
        <v>700</v>
      </c>
      <c r="M4711" s="228">
        <v>5.0000000000000001E-3</v>
      </c>
    </row>
    <row r="4712" spans="2:13" ht="18.75" customHeight="1" x14ac:dyDescent="0.25">
      <c r="B4712" s="550"/>
      <c r="C4712" s="223"/>
      <c r="D4712" s="550"/>
      <c r="E4712" s="224"/>
      <c r="F4712" s="233" t="s">
        <v>636</v>
      </c>
      <c r="G4712" s="290"/>
      <c r="H4712" s="231">
        <f>SUM(H4708:H4711)</f>
        <v>20185</v>
      </c>
      <c r="M4712" s="233" t="s">
        <v>636</v>
      </c>
    </row>
    <row r="4713" spans="2:13" ht="18.75" customHeight="1" x14ac:dyDescent="0.25">
      <c r="B4713" s="550"/>
      <c r="C4713" s="223"/>
      <c r="D4713" s="550"/>
      <c r="E4713" s="224"/>
      <c r="F4713" s="233"/>
      <c r="G4713" s="290"/>
      <c r="H4713" s="231"/>
      <c r="M4713" s="233"/>
    </row>
    <row r="4714" spans="2:13" ht="18.75" customHeight="1" x14ac:dyDescent="0.25">
      <c r="B4714" s="550" t="s">
        <v>637</v>
      </c>
      <c r="C4714" s="223" t="s">
        <v>638</v>
      </c>
      <c r="D4714" s="550"/>
      <c r="E4714" s="224"/>
      <c r="F4714" s="225"/>
      <c r="G4714" s="290"/>
      <c r="H4714" s="226"/>
      <c r="M4714" s="225"/>
    </row>
    <row r="4715" spans="2:13" ht="18.75" customHeight="1" x14ac:dyDescent="0.25">
      <c r="B4715" s="550"/>
      <c r="C4715" s="223" t="s">
        <v>1035</v>
      </c>
      <c r="D4715" s="550"/>
      <c r="E4715" s="550" t="s">
        <v>28</v>
      </c>
      <c r="F4715" s="406">
        <v>3.53</v>
      </c>
      <c r="G4715" s="234">
        <f>Bahan!$D$293/(1/(0.1*0.3))</f>
        <v>10650</v>
      </c>
      <c r="H4715" s="226">
        <f>F4715*G4715</f>
        <v>37594.5</v>
      </c>
      <c r="M4715" s="406">
        <v>3.53</v>
      </c>
    </row>
    <row r="4716" spans="2:13" ht="18.75" customHeight="1" x14ac:dyDescent="0.25">
      <c r="B4716" s="550"/>
      <c r="C4716" s="223" t="s">
        <v>708</v>
      </c>
      <c r="D4716" s="550"/>
      <c r="E4716" s="550" t="s">
        <v>5</v>
      </c>
      <c r="F4716" s="405">
        <v>1.1399999999999999</v>
      </c>
      <c r="G4716" s="234">
        <f>G4689</f>
        <v>1700</v>
      </c>
      <c r="H4716" s="230">
        <f>+G4716*F4716</f>
        <v>1937.9999999999998</v>
      </c>
      <c r="M4716" s="405">
        <v>1.1399999999999999</v>
      </c>
    </row>
    <row r="4717" spans="2:13" ht="18.75" customHeight="1" x14ac:dyDescent="0.25">
      <c r="B4717" s="550"/>
      <c r="C4717" s="223" t="s">
        <v>1018</v>
      </c>
      <c r="D4717" s="550"/>
      <c r="E4717" s="550" t="s">
        <v>5</v>
      </c>
      <c r="F4717" s="405">
        <v>0.1</v>
      </c>
      <c r="G4717" s="234">
        <f>G4690</f>
        <v>14500</v>
      </c>
      <c r="H4717" s="230">
        <f>+G4717*F4717</f>
        <v>1450</v>
      </c>
      <c r="M4717" s="405">
        <v>0.1</v>
      </c>
    </row>
    <row r="4718" spans="2:13" ht="18.75" customHeight="1" x14ac:dyDescent="0.25">
      <c r="B4718" s="550"/>
      <c r="C4718" s="223" t="s">
        <v>661</v>
      </c>
      <c r="D4718" s="550"/>
      <c r="E4718" s="224" t="s">
        <v>1013</v>
      </c>
      <c r="F4718" s="228">
        <v>3.0000000000000001E-3</v>
      </c>
      <c r="G4718" s="234">
        <f>G4691</f>
        <v>230000</v>
      </c>
      <c r="H4718" s="230">
        <f>+G4718*F4718</f>
        <v>690</v>
      </c>
      <c r="M4718" s="228">
        <v>3.0000000000000001E-3</v>
      </c>
    </row>
    <row r="4719" spans="2:13" ht="18.75" customHeight="1" x14ac:dyDescent="0.25">
      <c r="B4719" s="550"/>
      <c r="C4719" s="223"/>
      <c r="D4719" s="550"/>
      <c r="E4719" s="224"/>
      <c r="F4719" s="237" t="s">
        <v>643</v>
      </c>
      <c r="G4719" s="290"/>
      <c r="H4719" s="231">
        <f>SUM(H4716:H4718)</f>
        <v>4078</v>
      </c>
      <c r="M4719" s="237" t="s">
        <v>643</v>
      </c>
    </row>
    <row r="4720" spans="2:13" ht="18.75" customHeight="1" x14ac:dyDescent="0.25">
      <c r="B4720" s="550"/>
      <c r="C4720" s="223"/>
      <c r="D4720" s="550"/>
      <c r="E4720" s="224"/>
      <c r="F4720" s="225"/>
      <c r="G4720" s="290"/>
      <c r="H4720" s="226"/>
      <c r="M4720" s="225"/>
    </row>
    <row r="4721" spans="2:13" ht="18.75" customHeight="1" x14ac:dyDescent="0.25">
      <c r="B4721" s="550" t="s">
        <v>644</v>
      </c>
      <c r="C4721" s="223" t="s">
        <v>645</v>
      </c>
      <c r="D4721" s="550"/>
      <c r="E4721" s="224"/>
      <c r="F4721" s="225"/>
      <c r="G4721" s="290"/>
      <c r="H4721" s="235"/>
      <c r="M4721" s="225"/>
    </row>
    <row r="4722" spans="2:13" ht="18.75" customHeight="1" x14ac:dyDescent="0.25">
      <c r="B4722" s="236"/>
      <c r="C4722" s="232"/>
      <c r="D4722" s="550"/>
      <c r="E4722" s="224"/>
      <c r="F4722" s="237" t="s">
        <v>646</v>
      </c>
      <c r="G4722" s="290"/>
      <c r="H4722" s="230"/>
      <c r="M4722" s="237" t="s">
        <v>646</v>
      </c>
    </row>
    <row r="4723" spans="2:13" ht="18.75" customHeight="1" x14ac:dyDescent="0.25">
      <c r="B4723" s="236"/>
      <c r="C4723" s="232"/>
      <c r="D4723" s="550"/>
      <c r="E4723" s="224"/>
      <c r="F4723" s="237"/>
      <c r="G4723" s="290"/>
      <c r="H4723" s="226"/>
      <c r="M4723" s="237"/>
    </row>
    <row r="4724" spans="2:13" ht="18.75" customHeight="1" x14ac:dyDescent="0.25">
      <c r="B4724" s="354"/>
      <c r="C4724" s="362"/>
      <c r="D4724" s="239"/>
      <c r="E4724" s="266"/>
      <c r="F4724" s="241"/>
      <c r="G4724" s="370"/>
      <c r="H4724" s="369"/>
      <c r="M4724" s="241"/>
    </row>
    <row r="4725" spans="2:13" ht="18.75" customHeight="1" x14ac:dyDescent="0.25">
      <c r="B4725" s="356" t="s">
        <v>647</v>
      </c>
      <c r="C4725" s="363" t="s">
        <v>648</v>
      </c>
      <c r="D4725" s="435"/>
      <c r="E4725" s="92"/>
      <c r="F4725" s="183"/>
      <c r="G4725" s="295"/>
      <c r="H4725" s="357">
        <f>+H4722+H4719+H4712</f>
        <v>24263</v>
      </c>
      <c r="M4725" s="183"/>
    </row>
    <row r="4726" spans="2:13" ht="18.75" customHeight="1" x14ac:dyDescent="0.25">
      <c r="B4726" s="356" t="s">
        <v>649</v>
      </c>
      <c r="C4726" s="364" t="s">
        <v>650</v>
      </c>
      <c r="D4726" s="435"/>
      <c r="E4726" s="92"/>
      <c r="F4726" s="184" t="str">
        <f>$J$5</f>
        <v>8,0 % x D</v>
      </c>
      <c r="G4726" s="295"/>
      <c r="H4726" s="358">
        <f>+H4725*$K$5</f>
        <v>1941.04</v>
      </c>
      <c r="M4726" s="184" t="str">
        <f>$J$5</f>
        <v>8,0 % x D</v>
      </c>
    </row>
    <row r="4727" spans="2:13" ht="18.75" customHeight="1" x14ac:dyDescent="0.25">
      <c r="B4727" s="356" t="s">
        <v>651</v>
      </c>
      <c r="C4727" s="365" t="s">
        <v>652</v>
      </c>
      <c r="D4727" s="435"/>
      <c r="E4727" s="91"/>
      <c r="F4727" s="185"/>
      <c r="G4727" s="296"/>
      <c r="H4727" s="359">
        <f>ROUNDUP((H4726+H4725)/100,0)*100</f>
        <v>26300</v>
      </c>
      <c r="M4727" s="185"/>
    </row>
    <row r="4728" spans="2:13" ht="18.75" customHeight="1" x14ac:dyDescent="0.25">
      <c r="B4728" s="360"/>
      <c r="C4728" s="366"/>
      <c r="D4728" s="245"/>
      <c r="E4728" s="246"/>
      <c r="F4728" s="247"/>
      <c r="G4728" s="299"/>
      <c r="H4728" s="361"/>
      <c r="M4728" s="247"/>
    </row>
    <row r="4729" spans="2:13" ht="18.75" customHeight="1" x14ac:dyDescent="0.25">
      <c r="B4729" s="92"/>
      <c r="C4729" s="104"/>
      <c r="D4729" s="435"/>
      <c r="E4729" s="91"/>
      <c r="F4729" s="185"/>
      <c r="G4729" s="168"/>
      <c r="H4729" s="139"/>
      <c r="M4729" s="185"/>
    </row>
    <row r="4730" spans="2:13" ht="18.75" customHeight="1" x14ac:dyDescent="0.25">
      <c r="B4730" s="19">
        <v>24</v>
      </c>
      <c r="C4730" s="93" t="s">
        <v>1799</v>
      </c>
      <c r="D4730" s="19"/>
      <c r="E4730" s="21"/>
      <c r="F4730" s="176"/>
      <c r="G4730" s="165"/>
      <c r="H4730" s="119"/>
      <c r="M4730" s="176"/>
    </row>
    <row r="4731" spans="2:13" ht="18.75" customHeight="1" x14ac:dyDescent="0.25">
      <c r="B4731" s="618" t="s">
        <v>620</v>
      </c>
      <c r="C4731" s="620" t="s">
        <v>621</v>
      </c>
      <c r="D4731" s="618" t="s">
        <v>622</v>
      </c>
      <c r="E4731" s="618" t="s">
        <v>2</v>
      </c>
      <c r="F4731" s="615" t="s">
        <v>623</v>
      </c>
      <c r="G4731" s="289" t="s">
        <v>624</v>
      </c>
      <c r="H4731" s="256" t="s">
        <v>625</v>
      </c>
      <c r="M4731" s="615" t="s">
        <v>623</v>
      </c>
    </row>
    <row r="4732" spans="2:13" ht="18.75" customHeight="1" x14ac:dyDescent="0.25">
      <c r="B4732" s="619"/>
      <c r="C4732" s="621"/>
      <c r="D4732" s="619"/>
      <c r="E4732" s="619"/>
      <c r="F4732" s="616"/>
      <c r="G4732" s="289" t="s">
        <v>626</v>
      </c>
      <c r="H4732" s="256" t="s">
        <v>626</v>
      </c>
      <c r="M4732" s="616"/>
    </row>
    <row r="4733" spans="2:13" ht="18.75" customHeight="1" x14ac:dyDescent="0.25">
      <c r="B4733" s="221"/>
      <c r="C4733" s="222"/>
      <c r="D4733" s="221"/>
      <c r="E4733" s="550"/>
      <c r="F4733" s="555"/>
      <c r="G4733" s="551"/>
      <c r="H4733" s="220"/>
      <c r="M4733" s="590"/>
    </row>
    <row r="4734" spans="2:13" ht="18.75" customHeight="1" x14ac:dyDescent="0.25">
      <c r="B4734" s="550" t="s">
        <v>627</v>
      </c>
      <c r="C4734" s="223" t="s">
        <v>628</v>
      </c>
      <c r="D4734" s="550"/>
      <c r="E4734" s="224"/>
      <c r="F4734" s="225"/>
      <c r="G4734" s="290"/>
      <c r="H4734" s="226"/>
      <c r="M4734" s="225"/>
    </row>
    <row r="4735" spans="2:13" ht="18.75" customHeight="1" x14ac:dyDescent="0.25">
      <c r="B4735" s="550"/>
      <c r="C4735" s="227" t="s">
        <v>629</v>
      </c>
      <c r="D4735" s="550" t="s">
        <v>630</v>
      </c>
      <c r="E4735" s="224" t="s">
        <v>631</v>
      </c>
      <c r="F4735" s="228">
        <f t="shared" ref="F4735:F4738" si="221">$K$8*M4735</f>
        <v>0.09</v>
      </c>
      <c r="G4735" s="229">
        <f>G4708</f>
        <v>95000</v>
      </c>
      <c r="H4735" s="230">
        <f>+G4735*F4735</f>
        <v>8550</v>
      </c>
      <c r="M4735" s="228">
        <v>0.09</v>
      </c>
    </row>
    <row r="4736" spans="2:13" ht="18.75" customHeight="1" x14ac:dyDescent="0.25">
      <c r="B4736" s="550"/>
      <c r="C4736" s="227" t="s">
        <v>1508</v>
      </c>
      <c r="D4736" s="550" t="s">
        <v>632</v>
      </c>
      <c r="E4736" s="224" t="s">
        <v>631</v>
      </c>
      <c r="F4736" s="228">
        <f t="shared" si="221"/>
        <v>0.09</v>
      </c>
      <c r="G4736" s="229">
        <f>G4709</f>
        <v>110000</v>
      </c>
      <c r="H4736" s="230">
        <f>+G4736*F4736</f>
        <v>9900</v>
      </c>
      <c r="M4736" s="228">
        <v>0.09</v>
      </c>
    </row>
    <row r="4737" spans="2:13" ht="18.75" customHeight="1" x14ac:dyDescent="0.25">
      <c r="B4737" s="550"/>
      <c r="C4737" s="227" t="s">
        <v>633</v>
      </c>
      <c r="D4737" s="550" t="s">
        <v>634</v>
      </c>
      <c r="E4737" s="224" t="s">
        <v>631</v>
      </c>
      <c r="F4737" s="228">
        <f t="shared" si="221"/>
        <v>8.9999999999999993E-3</v>
      </c>
      <c r="G4737" s="229">
        <f>G4710</f>
        <v>115000</v>
      </c>
      <c r="H4737" s="230">
        <f>+G4737*F4737</f>
        <v>1035</v>
      </c>
      <c r="M4737" s="228">
        <v>8.9999999999999993E-3</v>
      </c>
    </row>
    <row r="4738" spans="2:13" ht="18.75" customHeight="1" x14ac:dyDescent="0.25">
      <c r="B4738" s="550"/>
      <c r="C4738" s="227" t="s">
        <v>600</v>
      </c>
      <c r="D4738" s="550" t="s">
        <v>635</v>
      </c>
      <c r="E4738" s="224" t="s">
        <v>631</v>
      </c>
      <c r="F4738" s="228">
        <f t="shared" si="221"/>
        <v>5.0000000000000001E-3</v>
      </c>
      <c r="G4738" s="229">
        <f>G4711</f>
        <v>140000</v>
      </c>
      <c r="H4738" s="230">
        <f>+G4738*F4738</f>
        <v>700</v>
      </c>
      <c r="M4738" s="228">
        <v>5.0000000000000001E-3</v>
      </c>
    </row>
    <row r="4739" spans="2:13" ht="18.75" customHeight="1" x14ac:dyDescent="0.25">
      <c r="B4739" s="550"/>
      <c r="C4739" s="223"/>
      <c r="D4739" s="550"/>
      <c r="E4739" s="224"/>
      <c r="F4739" s="233" t="s">
        <v>636</v>
      </c>
      <c r="G4739" s="290"/>
      <c r="H4739" s="231">
        <f>SUM(H4735:H4738)</f>
        <v>20185</v>
      </c>
      <c r="M4739" s="233" t="s">
        <v>636</v>
      </c>
    </row>
    <row r="4740" spans="2:13" ht="18.75" customHeight="1" x14ac:dyDescent="0.25">
      <c r="B4740" s="550"/>
      <c r="C4740" s="223"/>
      <c r="D4740" s="550"/>
      <c r="E4740" s="224"/>
      <c r="F4740" s="233"/>
      <c r="G4740" s="290"/>
      <c r="H4740" s="231"/>
      <c r="M4740" s="233"/>
    </row>
    <row r="4741" spans="2:13" ht="18.75" customHeight="1" x14ac:dyDescent="0.25">
      <c r="B4741" s="550" t="s">
        <v>637</v>
      </c>
      <c r="C4741" s="223" t="s">
        <v>638</v>
      </c>
      <c r="D4741" s="550"/>
      <c r="E4741" s="224"/>
      <c r="F4741" s="225"/>
      <c r="G4741" s="290"/>
      <c r="H4741" s="226"/>
      <c r="M4741" s="225"/>
    </row>
    <row r="4742" spans="2:13" ht="18.75" customHeight="1" x14ac:dyDescent="0.25">
      <c r="B4742" s="550"/>
      <c r="C4742" s="223" t="s">
        <v>1036</v>
      </c>
      <c r="D4742" s="550"/>
      <c r="E4742" s="550" t="s">
        <v>16</v>
      </c>
      <c r="F4742" s="405">
        <v>2.63</v>
      </c>
      <c r="G4742" s="418">
        <f>Bahan!D302/(1/0.1/0.4)</f>
        <v>2480</v>
      </c>
      <c r="H4742" s="230">
        <f>+G4742*F4742</f>
        <v>6522.4</v>
      </c>
      <c r="M4742" s="405">
        <v>2.63</v>
      </c>
    </row>
    <row r="4743" spans="2:13" ht="18.75" customHeight="1" x14ac:dyDescent="0.25">
      <c r="B4743" s="550"/>
      <c r="C4743" s="223" t="s">
        <v>708</v>
      </c>
      <c r="D4743" s="550"/>
      <c r="E4743" s="550" t="s">
        <v>5</v>
      </c>
      <c r="F4743" s="405">
        <v>1.1399999999999999</v>
      </c>
      <c r="G4743" s="234">
        <f>G4716</f>
        <v>1700</v>
      </c>
      <c r="H4743" s="230">
        <f>+G4743*F4743</f>
        <v>1937.9999999999998</v>
      </c>
      <c r="M4743" s="405">
        <v>1.1399999999999999</v>
      </c>
    </row>
    <row r="4744" spans="2:13" ht="18.75" customHeight="1" x14ac:dyDescent="0.25">
      <c r="B4744" s="550"/>
      <c r="C4744" s="223" t="s">
        <v>1018</v>
      </c>
      <c r="D4744" s="550"/>
      <c r="E4744" s="550" t="s">
        <v>5</v>
      </c>
      <c r="F4744" s="405">
        <v>0.1</v>
      </c>
      <c r="G4744" s="234">
        <f>G4717</f>
        <v>14500</v>
      </c>
      <c r="H4744" s="230">
        <f>+G4744*F4744</f>
        <v>1450</v>
      </c>
      <c r="M4744" s="405">
        <v>0.1</v>
      </c>
    </row>
    <row r="4745" spans="2:13" ht="18.75" customHeight="1" x14ac:dyDescent="0.25">
      <c r="B4745" s="550"/>
      <c r="C4745" s="223" t="s">
        <v>661</v>
      </c>
      <c r="D4745" s="550"/>
      <c r="E4745" s="224" t="s">
        <v>1013</v>
      </c>
      <c r="F4745" s="228">
        <v>3.0000000000000001E-3</v>
      </c>
      <c r="G4745" s="234">
        <f>G4718</f>
        <v>230000</v>
      </c>
      <c r="H4745" s="230">
        <f>+G4745*F4745</f>
        <v>690</v>
      </c>
      <c r="M4745" s="228">
        <v>3.0000000000000001E-3</v>
      </c>
    </row>
    <row r="4746" spans="2:13" ht="18.75" customHeight="1" x14ac:dyDescent="0.25">
      <c r="B4746" s="550"/>
      <c r="C4746" s="223"/>
      <c r="D4746" s="550"/>
      <c r="E4746" s="224"/>
      <c r="F4746" s="237" t="s">
        <v>643</v>
      </c>
      <c r="G4746" s="290"/>
      <c r="H4746" s="231">
        <f>SUM(H4742:H4745)</f>
        <v>10600.4</v>
      </c>
      <c r="M4746" s="237" t="s">
        <v>643</v>
      </c>
    </row>
    <row r="4747" spans="2:13" ht="18.75" customHeight="1" x14ac:dyDescent="0.25">
      <c r="B4747" s="550"/>
      <c r="C4747" s="223"/>
      <c r="D4747" s="550"/>
      <c r="E4747" s="224"/>
      <c r="F4747" s="225"/>
      <c r="G4747" s="290"/>
      <c r="H4747" s="226"/>
      <c r="M4747" s="225"/>
    </row>
    <row r="4748" spans="2:13" ht="18.75" customHeight="1" x14ac:dyDescent="0.25">
      <c r="B4748" s="550" t="s">
        <v>644</v>
      </c>
      <c r="C4748" s="223" t="s">
        <v>645</v>
      </c>
      <c r="D4748" s="550"/>
      <c r="E4748" s="224"/>
      <c r="F4748" s="225"/>
      <c r="G4748" s="290"/>
      <c r="H4748" s="235"/>
      <c r="M4748" s="225"/>
    </row>
    <row r="4749" spans="2:13" ht="18.75" customHeight="1" x14ac:dyDescent="0.25">
      <c r="B4749" s="236"/>
      <c r="C4749" s="232"/>
      <c r="D4749" s="550"/>
      <c r="E4749" s="224"/>
      <c r="F4749" s="237" t="s">
        <v>646</v>
      </c>
      <c r="G4749" s="290"/>
      <c r="H4749" s="230"/>
      <c r="M4749" s="237" t="s">
        <v>646</v>
      </c>
    </row>
    <row r="4750" spans="2:13" ht="18.75" customHeight="1" x14ac:dyDescent="0.25">
      <c r="B4750" s="236"/>
      <c r="C4750" s="232"/>
      <c r="D4750" s="550"/>
      <c r="E4750" s="224"/>
      <c r="F4750" s="237"/>
      <c r="G4750" s="290"/>
      <c r="H4750" s="226"/>
      <c r="M4750" s="237"/>
    </row>
    <row r="4751" spans="2:13" ht="18.75" customHeight="1" x14ac:dyDescent="0.25">
      <c r="B4751" s="354"/>
      <c r="C4751" s="362"/>
      <c r="D4751" s="239"/>
      <c r="E4751" s="266"/>
      <c r="F4751" s="241"/>
      <c r="G4751" s="370"/>
      <c r="H4751" s="369"/>
      <c r="M4751" s="241"/>
    </row>
    <row r="4752" spans="2:13" ht="18.75" customHeight="1" x14ac:dyDescent="0.25">
      <c r="B4752" s="356" t="s">
        <v>647</v>
      </c>
      <c r="C4752" s="363" t="s">
        <v>648</v>
      </c>
      <c r="D4752" s="435"/>
      <c r="E4752" s="92"/>
      <c r="F4752" s="183"/>
      <c r="G4752" s="295"/>
      <c r="H4752" s="357">
        <f>+H4749+H4746+H4739</f>
        <v>30785.4</v>
      </c>
      <c r="M4752" s="183"/>
    </row>
    <row r="4753" spans="2:13" ht="18.75" customHeight="1" x14ac:dyDescent="0.25">
      <c r="B4753" s="356" t="s">
        <v>649</v>
      </c>
      <c r="C4753" s="364" t="s">
        <v>650</v>
      </c>
      <c r="D4753" s="435"/>
      <c r="E4753" s="92"/>
      <c r="F4753" s="184" t="str">
        <f>$J$5</f>
        <v>8,0 % x D</v>
      </c>
      <c r="G4753" s="295"/>
      <c r="H4753" s="358">
        <f>+H4752*$K$5</f>
        <v>2462.8320000000003</v>
      </c>
      <c r="M4753" s="184" t="str">
        <f>$J$5</f>
        <v>8,0 % x D</v>
      </c>
    </row>
    <row r="4754" spans="2:13" ht="18.75" customHeight="1" x14ac:dyDescent="0.25">
      <c r="B4754" s="356" t="s">
        <v>651</v>
      </c>
      <c r="C4754" s="365" t="s">
        <v>652</v>
      </c>
      <c r="D4754" s="435"/>
      <c r="E4754" s="91"/>
      <c r="F4754" s="185"/>
      <c r="G4754" s="296"/>
      <c r="H4754" s="359">
        <f>ROUNDUP((H4753+H4752)/100,0)*100</f>
        <v>33300</v>
      </c>
      <c r="M4754" s="185"/>
    </row>
    <row r="4755" spans="2:13" ht="18.75" customHeight="1" x14ac:dyDescent="0.25">
      <c r="B4755" s="360"/>
      <c r="C4755" s="366"/>
      <c r="D4755" s="245"/>
      <c r="E4755" s="246"/>
      <c r="F4755" s="247"/>
      <c r="G4755" s="299"/>
      <c r="H4755" s="361"/>
      <c r="M4755" s="247"/>
    </row>
    <row r="4756" spans="2:13" ht="18.75" customHeight="1" x14ac:dyDescent="0.25">
      <c r="B4756" s="22"/>
      <c r="C4756" s="104"/>
      <c r="E4756" s="21"/>
      <c r="F4756" s="176"/>
      <c r="G4756" s="165"/>
      <c r="H4756" s="119"/>
      <c r="M4756" s="176"/>
    </row>
    <row r="4757" spans="2:13" ht="18.75" customHeight="1" x14ac:dyDescent="0.25">
      <c r="B4757" s="19">
        <v>25</v>
      </c>
      <c r="C4757" s="93" t="s">
        <v>1800</v>
      </c>
      <c r="D4757" s="19"/>
      <c r="E4757" s="21"/>
      <c r="F4757" s="176"/>
      <c r="G4757" s="165"/>
      <c r="H4757" s="119"/>
      <c r="M4757" s="176"/>
    </row>
    <row r="4758" spans="2:13" ht="18.75" customHeight="1" x14ac:dyDescent="0.25">
      <c r="B4758" s="618" t="s">
        <v>620</v>
      </c>
      <c r="C4758" s="620" t="s">
        <v>621</v>
      </c>
      <c r="D4758" s="618" t="s">
        <v>622</v>
      </c>
      <c r="E4758" s="618" t="s">
        <v>2</v>
      </c>
      <c r="F4758" s="615" t="s">
        <v>623</v>
      </c>
      <c r="G4758" s="289" t="s">
        <v>624</v>
      </c>
      <c r="H4758" s="256" t="s">
        <v>625</v>
      </c>
      <c r="M4758" s="615" t="s">
        <v>623</v>
      </c>
    </row>
    <row r="4759" spans="2:13" ht="18.75" customHeight="1" x14ac:dyDescent="0.25">
      <c r="B4759" s="619"/>
      <c r="C4759" s="621"/>
      <c r="D4759" s="619"/>
      <c r="E4759" s="619"/>
      <c r="F4759" s="616"/>
      <c r="G4759" s="289" t="s">
        <v>626</v>
      </c>
      <c r="H4759" s="256" t="s">
        <v>626</v>
      </c>
      <c r="M4759" s="616"/>
    </row>
    <row r="4760" spans="2:13" ht="18.75" customHeight="1" x14ac:dyDescent="0.25">
      <c r="B4760" s="221"/>
      <c r="C4760" s="222"/>
      <c r="D4760" s="221"/>
      <c r="E4760" s="550"/>
      <c r="F4760" s="555"/>
      <c r="G4760" s="551"/>
      <c r="H4760" s="220"/>
      <c r="M4760" s="590"/>
    </row>
    <row r="4761" spans="2:13" ht="18.75" customHeight="1" x14ac:dyDescent="0.25">
      <c r="B4761" s="550" t="s">
        <v>627</v>
      </c>
      <c r="C4761" s="223" t="s">
        <v>628</v>
      </c>
      <c r="D4761" s="550"/>
      <c r="E4761" s="224"/>
      <c r="F4761" s="225"/>
      <c r="G4761" s="290"/>
      <c r="H4761" s="226"/>
      <c r="M4761" s="225"/>
    </row>
    <row r="4762" spans="2:13" ht="18.75" customHeight="1" x14ac:dyDescent="0.25">
      <c r="B4762" s="550"/>
      <c r="C4762" s="227" t="s">
        <v>629</v>
      </c>
      <c r="D4762" s="550" t="s">
        <v>630</v>
      </c>
      <c r="E4762" s="224" t="s">
        <v>631</v>
      </c>
      <c r="F4762" s="228">
        <f t="shared" ref="F4762:F4765" si="222">$K$8*M4762</f>
        <v>0.09</v>
      </c>
      <c r="G4762" s="229">
        <f>G4735</f>
        <v>95000</v>
      </c>
      <c r="H4762" s="230">
        <f>+G4762*F4762</f>
        <v>8550</v>
      </c>
      <c r="M4762" s="228">
        <v>0.09</v>
      </c>
    </row>
    <row r="4763" spans="2:13" ht="18.75" customHeight="1" x14ac:dyDescent="0.25">
      <c r="B4763" s="550"/>
      <c r="C4763" s="227" t="s">
        <v>1508</v>
      </c>
      <c r="D4763" s="550" t="s">
        <v>632</v>
      </c>
      <c r="E4763" s="224" t="s">
        <v>631</v>
      </c>
      <c r="F4763" s="228">
        <f t="shared" si="222"/>
        <v>0.09</v>
      </c>
      <c r="G4763" s="229">
        <f>G4736</f>
        <v>110000</v>
      </c>
      <c r="H4763" s="230">
        <f>+G4763*F4763</f>
        <v>9900</v>
      </c>
      <c r="M4763" s="228">
        <v>0.09</v>
      </c>
    </row>
    <row r="4764" spans="2:13" ht="18.75" customHeight="1" x14ac:dyDescent="0.25">
      <c r="B4764" s="550"/>
      <c r="C4764" s="227" t="s">
        <v>633</v>
      </c>
      <c r="D4764" s="550" t="s">
        <v>634</v>
      </c>
      <c r="E4764" s="224" t="s">
        <v>631</v>
      </c>
      <c r="F4764" s="228">
        <f t="shared" si="222"/>
        <v>8.9999999999999993E-3</v>
      </c>
      <c r="G4764" s="229">
        <f>G4737</f>
        <v>115000</v>
      </c>
      <c r="H4764" s="230">
        <f>+G4764*F4764</f>
        <v>1035</v>
      </c>
      <c r="M4764" s="228">
        <v>8.9999999999999993E-3</v>
      </c>
    </row>
    <row r="4765" spans="2:13" ht="18.75" customHeight="1" x14ac:dyDescent="0.25">
      <c r="B4765" s="550"/>
      <c r="C4765" s="227" t="s">
        <v>600</v>
      </c>
      <c r="D4765" s="550" t="s">
        <v>635</v>
      </c>
      <c r="E4765" s="224" t="s">
        <v>631</v>
      </c>
      <c r="F4765" s="228">
        <f t="shared" si="222"/>
        <v>5.0000000000000001E-3</v>
      </c>
      <c r="G4765" s="229">
        <f>G4738</f>
        <v>140000</v>
      </c>
      <c r="H4765" s="230">
        <f>+G4765*F4765</f>
        <v>700</v>
      </c>
      <c r="M4765" s="228">
        <v>5.0000000000000001E-3</v>
      </c>
    </row>
    <row r="4766" spans="2:13" ht="18.75" customHeight="1" x14ac:dyDescent="0.25">
      <c r="B4766" s="550"/>
      <c r="C4766" s="223"/>
      <c r="D4766" s="550"/>
      <c r="E4766" s="224"/>
      <c r="F4766" s="233" t="s">
        <v>636</v>
      </c>
      <c r="G4766" s="290"/>
      <c r="H4766" s="231">
        <f>SUM(H4762:H4765)</f>
        <v>20185</v>
      </c>
      <c r="M4766" s="233" t="s">
        <v>636</v>
      </c>
    </row>
    <row r="4767" spans="2:13" ht="18.75" customHeight="1" x14ac:dyDescent="0.25">
      <c r="B4767" s="550"/>
      <c r="C4767" s="223"/>
      <c r="D4767" s="550"/>
      <c r="E4767" s="224"/>
      <c r="F4767" s="233"/>
      <c r="G4767" s="290"/>
      <c r="H4767" s="231"/>
      <c r="M4767" s="233"/>
    </row>
    <row r="4768" spans="2:13" ht="18.75" customHeight="1" x14ac:dyDescent="0.25">
      <c r="B4768" s="550" t="s">
        <v>637</v>
      </c>
      <c r="C4768" s="223" t="s">
        <v>638</v>
      </c>
      <c r="D4768" s="550"/>
      <c r="E4768" s="224"/>
      <c r="F4768" s="225"/>
      <c r="G4768" s="290"/>
      <c r="H4768" s="226"/>
      <c r="M4768" s="225"/>
    </row>
    <row r="4769" spans="2:13" ht="18.75" customHeight="1" x14ac:dyDescent="0.25">
      <c r="B4769" s="550"/>
      <c r="C4769" s="223" t="s">
        <v>1036</v>
      </c>
      <c r="D4769" s="550"/>
      <c r="E4769" s="550" t="s">
        <v>16</v>
      </c>
      <c r="F4769" s="405">
        <v>3.53</v>
      </c>
      <c r="G4769" s="410">
        <f>Bahan!D302/(1/0.1/0.3)</f>
        <v>1859.9999999999998</v>
      </c>
      <c r="H4769" s="230">
        <f>+G4769*F4769</f>
        <v>6565.7999999999993</v>
      </c>
      <c r="M4769" s="405">
        <v>3.53</v>
      </c>
    </row>
    <row r="4770" spans="2:13" ht="18.75" customHeight="1" x14ac:dyDescent="0.25">
      <c r="B4770" s="550"/>
      <c r="C4770" s="223" t="s">
        <v>708</v>
      </c>
      <c r="D4770" s="550"/>
      <c r="E4770" s="550" t="s">
        <v>5</v>
      </c>
      <c r="F4770" s="405">
        <v>1.1399999999999999</v>
      </c>
      <c r="G4770" s="234">
        <f>G4743</f>
        <v>1700</v>
      </c>
      <c r="H4770" s="230">
        <f>+G4770*F4770</f>
        <v>1937.9999999999998</v>
      </c>
      <c r="M4770" s="405">
        <v>1.1399999999999999</v>
      </c>
    </row>
    <row r="4771" spans="2:13" ht="18.75" customHeight="1" x14ac:dyDescent="0.25">
      <c r="B4771" s="550"/>
      <c r="C4771" s="223" t="s">
        <v>1018</v>
      </c>
      <c r="D4771" s="550"/>
      <c r="E4771" s="550" t="s">
        <v>5</v>
      </c>
      <c r="F4771" s="405">
        <v>0.1</v>
      </c>
      <c r="G4771" s="234">
        <f>G4744</f>
        <v>14500</v>
      </c>
      <c r="H4771" s="230">
        <f>+G4771*F4771</f>
        <v>1450</v>
      </c>
      <c r="M4771" s="405">
        <v>0.1</v>
      </c>
    </row>
    <row r="4772" spans="2:13" ht="18.75" customHeight="1" x14ac:dyDescent="0.25">
      <c r="B4772" s="550"/>
      <c r="C4772" s="223" t="s">
        <v>661</v>
      </c>
      <c r="D4772" s="550"/>
      <c r="E4772" s="224" t="s">
        <v>1013</v>
      </c>
      <c r="F4772" s="228">
        <v>3.0000000000000001E-3</v>
      </c>
      <c r="G4772" s="234">
        <f>G4745</f>
        <v>230000</v>
      </c>
      <c r="H4772" s="230">
        <f>+G4772*F4772</f>
        <v>690</v>
      </c>
      <c r="M4772" s="228">
        <v>3.0000000000000001E-3</v>
      </c>
    </row>
    <row r="4773" spans="2:13" ht="18.75" customHeight="1" x14ac:dyDescent="0.25">
      <c r="B4773" s="550"/>
      <c r="C4773" s="223"/>
      <c r="D4773" s="550"/>
      <c r="E4773" s="224"/>
      <c r="F4773" s="237" t="s">
        <v>643</v>
      </c>
      <c r="G4773" s="290"/>
      <c r="H4773" s="231">
        <f>SUM(H4769:H4772)</f>
        <v>10643.8</v>
      </c>
      <c r="M4773" s="237" t="s">
        <v>643</v>
      </c>
    </row>
    <row r="4774" spans="2:13" ht="18.75" customHeight="1" x14ac:dyDescent="0.25">
      <c r="B4774" s="550"/>
      <c r="C4774" s="223"/>
      <c r="D4774" s="550"/>
      <c r="E4774" s="224"/>
      <c r="F4774" s="225"/>
      <c r="G4774" s="290"/>
      <c r="H4774" s="226"/>
      <c r="M4774" s="225"/>
    </row>
    <row r="4775" spans="2:13" ht="18.75" customHeight="1" x14ac:dyDescent="0.25">
      <c r="B4775" s="550" t="s">
        <v>644</v>
      </c>
      <c r="C4775" s="223" t="s">
        <v>645</v>
      </c>
      <c r="D4775" s="550"/>
      <c r="E4775" s="224"/>
      <c r="F4775" s="225"/>
      <c r="G4775" s="290"/>
      <c r="H4775" s="235"/>
      <c r="M4775" s="225"/>
    </row>
    <row r="4776" spans="2:13" ht="18.75" customHeight="1" x14ac:dyDescent="0.25">
      <c r="B4776" s="236"/>
      <c r="C4776" s="232"/>
      <c r="D4776" s="550"/>
      <c r="E4776" s="224"/>
      <c r="F4776" s="237" t="s">
        <v>646</v>
      </c>
      <c r="G4776" s="290"/>
      <c r="H4776" s="230"/>
      <c r="M4776" s="237" t="s">
        <v>646</v>
      </c>
    </row>
    <row r="4777" spans="2:13" ht="18.75" customHeight="1" x14ac:dyDescent="0.25">
      <c r="B4777" s="236"/>
      <c r="C4777" s="232"/>
      <c r="D4777" s="550"/>
      <c r="E4777" s="224"/>
      <c r="F4777" s="237"/>
      <c r="G4777" s="290"/>
      <c r="H4777" s="230"/>
      <c r="M4777" s="237"/>
    </row>
    <row r="4778" spans="2:13" ht="18.75" customHeight="1" x14ac:dyDescent="0.25">
      <c r="B4778" s="354"/>
      <c r="C4778" s="362"/>
      <c r="D4778" s="239"/>
      <c r="E4778" s="266"/>
      <c r="F4778" s="241"/>
      <c r="G4778" s="370"/>
      <c r="H4778" s="369"/>
      <c r="M4778" s="241"/>
    </row>
    <row r="4779" spans="2:13" ht="18.75" customHeight="1" x14ac:dyDescent="0.25">
      <c r="B4779" s="356" t="s">
        <v>647</v>
      </c>
      <c r="C4779" s="363" t="s">
        <v>648</v>
      </c>
      <c r="D4779" s="435"/>
      <c r="E4779" s="92"/>
      <c r="F4779" s="183"/>
      <c r="G4779" s="295"/>
      <c r="H4779" s="357">
        <f>+H4776+H4773+H4766</f>
        <v>30828.799999999999</v>
      </c>
      <c r="M4779" s="183"/>
    </row>
    <row r="4780" spans="2:13" ht="18.75" customHeight="1" x14ac:dyDescent="0.25">
      <c r="B4780" s="356" t="s">
        <v>649</v>
      </c>
      <c r="C4780" s="364" t="s">
        <v>650</v>
      </c>
      <c r="D4780" s="435"/>
      <c r="E4780" s="92"/>
      <c r="F4780" s="184" t="str">
        <f>$J$5</f>
        <v>8,0 % x D</v>
      </c>
      <c r="G4780" s="295"/>
      <c r="H4780" s="358">
        <f>+H4779*$K$5</f>
        <v>2466.3040000000001</v>
      </c>
      <c r="M4780" s="184" t="str">
        <f>$J$5</f>
        <v>8,0 % x D</v>
      </c>
    </row>
    <row r="4781" spans="2:13" ht="18.75" customHeight="1" x14ac:dyDescent="0.25">
      <c r="B4781" s="356" t="s">
        <v>651</v>
      </c>
      <c r="C4781" s="365" t="s">
        <v>652</v>
      </c>
      <c r="D4781" s="435"/>
      <c r="E4781" s="91"/>
      <c r="F4781" s="185"/>
      <c r="G4781" s="296"/>
      <c r="H4781" s="359">
        <f>ROUNDUP((H4780+H4779)/100,0)*100</f>
        <v>33300</v>
      </c>
      <c r="M4781" s="185"/>
    </row>
    <row r="4782" spans="2:13" ht="18.75" customHeight="1" x14ac:dyDescent="0.25">
      <c r="B4782" s="360"/>
      <c r="C4782" s="366"/>
      <c r="D4782" s="245"/>
      <c r="E4782" s="246"/>
      <c r="F4782" s="247"/>
      <c r="G4782" s="299"/>
      <c r="H4782" s="361"/>
      <c r="M4782" s="247"/>
    </row>
    <row r="4783" spans="2:13" ht="18.75" customHeight="1" x14ac:dyDescent="0.25">
      <c r="B4783" s="92"/>
      <c r="C4783" s="104"/>
      <c r="D4783" s="435"/>
      <c r="E4783" s="91"/>
      <c r="F4783" s="185"/>
      <c r="G4783" s="168"/>
      <c r="H4783" s="139"/>
      <c r="M4783" s="185"/>
    </row>
    <row r="4784" spans="2:13" ht="18.75" customHeight="1" x14ac:dyDescent="0.25">
      <c r="B4784" s="19">
        <v>26</v>
      </c>
      <c r="C4784" s="93" t="s">
        <v>1801</v>
      </c>
      <c r="D4784" s="19"/>
      <c r="E4784" s="21"/>
      <c r="F4784" s="176"/>
      <c r="G4784" s="165"/>
      <c r="H4784" s="119"/>
      <c r="M4784" s="176"/>
    </row>
    <row r="4785" spans="2:13" ht="18.75" customHeight="1" x14ac:dyDescent="0.25">
      <c r="B4785" s="618" t="s">
        <v>620</v>
      </c>
      <c r="C4785" s="620" t="s">
        <v>621</v>
      </c>
      <c r="D4785" s="618" t="s">
        <v>622</v>
      </c>
      <c r="E4785" s="618" t="s">
        <v>2</v>
      </c>
      <c r="F4785" s="615" t="s">
        <v>623</v>
      </c>
      <c r="G4785" s="289" t="s">
        <v>624</v>
      </c>
      <c r="H4785" s="256" t="s">
        <v>625</v>
      </c>
      <c r="M4785" s="615" t="s">
        <v>623</v>
      </c>
    </row>
    <row r="4786" spans="2:13" ht="18.75" customHeight="1" x14ac:dyDescent="0.25">
      <c r="B4786" s="619"/>
      <c r="C4786" s="621"/>
      <c r="D4786" s="619"/>
      <c r="E4786" s="619"/>
      <c r="F4786" s="616"/>
      <c r="G4786" s="289" t="s">
        <v>626</v>
      </c>
      <c r="H4786" s="256" t="s">
        <v>626</v>
      </c>
      <c r="M4786" s="616"/>
    </row>
    <row r="4787" spans="2:13" ht="18.75" customHeight="1" x14ac:dyDescent="0.25">
      <c r="B4787" s="221"/>
      <c r="C4787" s="222"/>
      <c r="D4787" s="221"/>
      <c r="E4787" s="550"/>
      <c r="F4787" s="555"/>
      <c r="G4787" s="551"/>
      <c r="H4787" s="220"/>
      <c r="M4787" s="590"/>
    </row>
    <row r="4788" spans="2:13" ht="18.75" customHeight="1" x14ac:dyDescent="0.25">
      <c r="B4788" s="550" t="s">
        <v>627</v>
      </c>
      <c r="C4788" s="223" t="s">
        <v>628</v>
      </c>
      <c r="D4788" s="550"/>
      <c r="E4788" s="224"/>
      <c r="F4788" s="225"/>
      <c r="G4788" s="290"/>
      <c r="H4788" s="226"/>
      <c r="M4788" s="225"/>
    </row>
    <row r="4789" spans="2:13" ht="18.75" customHeight="1" x14ac:dyDescent="0.25">
      <c r="B4789" s="550"/>
      <c r="C4789" s="227" t="s">
        <v>629</v>
      </c>
      <c r="D4789" s="550" t="s">
        <v>630</v>
      </c>
      <c r="E4789" s="224" t="s">
        <v>631</v>
      </c>
      <c r="F4789" s="228">
        <f t="shared" ref="F4789:F4792" si="223">$K$8*M4789</f>
        <v>0.09</v>
      </c>
      <c r="G4789" s="229">
        <f>G4762</f>
        <v>95000</v>
      </c>
      <c r="H4789" s="230">
        <f>+G4789*F4789</f>
        <v>8550</v>
      </c>
      <c r="M4789" s="228">
        <v>0.09</v>
      </c>
    </row>
    <row r="4790" spans="2:13" ht="18.75" customHeight="1" x14ac:dyDescent="0.25">
      <c r="B4790" s="550"/>
      <c r="C4790" s="227" t="s">
        <v>1508</v>
      </c>
      <c r="D4790" s="550" t="s">
        <v>632</v>
      </c>
      <c r="E4790" s="224" t="s">
        <v>631</v>
      </c>
      <c r="F4790" s="228">
        <f t="shared" si="223"/>
        <v>0.09</v>
      </c>
      <c r="G4790" s="229">
        <f>G4763</f>
        <v>110000</v>
      </c>
      <c r="H4790" s="230">
        <f>+G4790*F4790</f>
        <v>9900</v>
      </c>
      <c r="M4790" s="228">
        <v>0.09</v>
      </c>
    </row>
    <row r="4791" spans="2:13" ht="18.75" customHeight="1" x14ac:dyDescent="0.25">
      <c r="B4791" s="550"/>
      <c r="C4791" s="227" t="s">
        <v>633</v>
      </c>
      <c r="D4791" s="550" t="s">
        <v>634</v>
      </c>
      <c r="E4791" s="224" t="s">
        <v>631</v>
      </c>
      <c r="F4791" s="228">
        <f t="shared" si="223"/>
        <v>8.9999999999999993E-3</v>
      </c>
      <c r="G4791" s="229">
        <f>G4764</f>
        <v>115000</v>
      </c>
      <c r="H4791" s="230">
        <f>+G4791*F4791</f>
        <v>1035</v>
      </c>
      <c r="M4791" s="228">
        <v>8.9999999999999993E-3</v>
      </c>
    </row>
    <row r="4792" spans="2:13" ht="18.75" customHeight="1" x14ac:dyDescent="0.25">
      <c r="B4792" s="550"/>
      <c r="C4792" s="227" t="s">
        <v>600</v>
      </c>
      <c r="D4792" s="550" t="s">
        <v>635</v>
      </c>
      <c r="E4792" s="224" t="s">
        <v>631</v>
      </c>
      <c r="F4792" s="228">
        <f t="shared" si="223"/>
        <v>5.0000000000000001E-3</v>
      </c>
      <c r="G4792" s="229">
        <f>G4765</f>
        <v>140000</v>
      </c>
      <c r="H4792" s="230">
        <f>+G4792*F4792</f>
        <v>700</v>
      </c>
      <c r="M4792" s="228">
        <v>5.0000000000000001E-3</v>
      </c>
    </row>
    <row r="4793" spans="2:13" ht="18.75" customHeight="1" x14ac:dyDescent="0.25">
      <c r="B4793" s="550"/>
      <c r="C4793" s="223"/>
      <c r="D4793" s="550"/>
      <c r="E4793" s="224"/>
      <c r="F4793" s="233" t="s">
        <v>636</v>
      </c>
      <c r="G4793" s="290"/>
      <c r="H4793" s="231">
        <f>SUM(H4789:H4792)</f>
        <v>20185</v>
      </c>
      <c r="M4793" s="233" t="s">
        <v>636</v>
      </c>
    </row>
    <row r="4794" spans="2:13" ht="18.75" customHeight="1" x14ac:dyDescent="0.25">
      <c r="B4794" s="550"/>
      <c r="C4794" s="223"/>
      <c r="D4794" s="550"/>
      <c r="E4794" s="224"/>
      <c r="F4794" s="233"/>
      <c r="G4794" s="290"/>
      <c r="H4794" s="231"/>
      <c r="M4794" s="233"/>
    </row>
    <row r="4795" spans="2:13" ht="18.75" customHeight="1" x14ac:dyDescent="0.25">
      <c r="B4795" s="550" t="s">
        <v>637</v>
      </c>
      <c r="C4795" s="223" t="s">
        <v>638</v>
      </c>
      <c r="D4795" s="550"/>
      <c r="E4795" s="224"/>
      <c r="F4795" s="225"/>
      <c r="G4795" s="290"/>
      <c r="H4795" s="226"/>
      <c r="M4795" s="225"/>
    </row>
    <row r="4796" spans="2:13" ht="18.75" customHeight="1" x14ac:dyDescent="0.25">
      <c r="B4796" s="550"/>
      <c r="C4796" s="223" t="s">
        <v>1036</v>
      </c>
      <c r="D4796" s="550"/>
      <c r="E4796" s="550" t="s">
        <v>16</v>
      </c>
      <c r="F4796" s="405">
        <v>1.7</v>
      </c>
      <c r="G4796" s="418">
        <f>Bahan!D301/(1/0.1/0.6)</f>
        <v>3719.9999999999995</v>
      </c>
      <c r="H4796" s="230">
        <f>+G4796*F4796</f>
        <v>6323.9999999999991</v>
      </c>
      <c r="M4796" s="405">
        <v>1.7</v>
      </c>
    </row>
    <row r="4797" spans="2:13" ht="18.75" customHeight="1" x14ac:dyDescent="0.25">
      <c r="B4797" s="550"/>
      <c r="C4797" s="223" t="s">
        <v>708</v>
      </c>
      <c r="D4797" s="550"/>
      <c r="E4797" s="550" t="s">
        <v>5</v>
      </c>
      <c r="F4797" s="405">
        <v>1.1399999999999999</v>
      </c>
      <c r="G4797" s="234">
        <f>G4770</f>
        <v>1700</v>
      </c>
      <c r="H4797" s="230">
        <f>+G4797*F4797</f>
        <v>1937.9999999999998</v>
      </c>
      <c r="M4797" s="405">
        <v>1.1399999999999999</v>
      </c>
    </row>
    <row r="4798" spans="2:13" ht="18.75" customHeight="1" x14ac:dyDescent="0.25">
      <c r="B4798" s="550"/>
      <c r="C4798" s="223" t="s">
        <v>1018</v>
      </c>
      <c r="D4798" s="550"/>
      <c r="E4798" s="550" t="s">
        <v>5</v>
      </c>
      <c r="F4798" s="405">
        <v>0.1</v>
      </c>
      <c r="G4798" s="234">
        <f>G4771</f>
        <v>14500</v>
      </c>
      <c r="H4798" s="230">
        <f>+G4798*F4798</f>
        <v>1450</v>
      </c>
      <c r="M4798" s="405">
        <v>0.1</v>
      </c>
    </row>
    <row r="4799" spans="2:13" ht="18.75" customHeight="1" x14ac:dyDescent="0.25">
      <c r="B4799" s="550"/>
      <c r="C4799" s="223" t="s">
        <v>661</v>
      </c>
      <c r="D4799" s="550"/>
      <c r="E4799" s="224" t="s">
        <v>1013</v>
      </c>
      <c r="F4799" s="228">
        <v>3.0000000000000001E-3</v>
      </c>
      <c r="G4799" s="234">
        <f>G4772</f>
        <v>230000</v>
      </c>
      <c r="H4799" s="230">
        <f>+G4799*F4799</f>
        <v>690</v>
      </c>
      <c r="M4799" s="228">
        <v>3.0000000000000001E-3</v>
      </c>
    </row>
    <row r="4800" spans="2:13" ht="18.75" customHeight="1" x14ac:dyDescent="0.25">
      <c r="B4800" s="550"/>
      <c r="C4800" s="223"/>
      <c r="D4800" s="550"/>
      <c r="E4800" s="224"/>
      <c r="F4800" s="237" t="s">
        <v>643</v>
      </c>
      <c r="G4800" s="290"/>
      <c r="H4800" s="231">
        <f>SUM(H4796:H4799)</f>
        <v>10401.999999999998</v>
      </c>
      <c r="M4800" s="237" t="s">
        <v>643</v>
      </c>
    </row>
    <row r="4801" spans="2:13" ht="18.75" customHeight="1" x14ac:dyDescent="0.25">
      <c r="B4801" s="550"/>
      <c r="C4801" s="223"/>
      <c r="D4801" s="550"/>
      <c r="E4801" s="224"/>
      <c r="F4801" s="225"/>
      <c r="G4801" s="290"/>
      <c r="H4801" s="226"/>
      <c r="M4801" s="225"/>
    </row>
    <row r="4802" spans="2:13" ht="18.75" customHeight="1" x14ac:dyDescent="0.25">
      <c r="B4802" s="550" t="s">
        <v>644</v>
      </c>
      <c r="C4802" s="223" t="s">
        <v>645</v>
      </c>
      <c r="D4802" s="550"/>
      <c r="E4802" s="224"/>
      <c r="F4802" s="225"/>
      <c r="G4802" s="290"/>
      <c r="H4802" s="235"/>
      <c r="M4802" s="225"/>
    </row>
    <row r="4803" spans="2:13" ht="18.75" customHeight="1" x14ac:dyDescent="0.25">
      <c r="B4803" s="236"/>
      <c r="C4803" s="232"/>
      <c r="D4803" s="550"/>
      <c r="E4803" s="224"/>
      <c r="F4803" s="237" t="s">
        <v>646</v>
      </c>
      <c r="G4803" s="290"/>
      <c r="H4803" s="230"/>
      <c r="M4803" s="237" t="s">
        <v>646</v>
      </c>
    </row>
    <row r="4804" spans="2:13" ht="18.75" customHeight="1" x14ac:dyDescent="0.25">
      <c r="B4804" s="236"/>
      <c r="C4804" s="232"/>
      <c r="D4804" s="550"/>
      <c r="E4804" s="224"/>
      <c r="F4804" s="237"/>
      <c r="G4804" s="290"/>
      <c r="H4804" s="226"/>
      <c r="M4804" s="237"/>
    </row>
    <row r="4805" spans="2:13" ht="18.75" customHeight="1" x14ac:dyDescent="0.25">
      <c r="B4805" s="354"/>
      <c r="C4805" s="362"/>
      <c r="D4805" s="239"/>
      <c r="E4805" s="266"/>
      <c r="F4805" s="241"/>
      <c r="G4805" s="370"/>
      <c r="H4805" s="369"/>
      <c r="M4805" s="241"/>
    </row>
    <row r="4806" spans="2:13" ht="18.75" customHeight="1" x14ac:dyDescent="0.25">
      <c r="B4806" s="356" t="s">
        <v>647</v>
      </c>
      <c r="C4806" s="363" t="s">
        <v>648</v>
      </c>
      <c r="D4806" s="435"/>
      <c r="E4806" s="92"/>
      <c r="F4806" s="183"/>
      <c r="G4806" s="295"/>
      <c r="H4806" s="357">
        <f>+H4803+H4800+H4793</f>
        <v>30587</v>
      </c>
      <c r="M4806" s="183"/>
    </row>
    <row r="4807" spans="2:13" ht="18.75" customHeight="1" x14ac:dyDescent="0.25">
      <c r="B4807" s="356" t="s">
        <v>649</v>
      </c>
      <c r="C4807" s="364" t="s">
        <v>650</v>
      </c>
      <c r="D4807" s="435"/>
      <c r="E4807" s="92"/>
      <c r="F4807" s="184" t="str">
        <f>$J$5</f>
        <v>8,0 % x D</v>
      </c>
      <c r="G4807" s="295"/>
      <c r="H4807" s="358">
        <f>+H4806*$K$5</f>
        <v>2446.96</v>
      </c>
      <c r="M4807" s="184" t="str">
        <f>$J$5</f>
        <v>8,0 % x D</v>
      </c>
    </row>
    <row r="4808" spans="2:13" ht="18.75" customHeight="1" x14ac:dyDescent="0.25">
      <c r="B4808" s="356" t="s">
        <v>651</v>
      </c>
      <c r="C4808" s="365" t="s">
        <v>652</v>
      </c>
      <c r="D4808" s="435"/>
      <c r="E4808" s="91"/>
      <c r="F4808" s="185"/>
      <c r="G4808" s="296"/>
      <c r="H4808" s="359">
        <f>ROUNDUP((H4807+H4806)/100,0)*100</f>
        <v>33100</v>
      </c>
      <c r="M4808" s="185"/>
    </row>
    <row r="4809" spans="2:13" ht="18.75" customHeight="1" x14ac:dyDescent="0.25">
      <c r="B4809" s="360"/>
      <c r="C4809" s="366"/>
      <c r="D4809" s="245"/>
      <c r="E4809" s="246"/>
      <c r="F4809" s="247"/>
      <c r="G4809" s="299"/>
      <c r="H4809" s="361"/>
      <c r="M4809" s="247"/>
    </row>
    <row r="4810" spans="2:13" ht="18.75" customHeight="1" x14ac:dyDescent="0.25">
      <c r="B4810" s="22"/>
      <c r="C4810" s="104"/>
      <c r="E4810" s="21"/>
      <c r="F4810" s="176"/>
      <c r="G4810" s="165"/>
      <c r="H4810" s="119"/>
      <c r="M4810" s="176"/>
    </row>
    <row r="4811" spans="2:13" ht="18.75" customHeight="1" x14ac:dyDescent="0.25">
      <c r="B4811" s="19">
        <v>27</v>
      </c>
      <c r="C4811" s="93" t="s">
        <v>1802</v>
      </c>
      <c r="D4811" s="19"/>
      <c r="E4811" s="21"/>
      <c r="F4811" s="176"/>
      <c r="G4811" s="165"/>
      <c r="H4811" s="119"/>
      <c r="M4811" s="176"/>
    </row>
    <row r="4812" spans="2:13" ht="18.75" customHeight="1" x14ac:dyDescent="0.25">
      <c r="B4812" s="618" t="s">
        <v>620</v>
      </c>
      <c r="C4812" s="620" t="s">
        <v>621</v>
      </c>
      <c r="D4812" s="618" t="s">
        <v>622</v>
      </c>
      <c r="E4812" s="618" t="s">
        <v>2</v>
      </c>
      <c r="F4812" s="615" t="s">
        <v>623</v>
      </c>
      <c r="G4812" s="289" t="s">
        <v>624</v>
      </c>
      <c r="H4812" s="256" t="s">
        <v>625</v>
      </c>
      <c r="M4812" s="615" t="s">
        <v>623</v>
      </c>
    </row>
    <row r="4813" spans="2:13" ht="18.75" customHeight="1" x14ac:dyDescent="0.25">
      <c r="B4813" s="619"/>
      <c r="C4813" s="621"/>
      <c r="D4813" s="619"/>
      <c r="E4813" s="619"/>
      <c r="F4813" s="616"/>
      <c r="G4813" s="289" t="s">
        <v>626</v>
      </c>
      <c r="H4813" s="256" t="s">
        <v>626</v>
      </c>
      <c r="M4813" s="616"/>
    </row>
    <row r="4814" spans="2:13" ht="18.75" customHeight="1" x14ac:dyDescent="0.25">
      <c r="B4814" s="221"/>
      <c r="C4814" s="222"/>
      <c r="D4814" s="221"/>
      <c r="E4814" s="550"/>
      <c r="F4814" s="555"/>
      <c r="G4814" s="551"/>
      <c r="H4814" s="220"/>
      <c r="M4814" s="590"/>
    </row>
    <row r="4815" spans="2:13" ht="18.75" customHeight="1" x14ac:dyDescent="0.25">
      <c r="B4815" s="550" t="s">
        <v>627</v>
      </c>
      <c r="C4815" s="223" t="s">
        <v>628</v>
      </c>
      <c r="D4815" s="550"/>
      <c r="E4815" s="224"/>
      <c r="F4815" s="225"/>
      <c r="G4815" s="290"/>
      <c r="H4815" s="226"/>
      <c r="M4815" s="225"/>
    </row>
    <row r="4816" spans="2:13" ht="18.75" customHeight="1" x14ac:dyDescent="0.25">
      <c r="B4816" s="550"/>
      <c r="C4816" s="227" t="s">
        <v>629</v>
      </c>
      <c r="D4816" s="550" t="s">
        <v>630</v>
      </c>
      <c r="E4816" s="224" t="s">
        <v>631</v>
      </c>
      <c r="F4816" s="228">
        <f t="shared" ref="F4816:F4819" si="224">$K$8*M4816</f>
        <v>0.09</v>
      </c>
      <c r="G4816" s="229">
        <f>G4789</f>
        <v>95000</v>
      </c>
      <c r="H4816" s="230">
        <f>+G4816*F4816</f>
        <v>8550</v>
      </c>
      <c r="M4816" s="228">
        <v>0.09</v>
      </c>
    </row>
    <row r="4817" spans="2:13" ht="18.75" customHeight="1" x14ac:dyDescent="0.25">
      <c r="B4817" s="550"/>
      <c r="C4817" s="227" t="s">
        <v>1508</v>
      </c>
      <c r="D4817" s="550" t="s">
        <v>632</v>
      </c>
      <c r="E4817" s="224" t="s">
        <v>631</v>
      </c>
      <c r="F4817" s="228">
        <f t="shared" si="224"/>
        <v>0.09</v>
      </c>
      <c r="G4817" s="229">
        <f>G4790</f>
        <v>110000</v>
      </c>
      <c r="H4817" s="230">
        <f>+G4817*F4817</f>
        <v>9900</v>
      </c>
      <c r="M4817" s="228">
        <v>0.09</v>
      </c>
    </row>
    <row r="4818" spans="2:13" ht="18.75" customHeight="1" x14ac:dyDescent="0.25">
      <c r="B4818" s="550"/>
      <c r="C4818" s="227" t="s">
        <v>633</v>
      </c>
      <c r="D4818" s="550" t="s">
        <v>634</v>
      </c>
      <c r="E4818" s="224" t="s">
        <v>631</v>
      </c>
      <c r="F4818" s="228">
        <f t="shared" si="224"/>
        <v>8.9999999999999993E-3</v>
      </c>
      <c r="G4818" s="229">
        <f>G4791</f>
        <v>115000</v>
      </c>
      <c r="H4818" s="230">
        <f>+G4818*F4818</f>
        <v>1035</v>
      </c>
      <c r="M4818" s="228">
        <v>8.9999999999999993E-3</v>
      </c>
    </row>
    <row r="4819" spans="2:13" ht="18.75" customHeight="1" x14ac:dyDescent="0.25">
      <c r="B4819" s="550"/>
      <c r="C4819" s="227" t="s">
        <v>600</v>
      </c>
      <c r="D4819" s="550" t="s">
        <v>635</v>
      </c>
      <c r="E4819" s="224" t="s">
        <v>631</v>
      </c>
      <c r="F4819" s="228">
        <f t="shared" si="224"/>
        <v>5.0000000000000001E-3</v>
      </c>
      <c r="G4819" s="229">
        <f>G4792</f>
        <v>140000</v>
      </c>
      <c r="H4819" s="230">
        <f>+G4819*F4819</f>
        <v>700</v>
      </c>
      <c r="M4819" s="228">
        <v>5.0000000000000001E-3</v>
      </c>
    </row>
    <row r="4820" spans="2:13" ht="18.75" customHeight="1" x14ac:dyDescent="0.25">
      <c r="B4820" s="550"/>
      <c r="C4820" s="223"/>
      <c r="D4820" s="550"/>
      <c r="E4820" s="224"/>
      <c r="F4820" s="233" t="s">
        <v>636</v>
      </c>
      <c r="G4820" s="290"/>
      <c r="H4820" s="231">
        <f>SUM(H4816:H4819)</f>
        <v>20185</v>
      </c>
      <c r="M4820" s="233" t="s">
        <v>636</v>
      </c>
    </row>
    <row r="4821" spans="2:13" ht="18.75" customHeight="1" x14ac:dyDescent="0.25">
      <c r="B4821" s="550"/>
      <c r="C4821" s="223"/>
      <c r="D4821" s="550"/>
      <c r="E4821" s="224"/>
      <c r="F4821" s="233"/>
      <c r="G4821" s="290"/>
      <c r="H4821" s="231"/>
      <c r="M4821" s="233"/>
    </row>
    <row r="4822" spans="2:13" ht="18.75" customHeight="1" x14ac:dyDescent="0.25">
      <c r="B4822" s="550" t="s">
        <v>637</v>
      </c>
      <c r="C4822" s="223" t="s">
        <v>638</v>
      </c>
      <c r="D4822" s="550"/>
      <c r="E4822" s="224"/>
      <c r="F4822" s="225"/>
      <c r="G4822" s="290"/>
      <c r="H4822" s="226"/>
      <c r="M4822" s="225"/>
    </row>
    <row r="4823" spans="2:13" ht="18.75" customHeight="1" x14ac:dyDescent="0.25">
      <c r="B4823" s="550"/>
      <c r="C4823" s="223" t="s">
        <v>1037</v>
      </c>
      <c r="D4823" s="550"/>
      <c r="E4823" s="550" t="s">
        <v>16</v>
      </c>
      <c r="F4823" s="405">
        <v>2.65</v>
      </c>
      <c r="G4823" s="418">
        <f>Bahan!D301/(1/0.1/0.4)</f>
        <v>2480</v>
      </c>
      <c r="H4823" s="230">
        <f>+G4823*F4823</f>
        <v>6572</v>
      </c>
      <c r="M4823" s="405">
        <v>2.65</v>
      </c>
    </row>
    <row r="4824" spans="2:13" ht="18.75" customHeight="1" x14ac:dyDescent="0.25">
      <c r="B4824" s="550"/>
      <c r="C4824" s="223" t="s">
        <v>708</v>
      </c>
      <c r="D4824" s="550"/>
      <c r="E4824" s="550" t="s">
        <v>5</v>
      </c>
      <c r="F4824" s="405">
        <v>1.1399999999999999</v>
      </c>
      <c r="G4824" s="234">
        <f>G4797</f>
        <v>1700</v>
      </c>
      <c r="H4824" s="230">
        <f>+G4824*F4824</f>
        <v>1937.9999999999998</v>
      </c>
      <c r="M4824" s="405">
        <v>1.1399999999999999</v>
      </c>
    </row>
    <row r="4825" spans="2:13" ht="18.75" customHeight="1" x14ac:dyDescent="0.25">
      <c r="B4825" s="550"/>
      <c r="C4825" s="223" t="s">
        <v>1018</v>
      </c>
      <c r="D4825" s="550"/>
      <c r="E4825" s="550" t="s">
        <v>5</v>
      </c>
      <c r="F4825" s="405">
        <v>0.1</v>
      </c>
      <c r="G4825" s="234">
        <f>G4798</f>
        <v>14500</v>
      </c>
      <c r="H4825" s="230">
        <f>+G4825*F4825</f>
        <v>1450</v>
      </c>
      <c r="M4825" s="405">
        <v>0.1</v>
      </c>
    </row>
    <row r="4826" spans="2:13" ht="18.75" customHeight="1" x14ac:dyDescent="0.25">
      <c r="B4826" s="550"/>
      <c r="C4826" s="223" t="s">
        <v>661</v>
      </c>
      <c r="D4826" s="550"/>
      <c r="E4826" s="224" t="s">
        <v>1013</v>
      </c>
      <c r="F4826" s="228">
        <v>3.0000000000000001E-3</v>
      </c>
      <c r="G4826" s="234">
        <f>G4799</f>
        <v>230000</v>
      </c>
      <c r="H4826" s="230">
        <f>+G4826*F4826</f>
        <v>690</v>
      </c>
      <c r="M4826" s="228">
        <v>3.0000000000000001E-3</v>
      </c>
    </row>
    <row r="4827" spans="2:13" ht="18.75" customHeight="1" x14ac:dyDescent="0.25">
      <c r="B4827" s="550"/>
      <c r="C4827" s="223"/>
      <c r="D4827" s="550"/>
      <c r="E4827" s="224"/>
      <c r="F4827" s="237" t="s">
        <v>643</v>
      </c>
      <c r="G4827" s="290"/>
      <c r="H4827" s="231">
        <f>SUM(H4823:H4826)</f>
        <v>10650</v>
      </c>
      <c r="M4827" s="237" t="s">
        <v>643</v>
      </c>
    </row>
    <row r="4828" spans="2:13" ht="18.75" customHeight="1" x14ac:dyDescent="0.25">
      <c r="B4828" s="550"/>
      <c r="C4828" s="223"/>
      <c r="D4828" s="550"/>
      <c r="E4828" s="224"/>
      <c r="F4828" s="225"/>
      <c r="G4828" s="290"/>
      <c r="H4828" s="226"/>
      <c r="M4828" s="225"/>
    </row>
    <row r="4829" spans="2:13" ht="18.75" customHeight="1" x14ac:dyDescent="0.25">
      <c r="B4829" s="550" t="s">
        <v>644</v>
      </c>
      <c r="C4829" s="223" t="s">
        <v>645</v>
      </c>
      <c r="D4829" s="550"/>
      <c r="E4829" s="224"/>
      <c r="F4829" s="225"/>
      <c r="G4829" s="290"/>
      <c r="H4829" s="235"/>
      <c r="M4829" s="225"/>
    </row>
    <row r="4830" spans="2:13" ht="18.75" customHeight="1" x14ac:dyDescent="0.25">
      <c r="B4830" s="236"/>
      <c r="C4830" s="232"/>
      <c r="D4830" s="550"/>
      <c r="E4830" s="224"/>
      <c r="F4830" s="237" t="s">
        <v>646</v>
      </c>
      <c r="G4830" s="290"/>
      <c r="H4830" s="230"/>
      <c r="M4830" s="237" t="s">
        <v>646</v>
      </c>
    </row>
    <row r="4831" spans="2:13" ht="18.75" customHeight="1" x14ac:dyDescent="0.25">
      <c r="B4831" s="236"/>
      <c r="C4831" s="232"/>
      <c r="D4831" s="550"/>
      <c r="E4831" s="224"/>
      <c r="F4831" s="237"/>
      <c r="G4831" s="290"/>
      <c r="H4831" s="226"/>
      <c r="M4831" s="237"/>
    </row>
    <row r="4832" spans="2:13" ht="18.75" customHeight="1" x14ac:dyDescent="0.25">
      <c r="B4832" s="354"/>
      <c r="C4832" s="362"/>
      <c r="D4832" s="239"/>
      <c r="E4832" s="266"/>
      <c r="F4832" s="241"/>
      <c r="G4832" s="370"/>
      <c r="H4832" s="369"/>
      <c r="M4832" s="241"/>
    </row>
    <row r="4833" spans="2:13" ht="18.75" customHeight="1" x14ac:dyDescent="0.25">
      <c r="B4833" s="356" t="s">
        <v>647</v>
      </c>
      <c r="C4833" s="363" t="s">
        <v>648</v>
      </c>
      <c r="D4833" s="435"/>
      <c r="E4833" s="92"/>
      <c r="F4833" s="183"/>
      <c r="G4833" s="295"/>
      <c r="H4833" s="357">
        <f>+H4830+H4827+H4820</f>
        <v>30835</v>
      </c>
      <c r="M4833" s="183"/>
    </row>
    <row r="4834" spans="2:13" ht="18.75" customHeight="1" x14ac:dyDescent="0.25">
      <c r="B4834" s="356" t="s">
        <v>649</v>
      </c>
      <c r="C4834" s="364" t="s">
        <v>650</v>
      </c>
      <c r="D4834" s="435"/>
      <c r="E4834" s="92"/>
      <c r="F4834" s="184" t="str">
        <f>$J$5</f>
        <v>8,0 % x D</v>
      </c>
      <c r="G4834" s="295"/>
      <c r="H4834" s="358">
        <f>+H4833*$K$5</f>
        <v>2466.8000000000002</v>
      </c>
      <c r="M4834" s="184" t="str">
        <f>$J$5</f>
        <v>8,0 % x D</v>
      </c>
    </row>
    <row r="4835" spans="2:13" ht="18.75" customHeight="1" x14ac:dyDescent="0.25">
      <c r="B4835" s="356" t="s">
        <v>651</v>
      </c>
      <c r="C4835" s="365" t="s">
        <v>652</v>
      </c>
      <c r="D4835" s="435"/>
      <c r="E4835" s="91"/>
      <c r="F4835" s="185"/>
      <c r="G4835" s="296"/>
      <c r="H4835" s="359">
        <f>ROUNDUP((H4834+H4833)/100,0)*100</f>
        <v>33400</v>
      </c>
      <c r="M4835" s="185"/>
    </row>
    <row r="4836" spans="2:13" ht="18.75" customHeight="1" x14ac:dyDescent="0.25">
      <c r="B4836" s="360"/>
      <c r="C4836" s="366"/>
      <c r="D4836" s="245"/>
      <c r="E4836" s="246"/>
      <c r="F4836" s="247"/>
      <c r="G4836" s="299"/>
      <c r="H4836" s="361"/>
      <c r="M4836" s="247"/>
    </row>
    <row r="4837" spans="2:13" ht="18.75" customHeight="1" x14ac:dyDescent="0.25">
      <c r="B4837" s="92"/>
      <c r="C4837" s="104"/>
      <c r="D4837" s="435"/>
      <c r="E4837" s="91"/>
      <c r="F4837" s="185"/>
      <c r="G4837" s="168"/>
      <c r="H4837" s="139"/>
      <c r="M4837" s="185"/>
    </row>
    <row r="4838" spans="2:13" ht="18.75" customHeight="1" x14ac:dyDescent="0.25">
      <c r="B4838" s="19">
        <v>28</v>
      </c>
      <c r="C4838" s="93" t="s">
        <v>1803</v>
      </c>
      <c r="D4838" s="19"/>
      <c r="E4838" s="21"/>
      <c r="F4838" s="176"/>
      <c r="G4838" s="165"/>
      <c r="H4838" s="119"/>
      <c r="M4838" s="176"/>
    </row>
    <row r="4839" spans="2:13" ht="18.75" customHeight="1" x14ac:dyDescent="0.25">
      <c r="B4839" s="618" t="s">
        <v>620</v>
      </c>
      <c r="C4839" s="620" t="s">
        <v>621</v>
      </c>
      <c r="D4839" s="618" t="s">
        <v>622</v>
      </c>
      <c r="E4839" s="618" t="s">
        <v>2</v>
      </c>
      <c r="F4839" s="615" t="s">
        <v>623</v>
      </c>
      <c r="G4839" s="289" t="s">
        <v>624</v>
      </c>
      <c r="H4839" s="256" t="s">
        <v>625</v>
      </c>
      <c r="M4839" s="615" t="s">
        <v>623</v>
      </c>
    </row>
    <row r="4840" spans="2:13" ht="18.75" customHeight="1" x14ac:dyDescent="0.25">
      <c r="B4840" s="619"/>
      <c r="C4840" s="621"/>
      <c r="D4840" s="619"/>
      <c r="E4840" s="619"/>
      <c r="F4840" s="616"/>
      <c r="G4840" s="289" t="s">
        <v>626</v>
      </c>
      <c r="H4840" s="256" t="s">
        <v>626</v>
      </c>
      <c r="M4840" s="616"/>
    </row>
    <row r="4841" spans="2:13" ht="18.75" customHeight="1" x14ac:dyDescent="0.25">
      <c r="B4841" s="221"/>
      <c r="C4841" s="222"/>
      <c r="D4841" s="221"/>
      <c r="E4841" s="550"/>
      <c r="F4841" s="555"/>
      <c r="G4841" s="551"/>
      <c r="H4841" s="220"/>
      <c r="M4841" s="590"/>
    </row>
    <row r="4842" spans="2:13" ht="18.75" customHeight="1" x14ac:dyDescent="0.25">
      <c r="B4842" s="550" t="s">
        <v>627</v>
      </c>
      <c r="C4842" s="223" t="s">
        <v>628</v>
      </c>
      <c r="D4842" s="550"/>
      <c r="E4842" s="224"/>
      <c r="F4842" s="225"/>
      <c r="G4842" s="290"/>
      <c r="H4842" s="226"/>
      <c r="M4842" s="225"/>
    </row>
    <row r="4843" spans="2:13" ht="18.75" customHeight="1" x14ac:dyDescent="0.25">
      <c r="B4843" s="550"/>
      <c r="C4843" s="227" t="s">
        <v>629</v>
      </c>
      <c r="D4843" s="550" t="s">
        <v>630</v>
      </c>
      <c r="E4843" s="224" t="s">
        <v>631</v>
      </c>
      <c r="F4843" s="228">
        <f t="shared" ref="F4843:F4846" si="225">$K$8*M4843</f>
        <v>0.09</v>
      </c>
      <c r="G4843" s="229">
        <f>G4816</f>
        <v>95000</v>
      </c>
      <c r="H4843" s="230">
        <f>+G4843*F4843</f>
        <v>8550</v>
      </c>
      <c r="M4843" s="228">
        <v>0.09</v>
      </c>
    </row>
    <row r="4844" spans="2:13" ht="18.75" customHeight="1" x14ac:dyDescent="0.25">
      <c r="B4844" s="550"/>
      <c r="C4844" s="227" t="s">
        <v>1508</v>
      </c>
      <c r="D4844" s="550" t="s">
        <v>632</v>
      </c>
      <c r="E4844" s="224" t="s">
        <v>631</v>
      </c>
      <c r="F4844" s="228">
        <f t="shared" si="225"/>
        <v>0.09</v>
      </c>
      <c r="G4844" s="229">
        <f>G4817</f>
        <v>110000</v>
      </c>
      <c r="H4844" s="230">
        <f>+G4844*F4844</f>
        <v>9900</v>
      </c>
      <c r="M4844" s="228">
        <v>0.09</v>
      </c>
    </row>
    <row r="4845" spans="2:13" ht="18.75" customHeight="1" x14ac:dyDescent="0.25">
      <c r="B4845" s="550"/>
      <c r="C4845" s="227" t="s">
        <v>633</v>
      </c>
      <c r="D4845" s="550" t="s">
        <v>634</v>
      </c>
      <c r="E4845" s="224" t="s">
        <v>631</v>
      </c>
      <c r="F4845" s="228">
        <f t="shared" si="225"/>
        <v>8.9999999999999993E-3</v>
      </c>
      <c r="G4845" s="229">
        <f>G4818</f>
        <v>115000</v>
      </c>
      <c r="H4845" s="230">
        <f>+G4845*F4845</f>
        <v>1035</v>
      </c>
      <c r="M4845" s="228">
        <v>8.9999999999999993E-3</v>
      </c>
    </row>
    <row r="4846" spans="2:13" ht="18.75" customHeight="1" x14ac:dyDescent="0.25">
      <c r="B4846" s="550"/>
      <c r="C4846" s="227" t="s">
        <v>600</v>
      </c>
      <c r="D4846" s="550" t="s">
        <v>635</v>
      </c>
      <c r="E4846" s="224" t="s">
        <v>631</v>
      </c>
      <c r="F4846" s="228">
        <f t="shared" si="225"/>
        <v>5.0000000000000001E-3</v>
      </c>
      <c r="G4846" s="229">
        <f>G4819</f>
        <v>140000</v>
      </c>
      <c r="H4846" s="230">
        <f>+G4846*F4846</f>
        <v>700</v>
      </c>
      <c r="M4846" s="228">
        <v>5.0000000000000001E-3</v>
      </c>
    </row>
    <row r="4847" spans="2:13" ht="18.75" customHeight="1" x14ac:dyDescent="0.25">
      <c r="B4847" s="550"/>
      <c r="C4847" s="223"/>
      <c r="D4847" s="550"/>
      <c r="E4847" s="224"/>
      <c r="F4847" s="233" t="s">
        <v>636</v>
      </c>
      <c r="G4847" s="290"/>
      <c r="H4847" s="231">
        <f>SUM(H4843:H4846)</f>
        <v>20185</v>
      </c>
      <c r="M4847" s="233" t="s">
        <v>636</v>
      </c>
    </row>
    <row r="4848" spans="2:13" ht="18.75" customHeight="1" x14ac:dyDescent="0.25">
      <c r="B4848" s="550"/>
      <c r="C4848" s="223"/>
      <c r="D4848" s="550"/>
      <c r="E4848" s="224"/>
      <c r="F4848" s="233"/>
      <c r="G4848" s="290"/>
      <c r="H4848" s="231"/>
      <c r="M4848" s="233"/>
    </row>
    <row r="4849" spans="2:13" ht="18.75" customHeight="1" x14ac:dyDescent="0.25">
      <c r="B4849" s="550" t="s">
        <v>637</v>
      </c>
      <c r="C4849" s="223" t="s">
        <v>638</v>
      </c>
      <c r="D4849" s="550"/>
      <c r="E4849" s="224"/>
      <c r="F4849" s="225"/>
      <c r="G4849" s="290"/>
      <c r="H4849" s="226"/>
      <c r="M4849" s="225"/>
    </row>
    <row r="4850" spans="2:13" ht="18.75" customHeight="1" x14ac:dyDescent="0.25">
      <c r="B4850" s="550"/>
      <c r="C4850" s="223" t="s">
        <v>1037</v>
      </c>
      <c r="D4850" s="550"/>
      <c r="E4850" s="550" t="s">
        <v>16</v>
      </c>
      <c r="F4850" s="405">
        <v>3.53</v>
      </c>
      <c r="G4850" s="418">
        <f>Bahan!D301/(1/0.1/0.3)</f>
        <v>1859.9999999999998</v>
      </c>
      <c r="H4850" s="230">
        <f>+G4850*F4850</f>
        <v>6565.7999999999993</v>
      </c>
      <c r="M4850" s="405">
        <v>3.53</v>
      </c>
    </row>
    <row r="4851" spans="2:13" ht="18.75" customHeight="1" x14ac:dyDescent="0.25">
      <c r="B4851" s="550"/>
      <c r="C4851" s="223" t="s">
        <v>708</v>
      </c>
      <c r="D4851" s="550"/>
      <c r="E4851" s="550" t="s">
        <v>5</v>
      </c>
      <c r="F4851" s="405">
        <v>1.1399999999999999</v>
      </c>
      <c r="G4851" s="234">
        <f>G4824</f>
        <v>1700</v>
      </c>
      <c r="H4851" s="230">
        <f>+G4851*F4851</f>
        <v>1937.9999999999998</v>
      </c>
      <c r="M4851" s="405">
        <v>1.1399999999999999</v>
      </c>
    </row>
    <row r="4852" spans="2:13" ht="18.75" customHeight="1" x14ac:dyDescent="0.25">
      <c r="B4852" s="550"/>
      <c r="C4852" s="223" t="s">
        <v>1018</v>
      </c>
      <c r="D4852" s="550"/>
      <c r="E4852" s="550" t="s">
        <v>5</v>
      </c>
      <c r="F4852" s="405">
        <v>0.1</v>
      </c>
      <c r="G4852" s="234">
        <f>G4825</f>
        <v>14500</v>
      </c>
      <c r="H4852" s="230">
        <f>+G4852*F4852</f>
        <v>1450</v>
      </c>
      <c r="M4852" s="405">
        <v>0.1</v>
      </c>
    </row>
    <row r="4853" spans="2:13" ht="18.75" customHeight="1" x14ac:dyDescent="0.25">
      <c r="B4853" s="550"/>
      <c r="C4853" s="223" t="s">
        <v>661</v>
      </c>
      <c r="D4853" s="550"/>
      <c r="E4853" s="224" t="s">
        <v>1013</v>
      </c>
      <c r="F4853" s="228">
        <v>3.0000000000000001E-3</v>
      </c>
      <c r="G4853" s="234">
        <f>G4826</f>
        <v>230000</v>
      </c>
      <c r="H4853" s="230">
        <f>+G4853*F4853</f>
        <v>690</v>
      </c>
      <c r="M4853" s="228">
        <v>3.0000000000000001E-3</v>
      </c>
    </row>
    <row r="4854" spans="2:13" ht="18.75" customHeight="1" x14ac:dyDescent="0.25">
      <c r="B4854" s="550"/>
      <c r="C4854" s="223"/>
      <c r="D4854" s="550"/>
      <c r="E4854" s="224"/>
      <c r="F4854" s="237" t="s">
        <v>643</v>
      </c>
      <c r="G4854" s="290"/>
      <c r="H4854" s="231">
        <f>SUM(H4850:H4853)</f>
        <v>10643.8</v>
      </c>
      <c r="M4854" s="237" t="s">
        <v>643</v>
      </c>
    </row>
    <row r="4855" spans="2:13" ht="18.75" customHeight="1" x14ac:dyDescent="0.25">
      <c r="B4855" s="550"/>
      <c r="C4855" s="223"/>
      <c r="D4855" s="550"/>
      <c r="E4855" s="224"/>
      <c r="F4855" s="225"/>
      <c r="G4855" s="290"/>
      <c r="H4855" s="226"/>
      <c r="M4855" s="225"/>
    </row>
    <row r="4856" spans="2:13" ht="18.75" customHeight="1" x14ac:dyDescent="0.25">
      <c r="B4856" s="550" t="s">
        <v>644</v>
      </c>
      <c r="C4856" s="223" t="s">
        <v>645</v>
      </c>
      <c r="D4856" s="550"/>
      <c r="E4856" s="224"/>
      <c r="F4856" s="225"/>
      <c r="G4856" s="290"/>
      <c r="H4856" s="235"/>
      <c r="M4856" s="225"/>
    </row>
    <row r="4857" spans="2:13" ht="18.75" customHeight="1" x14ac:dyDescent="0.25">
      <c r="B4857" s="236"/>
      <c r="C4857" s="232"/>
      <c r="D4857" s="550"/>
      <c r="E4857" s="224"/>
      <c r="F4857" s="237" t="s">
        <v>646</v>
      </c>
      <c r="G4857" s="290"/>
      <c r="H4857" s="230"/>
      <c r="M4857" s="237" t="s">
        <v>646</v>
      </c>
    </row>
    <row r="4858" spans="2:13" ht="18.75" customHeight="1" x14ac:dyDescent="0.25">
      <c r="B4858" s="236"/>
      <c r="C4858" s="232"/>
      <c r="D4858" s="550"/>
      <c r="E4858" s="224"/>
      <c r="F4858" s="237"/>
      <c r="G4858" s="290"/>
      <c r="H4858" s="226"/>
      <c r="M4858" s="237"/>
    </row>
    <row r="4859" spans="2:13" ht="18.75" customHeight="1" x14ac:dyDescent="0.25">
      <c r="B4859" s="354"/>
      <c r="C4859" s="362"/>
      <c r="D4859" s="239"/>
      <c r="E4859" s="266"/>
      <c r="F4859" s="241"/>
      <c r="G4859" s="370"/>
      <c r="H4859" s="369"/>
      <c r="M4859" s="241"/>
    </row>
    <row r="4860" spans="2:13" ht="18.75" customHeight="1" x14ac:dyDescent="0.25">
      <c r="B4860" s="356" t="s">
        <v>647</v>
      </c>
      <c r="C4860" s="363" t="s">
        <v>648</v>
      </c>
      <c r="D4860" s="435"/>
      <c r="E4860" s="92"/>
      <c r="F4860" s="183"/>
      <c r="G4860" s="295"/>
      <c r="H4860" s="357">
        <f>+H4857+H4854+H4847</f>
        <v>30828.799999999999</v>
      </c>
      <c r="M4860" s="183"/>
    </row>
    <row r="4861" spans="2:13" ht="18.75" customHeight="1" x14ac:dyDescent="0.25">
      <c r="B4861" s="356" t="s">
        <v>649</v>
      </c>
      <c r="C4861" s="364" t="s">
        <v>650</v>
      </c>
      <c r="D4861" s="435"/>
      <c r="E4861" s="92"/>
      <c r="F4861" s="184" t="str">
        <f>$J$5</f>
        <v>8,0 % x D</v>
      </c>
      <c r="G4861" s="295"/>
      <c r="H4861" s="358">
        <f>+H4860*$K$5</f>
        <v>2466.3040000000001</v>
      </c>
      <c r="M4861" s="184" t="str">
        <f>$J$5</f>
        <v>8,0 % x D</v>
      </c>
    </row>
    <row r="4862" spans="2:13" ht="18.75" customHeight="1" x14ac:dyDescent="0.25">
      <c r="B4862" s="356" t="s">
        <v>651</v>
      </c>
      <c r="C4862" s="365" t="s">
        <v>652</v>
      </c>
      <c r="D4862" s="435"/>
      <c r="E4862" s="91"/>
      <c r="F4862" s="185"/>
      <c r="G4862" s="296"/>
      <c r="H4862" s="359">
        <f>ROUNDUP((H4861+H4860)/100,0)*100</f>
        <v>33300</v>
      </c>
      <c r="M4862" s="185"/>
    </row>
    <row r="4863" spans="2:13" ht="18.75" customHeight="1" x14ac:dyDescent="0.25">
      <c r="B4863" s="360"/>
      <c r="C4863" s="366"/>
      <c r="D4863" s="245"/>
      <c r="E4863" s="246"/>
      <c r="F4863" s="247"/>
      <c r="G4863" s="299"/>
      <c r="H4863" s="361"/>
      <c r="M4863" s="247"/>
    </row>
    <row r="4864" spans="2:13" ht="18.75" customHeight="1" x14ac:dyDescent="0.25">
      <c r="B4864" s="22"/>
      <c r="C4864" s="104"/>
      <c r="E4864" s="21"/>
      <c r="F4864" s="176"/>
      <c r="G4864" s="165"/>
      <c r="H4864" s="119"/>
      <c r="M4864" s="176"/>
    </row>
    <row r="4865" spans="2:13" ht="18.75" customHeight="1" x14ac:dyDescent="0.25">
      <c r="B4865" s="19">
        <v>29</v>
      </c>
      <c r="C4865" s="93" t="s">
        <v>1038</v>
      </c>
      <c r="D4865" s="19"/>
      <c r="E4865" s="21"/>
      <c r="F4865" s="176"/>
      <c r="G4865" s="165"/>
      <c r="H4865" s="119"/>
      <c r="M4865" s="176"/>
    </row>
    <row r="4866" spans="2:13" ht="18.75" customHeight="1" x14ac:dyDescent="0.25">
      <c r="B4866" s="618" t="s">
        <v>620</v>
      </c>
      <c r="C4866" s="620" t="s">
        <v>621</v>
      </c>
      <c r="D4866" s="618" t="s">
        <v>622</v>
      </c>
      <c r="E4866" s="618" t="s">
        <v>2</v>
      </c>
      <c r="F4866" s="615" t="s">
        <v>623</v>
      </c>
      <c r="G4866" s="289" t="s">
        <v>624</v>
      </c>
      <c r="H4866" s="256" t="s">
        <v>625</v>
      </c>
      <c r="M4866" s="615" t="s">
        <v>623</v>
      </c>
    </row>
    <row r="4867" spans="2:13" ht="18.75" customHeight="1" x14ac:dyDescent="0.25">
      <c r="B4867" s="619"/>
      <c r="C4867" s="621"/>
      <c r="D4867" s="619"/>
      <c r="E4867" s="619"/>
      <c r="F4867" s="616"/>
      <c r="G4867" s="289" t="s">
        <v>626</v>
      </c>
      <c r="H4867" s="256" t="s">
        <v>626</v>
      </c>
      <c r="M4867" s="616"/>
    </row>
    <row r="4868" spans="2:13" ht="18.75" customHeight="1" x14ac:dyDescent="0.25">
      <c r="B4868" s="221"/>
      <c r="C4868" s="222"/>
      <c r="D4868" s="221"/>
      <c r="E4868" s="550"/>
      <c r="F4868" s="555"/>
      <c r="G4868" s="551"/>
      <c r="H4868" s="220"/>
      <c r="M4868" s="590"/>
    </row>
    <row r="4869" spans="2:13" ht="18.75" customHeight="1" x14ac:dyDescent="0.25">
      <c r="B4869" s="550" t="s">
        <v>627</v>
      </c>
      <c r="C4869" s="223" t="s">
        <v>628</v>
      </c>
      <c r="D4869" s="550"/>
      <c r="E4869" s="224"/>
      <c r="F4869" s="225"/>
      <c r="G4869" s="290"/>
      <c r="H4869" s="226"/>
      <c r="M4869" s="225"/>
    </row>
    <row r="4870" spans="2:13" ht="18.75" customHeight="1" x14ac:dyDescent="0.25">
      <c r="B4870" s="550"/>
      <c r="C4870" s="227" t="s">
        <v>629</v>
      </c>
      <c r="D4870" s="550" t="s">
        <v>630</v>
      </c>
      <c r="E4870" s="224" t="s">
        <v>631</v>
      </c>
      <c r="F4870" s="228">
        <f t="shared" ref="F4870:F4873" si="226">$K$8*M4870</f>
        <v>0.36</v>
      </c>
      <c r="G4870" s="229">
        <f>G4843</f>
        <v>95000</v>
      </c>
      <c r="H4870" s="230">
        <f>+G4870*F4870</f>
        <v>34200</v>
      </c>
      <c r="M4870" s="228">
        <v>0.36</v>
      </c>
    </row>
    <row r="4871" spans="2:13" ht="18.75" customHeight="1" x14ac:dyDescent="0.25">
      <c r="B4871" s="550"/>
      <c r="C4871" s="227" t="s">
        <v>1508</v>
      </c>
      <c r="D4871" s="550" t="s">
        <v>632</v>
      </c>
      <c r="E4871" s="224" t="s">
        <v>631</v>
      </c>
      <c r="F4871" s="228">
        <f t="shared" si="226"/>
        <v>0.18</v>
      </c>
      <c r="G4871" s="229">
        <f>G4844</f>
        <v>110000</v>
      </c>
      <c r="H4871" s="230">
        <f>+G4871*F4871</f>
        <v>19800</v>
      </c>
      <c r="M4871" s="228">
        <v>0.18</v>
      </c>
    </row>
    <row r="4872" spans="2:13" ht="18.75" customHeight="1" x14ac:dyDescent="0.25">
      <c r="B4872" s="550"/>
      <c r="C4872" s="227" t="s">
        <v>633</v>
      </c>
      <c r="D4872" s="550" t="s">
        <v>634</v>
      </c>
      <c r="E4872" s="224" t="s">
        <v>631</v>
      </c>
      <c r="F4872" s="228">
        <f t="shared" si="226"/>
        <v>1.7999999999999999E-2</v>
      </c>
      <c r="G4872" s="229">
        <f>G4845</f>
        <v>115000</v>
      </c>
      <c r="H4872" s="230">
        <f>+G4872*F4872</f>
        <v>2070</v>
      </c>
      <c r="M4872" s="228">
        <v>1.7999999999999999E-2</v>
      </c>
    </row>
    <row r="4873" spans="2:13" ht="18.75" customHeight="1" x14ac:dyDescent="0.25">
      <c r="B4873" s="550"/>
      <c r="C4873" s="227" t="s">
        <v>600</v>
      </c>
      <c r="D4873" s="550" t="s">
        <v>635</v>
      </c>
      <c r="E4873" s="224" t="s">
        <v>631</v>
      </c>
      <c r="F4873" s="228">
        <f t="shared" si="226"/>
        <v>1.7999999999999999E-2</v>
      </c>
      <c r="G4873" s="229">
        <f>G4846</f>
        <v>140000</v>
      </c>
      <c r="H4873" s="230">
        <f>+G4873*F4873</f>
        <v>2520</v>
      </c>
      <c r="M4873" s="228">
        <v>1.7999999999999999E-2</v>
      </c>
    </row>
    <row r="4874" spans="2:13" ht="18.75" customHeight="1" x14ac:dyDescent="0.25">
      <c r="B4874" s="550"/>
      <c r="C4874" s="223"/>
      <c r="D4874" s="550"/>
      <c r="E4874" s="224"/>
      <c r="F4874" s="233" t="s">
        <v>636</v>
      </c>
      <c r="G4874" s="290"/>
      <c r="H4874" s="231">
        <f>SUM(H4870:H4873)</f>
        <v>58590</v>
      </c>
      <c r="M4874" s="233" t="s">
        <v>636</v>
      </c>
    </row>
    <row r="4875" spans="2:13" ht="18.75" customHeight="1" x14ac:dyDescent="0.25">
      <c r="B4875" s="550"/>
      <c r="C4875" s="223"/>
      <c r="D4875" s="550"/>
      <c r="E4875" s="224"/>
      <c r="F4875" s="233"/>
      <c r="G4875" s="290"/>
      <c r="H4875" s="230"/>
      <c r="M4875" s="233"/>
    </row>
    <row r="4876" spans="2:13" ht="18.75" customHeight="1" x14ac:dyDescent="0.25">
      <c r="B4876" s="550" t="s">
        <v>637</v>
      </c>
      <c r="C4876" s="223" t="s">
        <v>638</v>
      </c>
      <c r="D4876" s="550"/>
      <c r="E4876" s="224"/>
      <c r="F4876" s="225"/>
      <c r="G4876" s="290"/>
      <c r="H4876" s="226"/>
      <c r="M4876" s="225"/>
    </row>
    <row r="4877" spans="2:13" ht="18.75" customHeight="1" x14ac:dyDescent="0.25">
      <c r="B4877" s="550"/>
      <c r="C4877" s="223" t="s">
        <v>1039</v>
      </c>
      <c r="D4877" s="550"/>
      <c r="E4877" s="550" t="s">
        <v>62</v>
      </c>
      <c r="F4877" s="405">
        <v>0.36</v>
      </c>
      <c r="G4877" s="418">
        <f>Bahan!D300</f>
        <v>10000</v>
      </c>
      <c r="H4877" s="230">
        <f>+G4877*F4877</f>
        <v>3600</v>
      </c>
      <c r="M4877" s="405">
        <v>0.36</v>
      </c>
    </row>
    <row r="4878" spans="2:13" ht="18.75" customHeight="1" x14ac:dyDescent="0.25">
      <c r="B4878" s="550"/>
      <c r="C4878" s="223" t="s">
        <v>1018</v>
      </c>
      <c r="D4878" s="550"/>
      <c r="E4878" s="550" t="s">
        <v>5</v>
      </c>
      <c r="F4878" s="405">
        <v>0.1</v>
      </c>
      <c r="G4878" s="410">
        <f>G4852</f>
        <v>14500</v>
      </c>
      <c r="H4878" s="230">
        <f>+G4878*F4878</f>
        <v>1450</v>
      </c>
      <c r="M4878" s="405">
        <v>0.1</v>
      </c>
    </row>
    <row r="4879" spans="2:13" ht="18.75" customHeight="1" x14ac:dyDescent="0.25">
      <c r="B4879" s="550"/>
      <c r="C4879" s="223"/>
      <c r="D4879" s="550"/>
      <c r="E4879" s="224"/>
      <c r="F4879" s="237" t="s">
        <v>643</v>
      </c>
      <c r="G4879" s="290"/>
      <c r="H4879" s="231">
        <f>SUM(H4877:H4878)</f>
        <v>5050</v>
      </c>
      <c r="M4879" s="237" t="s">
        <v>643</v>
      </c>
    </row>
    <row r="4880" spans="2:13" ht="18.75" customHeight="1" x14ac:dyDescent="0.25">
      <c r="B4880" s="550"/>
      <c r="C4880" s="223"/>
      <c r="D4880" s="550"/>
      <c r="E4880" s="224"/>
      <c r="F4880" s="225"/>
      <c r="G4880" s="290"/>
      <c r="H4880" s="226"/>
      <c r="M4880" s="225"/>
    </row>
    <row r="4881" spans="2:13" ht="18.75" customHeight="1" x14ac:dyDescent="0.25">
      <c r="B4881" s="550" t="s">
        <v>644</v>
      </c>
      <c r="C4881" s="223" t="s">
        <v>645</v>
      </c>
      <c r="D4881" s="550"/>
      <c r="E4881" s="224"/>
      <c r="F4881" s="225"/>
      <c r="G4881" s="290"/>
      <c r="H4881" s="235"/>
      <c r="M4881" s="225"/>
    </row>
    <row r="4882" spans="2:13" ht="18.75" customHeight="1" x14ac:dyDescent="0.25">
      <c r="B4882" s="236"/>
      <c r="C4882" s="232"/>
      <c r="D4882" s="550"/>
      <c r="E4882" s="224"/>
      <c r="F4882" s="237" t="s">
        <v>646</v>
      </c>
      <c r="G4882" s="290"/>
      <c r="H4882" s="230"/>
      <c r="M4882" s="237" t="s">
        <v>646</v>
      </c>
    </row>
    <row r="4883" spans="2:13" ht="18.75" customHeight="1" x14ac:dyDescent="0.25">
      <c r="B4883" s="236"/>
      <c r="C4883" s="232"/>
      <c r="D4883" s="550"/>
      <c r="E4883" s="224"/>
      <c r="F4883" s="237"/>
      <c r="G4883" s="290"/>
      <c r="H4883" s="226"/>
      <c r="M4883" s="237"/>
    </row>
    <row r="4884" spans="2:13" ht="18.75" customHeight="1" x14ac:dyDescent="0.25">
      <c r="B4884" s="354"/>
      <c r="C4884" s="362"/>
      <c r="D4884" s="239"/>
      <c r="E4884" s="266"/>
      <c r="F4884" s="241"/>
      <c r="G4884" s="370"/>
      <c r="H4884" s="369"/>
      <c r="M4884" s="241"/>
    </row>
    <row r="4885" spans="2:13" ht="18.75" customHeight="1" x14ac:dyDescent="0.25">
      <c r="B4885" s="356" t="s">
        <v>647</v>
      </c>
      <c r="C4885" s="363" t="s">
        <v>648</v>
      </c>
      <c r="D4885" s="435"/>
      <c r="E4885" s="92"/>
      <c r="F4885" s="183"/>
      <c r="G4885" s="295"/>
      <c r="H4885" s="357">
        <f>+H4882+H4879+H4874</f>
        <v>63640</v>
      </c>
      <c r="M4885" s="183"/>
    </row>
    <row r="4886" spans="2:13" ht="18.75" customHeight="1" x14ac:dyDescent="0.25">
      <c r="B4886" s="356" t="s">
        <v>649</v>
      </c>
      <c r="C4886" s="364" t="s">
        <v>650</v>
      </c>
      <c r="D4886" s="435"/>
      <c r="E4886" s="92"/>
      <c r="F4886" s="184" t="str">
        <f>$J$5</f>
        <v>8,0 % x D</v>
      </c>
      <c r="G4886" s="295"/>
      <c r="H4886" s="358">
        <f>+H4885*$K$5</f>
        <v>5091.2</v>
      </c>
      <c r="M4886" s="184" t="str">
        <f>$J$5</f>
        <v>8,0 % x D</v>
      </c>
    </row>
    <row r="4887" spans="2:13" ht="18.75" customHeight="1" x14ac:dyDescent="0.25">
      <c r="B4887" s="356" t="s">
        <v>651</v>
      </c>
      <c r="C4887" s="365" t="s">
        <v>652</v>
      </c>
      <c r="D4887" s="435"/>
      <c r="E4887" s="91"/>
      <c r="F4887" s="185"/>
      <c r="G4887" s="296"/>
      <c r="H4887" s="359">
        <f>ROUNDUP((H4886+H4885)/100,0)*100</f>
        <v>68800</v>
      </c>
      <c r="M4887" s="185"/>
    </row>
    <row r="4888" spans="2:13" ht="18.75" customHeight="1" x14ac:dyDescent="0.25">
      <c r="B4888" s="360"/>
      <c r="C4888" s="366"/>
      <c r="D4888" s="245"/>
      <c r="E4888" s="246"/>
      <c r="F4888" s="247"/>
      <c r="G4888" s="299"/>
      <c r="H4888" s="361"/>
      <c r="M4888" s="247"/>
    </row>
    <row r="4889" spans="2:13" ht="18.75" customHeight="1" x14ac:dyDescent="0.25">
      <c r="B4889" s="92"/>
      <c r="C4889" s="104"/>
      <c r="D4889" s="435"/>
      <c r="E4889" s="91"/>
      <c r="F4889" s="185"/>
      <c r="G4889" s="168"/>
      <c r="H4889" s="139"/>
      <c r="M4889" s="185"/>
    </row>
    <row r="4890" spans="2:13" ht="18.75" customHeight="1" x14ac:dyDescent="0.25">
      <c r="B4890" s="19">
        <v>30</v>
      </c>
      <c r="C4890" s="93" t="s">
        <v>1040</v>
      </c>
      <c r="D4890" s="19"/>
      <c r="E4890" s="21"/>
      <c r="F4890" s="176"/>
      <c r="G4890" s="165"/>
      <c r="H4890" s="119"/>
      <c r="M4890" s="176"/>
    </row>
    <row r="4891" spans="2:13" ht="18.75" customHeight="1" x14ac:dyDescent="0.25">
      <c r="B4891" s="618" t="s">
        <v>620</v>
      </c>
      <c r="C4891" s="620" t="s">
        <v>621</v>
      </c>
      <c r="D4891" s="618" t="s">
        <v>622</v>
      </c>
      <c r="E4891" s="618" t="s">
        <v>2</v>
      </c>
      <c r="F4891" s="615" t="s">
        <v>623</v>
      </c>
      <c r="G4891" s="289" t="s">
        <v>624</v>
      </c>
      <c r="H4891" s="256" t="s">
        <v>625</v>
      </c>
      <c r="M4891" s="615" t="s">
        <v>623</v>
      </c>
    </row>
    <row r="4892" spans="2:13" ht="18.75" customHeight="1" x14ac:dyDescent="0.25">
      <c r="B4892" s="619"/>
      <c r="C4892" s="621"/>
      <c r="D4892" s="619"/>
      <c r="E4892" s="619"/>
      <c r="F4892" s="616"/>
      <c r="G4892" s="289" t="s">
        <v>626</v>
      </c>
      <c r="H4892" s="256" t="s">
        <v>626</v>
      </c>
      <c r="M4892" s="616"/>
    </row>
    <row r="4893" spans="2:13" ht="18.75" customHeight="1" x14ac:dyDescent="0.25">
      <c r="B4893" s="221"/>
      <c r="C4893" s="222"/>
      <c r="D4893" s="221"/>
      <c r="E4893" s="550"/>
      <c r="F4893" s="555"/>
      <c r="G4893" s="551"/>
      <c r="H4893" s="220"/>
      <c r="M4893" s="590"/>
    </row>
    <row r="4894" spans="2:13" ht="18.75" customHeight="1" x14ac:dyDescent="0.25">
      <c r="B4894" s="550" t="s">
        <v>627</v>
      </c>
      <c r="C4894" s="223" t="s">
        <v>628</v>
      </c>
      <c r="D4894" s="550"/>
      <c r="E4894" s="224"/>
      <c r="F4894" s="225"/>
      <c r="G4894" s="290"/>
      <c r="H4894" s="226"/>
      <c r="M4894" s="225"/>
    </row>
    <row r="4895" spans="2:13" ht="18.75" customHeight="1" x14ac:dyDescent="0.25">
      <c r="B4895" s="550"/>
      <c r="C4895" s="227" t="s">
        <v>629</v>
      </c>
      <c r="D4895" s="550" t="s">
        <v>630</v>
      </c>
      <c r="E4895" s="224" t="s">
        <v>631</v>
      </c>
      <c r="F4895" s="228">
        <f t="shared" ref="F4895:F4898" si="227">$K$8*M4895</f>
        <v>0.7</v>
      </c>
      <c r="G4895" s="229">
        <f>G4870</f>
        <v>95000</v>
      </c>
      <c r="H4895" s="230">
        <f>+G4895*F4895</f>
        <v>66500</v>
      </c>
      <c r="M4895" s="228">
        <v>0.7</v>
      </c>
    </row>
    <row r="4896" spans="2:13" ht="18.75" customHeight="1" x14ac:dyDescent="0.25">
      <c r="B4896" s="550"/>
      <c r="C4896" s="227" t="s">
        <v>1508</v>
      </c>
      <c r="D4896" s="550" t="s">
        <v>632</v>
      </c>
      <c r="E4896" s="224" t="s">
        <v>631</v>
      </c>
      <c r="F4896" s="228">
        <f t="shared" si="227"/>
        <v>0.35</v>
      </c>
      <c r="G4896" s="229">
        <f>G4871</f>
        <v>110000</v>
      </c>
      <c r="H4896" s="230">
        <f>+G4896*F4896</f>
        <v>38500</v>
      </c>
      <c r="M4896" s="228">
        <v>0.35</v>
      </c>
    </row>
    <row r="4897" spans="2:13" ht="18.75" customHeight="1" x14ac:dyDescent="0.25">
      <c r="B4897" s="550"/>
      <c r="C4897" s="227" t="s">
        <v>633</v>
      </c>
      <c r="D4897" s="550" t="s">
        <v>634</v>
      </c>
      <c r="E4897" s="224" t="s">
        <v>631</v>
      </c>
      <c r="F4897" s="228">
        <f t="shared" si="227"/>
        <v>3.5000000000000003E-2</v>
      </c>
      <c r="G4897" s="229">
        <f>G4872</f>
        <v>115000</v>
      </c>
      <c r="H4897" s="230">
        <f>+G4897*F4897</f>
        <v>4025.0000000000005</v>
      </c>
      <c r="M4897" s="228">
        <v>3.5000000000000003E-2</v>
      </c>
    </row>
    <row r="4898" spans="2:13" ht="18.75" customHeight="1" x14ac:dyDescent="0.25">
      <c r="B4898" s="550"/>
      <c r="C4898" s="227" t="s">
        <v>600</v>
      </c>
      <c r="D4898" s="550" t="s">
        <v>635</v>
      </c>
      <c r="E4898" s="224" t="s">
        <v>631</v>
      </c>
      <c r="F4898" s="228">
        <f t="shared" si="227"/>
        <v>3.5000000000000003E-2</v>
      </c>
      <c r="G4898" s="229">
        <f>G4873</f>
        <v>140000</v>
      </c>
      <c r="H4898" s="230">
        <f>+G4898*F4898</f>
        <v>4900.0000000000009</v>
      </c>
      <c r="M4898" s="228">
        <v>3.5000000000000003E-2</v>
      </c>
    </row>
    <row r="4899" spans="2:13" ht="18.75" customHeight="1" x14ac:dyDescent="0.25">
      <c r="B4899" s="550"/>
      <c r="C4899" s="223"/>
      <c r="D4899" s="550"/>
      <c r="E4899" s="224"/>
      <c r="F4899" s="233" t="s">
        <v>636</v>
      </c>
      <c r="G4899" s="290"/>
      <c r="H4899" s="231">
        <f>SUM(H4895:H4898)</f>
        <v>113925</v>
      </c>
      <c r="M4899" s="233" t="s">
        <v>636</v>
      </c>
    </row>
    <row r="4900" spans="2:13" ht="18.75" customHeight="1" x14ac:dyDescent="0.25">
      <c r="B4900" s="550" t="s">
        <v>637</v>
      </c>
      <c r="C4900" s="223" t="s">
        <v>638</v>
      </c>
      <c r="D4900" s="550"/>
      <c r="E4900" s="224"/>
      <c r="F4900" s="225"/>
      <c r="G4900" s="290"/>
      <c r="H4900" s="226"/>
      <c r="M4900" s="225"/>
    </row>
    <row r="4901" spans="2:13" ht="18.75" customHeight="1" x14ac:dyDescent="0.25">
      <c r="B4901" s="550"/>
      <c r="C4901" s="223" t="s">
        <v>1041</v>
      </c>
      <c r="D4901" s="550"/>
      <c r="E4901" s="550" t="s">
        <v>16</v>
      </c>
      <c r="F4901" s="405">
        <v>53</v>
      </c>
      <c r="G4901" s="418">
        <f>Bahan!$D$295*0.1*0.2</f>
        <v>3600</v>
      </c>
      <c r="H4901" s="230">
        <f>+G4901*F4901</f>
        <v>190800</v>
      </c>
      <c r="M4901" s="405">
        <v>53</v>
      </c>
    </row>
    <row r="4902" spans="2:13" ht="18.75" customHeight="1" x14ac:dyDescent="0.25">
      <c r="B4902" s="550"/>
      <c r="C4902" s="223" t="s">
        <v>708</v>
      </c>
      <c r="D4902" s="550"/>
      <c r="E4902" s="550" t="s">
        <v>5</v>
      </c>
      <c r="F4902" s="405">
        <v>8.19</v>
      </c>
      <c r="G4902" s="234">
        <f>G4851</f>
        <v>1700</v>
      </c>
      <c r="H4902" s="230">
        <f>+G4902*F4902</f>
        <v>13923</v>
      </c>
      <c r="M4902" s="405">
        <v>8.19</v>
      </c>
    </row>
    <row r="4903" spans="2:13" ht="18.75" customHeight="1" x14ac:dyDescent="0.25">
      <c r="B4903" s="550"/>
      <c r="C4903" s="223" t="s">
        <v>661</v>
      </c>
      <c r="D4903" s="550"/>
      <c r="E4903" s="550" t="s">
        <v>1013</v>
      </c>
      <c r="F4903" s="405">
        <v>7.5499999999999998E-2</v>
      </c>
      <c r="G4903" s="234">
        <f>G4853</f>
        <v>230000</v>
      </c>
      <c r="H4903" s="230">
        <f>+G4903*F4903</f>
        <v>17365</v>
      </c>
      <c r="M4903" s="405">
        <v>7.5499999999999998E-2</v>
      </c>
    </row>
    <row r="4904" spans="2:13" ht="18.75" customHeight="1" x14ac:dyDescent="0.25">
      <c r="B4904" s="550"/>
      <c r="C4904" s="223" t="s">
        <v>1018</v>
      </c>
      <c r="D4904" s="550"/>
      <c r="E4904" s="550" t="s">
        <v>5</v>
      </c>
      <c r="F4904" s="405">
        <v>2.75</v>
      </c>
      <c r="G4904" s="410">
        <f>G4852</f>
        <v>14500</v>
      </c>
      <c r="H4904" s="230">
        <f>+G4904*F4904</f>
        <v>39875</v>
      </c>
      <c r="M4904" s="405">
        <v>2.75</v>
      </c>
    </row>
    <row r="4905" spans="2:13" ht="18.75" customHeight="1" x14ac:dyDescent="0.25">
      <c r="B4905" s="550"/>
      <c r="C4905" s="223"/>
      <c r="D4905" s="550"/>
      <c r="E4905" s="224"/>
      <c r="F4905" s="237" t="s">
        <v>643</v>
      </c>
      <c r="G4905" s="290"/>
      <c r="H4905" s="231">
        <f>SUM(H4901:H4904)</f>
        <v>261963</v>
      </c>
      <c r="M4905" s="237" t="s">
        <v>643</v>
      </c>
    </row>
    <row r="4906" spans="2:13" ht="18.75" customHeight="1" x14ac:dyDescent="0.25">
      <c r="B4906" s="550"/>
      <c r="C4906" s="223"/>
      <c r="D4906" s="550"/>
      <c r="E4906" s="224"/>
      <c r="F4906" s="225"/>
      <c r="G4906" s="290"/>
      <c r="H4906" s="226"/>
      <c r="M4906" s="225"/>
    </row>
    <row r="4907" spans="2:13" ht="18.75" customHeight="1" x14ac:dyDescent="0.25">
      <c r="B4907" s="550" t="s">
        <v>644</v>
      </c>
      <c r="C4907" s="223" t="s">
        <v>645</v>
      </c>
      <c r="D4907" s="550"/>
      <c r="E4907" s="224"/>
      <c r="F4907" s="225"/>
      <c r="G4907" s="290"/>
      <c r="H4907" s="235"/>
      <c r="M4907" s="225"/>
    </row>
    <row r="4908" spans="2:13" ht="18.75" customHeight="1" x14ac:dyDescent="0.25">
      <c r="B4908" s="236"/>
      <c r="C4908" s="232"/>
      <c r="D4908" s="550"/>
      <c r="E4908" s="224"/>
      <c r="F4908" s="237" t="s">
        <v>646</v>
      </c>
      <c r="G4908" s="290"/>
      <c r="H4908" s="230"/>
      <c r="M4908" s="237" t="s">
        <v>646</v>
      </c>
    </row>
    <row r="4909" spans="2:13" ht="18.75" customHeight="1" x14ac:dyDescent="0.25">
      <c r="B4909" s="236"/>
      <c r="C4909" s="232"/>
      <c r="D4909" s="550"/>
      <c r="E4909" s="224"/>
      <c r="F4909" s="237"/>
      <c r="G4909" s="290"/>
      <c r="H4909" s="230"/>
      <c r="M4909" s="237"/>
    </row>
    <row r="4910" spans="2:13" ht="18.75" customHeight="1" x14ac:dyDescent="0.25">
      <c r="B4910" s="354"/>
      <c r="C4910" s="362"/>
      <c r="D4910" s="239"/>
      <c r="E4910" s="266"/>
      <c r="F4910" s="241"/>
      <c r="G4910" s="370"/>
      <c r="H4910" s="369"/>
      <c r="M4910" s="241"/>
    </row>
    <row r="4911" spans="2:13" ht="18.75" customHeight="1" x14ac:dyDescent="0.25">
      <c r="B4911" s="356" t="s">
        <v>647</v>
      </c>
      <c r="C4911" s="363" t="s">
        <v>648</v>
      </c>
      <c r="D4911" s="435"/>
      <c r="E4911" s="92"/>
      <c r="F4911" s="183"/>
      <c r="G4911" s="295"/>
      <c r="H4911" s="357">
        <f>+H4908+H4905+H4899</f>
        <v>375888</v>
      </c>
      <c r="M4911" s="183"/>
    </row>
    <row r="4912" spans="2:13" ht="18.75" customHeight="1" x14ac:dyDescent="0.25">
      <c r="B4912" s="356" t="s">
        <v>649</v>
      </c>
      <c r="C4912" s="364" t="s">
        <v>650</v>
      </c>
      <c r="D4912" s="435"/>
      <c r="E4912" s="92"/>
      <c r="F4912" s="184" t="str">
        <f>$J$5</f>
        <v>8,0 % x D</v>
      </c>
      <c r="G4912" s="295"/>
      <c r="H4912" s="358">
        <f>+H4911*$K$5</f>
        <v>30071.040000000001</v>
      </c>
      <c r="M4912" s="184" t="str">
        <f>$J$5</f>
        <v>8,0 % x D</v>
      </c>
    </row>
    <row r="4913" spans="2:13" ht="18.75" customHeight="1" x14ac:dyDescent="0.25">
      <c r="B4913" s="356" t="s">
        <v>651</v>
      </c>
      <c r="C4913" s="365" t="s">
        <v>652</v>
      </c>
      <c r="D4913" s="435"/>
      <c r="E4913" s="91"/>
      <c r="F4913" s="185"/>
      <c r="G4913" s="296"/>
      <c r="H4913" s="359">
        <f>ROUNDUP((H4912+H4911)/100,0)*100</f>
        <v>406000</v>
      </c>
      <c r="M4913" s="185"/>
    </row>
    <row r="4914" spans="2:13" ht="18.75" customHeight="1" x14ac:dyDescent="0.25">
      <c r="B4914" s="360"/>
      <c r="C4914" s="366"/>
      <c r="D4914" s="245"/>
      <c r="E4914" s="246"/>
      <c r="F4914" s="247"/>
      <c r="G4914" s="299"/>
      <c r="H4914" s="361"/>
      <c r="M4914" s="247"/>
    </row>
    <row r="4915" spans="2:13" ht="18.75" customHeight="1" x14ac:dyDescent="0.25">
      <c r="B4915" s="22"/>
      <c r="C4915" s="104"/>
      <c r="E4915" s="21"/>
      <c r="F4915" s="176"/>
      <c r="G4915" s="165"/>
      <c r="H4915" s="119"/>
      <c r="M4915" s="176"/>
    </row>
    <row r="4916" spans="2:13" ht="18.75" customHeight="1" x14ac:dyDescent="0.25">
      <c r="B4916" s="19">
        <v>31</v>
      </c>
      <c r="C4916" s="93" t="s">
        <v>1042</v>
      </c>
      <c r="D4916" s="19"/>
      <c r="E4916" s="21"/>
      <c r="F4916" s="176"/>
      <c r="G4916" s="165"/>
      <c r="H4916" s="119"/>
      <c r="M4916" s="176"/>
    </row>
    <row r="4917" spans="2:13" ht="18.75" customHeight="1" x14ac:dyDescent="0.25">
      <c r="B4917" s="618" t="s">
        <v>620</v>
      </c>
      <c r="C4917" s="620" t="s">
        <v>621</v>
      </c>
      <c r="D4917" s="618" t="s">
        <v>622</v>
      </c>
      <c r="E4917" s="618" t="s">
        <v>2</v>
      </c>
      <c r="F4917" s="615" t="s">
        <v>623</v>
      </c>
      <c r="G4917" s="289" t="s">
        <v>624</v>
      </c>
      <c r="H4917" s="256" t="s">
        <v>625</v>
      </c>
      <c r="M4917" s="615" t="s">
        <v>623</v>
      </c>
    </row>
    <row r="4918" spans="2:13" ht="18.75" customHeight="1" x14ac:dyDescent="0.25">
      <c r="B4918" s="619"/>
      <c r="C4918" s="621"/>
      <c r="D4918" s="619"/>
      <c r="E4918" s="619"/>
      <c r="F4918" s="616"/>
      <c r="G4918" s="289" t="s">
        <v>626</v>
      </c>
      <c r="H4918" s="256" t="s">
        <v>626</v>
      </c>
      <c r="M4918" s="616"/>
    </row>
    <row r="4919" spans="2:13" ht="18.75" customHeight="1" x14ac:dyDescent="0.25">
      <c r="B4919" s="221"/>
      <c r="C4919" s="222"/>
      <c r="D4919" s="221"/>
      <c r="E4919" s="550"/>
      <c r="F4919" s="555"/>
      <c r="G4919" s="551"/>
      <c r="H4919" s="220"/>
      <c r="M4919" s="590"/>
    </row>
    <row r="4920" spans="2:13" ht="18.75" customHeight="1" x14ac:dyDescent="0.25">
      <c r="B4920" s="550" t="s">
        <v>627</v>
      </c>
      <c r="C4920" s="223" t="s">
        <v>628</v>
      </c>
      <c r="D4920" s="550"/>
      <c r="E4920" s="224"/>
      <c r="F4920" s="225"/>
      <c r="G4920" s="290"/>
      <c r="H4920" s="226"/>
      <c r="M4920" s="225"/>
    </row>
    <row r="4921" spans="2:13" ht="18.75" customHeight="1" x14ac:dyDescent="0.25">
      <c r="B4921" s="550"/>
      <c r="C4921" s="227" t="s">
        <v>629</v>
      </c>
      <c r="D4921" s="550" t="s">
        <v>630</v>
      </c>
      <c r="E4921" s="224" t="s">
        <v>631</v>
      </c>
      <c r="F4921" s="228">
        <f t="shared" ref="F4921:F4924" si="228">$K$8*M4921</f>
        <v>0.7</v>
      </c>
      <c r="G4921" s="229">
        <f>G4870</f>
        <v>95000</v>
      </c>
      <c r="H4921" s="230">
        <f>+G4921*F4921</f>
        <v>66500</v>
      </c>
      <c r="M4921" s="228">
        <v>0.7</v>
      </c>
    </row>
    <row r="4922" spans="2:13" ht="18.75" customHeight="1" x14ac:dyDescent="0.25">
      <c r="B4922" s="550"/>
      <c r="C4922" s="227" t="s">
        <v>1508</v>
      </c>
      <c r="D4922" s="550" t="s">
        <v>632</v>
      </c>
      <c r="E4922" s="224" t="s">
        <v>631</v>
      </c>
      <c r="F4922" s="228">
        <f t="shared" si="228"/>
        <v>0.35</v>
      </c>
      <c r="G4922" s="229">
        <f>G4871</f>
        <v>110000</v>
      </c>
      <c r="H4922" s="230">
        <f>+G4922*F4922</f>
        <v>38500</v>
      </c>
      <c r="M4922" s="228">
        <v>0.35</v>
      </c>
    </row>
    <row r="4923" spans="2:13" ht="18.75" customHeight="1" x14ac:dyDescent="0.25">
      <c r="B4923" s="550"/>
      <c r="C4923" s="227" t="s">
        <v>633</v>
      </c>
      <c r="D4923" s="550" t="s">
        <v>634</v>
      </c>
      <c r="E4923" s="224" t="s">
        <v>631</v>
      </c>
      <c r="F4923" s="228">
        <f t="shared" si="228"/>
        <v>3.5000000000000003E-2</v>
      </c>
      <c r="G4923" s="229">
        <f>G4872</f>
        <v>115000</v>
      </c>
      <c r="H4923" s="230">
        <f>+G4923*F4923</f>
        <v>4025.0000000000005</v>
      </c>
      <c r="M4923" s="228">
        <v>3.5000000000000003E-2</v>
      </c>
    </row>
    <row r="4924" spans="2:13" ht="18.75" customHeight="1" x14ac:dyDescent="0.25">
      <c r="B4924" s="550"/>
      <c r="C4924" s="227" t="s">
        <v>600</v>
      </c>
      <c r="D4924" s="550" t="s">
        <v>635</v>
      </c>
      <c r="E4924" s="224" t="s">
        <v>631</v>
      </c>
      <c r="F4924" s="228">
        <f t="shared" si="228"/>
        <v>3.5000000000000003E-2</v>
      </c>
      <c r="G4924" s="229">
        <f>G4873</f>
        <v>140000</v>
      </c>
      <c r="H4924" s="230">
        <f>+G4924*F4924</f>
        <v>4900.0000000000009</v>
      </c>
      <c r="M4924" s="228">
        <v>3.5000000000000003E-2</v>
      </c>
    </row>
    <row r="4925" spans="2:13" ht="18.75" customHeight="1" x14ac:dyDescent="0.25">
      <c r="B4925" s="550"/>
      <c r="C4925" s="223"/>
      <c r="D4925" s="550"/>
      <c r="E4925" s="224"/>
      <c r="F4925" s="233" t="s">
        <v>636</v>
      </c>
      <c r="G4925" s="290"/>
      <c r="H4925" s="231">
        <f>SUM(H4921:H4924)</f>
        <v>113925</v>
      </c>
      <c r="M4925" s="233" t="s">
        <v>636</v>
      </c>
    </row>
    <row r="4926" spans="2:13" ht="18.75" customHeight="1" x14ac:dyDescent="0.25">
      <c r="B4926" s="550" t="s">
        <v>637</v>
      </c>
      <c r="C4926" s="223" t="s">
        <v>638</v>
      </c>
      <c r="D4926" s="550"/>
      <c r="E4926" s="224"/>
      <c r="F4926" s="225"/>
      <c r="G4926" s="290"/>
      <c r="H4926" s="226"/>
      <c r="M4926" s="225"/>
    </row>
    <row r="4927" spans="2:13" ht="18.75" customHeight="1" x14ac:dyDescent="0.25">
      <c r="B4927" s="550"/>
      <c r="C4927" s="223" t="s">
        <v>1041</v>
      </c>
      <c r="D4927" s="550"/>
      <c r="E4927" s="550" t="s">
        <v>16</v>
      </c>
      <c r="F4927" s="405">
        <v>106</v>
      </c>
      <c r="G4927" s="418">
        <f>Bahan!$D$295*0.1*0.1</f>
        <v>1800</v>
      </c>
      <c r="H4927" s="230">
        <f>+G4927*F4927</f>
        <v>190800</v>
      </c>
      <c r="M4927" s="405">
        <v>106</v>
      </c>
    </row>
    <row r="4928" spans="2:13" ht="18.75" customHeight="1" x14ac:dyDescent="0.25">
      <c r="B4928" s="550"/>
      <c r="C4928" s="223" t="s">
        <v>708</v>
      </c>
      <c r="D4928" s="550"/>
      <c r="E4928" s="550" t="s">
        <v>5</v>
      </c>
      <c r="F4928" s="405">
        <v>8.19</v>
      </c>
      <c r="G4928" s="234">
        <f>G4902</f>
        <v>1700</v>
      </c>
      <c r="H4928" s="230">
        <f>+G4928*F4928</f>
        <v>13923</v>
      </c>
      <c r="M4928" s="405">
        <v>8.19</v>
      </c>
    </row>
    <row r="4929" spans="2:13" ht="18.75" customHeight="1" x14ac:dyDescent="0.25">
      <c r="B4929" s="550"/>
      <c r="C4929" s="223" t="s">
        <v>661</v>
      </c>
      <c r="D4929" s="550"/>
      <c r="E4929" s="550" t="s">
        <v>1013</v>
      </c>
      <c r="F4929" s="405">
        <v>7.5499999999999998E-2</v>
      </c>
      <c r="G4929" s="234">
        <f>G4903</f>
        <v>230000</v>
      </c>
      <c r="H4929" s="230">
        <f>+G4929*F4929</f>
        <v>17365</v>
      </c>
      <c r="M4929" s="405">
        <v>7.5499999999999998E-2</v>
      </c>
    </row>
    <row r="4930" spans="2:13" ht="18.75" customHeight="1" x14ac:dyDescent="0.25">
      <c r="B4930" s="550"/>
      <c r="C4930" s="223" t="s">
        <v>1018</v>
      </c>
      <c r="D4930" s="550"/>
      <c r="E4930" s="550" t="s">
        <v>5</v>
      </c>
      <c r="F4930" s="405">
        <v>3.2</v>
      </c>
      <c r="G4930" s="410">
        <f>G4904</f>
        <v>14500</v>
      </c>
      <c r="H4930" s="230">
        <f>+G4930*F4930</f>
        <v>46400</v>
      </c>
      <c r="M4930" s="405">
        <v>3.2</v>
      </c>
    </row>
    <row r="4931" spans="2:13" ht="18.75" customHeight="1" x14ac:dyDescent="0.25">
      <c r="B4931" s="550"/>
      <c r="C4931" s="223"/>
      <c r="D4931" s="550"/>
      <c r="E4931" s="224"/>
      <c r="F4931" s="237" t="s">
        <v>643</v>
      </c>
      <c r="G4931" s="290"/>
      <c r="H4931" s="231">
        <f>SUM(H4927:H4930)</f>
        <v>268488</v>
      </c>
      <c r="M4931" s="237" t="s">
        <v>643</v>
      </c>
    </row>
    <row r="4932" spans="2:13" ht="18.75" customHeight="1" x14ac:dyDescent="0.25">
      <c r="B4932" s="550"/>
      <c r="C4932" s="223"/>
      <c r="D4932" s="550"/>
      <c r="E4932" s="224"/>
      <c r="F4932" s="225"/>
      <c r="G4932" s="290"/>
      <c r="H4932" s="226"/>
      <c r="M4932" s="225"/>
    </row>
    <row r="4933" spans="2:13" ht="18.75" customHeight="1" x14ac:dyDescent="0.25">
      <c r="B4933" s="550" t="s">
        <v>644</v>
      </c>
      <c r="C4933" s="223" t="s">
        <v>645</v>
      </c>
      <c r="D4933" s="550"/>
      <c r="E4933" s="224"/>
      <c r="F4933" s="225"/>
      <c r="G4933" s="290"/>
      <c r="H4933" s="235"/>
      <c r="M4933" s="225"/>
    </row>
    <row r="4934" spans="2:13" ht="18.75" customHeight="1" x14ac:dyDescent="0.25">
      <c r="B4934" s="236"/>
      <c r="C4934" s="232"/>
      <c r="D4934" s="550"/>
      <c r="E4934" s="224"/>
      <c r="F4934" s="237" t="s">
        <v>646</v>
      </c>
      <c r="G4934" s="290"/>
      <c r="H4934" s="230"/>
      <c r="M4934" s="237" t="s">
        <v>646</v>
      </c>
    </row>
    <row r="4935" spans="2:13" ht="18.75" customHeight="1" x14ac:dyDescent="0.25">
      <c r="B4935" s="236"/>
      <c r="C4935" s="232"/>
      <c r="D4935" s="550"/>
      <c r="E4935" s="224"/>
      <c r="F4935" s="237"/>
      <c r="G4935" s="290"/>
      <c r="H4935" s="226"/>
      <c r="M4935" s="237"/>
    </row>
    <row r="4936" spans="2:13" ht="18.75" customHeight="1" x14ac:dyDescent="0.25">
      <c r="B4936" s="354"/>
      <c r="C4936" s="362"/>
      <c r="D4936" s="239"/>
      <c r="E4936" s="266"/>
      <c r="F4936" s="241"/>
      <c r="G4936" s="370"/>
      <c r="H4936" s="369"/>
      <c r="M4936" s="241"/>
    </row>
    <row r="4937" spans="2:13" ht="18.75" customHeight="1" x14ac:dyDescent="0.25">
      <c r="B4937" s="356" t="s">
        <v>647</v>
      </c>
      <c r="C4937" s="363" t="s">
        <v>648</v>
      </c>
      <c r="D4937" s="435"/>
      <c r="E4937" s="92"/>
      <c r="F4937" s="183"/>
      <c r="G4937" s="295"/>
      <c r="H4937" s="357">
        <f>+H4934+H4931+H4925</f>
        <v>382413</v>
      </c>
      <c r="M4937" s="183"/>
    </row>
    <row r="4938" spans="2:13" ht="18.75" customHeight="1" x14ac:dyDescent="0.25">
      <c r="B4938" s="356" t="s">
        <v>649</v>
      </c>
      <c r="C4938" s="364" t="s">
        <v>650</v>
      </c>
      <c r="D4938" s="435"/>
      <c r="E4938" s="92"/>
      <c r="F4938" s="184" t="str">
        <f>$J$5</f>
        <v>8,0 % x D</v>
      </c>
      <c r="G4938" s="295"/>
      <c r="H4938" s="358">
        <f>+H4937*$K$5</f>
        <v>30593.040000000001</v>
      </c>
      <c r="M4938" s="184" t="str">
        <f>$J$5</f>
        <v>8,0 % x D</v>
      </c>
    </row>
    <row r="4939" spans="2:13" ht="18.75" customHeight="1" x14ac:dyDescent="0.25">
      <c r="B4939" s="356" t="s">
        <v>651</v>
      </c>
      <c r="C4939" s="365" t="s">
        <v>652</v>
      </c>
      <c r="D4939" s="435"/>
      <c r="E4939" s="91"/>
      <c r="F4939" s="185"/>
      <c r="G4939" s="296"/>
      <c r="H4939" s="359">
        <f>ROUNDUP((H4938+H4937)/100,0)*100</f>
        <v>413100</v>
      </c>
      <c r="M4939" s="185"/>
    </row>
    <row r="4940" spans="2:13" ht="18.75" customHeight="1" x14ac:dyDescent="0.25">
      <c r="B4940" s="360"/>
      <c r="C4940" s="366"/>
      <c r="D4940" s="245"/>
      <c r="E4940" s="246"/>
      <c r="F4940" s="247"/>
      <c r="G4940" s="299"/>
      <c r="H4940" s="361"/>
      <c r="M4940" s="247"/>
    </row>
    <row r="4941" spans="2:13" ht="18.75" customHeight="1" x14ac:dyDescent="0.25">
      <c r="B4941" s="92"/>
      <c r="C4941" s="104"/>
      <c r="D4941" s="435"/>
      <c r="E4941" s="91"/>
      <c r="F4941" s="185"/>
      <c r="G4941" s="168"/>
      <c r="H4941" s="139"/>
      <c r="M4941" s="185"/>
    </row>
    <row r="4942" spans="2:13" ht="18.75" customHeight="1" x14ac:dyDescent="0.25">
      <c r="B4942" s="19">
        <v>32</v>
      </c>
      <c r="C4942" s="93" t="s">
        <v>1043</v>
      </c>
      <c r="D4942" s="19"/>
      <c r="E4942" s="21"/>
      <c r="F4942" s="176"/>
      <c r="G4942" s="165"/>
      <c r="H4942" s="119"/>
      <c r="M4942" s="176"/>
    </row>
    <row r="4943" spans="2:13" ht="18.75" customHeight="1" x14ac:dyDescent="0.25">
      <c r="B4943" s="618" t="s">
        <v>620</v>
      </c>
      <c r="C4943" s="620" t="s">
        <v>621</v>
      </c>
      <c r="D4943" s="618" t="s">
        <v>622</v>
      </c>
      <c r="E4943" s="618" t="s">
        <v>2</v>
      </c>
      <c r="F4943" s="615" t="s">
        <v>623</v>
      </c>
      <c r="G4943" s="289" t="s">
        <v>624</v>
      </c>
      <c r="H4943" s="256" t="s">
        <v>625</v>
      </c>
      <c r="M4943" s="615" t="s">
        <v>623</v>
      </c>
    </row>
    <row r="4944" spans="2:13" ht="18.75" customHeight="1" x14ac:dyDescent="0.25">
      <c r="B4944" s="619"/>
      <c r="C4944" s="621"/>
      <c r="D4944" s="619"/>
      <c r="E4944" s="619"/>
      <c r="F4944" s="616"/>
      <c r="G4944" s="289" t="s">
        <v>626</v>
      </c>
      <c r="H4944" s="256" t="s">
        <v>626</v>
      </c>
      <c r="M4944" s="616"/>
    </row>
    <row r="4945" spans="2:13" ht="18.75" customHeight="1" x14ac:dyDescent="0.25">
      <c r="B4945" s="221"/>
      <c r="C4945" s="222"/>
      <c r="D4945" s="221"/>
      <c r="E4945" s="550"/>
      <c r="F4945" s="555"/>
      <c r="G4945" s="551"/>
      <c r="H4945" s="220"/>
      <c r="M4945" s="590"/>
    </row>
    <row r="4946" spans="2:13" ht="18.75" customHeight="1" x14ac:dyDescent="0.25">
      <c r="B4946" s="550" t="s">
        <v>627</v>
      </c>
      <c r="C4946" s="223" t="s">
        <v>628</v>
      </c>
      <c r="D4946" s="550"/>
      <c r="E4946" s="224"/>
      <c r="F4946" s="225"/>
      <c r="G4946" s="290"/>
      <c r="H4946" s="226"/>
      <c r="M4946" s="225"/>
    </row>
    <row r="4947" spans="2:13" ht="18.75" customHeight="1" x14ac:dyDescent="0.25">
      <c r="B4947" s="550"/>
      <c r="C4947" s="227" t="s">
        <v>629</v>
      </c>
      <c r="D4947" s="550" t="s">
        <v>630</v>
      </c>
      <c r="E4947" s="224" t="s">
        <v>631</v>
      </c>
      <c r="F4947" s="228">
        <f t="shared" ref="F4947:F4950" si="229">$K$8*M4947</f>
        <v>0.7</v>
      </c>
      <c r="G4947" s="229">
        <f>G4921</f>
        <v>95000</v>
      </c>
      <c r="H4947" s="230">
        <f>+G4947*F4947</f>
        <v>66500</v>
      </c>
      <c r="K4947" s="77"/>
      <c r="M4947" s="228">
        <v>0.7</v>
      </c>
    </row>
    <row r="4948" spans="2:13" ht="18.75" customHeight="1" x14ac:dyDescent="0.25">
      <c r="B4948" s="550"/>
      <c r="C4948" s="227" t="s">
        <v>1508</v>
      </c>
      <c r="D4948" s="550" t="s">
        <v>632</v>
      </c>
      <c r="E4948" s="224" t="s">
        <v>631</v>
      </c>
      <c r="F4948" s="228">
        <f t="shared" si="229"/>
        <v>0.35</v>
      </c>
      <c r="G4948" s="229">
        <f>G4922</f>
        <v>110000</v>
      </c>
      <c r="H4948" s="230">
        <f>+G4948*F4948</f>
        <v>38500</v>
      </c>
      <c r="K4948" s="77"/>
      <c r="M4948" s="228">
        <v>0.35</v>
      </c>
    </row>
    <row r="4949" spans="2:13" ht="18.75" customHeight="1" x14ac:dyDescent="0.25">
      <c r="B4949" s="550"/>
      <c r="C4949" s="227" t="s">
        <v>633</v>
      </c>
      <c r="D4949" s="550" t="s">
        <v>634</v>
      </c>
      <c r="E4949" s="224" t="s">
        <v>631</v>
      </c>
      <c r="F4949" s="228">
        <f t="shared" si="229"/>
        <v>3.5000000000000003E-2</v>
      </c>
      <c r="G4949" s="229">
        <f>G4923</f>
        <v>115000</v>
      </c>
      <c r="H4949" s="230">
        <f>+G4949*F4949</f>
        <v>4025.0000000000005</v>
      </c>
      <c r="K4949" s="77"/>
      <c r="M4949" s="228">
        <v>3.5000000000000003E-2</v>
      </c>
    </row>
    <row r="4950" spans="2:13" ht="18.75" customHeight="1" x14ac:dyDescent="0.25">
      <c r="B4950" s="550"/>
      <c r="C4950" s="227" t="s">
        <v>600</v>
      </c>
      <c r="D4950" s="550" t="s">
        <v>635</v>
      </c>
      <c r="E4950" s="224" t="s">
        <v>631</v>
      </c>
      <c r="F4950" s="228">
        <f t="shared" si="229"/>
        <v>3.5000000000000003E-2</v>
      </c>
      <c r="G4950" s="229">
        <f>G4924</f>
        <v>140000</v>
      </c>
      <c r="H4950" s="230">
        <f>+G4950*F4950</f>
        <v>4900.0000000000009</v>
      </c>
      <c r="K4950" s="77"/>
      <c r="M4950" s="228">
        <v>3.5000000000000003E-2</v>
      </c>
    </row>
    <row r="4951" spans="2:13" ht="18.75" customHeight="1" x14ac:dyDescent="0.25">
      <c r="B4951" s="550"/>
      <c r="C4951" s="223"/>
      <c r="D4951" s="550"/>
      <c r="E4951" s="224"/>
      <c r="F4951" s="233" t="s">
        <v>636</v>
      </c>
      <c r="G4951" s="290"/>
      <c r="H4951" s="231">
        <f>SUM(H4947:H4950)</f>
        <v>113925</v>
      </c>
      <c r="K4951" s="77"/>
      <c r="M4951" s="233" t="s">
        <v>636</v>
      </c>
    </row>
    <row r="4952" spans="2:13" ht="18.75" customHeight="1" x14ac:dyDescent="0.25">
      <c r="B4952" s="550"/>
      <c r="C4952" s="223"/>
      <c r="D4952" s="550"/>
      <c r="E4952" s="224"/>
      <c r="F4952" s="233"/>
      <c r="G4952" s="290"/>
      <c r="H4952" s="231"/>
      <c r="M4952" s="233"/>
    </row>
    <row r="4953" spans="2:13" ht="18.75" customHeight="1" x14ac:dyDescent="0.25">
      <c r="B4953" s="550" t="s">
        <v>637</v>
      </c>
      <c r="C4953" s="223" t="s">
        <v>638</v>
      </c>
      <c r="D4953" s="550"/>
      <c r="E4953" s="224"/>
      <c r="F4953" s="225"/>
      <c r="G4953" s="290"/>
      <c r="H4953" s="226"/>
      <c r="M4953" s="225"/>
    </row>
    <row r="4954" spans="2:13" ht="18.75" customHeight="1" x14ac:dyDescent="0.25">
      <c r="B4954" s="550"/>
      <c r="C4954" s="223" t="s">
        <v>1041</v>
      </c>
      <c r="D4954" s="550"/>
      <c r="E4954" s="550" t="s">
        <v>16</v>
      </c>
      <c r="F4954" s="405">
        <v>10</v>
      </c>
      <c r="G4954" s="418">
        <f>Bahan!D290*0.33*0.33</f>
        <v>6534</v>
      </c>
      <c r="H4954" s="230">
        <f>+G4954*F4954</f>
        <v>65340</v>
      </c>
      <c r="M4954" s="405">
        <v>10</v>
      </c>
    </row>
    <row r="4955" spans="2:13" ht="18.75" customHeight="1" x14ac:dyDescent="0.25">
      <c r="B4955" s="550"/>
      <c r="C4955" s="223" t="s">
        <v>708</v>
      </c>
      <c r="D4955" s="550"/>
      <c r="E4955" s="550" t="s">
        <v>5</v>
      </c>
      <c r="F4955" s="405">
        <v>8.5</v>
      </c>
      <c r="G4955" s="234">
        <f>G4928</f>
        <v>1700</v>
      </c>
      <c r="H4955" s="230">
        <f>+G4955*F4955</f>
        <v>14450</v>
      </c>
      <c r="M4955" s="405">
        <v>8.5</v>
      </c>
    </row>
    <row r="4956" spans="2:13" ht="18.75" customHeight="1" x14ac:dyDescent="0.25">
      <c r="B4956" s="550"/>
      <c r="C4956" s="223" t="s">
        <v>661</v>
      </c>
      <c r="D4956" s="550"/>
      <c r="E4956" s="550" t="s">
        <v>1013</v>
      </c>
      <c r="F4956" s="405">
        <v>7.5499999999999998E-2</v>
      </c>
      <c r="G4956" s="234">
        <f>G4929</f>
        <v>230000</v>
      </c>
      <c r="H4956" s="230">
        <f>+G4956*F4956</f>
        <v>17365</v>
      </c>
      <c r="M4956" s="405">
        <v>7.5499999999999998E-2</v>
      </c>
    </row>
    <row r="4957" spans="2:13" ht="18.75" customHeight="1" x14ac:dyDescent="0.25">
      <c r="B4957" s="550"/>
      <c r="C4957" s="223" t="s">
        <v>1018</v>
      </c>
      <c r="D4957" s="550"/>
      <c r="E4957" s="550" t="s">
        <v>5</v>
      </c>
      <c r="F4957" s="405">
        <v>1.6</v>
      </c>
      <c r="G4957" s="410">
        <f>G4930</f>
        <v>14500</v>
      </c>
      <c r="H4957" s="230">
        <f>+G4957*F4957</f>
        <v>23200</v>
      </c>
      <c r="M4957" s="405">
        <v>1.6</v>
      </c>
    </row>
    <row r="4958" spans="2:13" ht="18.75" customHeight="1" x14ac:dyDescent="0.25">
      <c r="B4958" s="550"/>
      <c r="C4958" s="223"/>
      <c r="D4958" s="550"/>
      <c r="E4958" s="224"/>
      <c r="F4958" s="237" t="s">
        <v>643</v>
      </c>
      <c r="G4958" s="290"/>
      <c r="H4958" s="231">
        <f>SUM(H4954:H4957)</f>
        <v>120355</v>
      </c>
      <c r="M4958" s="237" t="s">
        <v>643</v>
      </c>
    </row>
    <row r="4959" spans="2:13" ht="18.75" customHeight="1" x14ac:dyDescent="0.25">
      <c r="B4959" s="550"/>
      <c r="C4959" s="223"/>
      <c r="D4959" s="550"/>
      <c r="E4959" s="224"/>
      <c r="F4959" s="225"/>
      <c r="G4959" s="290"/>
      <c r="H4959" s="226"/>
      <c r="M4959" s="225"/>
    </row>
    <row r="4960" spans="2:13" ht="18.75" customHeight="1" x14ac:dyDescent="0.25">
      <c r="B4960" s="550" t="s">
        <v>644</v>
      </c>
      <c r="C4960" s="223" t="s">
        <v>645</v>
      </c>
      <c r="D4960" s="550"/>
      <c r="E4960" s="224"/>
      <c r="F4960" s="225"/>
      <c r="G4960" s="290"/>
      <c r="H4960" s="235"/>
      <c r="M4960" s="225"/>
    </row>
    <row r="4961" spans="2:13" ht="18.75" customHeight="1" x14ac:dyDescent="0.25">
      <c r="B4961" s="236"/>
      <c r="C4961" s="232"/>
      <c r="D4961" s="550"/>
      <c r="E4961" s="224"/>
      <c r="F4961" s="237" t="s">
        <v>646</v>
      </c>
      <c r="G4961" s="290"/>
      <c r="H4961" s="230"/>
      <c r="M4961" s="237" t="s">
        <v>646</v>
      </c>
    </row>
    <row r="4962" spans="2:13" ht="18.75" customHeight="1" x14ac:dyDescent="0.25">
      <c r="B4962" s="236"/>
      <c r="C4962" s="232"/>
      <c r="D4962" s="550"/>
      <c r="E4962" s="224"/>
      <c r="F4962" s="237"/>
      <c r="G4962" s="290"/>
      <c r="H4962" s="230"/>
      <c r="M4962" s="237"/>
    </row>
    <row r="4963" spans="2:13" ht="18.75" customHeight="1" x14ac:dyDescent="0.25">
      <c r="B4963" s="354"/>
      <c r="C4963" s="362"/>
      <c r="D4963" s="239"/>
      <c r="E4963" s="266"/>
      <c r="F4963" s="241"/>
      <c r="G4963" s="370"/>
      <c r="H4963" s="369"/>
      <c r="M4963" s="241"/>
    </row>
    <row r="4964" spans="2:13" ht="18.75" customHeight="1" x14ac:dyDescent="0.25">
      <c r="B4964" s="356" t="s">
        <v>647</v>
      </c>
      <c r="C4964" s="363" t="s">
        <v>648</v>
      </c>
      <c r="D4964" s="435"/>
      <c r="E4964" s="92"/>
      <c r="F4964" s="183"/>
      <c r="G4964" s="295"/>
      <c r="H4964" s="357">
        <f>+H4961+H4958+H4951</f>
        <v>234280</v>
      </c>
      <c r="M4964" s="183"/>
    </row>
    <row r="4965" spans="2:13" ht="18.75" customHeight="1" x14ac:dyDescent="0.25">
      <c r="B4965" s="356" t="s">
        <v>649</v>
      </c>
      <c r="C4965" s="364" t="s">
        <v>650</v>
      </c>
      <c r="D4965" s="435"/>
      <c r="E4965" s="92"/>
      <c r="F4965" s="184" t="str">
        <f>$J$5</f>
        <v>8,0 % x D</v>
      </c>
      <c r="G4965" s="295"/>
      <c r="H4965" s="358">
        <f>+H4964*$K$5</f>
        <v>18742.400000000001</v>
      </c>
      <c r="M4965" s="184" t="str">
        <f>$J$5</f>
        <v>8,0 % x D</v>
      </c>
    </row>
    <row r="4966" spans="2:13" ht="18.75" customHeight="1" x14ac:dyDescent="0.25">
      <c r="B4966" s="356" t="s">
        <v>651</v>
      </c>
      <c r="C4966" s="365" t="s">
        <v>652</v>
      </c>
      <c r="D4966" s="435"/>
      <c r="E4966" s="91"/>
      <c r="F4966" s="185"/>
      <c r="G4966" s="296"/>
      <c r="H4966" s="359">
        <f>ROUNDUP((H4965+H4964)/100,0)*100</f>
        <v>253100</v>
      </c>
      <c r="M4966" s="185"/>
    </row>
    <row r="4967" spans="2:13" ht="18.75" customHeight="1" x14ac:dyDescent="0.25">
      <c r="B4967" s="360"/>
      <c r="C4967" s="366"/>
      <c r="D4967" s="245"/>
      <c r="E4967" s="246"/>
      <c r="F4967" s="247"/>
      <c r="G4967" s="299"/>
      <c r="H4967" s="361"/>
      <c r="M4967" s="247"/>
    </row>
    <row r="4968" spans="2:13" ht="18.75" customHeight="1" x14ac:dyDescent="0.25">
      <c r="B4968" s="22"/>
      <c r="C4968" s="104"/>
      <c r="E4968" s="21"/>
      <c r="F4968" s="176"/>
      <c r="G4968" s="165"/>
      <c r="H4968" s="119"/>
      <c r="M4968" s="176"/>
    </row>
    <row r="4969" spans="2:13" ht="18.75" customHeight="1" x14ac:dyDescent="0.25">
      <c r="B4969" s="19" t="s">
        <v>1554</v>
      </c>
      <c r="C4969" s="93" t="s">
        <v>1608</v>
      </c>
      <c r="D4969" s="19"/>
      <c r="E4969" s="21"/>
      <c r="F4969" s="176"/>
      <c r="G4969" s="165"/>
      <c r="H4969" s="119"/>
      <c r="M4969" s="176"/>
    </row>
    <row r="4970" spans="2:13" ht="18.75" customHeight="1" x14ac:dyDescent="0.25">
      <c r="B4970" s="19" t="s">
        <v>1564</v>
      </c>
      <c r="C4970" s="93" t="s">
        <v>1609</v>
      </c>
      <c r="D4970" s="19"/>
      <c r="E4970" s="21"/>
      <c r="F4970" s="176"/>
      <c r="G4970" s="165"/>
      <c r="H4970" s="119"/>
      <c r="M4970" s="176"/>
    </row>
    <row r="4971" spans="2:13" ht="18.75" customHeight="1" x14ac:dyDescent="0.25">
      <c r="B4971" s="618" t="s">
        <v>620</v>
      </c>
      <c r="C4971" s="620" t="s">
        <v>621</v>
      </c>
      <c r="D4971" s="618" t="s">
        <v>622</v>
      </c>
      <c r="E4971" s="618" t="s">
        <v>2</v>
      </c>
      <c r="F4971" s="615" t="s">
        <v>623</v>
      </c>
      <c r="G4971" s="289" t="s">
        <v>624</v>
      </c>
      <c r="H4971" s="256" t="s">
        <v>625</v>
      </c>
      <c r="M4971" s="615" t="s">
        <v>623</v>
      </c>
    </row>
    <row r="4972" spans="2:13" ht="18.75" customHeight="1" x14ac:dyDescent="0.25">
      <c r="B4972" s="619"/>
      <c r="C4972" s="621"/>
      <c r="D4972" s="619"/>
      <c r="E4972" s="619"/>
      <c r="F4972" s="616"/>
      <c r="G4972" s="289" t="s">
        <v>626</v>
      </c>
      <c r="H4972" s="256" t="s">
        <v>626</v>
      </c>
      <c r="M4972" s="616"/>
    </row>
    <row r="4973" spans="2:13" ht="18.75" customHeight="1" x14ac:dyDescent="0.25">
      <c r="B4973" s="221"/>
      <c r="C4973" s="222"/>
      <c r="D4973" s="221"/>
      <c r="E4973" s="550"/>
      <c r="F4973" s="555"/>
      <c r="G4973" s="551"/>
      <c r="H4973" s="220"/>
      <c r="M4973" s="590"/>
    </row>
    <row r="4974" spans="2:13" ht="18.75" customHeight="1" x14ac:dyDescent="0.25">
      <c r="B4974" s="550" t="s">
        <v>627</v>
      </c>
      <c r="C4974" s="223" t="s">
        <v>628</v>
      </c>
      <c r="D4974" s="550"/>
      <c r="E4974" s="224"/>
      <c r="F4974" s="225"/>
      <c r="G4974" s="290"/>
      <c r="H4974" s="226"/>
      <c r="M4974" s="225"/>
    </row>
    <row r="4975" spans="2:13" ht="18.75" customHeight="1" x14ac:dyDescent="0.25">
      <c r="B4975" s="550"/>
      <c r="C4975" s="227" t="s">
        <v>629</v>
      </c>
      <c r="D4975" s="550" t="s">
        <v>630</v>
      </c>
      <c r="E4975" s="224" t="s">
        <v>631</v>
      </c>
      <c r="F4975" s="228">
        <f t="shared" ref="F4975:F4978" si="230">$K$8*M4975</f>
        <v>0.62</v>
      </c>
      <c r="G4975" s="229">
        <f>G4947</f>
        <v>95000</v>
      </c>
      <c r="H4975" s="230">
        <f>+G4975*F4975</f>
        <v>58900</v>
      </c>
      <c r="M4975" s="228">
        <v>0.62</v>
      </c>
    </row>
    <row r="4976" spans="2:13" ht="18.75" customHeight="1" x14ac:dyDescent="0.25">
      <c r="B4976" s="550"/>
      <c r="C4976" s="227" t="s">
        <v>1508</v>
      </c>
      <c r="D4976" s="550" t="s">
        <v>632</v>
      </c>
      <c r="E4976" s="224" t="s">
        <v>631</v>
      </c>
      <c r="F4976" s="228">
        <f t="shared" si="230"/>
        <v>0.125</v>
      </c>
      <c r="G4976" s="229">
        <f>G4948</f>
        <v>110000</v>
      </c>
      <c r="H4976" s="230">
        <f>+G4976*F4976</f>
        <v>13750</v>
      </c>
      <c r="M4976" s="228">
        <v>0.125</v>
      </c>
    </row>
    <row r="4977" spans="2:13" ht="18.75" customHeight="1" x14ac:dyDescent="0.25">
      <c r="B4977" s="550"/>
      <c r="C4977" s="227" t="s">
        <v>633</v>
      </c>
      <c r="D4977" s="550" t="s">
        <v>634</v>
      </c>
      <c r="E4977" s="224" t="s">
        <v>631</v>
      </c>
      <c r="F4977" s="228">
        <f t="shared" si="230"/>
        <v>1.2999999999999999E-2</v>
      </c>
      <c r="G4977" s="229">
        <f>G4949</f>
        <v>115000</v>
      </c>
      <c r="H4977" s="230">
        <f>+G4977*F4977</f>
        <v>1495</v>
      </c>
      <c r="M4977" s="228">
        <v>1.2999999999999999E-2</v>
      </c>
    </row>
    <row r="4978" spans="2:13" ht="18.75" customHeight="1" x14ac:dyDescent="0.25">
      <c r="B4978" s="550"/>
      <c r="C4978" s="227" t="s">
        <v>600</v>
      </c>
      <c r="D4978" s="550" t="s">
        <v>635</v>
      </c>
      <c r="E4978" s="224" t="s">
        <v>631</v>
      </c>
      <c r="F4978" s="228">
        <f t="shared" si="230"/>
        <v>1.2999999999999999E-2</v>
      </c>
      <c r="G4978" s="229">
        <f>G4950</f>
        <v>140000</v>
      </c>
      <c r="H4978" s="230">
        <f>+G4978*F4978</f>
        <v>1820</v>
      </c>
      <c r="M4978" s="228">
        <v>1.2999999999999999E-2</v>
      </c>
    </row>
    <row r="4979" spans="2:13" ht="18.75" customHeight="1" x14ac:dyDescent="0.25">
      <c r="B4979" s="550"/>
      <c r="C4979" s="223"/>
      <c r="D4979" s="550"/>
      <c r="E4979" s="224"/>
      <c r="F4979" s="233" t="s">
        <v>636</v>
      </c>
      <c r="G4979" s="290"/>
      <c r="H4979" s="231">
        <f>SUM(H4975:H4978)</f>
        <v>75965</v>
      </c>
      <c r="M4979" s="233" t="s">
        <v>636</v>
      </c>
    </row>
    <row r="4980" spans="2:13" ht="18.75" customHeight="1" x14ac:dyDescent="0.25">
      <c r="B4980" s="550"/>
      <c r="C4980" s="223"/>
      <c r="D4980" s="550"/>
      <c r="E4980" s="224"/>
      <c r="F4980" s="233"/>
      <c r="G4980" s="290"/>
      <c r="H4980" s="230"/>
      <c r="M4980" s="233"/>
    </row>
    <row r="4981" spans="2:13" ht="18.75" customHeight="1" x14ac:dyDescent="0.25">
      <c r="B4981" s="550" t="s">
        <v>637</v>
      </c>
      <c r="C4981" s="223" t="s">
        <v>638</v>
      </c>
      <c r="D4981" s="550"/>
      <c r="E4981" s="224"/>
      <c r="F4981" s="225"/>
      <c r="G4981" s="290"/>
      <c r="H4981" s="226"/>
      <c r="M4981" s="225"/>
    </row>
    <row r="4982" spans="2:13" ht="18.75" customHeight="1" x14ac:dyDescent="0.25">
      <c r="B4982" s="550"/>
      <c r="C4982" s="223" t="s">
        <v>1044</v>
      </c>
      <c r="D4982" s="550"/>
      <c r="E4982" s="550" t="s">
        <v>16</v>
      </c>
      <c r="F4982" s="405">
        <v>7</v>
      </c>
      <c r="G4982" s="418">
        <f>Bahan!$D$290*0.4*0.4</f>
        <v>9600</v>
      </c>
      <c r="H4982" s="230">
        <f>+G4982*F4982</f>
        <v>67200</v>
      </c>
      <c r="M4982" s="405">
        <v>7</v>
      </c>
    </row>
    <row r="4983" spans="2:13" ht="18.75" customHeight="1" x14ac:dyDescent="0.25">
      <c r="B4983" s="550"/>
      <c r="C4983" s="223" t="s">
        <v>1045</v>
      </c>
      <c r="D4983" s="550"/>
      <c r="E4983" s="550" t="s">
        <v>16</v>
      </c>
      <c r="F4983" s="405">
        <v>7</v>
      </c>
      <c r="G4983" s="418">
        <f>Bahan!$D$291*0.4*0.4</f>
        <v>10400</v>
      </c>
      <c r="H4983" s="230">
        <f>+G4983*F4983</f>
        <v>72800</v>
      </c>
      <c r="M4983" s="405">
        <v>7</v>
      </c>
    </row>
    <row r="4984" spans="2:13" ht="18.75" customHeight="1" x14ac:dyDescent="0.25">
      <c r="B4984" s="550"/>
      <c r="C4984" s="223" t="s">
        <v>708</v>
      </c>
      <c r="D4984" s="550"/>
      <c r="E4984" s="550" t="s">
        <v>5</v>
      </c>
      <c r="F4984" s="405">
        <v>11.38</v>
      </c>
      <c r="G4984" s="234">
        <f>+G4341</f>
        <v>1700</v>
      </c>
      <c r="H4984" s="230">
        <f>+G4984*F4984</f>
        <v>19346</v>
      </c>
      <c r="M4984" s="405">
        <v>11.38</v>
      </c>
    </row>
    <row r="4985" spans="2:13" ht="18.75" customHeight="1" x14ac:dyDescent="0.25">
      <c r="B4985" s="550"/>
      <c r="C4985" s="223" t="s">
        <v>661</v>
      </c>
      <c r="D4985" s="550"/>
      <c r="E4985" s="550" t="s">
        <v>1013</v>
      </c>
      <c r="F4985" s="405">
        <v>7.4999999999999997E-2</v>
      </c>
      <c r="G4985" s="234">
        <f>+G4343</f>
        <v>230000</v>
      </c>
      <c r="H4985" s="230">
        <f>+G4985*F4985</f>
        <v>17250</v>
      </c>
      <c r="M4985" s="405">
        <v>7.4999999999999997E-2</v>
      </c>
    </row>
    <row r="4986" spans="2:13" ht="18.75" customHeight="1" x14ac:dyDescent="0.25">
      <c r="B4986" s="550"/>
      <c r="C4986" s="223" t="s">
        <v>1018</v>
      </c>
      <c r="D4986" s="550"/>
      <c r="E4986" s="550" t="s">
        <v>5</v>
      </c>
      <c r="F4986" s="405">
        <v>1.5</v>
      </c>
      <c r="G4986" s="410">
        <f>+G4342</f>
        <v>14500</v>
      </c>
      <c r="H4986" s="230">
        <f>+G4986*F4986</f>
        <v>21750</v>
      </c>
      <c r="M4986" s="405">
        <v>1.5</v>
      </c>
    </row>
    <row r="4987" spans="2:13" ht="18.75" customHeight="1" x14ac:dyDescent="0.25">
      <c r="B4987" s="550"/>
      <c r="C4987" s="223"/>
      <c r="D4987" s="550"/>
      <c r="E4987" s="224"/>
      <c r="F4987" s="237" t="s">
        <v>643</v>
      </c>
      <c r="G4987" s="290"/>
      <c r="H4987" s="231">
        <f>H4982+H4984+H4985+H4986</f>
        <v>125546</v>
      </c>
      <c r="M4987" s="237" t="s">
        <v>643</v>
      </c>
    </row>
    <row r="4988" spans="2:13" ht="18.75" customHeight="1" x14ac:dyDescent="0.25">
      <c r="B4988" s="550"/>
      <c r="C4988" s="223"/>
      <c r="D4988" s="550"/>
      <c r="E4988" s="224"/>
      <c r="F4988" s="237" t="s">
        <v>643</v>
      </c>
      <c r="G4988" s="290"/>
      <c r="H4988" s="231">
        <f>H4983+H4984+H4985+H4986</f>
        <v>131146</v>
      </c>
      <c r="M4988" s="237" t="s">
        <v>643</v>
      </c>
    </row>
    <row r="4989" spans="2:13" ht="18.75" customHeight="1" x14ac:dyDescent="0.25">
      <c r="B4989" s="550"/>
      <c r="C4989" s="223"/>
      <c r="D4989" s="550"/>
      <c r="E4989" s="224"/>
      <c r="F4989" s="225"/>
      <c r="G4989" s="290"/>
      <c r="H4989" s="226"/>
      <c r="M4989" s="225"/>
    </row>
    <row r="4990" spans="2:13" ht="18.75" customHeight="1" x14ac:dyDescent="0.25">
      <c r="B4990" s="550" t="s">
        <v>644</v>
      </c>
      <c r="C4990" s="223" t="s">
        <v>645</v>
      </c>
      <c r="D4990" s="550"/>
      <c r="E4990" s="224"/>
      <c r="F4990" s="225"/>
      <c r="G4990" s="290"/>
      <c r="H4990" s="235"/>
      <c r="M4990" s="225"/>
    </row>
    <row r="4991" spans="2:13" ht="18.75" customHeight="1" x14ac:dyDescent="0.25">
      <c r="B4991" s="236"/>
      <c r="C4991" s="232"/>
      <c r="D4991" s="550"/>
      <c r="E4991" s="224"/>
      <c r="F4991" s="237" t="s">
        <v>646</v>
      </c>
      <c r="G4991" s="290"/>
      <c r="H4991" s="230"/>
      <c r="M4991" s="237" t="s">
        <v>646</v>
      </c>
    </row>
    <row r="4992" spans="2:13" ht="18.75" customHeight="1" x14ac:dyDescent="0.25">
      <c r="B4992" s="236"/>
      <c r="C4992" s="232"/>
      <c r="D4992" s="550"/>
      <c r="E4992" s="224"/>
      <c r="F4992" s="237"/>
      <c r="G4992" s="290"/>
      <c r="H4992" s="226"/>
      <c r="M4992" s="237"/>
    </row>
    <row r="4993" spans="2:13" ht="18.75" customHeight="1" x14ac:dyDescent="0.25">
      <c r="B4993" s="354"/>
      <c r="C4993" s="362"/>
      <c r="D4993" s="239"/>
      <c r="E4993" s="240"/>
      <c r="F4993" s="241"/>
      <c r="G4993" s="293"/>
      <c r="H4993" s="355"/>
      <c r="M4993" s="241"/>
    </row>
    <row r="4994" spans="2:13" ht="18.75" customHeight="1" x14ac:dyDescent="0.25">
      <c r="B4994" s="356" t="s">
        <v>647</v>
      </c>
      <c r="C4994" s="363" t="s">
        <v>648</v>
      </c>
      <c r="D4994" s="435"/>
      <c r="E4994" s="92"/>
      <c r="F4994" s="183"/>
      <c r="G4994" s="295"/>
      <c r="H4994" s="357">
        <f>+H4991+H4987+H4979</f>
        <v>201511</v>
      </c>
      <c r="M4994" s="183"/>
    </row>
    <row r="4995" spans="2:13" ht="18.75" customHeight="1" x14ac:dyDescent="0.25">
      <c r="B4995" s="356" t="s">
        <v>649</v>
      </c>
      <c r="C4995" s="364" t="s">
        <v>650</v>
      </c>
      <c r="D4995" s="435"/>
      <c r="E4995" s="92"/>
      <c r="F4995" s="184" t="str">
        <f>$J$5</f>
        <v>8,0 % x D</v>
      </c>
      <c r="G4995" s="295"/>
      <c r="H4995" s="358">
        <f>+H4994*$K$5</f>
        <v>16120.880000000001</v>
      </c>
      <c r="M4995" s="184" t="str">
        <f>$J$5</f>
        <v>8,0 % x D</v>
      </c>
    </row>
    <row r="4996" spans="2:13" ht="18.75" customHeight="1" x14ac:dyDescent="0.25">
      <c r="B4996" s="356" t="s">
        <v>651</v>
      </c>
      <c r="C4996" s="365" t="s">
        <v>652</v>
      </c>
      <c r="D4996" s="435"/>
      <c r="E4996" s="91"/>
      <c r="F4996" s="185"/>
      <c r="G4996" s="296"/>
      <c r="H4996" s="359">
        <f>ROUNDUP((H4995+H4994)/100,0)*100</f>
        <v>217700</v>
      </c>
      <c r="M4996" s="185"/>
    </row>
    <row r="4997" spans="2:13" ht="18.75" customHeight="1" x14ac:dyDescent="0.25">
      <c r="B4997" s="356"/>
      <c r="C4997" s="365"/>
      <c r="D4997" s="435"/>
      <c r="E4997" s="91"/>
      <c r="F4997" s="185"/>
      <c r="G4997" s="296"/>
      <c r="H4997" s="359"/>
      <c r="M4997" s="185"/>
    </row>
    <row r="4998" spans="2:13" ht="18.75" customHeight="1" x14ac:dyDescent="0.25">
      <c r="B4998" s="356" t="s">
        <v>825</v>
      </c>
      <c r="C4998" s="363" t="s">
        <v>648</v>
      </c>
      <c r="D4998" s="435"/>
      <c r="E4998" s="92"/>
      <c r="F4998" s="183"/>
      <c r="G4998" s="295"/>
      <c r="H4998" s="357">
        <f>H4979+H4988</f>
        <v>207111</v>
      </c>
      <c r="M4998" s="183"/>
    </row>
    <row r="4999" spans="2:13" ht="18.75" customHeight="1" x14ac:dyDescent="0.25">
      <c r="B4999" s="356" t="s">
        <v>827</v>
      </c>
      <c r="C4999" s="364" t="s">
        <v>650</v>
      </c>
      <c r="D4999" s="435"/>
      <c r="E4999" s="92"/>
      <c r="F4999" s="184" t="str">
        <f>$J$5</f>
        <v>8,0 % x D</v>
      </c>
      <c r="G4999" s="295"/>
      <c r="H4999" s="358">
        <f>+H4998*$K$5</f>
        <v>16568.88</v>
      </c>
      <c r="M4999" s="184" t="str">
        <f>$J$5</f>
        <v>8,0 % x D</v>
      </c>
    </row>
    <row r="5000" spans="2:13" ht="18.75" customHeight="1" x14ac:dyDescent="0.25">
      <c r="B5000" s="356" t="s">
        <v>617</v>
      </c>
      <c r="C5000" s="365" t="s">
        <v>1490</v>
      </c>
      <c r="D5000" s="435"/>
      <c r="E5000" s="91"/>
      <c r="F5000" s="185"/>
      <c r="G5000" s="296"/>
      <c r="H5000" s="359">
        <f>ROUNDUP((H4999+H4998)/100,0)*100</f>
        <v>223700</v>
      </c>
      <c r="M5000" s="185"/>
    </row>
    <row r="5001" spans="2:13" ht="18.75" customHeight="1" x14ac:dyDescent="0.25">
      <c r="B5001" s="371"/>
      <c r="C5001" s="373"/>
      <c r="D5001" s="245"/>
      <c r="E5001" s="246"/>
      <c r="F5001" s="247"/>
      <c r="G5001" s="299"/>
      <c r="H5001" s="372"/>
      <c r="M5001" s="247"/>
    </row>
    <row r="5002" spans="2:13" ht="18.75" customHeight="1" x14ac:dyDescent="0.25">
      <c r="B5002" s="435"/>
      <c r="C5002" s="111"/>
      <c r="D5002" s="435"/>
      <c r="E5002" s="91"/>
      <c r="F5002" s="185"/>
      <c r="G5002" s="168"/>
      <c r="H5002" s="211"/>
      <c r="M5002" s="185"/>
    </row>
    <row r="5003" spans="2:13" ht="18.75" customHeight="1" x14ac:dyDescent="0.25">
      <c r="B5003" s="19" t="s">
        <v>1565</v>
      </c>
      <c r="C5003" s="93" t="s">
        <v>1611</v>
      </c>
      <c r="D5003" s="19"/>
      <c r="E5003" s="21"/>
      <c r="F5003" s="176"/>
      <c r="G5003" s="165"/>
      <c r="H5003" s="119"/>
      <c r="M5003" s="176"/>
    </row>
    <row r="5004" spans="2:13" ht="18.75" customHeight="1" x14ac:dyDescent="0.25">
      <c r="B5004" s="19" t="s">
        <v>1566</v>
      </c>
      <c r="C5004" s="93" t="s">
        <v>1610</v>
      </c>
      <c r="D5004" s="19"/>
      <c r="E5004" s="21"/>
      <c r="F5004" s="176"/>
      <c r="G5004" s="165"/>
      <c r="H5004" s="119"/>
      <c r="M5004" s="176"/>
    </row>
    <row r="5005" spans="2:13" ht="18.75" customHeight="1" x14ac:dyDescent="0.25">
      <c r="B5005" s="618" t="s">
        <v>620</v>
      </c>
      <c r="C5005" s="620" t="s">
        <v>621</v>
      </c>
      <c r="D5005" s="618" t="s">
        <v>622</v>
      </c>
      <c r="E5005" s="618" t="s">
        <v>2</v>
      </c>
      <c r="F5005" s="615" t="s">
        <v>623</v>
      </c>
      <c r="G5005" s="289" t="s">
        <v>624</v>
      </c>
      <c r="H5005" s="256" t="s">
        <v>625</v>
      </c>
      <c r="M5005" s="615" t="s">
        <v>623</v>
      </c>
    </row>
    <row r="5006" spans="2:13" ht="18.75" customHeight="1" x14ac:dyDescent="0.25">
      <c r="B5006" s="619"/>
      <c r="C5006" s="621"/>
      <c r="D5006" s="619"/>
      <c r="E5006" s="619"/>
      <c r="F5006" s="616"/>
      <c r="G5006" s="289" t="s">
        <v>626</v>
      </c>
      <c r="H5006" s="256" t="s">
        <v>626</v>
      </c>
      <c r="M5006" s="616"/>
    </row>
    <row r="5007" spans="2:13" ht="18.75" customHeight="1" x14ac:dyDescent="0.25">
      <c r="B5007" s="221"/>
      <c r="C5007" s="222"/>
      <c r="D5007" s="221"/>
      <c r="E5007" s="550"/>
      <c r="F5007" s="555"/>
      <c r="G5007" s="551"/>
      <c r="H5007" s="220"/>
      <c r="M5007" s="590"/>
    </row>
    <row r="5008" spans="2:13" ht="18.75" customHeight="1" x14ac:dyDescent="0.25">
      <c r="B5008" s="550" t="s">
        <v>627</v>
      </c>
      <c r="C5008" s="223" t="s">
        <v>628</v>
      </c>
      <c r="D5008" s="550"/>
      <c r="E5008" s="224"/>
      <c r="F5008" s="225"/>
      <c r="G5008" s="290"/>
      <c r="H5008" s="226"/>
      <c r="M5008" s="225"/>
    </row>
    <row r="5009" spans="2:13" ht="18.75" customHeight="1" x14ac:dyDescent="0.25">
      <c r="B5009" s="550"/>
      <c r="C5009" s="227" t="s">
        <v>629</v>
      </c>
      <c r="D5009" s="550" t="s">
        <v>630</v>
      </c>
      <c r="E5009" s="224" t="s">
        <v>631</v>
      </c>
      <c r="F5009" s="228">
        <f t="shared" ref="F5009:F5012" si="231">$K$8*M5009</f>
        <v>0.62</v>
      </c>
      <c r="G5009" s="229">
        <f>G4975</f>
        <v>95000</v>
      </c>
      <c r="H5009" s="230">
        <f>+G5009*F5009</f>
        <v>58900</v>
      </c>
      <c r="M5009" s="228">
        <v>0.62</v>
      </c>
    </row>
    <row r="5010" spans="2:13" ht="18.75" customHeight="1" x14ac:dyDescent="0.25">
      <c r="B5010" s="550"/>
      <c r="C5010" s="227" t="s">
        <v>1508</v>
      </c>
      <c r="D5010" s="550" t="s">
        <v>632</v>
      </c>
      <c r="E5010" s="224" t="s">
        <v>631</v>
      </c>
      <c r="F5010" s="228">
        <f t="shared" si="231"/>
        <v>0.35</v>
      </c>
      <c r="G5010" s="229">
        <f>G4976</f>
        <v>110000</v>
      </c>
      <c r="H5010" s="230">
        <f>+G5010*F5010</f>
        <v>38500</v>
      </c>
      <c r="M5010" s="228">
        <v>0.35</v>
      </c>
    </row>
    <row r="5011" spans="2:13" ht="18.75" customHeight="1" x14ac:dyDescent="0.25">
      <c r="B5011" s="550"/>
      <c r="C5011" s="227" t="s">
        <v>633</v>
      </c>
      <c r="D5011" s="550" t="s">
        <v>634</v>
      </c>
      <c r="E5011" s="224" t="s">
        <v>631</v>
      </c>
      <c r="F5011" s="228">
        <f t="shared" si="231"/>
        <v>3.5000000000000003E-2</v>
      </c>
      <c r="G5011" s="229">
        <f>G4977</f>
        <v>115000</v>
      </c>
      <c r="H5011" s="230">
        <f>+G5011*F5011</f>
        <v>4025.0000000000005</v>
      </c>
      <c r="M5011" s="228">
        <v>3.5000000000000003E-2</v>
      </c>
    </row>
    <row r="5012" spans="2:13" ht="18.75" customHeight="1" x14ac:dyDescent="0.25">
      <c r="B5012" s="550"/>
      <c r="C5012" s="227" t="s">
        <v>600</v>
      </c>
      <c r="D5012" s="550" t="s">
        <v>635</v>
      </c>
      <c r="E5012" s="224" t="s">
        <v>631</v>
      </c>
      <c r="F5012" s="228">
        <f t="shared" si="231"/>
        <v>3.5000000000000003E-2</v>
      </c>
      <c r="G5012" s="229">
        <f>G4978</f>
        <v>140000</v>
      </c>
      <c r="H5012" s="230">
        <f>+G5012*F5012</f>
        <v>4900.0000000000009</v>
      </c>
      <c r="M5012" s="228">
        <v>3.5000000000000003E-2</v>
      </c>
    </row>
    <row r="5013" spans="2:13" ht="18.75" customHeight="1" x14ac:dyDescent="0.25">
      <c r="B5013" s="550"/>
      <c r="C5013" s="223"/>
      <c r="D5013" s="550"/>
      <c r="E5013" s="224"/>
      <c r="F5013" s="233" t="s">
        <v>636</v>
      </c>
      <c r="G5013" s="290"/>
      <c r="H5013" s="231">
        <f>SUM(H5009:H5012)</f>
        <v>106325</v>
      </c>
      <c r="M5013" s="233" t="s">
        <v>636</v>
      </c>
    </row>
    <row r="5014" spans="2:13" ht="18.75" customHeight="1" x14ac:dyDescent="0.25">
      <c r="B5014" s="550"/>
      <c r="C5014" s="223"/>
      <c r="D5014" s="550"/>
      <c r="E5014" s="224"/>
      <c r="F5014" s="233"/>
      <c r="G5014" s="290"/>
      <c r="H5014" s="231"/>
      <c r="M5014" s="233"/>
    </row>
    <row r="5015" spans="2:13" ht="18.75" customHeight="1" x14ac:dyDescent="0.25">
      <c r="B5015" s="550" t="s">
        <v>637</v>
      </c>
      <c r="C5015" s="223" t="s">
        <v>638</v>
      </c>
      <c r="D5015" s="550"/>
      <c r="E5015" s="224"/>
      <c r="F5015" s="225"/>
      <c r="G5015" s="290"/>
      <c r="H5015" s="226"/>
      <c r="M5015" s="225"/>
    </row>
    <row r="5016" spans="2:13" ht="18.75" customHeight="1" x14ac:dyDescent="0.25">
      <c r="B5016" s="550"/>
      <c r="C5016" s="223" t="s">
        <v>1046</v>
      </c>
      <c r="D5016" s="550"/>
      <c r="E5016" s="550" t="s">
        <v>16</v>
      </c>
      <c r="F5016" s="405">
        <v>25</v>
      </c>
      <c r="G5016" s="418">
        <f>Bahan!$D$290*0.2*0.2</f>
        <v>2400</v>
      </c>
      <c r="H5016" s="230">
        <f>+G5016*F5016</f>
        <v>60000</v>
      </c>
      <c r="M5016" s="405">
        <v>25</v>
      </c>
    </row>
    <row r="5017" spans="2:13" ht="18.75" customHeight="1" x14ac:dyDescent="0.25">
      <c r="B5017" s="550"/>
      <c r="C5017" s="223" t="s">
        <v>1047</v>
      </c>
      <c r="D5017" s="550"/>
      <c r="E5017" s="550" t="s">
        <v>16</v>
      </c>
      <c r="F5017" s="405">
        <v>25</v>
      </c>
      <c r="G5017" s="418">
        <f>Bahan!$D$291*0.2*0.2</f>
        <v>2600</v>
      </c>
      <c r="H5017" s="230">
        <f>+G5017*F5017</f>
        <v>65000</v>
      </c>
      <c r="M5017" s="405">
        <v>25</v>
      </c>
    </row>
    <row r="5018" spans="2:13" ht="18.75" customHeight="1" x14ac:dyDescent="0.25">
      <c r="B5018" s="550"/>
      <c r="C5018" s="223" t="s">
        <v>708</v>
      </c>
      <c r="D5018" s="550"/>
      <c r="E5018" s="550" t="s">
        <v>5</v>
      </c>
      <c r="F5018" s="405">
        <v>9</v>
      </c>
      <c r="G5018" s="234">
        <f>+G4984</f>
        <v>1700</v>
      </c>
      <c r="H5018" s="230">
        <f>+G5018*F5018</f>
        <v>15300</v>
      </c>
      <c r="M5018" s="405">
        <v>9</v>
      </c>
    </row>
    <row r="5019" spans="2:13" ht="18.75" customHeight="1" x14ac:dyDescent="0.25">
      <c r="B5019" s="550"/>
      <c r="C5019" s="223" t="s">
        <v>661</v>
      </c>
      <c r="D5019" s="550"/>
      <c r="E5019" s="550" t="s">
        <v>1013</v>
      </c>
      <c r="F5019" s="405">
        <v>7.4999999999999997E-2</v>
      </c>
      <c r="G5019" s="234">
        <f>+G4985</f>
        <v>230000</v>
      </c>
      <c r="H5019" s="230">
        <f>+G5019*F5019</f>
        <v>17250</v>
      </c>
      <c r="M5019" s="405">
        <v>7.4999999999999997E-2</v>
      </c>
    </row>
    <row r="5020" spans="2:13" ht="18.75" customHeight="1" x14ac:dyDescent="0.25">
      <c r="B5020" s="550"/>
      <c r="C5020" s="223" t="s">
        <v>1018</v>
      </c>
      <c r="D5020" s="550"/>
      <c r="E5020" s="550" t="s">
        <v>5</v>
      </c>
      <c r="F5020" s="405">
        <v>1.5</v>
      </c>
      <c r="G5020" s="410">
        <f>+G4986</f>
        <v>14500</v>
      </c>
      <c r="H5020" s="230">
        <f>+G5020*F5020</f>
        <v>21750</v>
      </c>
      <c r="M5020" s="405">
        <v>1.5</v>
      </c>
    </row>
    <row r="5021" spans="2:13" ht="18.75" customHeight="1" x14ac:dyDescent="0.25">
      <c r="B5021" s="550"/>
      <c r="C5021" s="223"/>
      <c r="D5021" s="550"/>
      <c r="E5021" s="224"/>
      <c r="F5021" s="237" t="s">
        <v>643</v>
      </c>
      <c r="G5021" s="290"/>
      <c r="H5021" s="231">
        <f>H5016+H5018+H5019+H5020</f>
        <v>114300</v>
      </c>
      <c r="M5021" s="237" t="s">
        <v>643</v>
      </c>
    </row>
    <row r="5022" spans="2:13" ht="18.75" customHeight="1" x14ac:dyDescent="0.25">
      <c r="B5022" s="550"/>
      <c r="C5022" s="223"/>
      <c r="D5022" s="550"/>
      <c r="E5022" s="224"/>
      <c r="F5022" s="237" t="s">
        <v>1048</v>
      </c>
      <c r="G5022" s="290"/>
      <c r="H5022" s="231">
        <f>H5017+H5018+H5019+H5020</f>
        <v>119300</v>
      </c>
      <c r="M5022" s="237" t="s">
        <v>1048</v>
      </c>
    </row>
    <row r="5023" spans="2:13" ht="18.75" customHeight="1" x14ac:dyDescent="0.25">
      <c r="B5023" s="550"/>
      <c r="C5023" s="223"/>
      <c r="D5023" s="550"/>
      <c r="E5023" s="224"/>
      <c r="F5023" s="225"/>
      <c r="G5023" s="290"/>
      <c r="H5023" s="226"/>
      <c r="M5023" s="225"/>
    </row>
    <row r="5024" spans="2:13" ht="18.75" customHeight="1" x14ac:dyDescent="0.25">
      <c r="B5024" s="550" t="s">
        <v>644</v>
      </c>
      <c r="C5024" s="223" t="s">
        <v>645</v>
      </c>
      <c r="D5024" s="550"/>
      <c r="E5024" s="224"/>
      <c r="F5024" s="225"/>
      <c r="G5024" s="290"/>
      <c r="H5024" s="235"/>
      <c r="M5024" s="225"/>
    </row>
    <row r="5025" spans="2:13" ht="18.75" customHeight="1" x14ac:dyDescent="0.25">
      <c r="B5025" s="236"/>
      <c r="C5025" s="232"/>
      <c r="D5025" s="550"/>
      <c r="E5025" s="224"/>
      <c r="F5025" s="237" t="s">
        <v>646</v>
      </c>
      <c r="G5025" s="290"/>
      <c r="H5025" s="230"/>
      <c r="M5025" s="237" t="s">
        <v>646</v>
      </c>
    </row>
    <row r="5026" spans="2:13" ht="18.75" customHeight="1" x14ac:dyDescent="0.25">
      <c r="B5026" s="236"/>
      <c r="C5026" s="232"/>
      <c r="D5026" s="550"/>
      <c r="E5026" s="224"/>
      <c r="F5026" s="237"/>
      <c r="G5026" s="290"/>
      <c r="H5026" s="226"/>
      <c r="M5026" s="237"/>
    </row>
    <row r="5027" spans="2:13" ht="18.75" customHeight="1" x14ac:dyDescent="0.25">
      <c r="B5027" s="354"/>
      <c r="C5027" s="362"/>
      <c r="D5027" s="239"/>
      <c r="E5027" s="240"/>
      <c r="F5027" s="241"/>
      <c r="G5027" s="293"/>
      <c r="H5027" s="355"/>
      <c r="M5027" s="241"/>
    </row>
    <row r="5028" spans="2:13" ht="18.75" customHeight="1" x14ac:dyDescent="0.25">
      <c r="B5028" s="356" t="s">
        <v>647</v>
      </c>
      <c r="C5028" s="363" t="s">
        <v>648</v>
      </c>
      <c r="D5028" s="435"/>
      <c r="E5028" s="92"/>
      <c r="F5028" s="183"/>
      <c r="G5028" s="295"/>
      <c r="H5028" s="357">
        <f>H5013+H5021</f>
        <v>220625</v>
      </c>
      <c r="M5028" s="183"/>
    </row>
    <row r="5029" spans="2:13" ht="18.75" customHeight="1" x14ac:dyDescent="0.25">
      <c r="B5029" s="356" t="s">
        <v>649</v>
      </c>
      <c r="C5029" s="364" t="s">
        <v>650</v>
      </c>
      <c r="D5029" s="435"/>
      <c r="E5029" s="92"/>
      <c r="F5029" s="184" t="str">
        <f>$J$5</f>
        <v>8,0 % x D</v>
      </c>
      <c r="G5029" s="295"/>
      <c r="H5029" s="358">
        <f>+H5028*$K$5</f>
        <v>17650</v>
      </c>
      <c r="M5029" s="184" t="str">
        <f>$J$5</f>
        <v>8,0 % x D</v>
      </c>
    </row>
    <row r="5030" spans="2:13" ht="18.75" customHeight="1" x14ac:dyDescent="0.25">
      <c r="B5030" s="356" t="s">
        <v>651</v>
      </c>
      <c r="C5030" s="365" t="s">
        <v>652</v>
      </c>
      <c r="D5030" s="435"/>
      <c r="E5030" s="91"/>
      <c r="F5030" s="185"/>
      <c r="G5030" s="296"/>
      <c r="H5030" s="359">
        <f>ROUNDUP((H5029+H5028)/100,0)*100</f>
        <v>238300</v>
      </c>
      <c r="M5030" s="185"/>
    </row>
    <row r="5031" spans="2:13" ht="18.75" customHeight="1" x14ac:dyDescent="0.25">
      <c r="B5031" s="356"/>
      <c r="C5031" s="365"/>
      <c r="D5031" s="435"/>
      <c r="E5031" s="91"/>
      <c r="F5031" s="185"/>
      <c r="G5031" s="296"/>
      <c r="H5031" s="359"/>
      <c r="M5031" s="185"/>
    </row>
    <row r="5032" spans="2:13" ht="18.75" customHeight="1" x14ac:dyDescent="0.25">
      <c r="B5032" s="356" t="s">
        <v>825</v>
      </c>
      <c r="C5032" s="363" t="s">
        <v>648</v>
      </c>
      <c r="D5032" s="435"/>
      <c r="E5032" s="92"/>
      <c r="F5032" s="183"/>
      <c r="G5032" s="295"/>
      <c r="H5032" s="357">
        <f>H5013+H5022</f>
        <v>225625</v>
      </c>
      <c r="M5032" s="183"/>
    </row>
    <row r="5033" spans="2:13" ht="18.75" customHeight="1" x14ac:dyDescent="0.25">
      <c r="B5033" s="356" t="s">
        <v>827</v>
      </c>
      <c r="C5033" s="364" t="s">
        <v>650</v>
      </c>
      <c r="D5033" s="435"/>
      <c r="E5033" s="92"/>
      <c r="F5033" s="184" t="str">
        <f>$J$5</f>
        <v>8,0 % x D</v>
      </c>
      <c r="G5033" s="295"/>
      <c r="H5033" s="358">
        <f>+H5032*$K$5</f>
        <v>18050</v>
      </c>
      <c r="M5033" s="184" t="str">
        <f>$J$5</f>
        <v>8,0 % x D</v>
      </c>
    </row>
    <row r="5034" spans="2:13" ht="18.75" customHeight="1" x14ac:dyDescent="0.25">
      <c r="B5034" s="356" t="s">
        <v>617</v>
      </c>
      <c r="C5034" s="365" t="s">
        <v>1490</v>
      </c>
      <c r="D5034" s="435"/>
      <c r="E5034" s="91"/>
      <c r="F5034" s="185"/>
      <c r="G5034" s="296"/>
      <c r="H5034" s="359">
        <f>ROUNDUP((H5033+H5032)/100,0)*100</f>
        <v>243700</v>
      </c>
      <c r="M5034" s="185"/>
    </row>
    <row r="5035" spans="2:13" ht="18.75" customHeight="1" x14ac:dyDescent="0.25">
      <c r="B5035" s="360"/>
      <c r="C5035" s="366"/>
      <c r="D5035" s="245"/>
      <c r="E5035" s="246"/>
      <c r="F5035" s="247"/>
      <c r="G5035" s="299"/>
      <c r="H5035" s="361"/>
      <c r="M5035" s="247"/>
    </row>
    <row r="5036" spans="2:13" ht="18.75" customHeight="1" x14ac:dyDescent="0.25">
      <c r="B5036" s="78"/>
      <c r="C5036" s="115"/>
      <c r="D5036" s="78"/>
      <c r="E5036" s="79"/>
      <c r="F5036" s="209"/>
      <c r="G5036" s="175"/>
      <c r="H5036" s="159"/>
      <c r="M5036" s="209"/>
    </row>
    <row r="5037" spans="2:13" ht="18.75" customHeight="1" x14ac:dyDescent="0.25">
      <c r="B5037" s="19">
        <v>35</v>
      </c>
      <c r="C5037" s="93" t="s">
        <v>1049</v>
      </c>
      <c r="D5037" s="19"/>
      <c r="E5037" s="21"/>
      <c r="F5037" s="176"/>
      <c r="G5037" s="165"/>
      <c r="H5037" s="119"/>
      <c r="M5037" s="176"/>
    </row>
    <row r="5038" spans="2:13" ht="18.75" customHeight="1" x14ac:dyDescent="0.25">
      <c r="B5038" s="618" t="s">
        <v>620</v>
      </c>
      <c r="C5038" s="620" t="s">
        <v>621</v>
      </c>
      <c r="D5038" s="618" t="s">
        <v>622</v>
      </c>
      <c r="E5038" s="618" t="s">
        <v>2</v>
      </c>
      <c r="F5038" s="615" t="s">
        <v>623</v>
      </c>
      <c r="G5038" s="289" t="s">
        <v>624</v>
      </c>
      <c r="H5038" s="256" t="s">
        <v>625</v>
      </c>
      <c r="M5038" s="615" t="s">
        <v>623</v>
      </c>
    </row>
    <row r="5039" spans="2:13" ht="18.75" customHeight="1" x14ac:dyDescent="0.25">
      <c r="B5039" s="619"/>
      <c r="C5039" s="621"/>
      <c r="D5039" s="619"/>
      <c r="E5039" s="619"/>
      <c r="F5039" s="616"/>
      <c r="G5039" s="289" t="s">
        <v>626</v>
      </c>
      <c r="H5039" s="256" t="s">
        <v>626</v>
      </c>
      <c r="M5039" s="616"/>
    </row>
    <row r="5040" spans="2:13" ht="18.75" customHeight="1" x14ac:dyDescent="0.25">
      <c r="B5040" s="221"/>
      <c r="C5040" s="222"/>
      <c r="D5040" s="221"/>
      <c r="E5040" s="550"/>
      <c r="F5040" s="555"/>
      <c r="G5040" s="551"/>
      <c r="H5040" s="220"/>
      <c r="M5040" s="590"/>
    </row>
    <row r="5041" spans="2:13" ht="18.75" customHeight="1" x14ac:dyDescent="0.25">
      <c r="B5041" s="550" t="s">
        <v>627</v>
      </c>
      <c r="C5041" s="223" t="s">
        <v>628</v>
      </c>
      <c r="D5041" s="550"/>
      <c r="E5041" s="224"/>
      <c r="F5041" s="225"/>
      <c r="G5041" s="290"/>
      <c r="H5041" s="226"/>
      <c r="M5041" s="225"/>
    </row>
    <row r="5042" spans="2:13" ht="18.75" customHeight="1" x14ac:dyDescent="0.25">
      <c r="B5042" s="550"/>
      <c r="C5042" s="227" t="s">
        <v>629</v>
      </c>
      <c r="D5042" s="550" t="s">
        <v>630</v>
      </c>
      <c r="E5042" s="224" t="s">
        <v>631</v>
      </c>
      <c r="F5042" s="228">
        <f t="shared" ref="F5042:F5045" si="232">$K$8*M5042</f>
        <v>1.06</v>
      </c>
      <c r="G5042" s="229">
        <f>G5009</f>
        <v>95000</v>
      </c>
      <c r="H5042" s="230">
        <f>+G5042*F5042</f>
        <v>100700</v>
      </c>
      <c r="M5042" s="228">
        <v>1.06</v>
      </c>
    </row>
    <row r="5043" spans="2:13" ht="18.75" customHeight="1" x14ac:dyDescent="0.25">
      <c r="B5043" s="550"/>
      <c r="C5043" s="227" t="s">
        <v>1508</v>
      </c>
      <c r="D5043" s="550" t="s">
        <v>632</v>
      </c>
      <c r="E5043" s="224" t="s">
        <v>631</v>
      </c>
      <c r="F5043" s="228">
        <f t="shared" si="232"/>
        <v>0.52500000000000002</v>
      </c>
      <c r="G5043" s="229">
        <f>G5010</f>
        <v>110000</v>
      </c>
      <c r="H5043" s="230">
        <f>+G5043*F5043</f>
        <v>57750</v>
      </c>
      <c r="M5043" s="228">
        <v>0.52500000000000002</v>
      </c>
    </row>
    <row r="5044" spans="2:13" ht="18.75" customHeight="1" x14ac:dyDescent="0.25">
      <c r="B5044" s="550"/>
      <c r="C5044" s="227" t="s">
        <v>633</v>
      </c>
      <c r="D5044" s="550" t="s">
        <v>634</v>
      </c>
      <c r="E5044" s="224" t="s">
        <v>631</v>
      </c>
      <c r="F5044" s="228">
        <f t="shared" si="232"/>
        <v>7.5300000000000006E-2</v>
      </c>
      <c r="G5044" s="229">
        <f>G5011</f>
        <v>115000</v>
      </c>
      <c r="H5044" s="230">
        <f>+G5044*F5044</f>
        <v>8659.5</v>
      </c>
      <c r="M5044" s="228">
        <v>7.5300000000000006E-2</v>
      </c>
    </row>
    <row r="5045" spans="2:13" ht="18.75" customHeight="1" x14ac:dyDescent="0.25">
      <c r="B5045" s="550"/>
      <c r="C5045" s="227" t="s">
        <v>600</v>
      </c>
      <c r="D5045" s="550" t="s">
        <v>635</v>
      </c>
      <c r="E5045" s="224" t="s">
        <v>631</v>
      </c>
      <c r="F5045" s="228">
        <f t="shared" si="232"/>
        <v>7.5300000000000006E-2</v>
      </c>
      <c r="G5045" s="229">
        <f>G5012</f>
        <v>140000</v>
      </c>
      <c r="H5045" s="230">
        <f>+G5045*F5045</f>
        <v>10542</v>
      </c>
      <c r="M5045" s="228">
        <v>7.5300000000000006E-2</v>
      </c>
    </row>
    <row r="5046" spans="2:13" ht="18.75" customHeight="1" x14ac:dyDescent="0.25">
      <c r="B5046" s="550"/>
      <c r="C5046" s="223"/>
      <c r="D5046" s="550"/>
      <c r="E5046" s="224"/>
      <c r="F5046" s="233" t="s">
        <v>636</v>
      </c>
      <c r="G5046" s="290"/>
      <c r="H5046" s="231">
        <f>SUM(H5042:H5045)</f>
        <v>177651.5</v>
      </c>
      <c r="M5046" s="233" t="s">
        <v>636</v>
      </c>
    </row>
    <row r="5047" spans="2:13" ht="18.75" customHeight="1" x14ac:dyDescent="0.25">
      <c r="B5047" s="550"/>
      <c r="C5047" s="223"/>
      <c r="D5047" s="550"/>
      <c r="E5047" s="224"/>
      <c r="F5047" s="233"/>
      <c r="G5047" s="290"/>
      <c r="H5047" s="231"/>
      <c r="M5047" s="233"/>
    </row>
    <row r="5048" spans="2:13" ht="18.75" customHeight="1" x14ac:dyDescent="0.25">
      <c r="B5048" s="550" t="s">
        <v>637</v>
      </c>
      <c r="C5048" s="223" t="s">
        <v>638</v>
      </c>
      <c r="D5048" s="550"/>
      <c r="E5048" s="224"/>
      <c r="F5048" s="225"/>
      <c r="G5048" s="290"/>
      <c r="H5048" s="226"/>
      <c r="M5048" s="225"/>
    </row>
    <row r="5049" spans="2:13" ht="18.75" customHeight="1" x14ac:dyDescent="0.25">
      <c r="B5049" s="550"/>
      <c r="C5049" s="223" t="s">
        <v>1050</v>
      </c>
      <c r="D5049" s="550"/>
      <c r="E5049" s="550" t="s">
        <v>16</v>
      </c>
      <c r="F5049" s="405">
        <v>33</v>
      </c>
      <c r="G5049" s="418">
        <f>Bahan!$D$290*0.1*0.4</f>
        <v>2400</v>
      </c>
      <c r="H5049" s="230">
        <f>+G5049*F5049</f>
        <v>79200</v>
      </c>
      <c r="M5049" s="405">
        <v>33</v>
      </c>
    </row>
    <row r="5050" spans="2:13" ht="18.75" customHeight="1" x14ac:dyDescent="0.25">
      <c r="B5050" s="550"/>
      <c r="C5050" s="223" t="s">
        <v>708</v>
      </c>
      <c r="D5050" s="550"/>
      <c r="E5050" s="550" t="s">
        <v>5</v>
      </c>
      <c r="F5050" s="405">
        <v>9.8000000000000007</v>
      </c>
      <c r="G5050" s="234">
        <f>G5018</f>
        <v>1700</v>
      </c>
      <c r="H5050" s="230">
        <f>+G5050*F5050</f>
        <v>16660</v>
      </c>
      <c r="M5050" s="405">
        <v>9.8000000000000007</v>
      </c>
    </row>
    <row r="5051" spans="2:13" ht="18.75" customHeight="1" x14ac:dyDescent="0.25">
      <c r="B5051" s="550"/>
      <c r="C5051" s="223" t="s">
        <v>661</v>
      </c>
      <c r="D5051" s="550"/>
      <c r="E5051" s="550" t="s">
        <v>1013</v>
      </c>
      <c r="F5051" s="405">
        <v>7.5499999999999998E-2</v>
      </c>
      <c r="G5051" s="234">
        <f>G5019</f>
        <v>230000</v>
      </c>
      <c r="H5051" s="230">
        <f>+G5051*F5051</f>
        <v>17365</v>
      </c>
      <c r="M5051" s="405">
        <v>7.5499999999999998E-2</v>
      </c>
    </row>
    <row r="5052" spans="2:13" ht="18.75" customHeight="1" x14ac:dyDescent="0.25">
      <c r="B5052" s="550"/>
      <c r="C5052" s="223" t="s">
        <v>1018</v>
      </c>
      <c r="D5052" s="550"/>
      <c r="E5052" s="550" t="s">
        <v>5</v>
      </c>
      <c r="F5052" s="405">
        <v>4.37</v>
      </c>
      <c r="G5052" s="410">
        <f>G5020</f>
        <v>14500</v>
      </c>
      <c r="H5052" s="230">
        <f>+G5052*F5052</f>
        <v>63365</v>
      </c>
      <c r="M5052" s="405">
        <v>4.37</v>
      </c>
    </row>
    <row r="5053" spans="2:13" ht="18.75" customHeight="1" x14ac:dyDescent="0.25">
      <c r="B5053" s="550"/>
      <c r="C5053" s="223"/>
      <c r="D5053" s="550"/>
      <c r="E5053" s="224"/>
      <c r="F5053" s="237" t="s">
        <v>643</v>
      </c>
      <c r="G5053" s="290"/>
      <c r="H5053" s="231">
        <f>SUM(H5049:H5052)</f>
        <v>176590</v>
      </c>
      <c r="M5053" s="237" t="s">
        <v>643</v>
      </c>
    </row>
    <row r="5054" spans="2:13" ht="18.75" customHeight="1" x14ac:dyDescent="0.25">
      <c r="B5054" s="550"/>
      <c r="C5054" s="223"/>
      <c r="D5054" s="550"/>
      <c r="E5054" s="224"/>
      <c r="F5054" s="225"/>
      <c r="G5054" s="290"/>
      <c r="H5054" s="226"/>
      <c r="M5054" s="225"/>
    </row>
    <row r="5055" spans="2:13" ht="18.75" customHeight="1" x14ac:dyDescent="0.25">
      <c r="B5055" s="550" t="s">
        <v>644</v>
      </c>
      <c r="C5055" s="223" t="s">
        <v>645</v>
      </c>
      <c r="D5055" s="550"/>
      <c r="E5055" s="224"/>
      <c r="F5055" s="225"/>
      <c r="G5055" s="290"/>
      <c r="H5055" s="235"/>
      <c r="M5055" s="225"/>
    </row>
    <row r="5056" spans="2:13" ht="18.75" customHeight="1" x14ac:dyDescent="0.25">
      <c r="B5056" s="236"/>
      <c r="C5056" s="232"/>
      <c r="D5056" s="550"/>
      <c r="E5056" s="224"/>
      <c r="F5056" s="237" t="s">
        <v>646</v>
      </c>
      <c r="G5056" s="290"/>
      <c r="H5056" s="230"/>
      <c r="M5056" s="237" t="s">
        <v>646</v>
      </c>
    </row>
    <row r="5057" spans="2:13" ht="18.75" customHeight="1" x14ac:dyDescent="0.25">
      <c r="B5057" s="236"/>
      <c r="C5057" s="232"/>
      <c r="D5057" s="550"/>
      <c r="E5057" s="224"/>
      <c r="F5057" s="237"/>
      <c r="G5057" s="290"/>
      <c r="H5057" s="226"/>
      <c r="M5057" s="237"/>
    </row>
    <row r="5058" spans="2:13" ht="18.75" customHeight="1" x14ac:dyDescent="0.25">
      <c r="B5058" s="354"/>
      <c r="C5058" s="362"/>
      <c r="D5058" s="239"/>
      <c r="E5058" s="240"/>
      <c r="F5058" s="241"/>
      <c r="G5058" s="293"/>
      <c r="H5058" s="355"/>
      <c r="M5058" s="241"/>
    </row>
    <row r="5059" spans="2:13" ht="18.75" customHeight="1" x14ac:dyDescent="0.25">
      <c r="B5059" s="356" t="s">
        <v>647</v>
      </c>
      <c r="C5059" s="363" t="s">
        <v>648</v>
      </c>
      <c r="D5059" s="435"/>
      <c r="E5059" s="92"/>
      <c r="F5059" s="183"/>
      <c r="G5059" s="295"/>
      <c r="H5059" s="357">
        <f>+H5056+H5053+H5046</f>
        <v>354241.5</v>
      </c>
      <c r="M5059" s="183"/>
    </row>
    <row r="5060" spans="2:13" ht="18.75" customHeight="1" x14ac:dyDescent="0.25">
      <c r="B5060" s="356" t="s">
        <v>649</v>
      </c>
      <c r="C5060" s="364" t="s">
        <v>650</v>
      </c>
      <c r="D5060" s="435"/>
      <c r="E5060" s="92"/>
      <c r="F5060" s="184" t="str">
        <f>$J$5</f>
        <v>8,0 % x D</v>
      </c>
      <c r="G5060" s="295"/>
      <c r="H5060" s="358">
        <f>+H5059*$K$5</f>
        <v>28339.32</v>
      </c>
      <c r="M5060" s="184" t="str">
        <f>$J$5</f>
        <v>8,0 % x D</v>
      </c>
    </row>
    <row r="5061" spans="2:13" ht="18.75" customHeight="1" x14ac:dyDescent="0.25">
      <c r="B5061" s="356" t="s">
        <v>651</v>
      </c>
      <c r="C5061" s="365" t="s">
        <v>652</v>
      </c>
      <c r="D5061" s="435"/>
      <c r="E5061" s="91"/>
      <c r="F5061" s="185"/>
      <c r="G5061" s="296"/>
      <c r="H5061" s="359">
        <f>ROUNDUP((H5060+H5059)/100,0)*100</f>
        <v>382600</v>
      </c>
      <c r="M5061" s="185"/>
    </row>
    <row r="5062" spans="2:13" ht="18.75" customHeight="1" x14ac:dyDescent="0.25">
      <c r="B5062" s="360"/>
      <c r="C5062" s="366"/>
      <c r="D5062" s="245"/>
      <c r="E5062" s="246"/>
      <c r="F5062" s="247"/>
      <c r="G5062" s="299"/>
      <c r="H5062" s="361"/>
      <c r="M5062" s="247"/>
    </row>
    <row r="5063" spans="2:13" ht="18.75" customHeight="1" x14ac:dyDescent="0.25">
      <c r="B5063" s="92"/>
      <c r="C5063" s="104"/>
      <c r="D5063" s="435"/>
      <c r="E5063" s="91"/>
      <c r="F5063" s="185"/>
      <c r="G5063" s="168"/>
      <c r="H5063" s="139"/>
      <c r="M5063" s="185"/>
    </row>
    <row r="5064" spans="2:13" ht="18.75" customHeight="1" x14ac:dyDescent="0.25">
      <c r="B5064" s="19" t="s">
        <v>1585</v>
      </c>
      <c r="C5064" s="93" t="s">
        <v>1613</v>
      </c>
      <c r="D5064" s="19"/>
      <c r="E5064" s="21"/>
      <c r="F5064" s="176"/>
      <c r="G5064" s="165"/>
      <c r="H5064" s="119"/>
      <c r="M5064" s="176"/>
    </row>
    <row r="5065" spans="2:13" ht="18.75" customHeight="1" x14ac:dyDescent="0.25">
      <c r="B5065" s="19" t="s">
        <v>1586</v>
      </c>
      <c r="C5065" s="93" t="s">
        <v>1612</v>
      </c>
      <c r="D5065" s="19"/>
      <c r="E5065" s="21"/>
      <c r="F5065" s="176"/>
      <c r="G5065" s="165"/>
      <c r="H5065" s="119"/>
      <c r="M5065" s="176"/>
    </row>
    <row r="5066" spans="2:13" ht="18.75" customHeight="1" x14ac:dyDescent="0.25">
      <c r="B5066" s="618" t="s">
        <v>620</v>
      </c>
      <c r="C5066" s="620" t="s">
        <v>621</v>
      </c>
      <c r="D5066" s="618" t="s">
        <v>622</v>
      </c>
      <c r="E5066" s="618" t="s">
        <v>2</v>
      </c>
      <c r="F5066" s="615" t="s">
        <v>623</v>
      </c>
      <c r="G5066" s="289" t="s">
        <v>624</v>
      </c>
      <c r="H5066" s="256" t="s">
        <v>625</v>
      </c>
      <c r="M5066" s="615" t="s">
        <v>623</v>
      </c>
    </row>
    <row r="5067" spans="2:13" ht="18.75" customHeight="1" x14ac:dyDescent="0.25">
      <c r="B5067" s="619"/>
      <c r="C5067" s="621"/>
      <c r="D5067" s="619"/>
      <c r="E5067" s="619"/>
      <c r="F5067" s="616"/>
      <c r="G5067" s="289" t="s">
        <v>626</v>
      </c>
      <c r="H5067" s="256" t="s">
        <v>626</v>
      </c>
      <c r="M5067" s="616"/>
    </row>
    <row r="5068" spans="2:13" ht="18.75" customHeight="1" x14ac:dyDescent="0.25">
      <c r="B5068" s="221"/>
      <c r="C5068" s="222"/>
      <c r="D5068" s="221"/>
      <c r="E5068" s="550"/>
      <c r="F5068" s="555"/>
      <c r="G5068" s="551"/>
      <c r="H5068" s="220"/>
      <c r="M5068" s="590"/>
    </row>
    <row r="5069" spans="2:13" ht="18.75" customHeight="1" x14ac:dyDescent="0.25">
      <c r="B5069" s="550" t="s">
        <v>627</v>
      </c>
      <c r="C5069" s="223" t="s">
        <v>628</v>
      </c>
      <c r="D5069" s="550"/>
      <c r="E5069" s="224"/>
      <c r="F5069" s="225"/>
      <c r="G5069" s="290"/>
      <c r="H5069" s="226"/>
      <c r="M5069" s="225"/>
    </row>
    <row r="5070" spans="2:13" ht="18.75" customHeight="1" x14ac:dyDescent="0.25">
      <c r="B5070" s="550"/>
      <c r="C5070" s="227" t="s">
        <v>629</v>
      </c>
      <c r="D5070" s="550" t="s">
        <v>630</v>
      </c>
      <c r="E5070" s="224" t="s">
        <v>631</v>
      </c>
      <c r="F5070" s="228">
        <f t="shared" ref="F5070:F5073" si="233">$K$8*M5070</f>
        <v>0.7</v>
      </c>
      <c r="G5070" s="229">
        <f>G5042</f>
        <v>95000</v>
      </c>
      <c r="H5070" s="230">
        <f>+G5070*F5070</f>
        <v>66500</v>
      </c>
      <c r="M5070" s="228">
        <v>0.7</v>
      </c>
    </row>
    <row r="5071" spans="2:13" ht="18.75" customHeight="1" x14ac:dyDescent="0.25">
      <c r="B5071" s="550"/>
      <c r="C5071" s="227" t="s">
        <v>1508</v>
      </c>
      <c r="D5071" s="550" t="s">
        <v>632</v>
      </c>
      <c r="E5071" s="224" t="s">
        <v>631</v>
      </c>
      <c r="F5071" s="228">
        <f t="shared" si="233"/>
        <v>0.35</v>
      </c>
      <c r="G5071" s="229">
        <f>G5043</f>
        <v>110000</v>
      </c>
      <c r="H5071" s="230">
        <f>+G5071*F5071</f>
        <v>38500</v>
      </c>
      <c r="M5071" s="228">
        <v>0.35</v>
      </c>
    </row>
    <row r="5072" spans="2:13" ht="18.75" customHeight="1" x14ac:dyDescent="0.25">
      <c r="B5072" s="550"/>
      <c r="C5072" s="227" t="s">
        <v>633</v>
      </c>
      <c r="D5072" s="550" t="s">
        <v>634</v>
      </c>
      <c r="E5072" s="224" t="s">
        <v>631</v>
      </c>
      <c r="F5072" s="228">
        <f t="shared" si="233"/>
        <v>3.5000000000000003E-2</v>
      </c>
      <c r="G5072" s="229">
        <f>G5044</f>
        <v>115000</v>
      </c>
      <c r="H5072" s="230">
        <f>+G5072*F5072</f>
        <v>4025.0000000000005</v>
      </c>
      <c r="M5072" s="228">
        <v>3.5000000000000003E-2</v>
      </c>
    </row>
    <row r="5073" spans="2:13" ht="18.75" customHeight="1" x14ac:dyDescent="0.25">
      <c r="B5073" s="550"/>
      <c r="C5073" s="227" t="s">
        <v>600</v>
      </c>
      <c r="D5073" s="550" t="s">
        <v>635</v>
      </c>
      <c r="E5073" s="224" t="s">
        <v>631</v>
      </c>
      <c r="F5073" s="228">
        <f t="shared" si="233"/>
        <v>3.5000000000000003E-2</v>
      </c>
      <c r="G5073" s="229">
        <f>G5045</f>
        <v>140000</v>
      </c>
      <c r="H5073" s="230">
        <f>+G5073*F5073</f>
        <v>4900.0000000000009</v>
      </c>
      <c r="M5073" s="228">
        <v>3.5000000000000003E-2</v>
      </c>
    </row>
    <row r="5074" spans="2:13" ht="18.75" customHeight="1" x14ac:dyDescent="0.25">
      <c r="B5074" s="550"/>
      <c r="C5074" s="223"/>
      <c r="D5074" s="550"/>
      <c r="E5074" s="224"/>
      <c r="F5074" s="233" t="s">
        <v>636</v>
      </c>
      <c r="G5074" s="290"/>
      <c r="H5074" s="231">
        <f>SUM(H5070:H5073)</f>
        <v>113925</v>
      </c>
      <c r="M5074" s="233" t="s">
        <v>636</v>
      </c>
    </row>
    <row r="5075" spans="2:13" ht="18.75" customHeight="1" x14ac:dyDescent="0.25">
      <c r="B5075" s="550"/>
      <c r="C5075" s="223"/>
      <c r="D5075" s="550"/>
      <c r="E5075" s="224"/>
      <c r="F5075" s="233"/>
      <c r="G5075" s="290"/>
      <c r="H5075" s="231"/>
      <c r="M5075" s="233"/>
    </row>
    <row r="5076" spans="2:13" ht="18.75" customHeight="1" x14ac:dyDescent="0.25">
      <c r="B5076" s="550" t="s">
        <v>637</v>
      </c>
      <c r="C5076" s="223" t="s">
        <v>638</v>
      </c>
      <c r="D5076" s="550"/>
      <c r="E5076" s="224"/>
      <c r="F5076" s="225"/>
      <c r="G5076" s="290"/>
      <c r="H5076" s="226"/>
      <c r="M5076" s="225"/>
    </row>
    <row r="5077" spans="2:13" ht="18.75" customHeight="1" x14ac:dyDescent="0.25">
      <c r="B5077" s="550"/>
      <c r="C5077" s="223" t="s">
        <v>1041</v>
      </c>
      <c r="D5077" s="550"/>
      <c r="E5077" s="550" t="s">
        <v>16</v>
      </c>
      <c r="F5077" s="405">
        <v>11.87</v>
      </c>
      <c r="G5077" s="418">
        <f>Bahan!D290/(1/0.3/0.3)</f>
        <v>5399.9999999999991</v>
      </c>
      <c r="H5077" s="230">
        <f>+G5077*F5077</f>
        <v>64097.999999999985</v>
      </c>
      <c r="M5077" s="405">
        <v>11.87</v>
      </c>
    </row>
    <row r="5078" spans="2:13" ht="18.75" customHeight="1" x14ac:dyDescent="0.25">
      <c r="B5078" s="550"/>
      <c r="C5078" s="223" t="s">
        <v>1051</v>
      </c>
      <c r="D5078" s="550"/>
      <c r="E5078" s="550" t="s">
        <v>16</v>
      </c>
      <c r="F5078" s="405">
        <v>11.05</v>
      </c>
      <c r="G5078" s="418">
        <f>Bahan!D291/(1/0.3/0.3)</f>
        <v>5849.9999999999991</v>
      </c>
      <c r="H5078" s="230">
        <f>+G5078*F5078</f>
        <v>64642.499999999993</v>
      </c>
      <c r="M5078" s="405">
        <v>11.05</v>
      </c>
    </row>
    <row r="5079" spans="2:13" ht="18.75" customHeight="1" x14ac:dyDescent="0.25">
      <c r="B5079" s="550"/>
      <c r="C5079" s="223" t="s">
        <v>1481</v>
      </c>
      <c r="D5079" s="550"/>
      <c r="E5079" s="550" t="s">
        <v>62</v>
      </c>
      <c r="F5079" s="405">
        <v>11.38</v>
      </c>
      <c r="G5079" s="410">
        <f>G5080</f>
        <v>1700</v>
      </c>
      <c r="H5079" s="230">
        <f>G5079*F5079</f>
        <v>19346</v>
      </c>
      <c r="M5079" s="405">
        <v>11.38</v>
      </c>
    </row>
    <row r="5080" spans="2:13" ht="18.75" customHeight="1" x14ac:dyDescent="0.25">
      <c r="B5080" s="550"/>
      <c r="C5080" s="223" t="s">
        <v>708</v>
      </c>
      <c r="D5080" s="550"/>
      <c r="E5080" s="550" t="s">
        <v>5</v>
      </c>
      <c r="F5080" s="405">
        <v>14.15</v>
      </c>
      <c r="G5080" s="234">
        <f>G5050</f>
        <v>1700</v>
      </c>
      <c r="H5080" s="230">
        <f>+G5080*F5080</f>
        <v>24055</v>
      </c>
      <c r="M5080" s="405">
        <v>14.15</v>
      </c>
    </row>
    <row r="5081" spans="2:13" ht="18.75" customHeight="1" x14ac:dyDescent="0.25">
      <c r="B5081" s="550"/>
      <c r="C5081" s="223" t="s">
        <v>661</v>
      </c>
      <c r="D5081" s="550"/>
      <c r="E5081" s="550" t="s">
        <v>1013</v>
      </c>
      <c r="F5081" s="405">
        <v>3.9E-2</v>
      </c>
      <c r="G5081" s="234">
        <f>G5051</f>
        <v>230000</v>
      </c>
      <c r="H5081" s="230">
        <f>+G5081*F5081</f>
        <v>8970</v>
      </c>
      <c r="M5081" s="405">
        <v>3.9E-2</v>
      </c>
    </row>
    <row r="5082" spans="2:13" ht="18.75" customHeight="1" x14ac:dyDescent="0.25">
      <c r="B5082" s="550"/>
      <c r="C5082" s="223" t="s">
        <v>1052</v>
      </c>
      <c r="D5082" s="550"/>
      <c r="E5082" s="550" t="s">
        <v>62</v>
      </c>
      <c r="F5082" s="405">
        <v>1.5</v>
      </c>
      <c r="G5082" s="234">
        <f>G5083</f>
        <v>14500</v>
      </c>
      <c r="H5082" s="230">
        <f>+G5082*F5082</f>
        <v>21750</v>
      </c>
      <c r="M5082" s="405">
        <v>1.5</v>
      </c>
    </row>
    <row r="5083" spans="2:13" ht="18.75" customHeight="1" x14ac:dyDescent="0.25">
      <c r="B5083" s="550"/>
      <c r="C5083" s="223" t="s">
        <v>1018</v>
      </c>
      <c r="D5083" s="550"/>
      <c r="E5083" s="550" t="s">
        <v>5</v>
      </c>
      <c r="F5083" s="405">
        <v>2</v>
      </c>
      <c r="G5083" s="410">
        <f>G5052</f>
        <v>14500</v>
      </c>
      <c r="H5083" s="230">
        <f>+G5083*F5083</f>
        <v>29000</v>
      </c>
      <c r="M5083" s="405">
        <v>2</v>
      </c>
    </row>
    <row r="5084" spans="2:13" ht="18.75" customHeight="1" x14ac:dyDescent="0.25">
      <c r="B5084" s="550"/>
      <c r="C5084" s="223"/>
      <c r="D5084" s="550"/>
      <c r="E5084" s="224"/>
      <c r="F5084" s="237" t="s">
        <v>643</v>
      </c>
      <c r="G5084" s="290"/>
      <c r="H5084" s="231">
        <f>H5077+H5080+H5081+H5083</f>
        <v>126122.99999999999</v>
      </c>
      <c r="M5084" s="237" t="s">
        <v>643</v>
      </c>
    </row>
    <row r="5085" spans="2:13" ht="18.75" customHeight="1" x14ac:dyDescent="0.25">
      <c r="B5085" s="550"/>
      <c r="C5085" s="223"/>
      <c r="D5085" s="550"/>
      <c r="E5085" s="224"/>
      <c r="F5085" s="237" t="s">
        <v>643</v>
      </c>
      <c r="G5085" s="290"/>
      <c r="H5085" s="231">
        <f>H5078+H5079+H5081+H5082</f>
        <v>114708.5</v>
      </c>
      <c r="M5085" s="237" t="s">
        <v>643</v>
      </c>
    </row>
    <row r="5086" spans="2:13" ht="18.75" customHeight="1" x14ac:dyDescent="0.25">
      <c r="B5086" s="550"/>
      <c r="C5086" s="223"/>
      <c r="D5086" s="550"/>
      <c r="E5086" s="224"/>
      <c r="F5086" s="225"/>
      <c r="G5086" s="290"/>
      <c r="H5086" s="226"/>
      <c r="M5086" s="225"/>
    </row>
    <row r="5087" spans="2:13" ht="18.75" customHeight="1" x14ac:dyDescent="0.25">
      <c r="B5087" s="550" t="s">
        <v>644</v>
      </c>
      <c r="C5087" s="223" t="s">
        <v>645</v>
      </c>
      <c r="D5087" s="550"/>
      <c r="E5087" s="224"/>
      <c r="F5087" s="225"/>
      <c r="G5087" s="290"/>
      <c r="H5087" s="235"/>
      <c r="M5087" s="225"/>
    </row>
    <row r="5088" spans="2:13" ht="18.75" customHeight="1" x14ac:dyDescent="0.25">
      <c r="B5088" s="236"/>
      <c r="C5088" s="232"/>
      <c r="D5088" s="550"/>
      <c r="E5088" s="224"/>
      <c r="F5088" s="237" t="s">
        <v>646</v>
      </c>
      <c r="G5088" s="290"/>
      <c r="H5088" s="230"/>
      <c r="M5088" s="237" t="s">
        <v>646</v>
      </c>
    </row>
    <row r="5089" spans="2:13" ht="18.75" customHeight="1" x14ac:dyDescent="0.25">
      <c r="B5089" s="236"/>
      <c r="C5089" s="232"/>
      <c r="D5089" s="550"/>
      <c r="E5089" s="224"/>
      <c r="F5089" s="237"/>
      <c r="G5089" s="290"/>
      <c r="H5089" s="226"/>
      <c r="M5089" s="237"/>
    </row>
    <row r="5090" spans="2:13" ht="18.75" customHeight="1" x14ac:dyDescent="0.25">
      <c r="B5090" s="354"/>
      <c r="C5090" s="362"/>
      <c r="D5090" s="239"/>
      <c r="E5090" s="240"/>
      <c r="F5090" s="241"/>
      <c r="G5090" s="293"/>
      <c r="H5090" s="355"/>
      <c r="M5090" s="241"/>
    </row>
    <row r="5091" spans="2:13" ht="18.75" customHeight="1" x14ac:dyDescent="0.25">
      <c r="B5091" s="356" t="s">
        <v>647</v>
      </c>
      <c r="C5091" s="363" t="s">
        <v>648</v>
      </c>
      <c r="D5091" s="435"/>
      <c r="E5091" s="92"/>
      <c r="F5091" s="183"/>
      <c r="G5091" s="295"/>
      <c r="H5091" s="357">
        <f>+H5088+H5084+H5074</f>
        <v>240048</v>
      </c>
      <c r="M5091" s="183"/>
    </row>
    <row r="5092" spans="2:13" ht="18.75" customHeight="1" x14ac:dyDescent="0.25">
      <c r="B5092" s="356" t="s">
        <v>649</v>
      </c>
      <c r="C5092" s="364" t="s">
        <v>650</v>
      </c>
      <c r="D5092" s="435"/>
      <c r="E5092" s="92"/>
      <c r="F5092" s="184" t="str">
        <f>$J$5</f>
        <v>8,0 % x D</v>
      </c>
      <c r="G5092" s="295"/>
      <c r="H5092" s="358">
        <f>+H5091*$K$5</f>
        <v>19203.84</v>
      </c>
      <c r="M5092" s="184" t="str">
        <f>$J$5</f>
        <v>8,0 % x D</v>
      </c>
    </row>
    <row r="5093" spans="2:13" ht="18.75" customHeight="1" x14ac:dyDescent="0.25">
      <c r="B5093" s="356" t="s">
        <v>651</v>
      </c>
      <c r="C5093" s="365" t="s">
        <v>652</v>
      </c>
      <c r="D5093" s="435"/>
      <c r="E5093" s="91"/>
      <c r="F5093" s="185"/>
      <c r="G5093" s="296"/>
      <c r="H5093" s="359">
        <f>ROUNDUP((H5092+H5091)/100,0)*100</f>
        <v>259300</v>
      </c>
      <c r="M5093" s="185"/>
    </row>
    <row r="5094" spans="2:13" ht="18.75" customHeight="1" x14ac:dyDescent="0.25">
      <c r="B5094" s="356"/>
      <c r="C5094" s="365"/>
      <c r="D5094" s="435"/>
      <c r="E5094" s="91"/>
      <c r="F5094" s="185"/>
      <c r="G5094" s="296"/>
      <c r="H5094" s="359"/>
      <c r="M5094" s="185"/>
    </row>
    <row r="5095" spans="2:13" ht="18.75" customHeight="1" x14ac:dyDescent="0.25">
      <c r="B5095" s="356" t="s">
        <v>825</v>
      </c>
      <c r="C5095" s="363" t="s">
        <v>648</v>
      </c>
      <c r="D5095" s="435"/>
      <c r="E5095" s="92"/>
      <c r="F5095" s="183"/>
      <c r="G5095" s="295"/>
      <c r="H5095" s="357">
        <f>H5074+H5085</f>
        <v>228633.5</v>
      </c>
      <c r="M5095" s="183"/>
    </row>
    <row r="5096" spans="2:13" ht="18.75" customHeight="1" x14ac:dyDescent="0.25">
      <c r="B5096" s="356" t="s">
        <v>827</v>
      </c>
      <c r="C5096" s="364" t="s">
        <v>650</v>
      </c>
      <c r="D5096" s="435"/>
      <c r="E5096" s="92"/>
      <c r="F5096" s="184" t="str">
        <f>$J$5</f>
        <v>8,0 % x D</v>
      </c>
      <c r="G5096" s="295"/>
      <c r="H5096" s="358">
        <f>+H5095*$K$5</f>
        <v>18290.68</v>
      </c>
      <c r="M5096" s="184" t="str">
        <f>$J$5</f>
        <v>8,0 % x D</v>
      </c>
    </row>
    <row r="5097" spans="2:13" ht="18.75" customHeight="1" x14ac:dyDescent="0.25">
      <c r="B5097" s="356" t="s">
        <v>617</v>
      </c>
      <c r="C5097" s="365" t="s">
        <v>1490</v>
      </c>
      <c r="D5097" s="435"/>
      <c r="E5097" s="91"/>
      <c r="F5097" s="185"/>
      <c r="G5097" s="296"/>
      <c r="H5097" s="359">
        <f>ROUNDUP((H5096+H5095)/100,0)*100</f>
        <v>247000</v>
      </c>
      <c r="M5097" s="185"/>
    </row>
    <row r="5098" spans="2:13" ht="18.75" customHeight="1" x14ac:dyDescent="0.25">
      <c r="B5098" s="360"/>
      <c r="C5098" s="366"/>
      <c r="D5098" s="245"/>
      <c r="E5098" s="246"/>
      <c r="F5098" s="247"/>
      <c r="G5098" s="299"/>
      <c r="H5098" s="361"/>
      <c r="M5098" s="247"/>
    </row>
    <row r="5099" spans="2:13" ht="18.75" customHeight="1" x14ac:dyDescent="0.25">
      <c r="B5099" s="78"/>
      <c r="C5099" s="115"/>
      <c r="D5099" s="78"/>
      <c r="E5099" s="79"/>
      <c r="F5099" s="209"/>
      <c r="G5099" s="175"/>
      <c r="H5099" s="159"/>
      <c r="M5099" s="209"/>
    </row>
    <row r="5100" spans="2:13" ht="18.75" customHeight="1" x14ac:dyDescent="0.25">
      <c r="B5100" s="19" t="s">
        <v>1615</v>
      </c>
      <c r="C5100" s="93" t="s">
        <v>1804</v>
      </c>
      <c r="D5100" s="19"/>
      <c r="E5100" s="21"/>
      <c r="F5100" s="176"/>
      <c r="G5100" s="165"/>
      <c r="H5100" s="119"/>
      <c r="M5100" s="176"/>
    </row>
    <row r="5101" spans="2:13" ht="18.75" customHeight="1" x14ac:dyDescent="0.25">
      <c r="B5101" s="19" t="s">
        <v>1616</v>
      </c>
      <c r="C5101" s="93" t="s">
        <v>1805</v>
      </c>
      <c r="D5101" s="19"/>
      <c r="E5101" s="21"/>
      <c r="F5101" s="176"/>
      <c r="G5101" s="165"/>
      <c r="H5101" s="119"/>
      <c r="M5101" s="176"/>
    </row>
    <row r="5102" spans="2:13" ht="18.75" customHeight="1" x14ac:dyDescent="0.25">
      <c r="B5102" s="618" t="s">
        <v>620</v>
      </c>
      <c r="C5102" s="620" t="s">
        <v>621</v>
      </c>
      <c r="D5102" s="618" t="s">
        <v>622</v>
      </c>
      <c r="E5102" s="618" t="s">
        <v>2</v>
      </c>
      <c r="F5102" s="615" t="s">
        <v>623</v>
      </c>
      <c r="G5102" s="289" t="s">
        <v>624</v>
      </c>
      <c r="H5102" s="256" t="s">
        <v>625</v>
      </c>
      <c r="M5102" s="615" t="s">
        <v>623</v>
      </c>
    </row>
    <row r="5103" spans="2:13" ht="18.75" customHeight="1" x14ac:dyDescent="0.25">
      <c r="B5103" s="619"/>
      <c r="C5103" s="621"/>
      <c r="D5103" s="619"/>
      <c r="E5103" s="619"/>
      <c r="F5103" s="616"/>
      <c r="G5103" s="289" t="s">
        <v>626</v>
      </c>
      <c r="H5103" s="256" t="s">
        <v>626</v>
      </c>
      <c r="M5103" s="616"/>
    </row>
    <row r="5104" spans="2:13" ht="18.75" customHeight="1" x14ac:dyDescent="0.25">
      <c r="B5104" s="221"/>
      <c r="C5104" s="222"/>
      <c r="D5104" s="221"/>
      <c r="E5104" s="550"/>
      <c r="F5104" s="555"/>
      <c r="G5104" s="551"/>
      <c r="H5104" s="220"/>
      <c r="M5104" s="590"/>
    </row>
    <row r="5105" spans="2:13" ht="18.75" customHeight="1" x14ac:dyDescent="0.25">
      <c r="B5105" s="550" t="s">
        <v>627</v>
      </c>
      <c r="C5105" s="223" t="s">
        <v>628</v>
      </c>
      <c r="D5105" s="550"/>
      <c r="E5105" s="224"/>
      <c r="F5105" s="225"/>
      <c r="G5105" s="290"/>
      <c r="H5105" s="226"/>
      <c r="M5105" s="225"/>
    </row>
    <row r="5106" spans="2:13" ht="18.75" customHeight="1" x14ac:dyDescent="0.25">
      <c r="B5106" s="550"/>
      <c r="C5106" s="227" t="s">
        <v>629</v>
      </c>
      <c r="D5106" s="550" t="s">
        <v>630</v>
      </c>
      <c r="E5106" s="224" t="s">
        <v>631</v>
      </c>
      <c r="F5106" s="228">
        <f t="shared" ref="F5106:F5109" si="234">$K$8*M5106</f>
        <v>7.4999999999999997E-2</v>
      </c>
      <c r="G5106" s="229">
        <f>G5070</f>
        <v>95000</v>
      </c>
      <c r="H5106" s="230">
        <f>+G5106*F5106</f>
        <v>7125</v>
      </c>
      <c r="M5106" s="228">
        <v>7.4999999999999997E-2</v>
      </c>
    </row>
    <row r="5107" spans="2:13" ht="18.75" customHeight="1" x14ac:dyDescent="0.25">
      <c r="B5107" s="550"/>
      <c r="C5107" s="227" t="s">
        <v>1508</v>
      </c>
      <c r="D5107" s="550" t="s">
        <v>632</v>
      </c>
      <c r="E5107" s="224" t="s">
        <v>631</v>
      </c>
      <c r="F5107" s="228">
        <f t="shared" si="234"/>
        <v>7.4999999999999997E-2</v>
      </c>
      <c r="G5107" s="229">
        <f>G5071</f>
        <v>110000</v>
      </c>
      <c r="H5107" s="230">
        <f>+G5107*F5107</f>
        <v>8250</v>
      </c>
      <c r="M5107" s="228">
        <v>7.4999999999999997E-2</v>
      </c>
    </row>
    <row r="5108" spans="2:13" ht="18.75" customHeight="1" x14ac:dyDescent="0.25">
      <c r="B5108" s="550"/>
      <c r="C5108" s="227" t="s">
        <v>633</v>
      </c>
      <c r="D5108" s="550" t="s">
        <v>634</v>
      </c>
      <c r="E5108" s="224" t="s">
        <v>631</v>
      </c>
      <c r="F5108" s="228">
        <f t="shared" si="234"/>
        <v>3.0000000000000001E-3</v>
      </c>
      <c r="G5108" s="229">
        <f>G5072</f>
        <v>115000</v>
      </c>
      <c r="H5108" s="230">
        <f>+G5108*F5108</f>
        <v>345</v>
      </c>
      <c r="M5108" s="228">
        <v>3.0000000000000001E-3</v>
      </c>
    </row>
    <row r="5109" spans="2:13" ht="18.75" customHeight="1" x14ac:dyDescent="0.25">
      <c r="B5109" s="550"/>
      <c r="C5109" s="227" t="s">
        <v>600</v>
      </c>
      <c r="D5109" s="550" t="s">
        <v>635</v>
      </c>
      <c r="E5109" s="224" t="s">
        <v>631</v>
      </c>
      <c r="F5109" s="228">
        <f t="shared" si="234"/>
        <v>3.0000000000000001E-3</v>
      </c>
      <c r="G5109" s="229">
        <f>G5073</f>
        <v>140000</v>
      </c>
      <c r="H5109" s="230">
        <f>+G5109*F5109</f>
        <v>420</v>
      </c>
      <c r="M5109" s="228">
        <v>3.0000000000000001E-3</v>
      </c>
    </row>
    <row r="5110" spans="2:13" ht="18.75" customHeight="1" x14ac:dyDescent="0.25">
      <c r="B5110" s="550"/>
      <c r="C5110" s="223"/>
      <c r="D5110" s="550"/>
      <c r="E5110" s="224"/>
      <c r="F5110" s="233" t="s">
        <v>636</v>
      </c>
      <c r="G5110" s="290"/>
      <c r="H5110" s="231">
        <f>SUM(H5106:H5109)</f>
        <v>16140</v>
      </c>
      <c r="M5110" s="233" t="s">
        <v>636</v>
      </c>
    </row>
    <row r="5111" spans="2:13" ht="18.75" customHeight="1" x14ac:dyDescent="0.25">
      <c r="B5111" s="550" t="s">
        <v>637</v>
      </c>
      <c r="C5111" s="223" t="s">
        <v>638</v>
      </c>
      <c r="D5111" s="550"/>
      <c r="E5111" s="224"/>
      <c r="F5111" s="225"/>
      <c r="G5111" s="290"/>
      <c r="H5111" s="226"/>
      <c r="M5111" s="225"/>
    </row>
    <row r="5112" spans="2:13" ht="18.75" customHeight="1" x14ac:dyDescent="0.25">
      <c r="B5112" s="550"/>
      <c r="C5112" s="223" t="s">
        <v>1053</v>
      </c>
      <c r="D5112" s="550"/>
      <c r="E5112" s="550" t="s">
        <v>16</v>
      </c>
      <c r="F5112" s="405">
        <v>5.3</v>
      </c>
      <c r="G5112" s="418">
        <f>Bahan!D290/(1/0.1/0.2)</f>
        <v>1200</v>
      </c>
      <c r="H5112" s="230">
        <f>+G5112*F5112</f>
        <v>6360</v>
      </c>
      <c r="M5112" s="405">
        <v>5.3</v>
      </c>
    </row>
    <row r="5113" spans="2:13" ht="18.75" customHeight="1" x14ac:dyDescent="0.25">
      <c r="B5113" s="550"/>
      <c r="C5113" s="223" t="s">
        <v>1054</v>
      </c>
      <c r="D5113" s="550"/>
      <c r="E5113" s="550" t="s">
        <v>16</v>
      </c>
      <c r="F5113" s="405">
        <v>1.1000000000000001</v>
      </c>
      <c r="G5113" s="418">
        <f>Bahan!D290/(1/0.1/0.3)</f>
        <v>1799.9999999999998</v>
      </c>
      <c r="H5113" s="230">
        <f>+G5113*F5113</f>
        <v>1980</v>
      </c>
      <c r="M5113" s="405">
        <v>1.1000000000000001</v>
      </c>
    </row>
    <row r="5114" spans="2:13" ht="18.75" customHeight="1" x14ac:dyDescent="0.25">
      <c r="B5114" s="550"/>
      <c r="C5114" s="223" t="s">
        <v>708</v>
      </c>
      <c r="D5114" s="550"/>
      <c r="E5114" s="550" t="s">
        <v>5</v>
      </c>
      <c r="F5114" s="405">
        <v>1.1399999999999999</v>
      </c>
      <c r="G5114" s="234">
        <f>G5080</f>
        <v>1700</v>
      </c>
      <c r="H5114" s="230">
        <f>+G5114*F5114</f>
        <v>1937.9999999999998</v>
      </c>
      <c r="M5114" s="405">
        <v>1.1399999999999999</v>
      </c>
    </row>
    <row r="5115" spans="2:13" ht="18.75" customHeight="1" x14ac:dyDescent="0.25">
      <c r="B5115" s="550"/>
      <c r="C5115" s="223" t="s">
        <v>661</v>
      </c>
      <c r="D5115" s="550"/>
      <c r="E5115" s="550" t="s">
        <v>1013</v>
      </c>
      <c r="F5115" s="405">
        <v>3.0000000000000001E-3</v>
      </c>
      <c r="G5115" s="234">
        <f>G5081</f>
        <v>230000</v>
      </c>
      <c r="H5115" s="230">
        <f>+G5115*F5115</f>
        <v>690</v>
      </c>
      <c r="M5115" s="405">
        <v>3.0000000000000001E-3</v>
      </c>
    </row>
    <row r="5116" spans="2:13" ht="18.75" customHeight="1" x14ac:dyDescent="0.25">
      <c r="B5116" s="550"/>
      <c r="C5116" s="223" t="s">
        <v>1018</v>
      </c>
      <c r="D5116" s="550"/>
      <c r="E5116" s="550" t="s">
        <v>5</v>
      </c>
      <c r="F5116" s="405">
        <v>2.5000000000000001E-2</v>
      </c>
      <c r="G5116" s="410">
        <f>G5083</f>
        <v>14500</v>
      </c>
      <c r="H5116" s="230">
        <f>+G5116*F5116</f>
        <v>362.5</v>
      </c>
      <c r="M5116" s="405">
        <v>2.5000000000000001E-2</v>
      </c>
    </row>
    <row r="5117" spans="2:13" ht="18.75" customHeight="1" x14ac:dyDescent="0.25">
      <c r="B5117" s="550"/>
      <c r="C5117" s="223"/>
      <c r="D5117" s="550"/>
      <c r="E5117" s="224"/>
      <c r="F5117" s="237" t="s">
        <v>643</v>
      </c>
      <c r="G5117" s="290"/>
      <c r="H5117" s="231">
        <f>H5112+H5114+H5115+H5116</f>
        <v>9350.5</v>
      </c>
      <c r="M5117" s="237" t="s">
        <v>643</v>
      </c>
    </row>
    <row r="5118" spans="2:13" ht="18.75" customHeight="1" x14ac:dyDescent="0.25">
      <c r="B5118" s="550"/>
      <c r="C5118" s="223"/>
      <c r="D5118" s="550"/>
      <c r="E5118" s="224"/>
      <c r="F5118" s="237" t="s">
        <v>643</v>
      </c>
      <c r="G5118" s="290"/>
      <c r="H5118" s="231">
        <f>H5113+H5114+H5115+H5116</f>
        <v>4970.5</v>
      </c>
      <c r="M5118" s="237" t="s">
        <v>643</v>
      </c>
    </row>
    <row r="5119" spans="2:13" ht="18.75" customHeight="1" x14ac:dyDescent="0.25">
      <c r="B5119" s="550"/>
      <c r="C5119" s="223"/>
      <c r="D5119" s="550"/>
      <c r="E5119" s="224"/>
      <c r="F5119" s="225"/>
      <c r="G5119" s="290"/>
      <c r="H5119" s="226"/>
      <c r="M5119" s="225"/>
    </row>
    <row r="5120" spans="2:13" ht="18.75" customHeight="1" x14ac:dyDescent="0.25">
      <c r="B5120" s="550" t="s">
        <v>644</v>
      </c>
      <c r="C5120" s="223" t="s">
        <v>645</v>
      </c>
      <c r="D5120" s="550"/>
      <c r="E5120" s="224"/>
      <c r="F5120" s="225"/>
      <c r="G5120" s="290"/>
      <c r="H5120" s="235"/>
      <c r="M5120" s="225"/>
    </row>
    <row r="5121" spans="2:13" ht="18.75" customHeight="1" x14ac:dyDescent="0.25">
      <c r="B5121" s="236"/>
      <c r="C5121" s="232"/>
      <c r="D5121" s="550"/>
      <c r="E5121" s="224"/>
      <c r="F5121" s="237" t="s">
        <v>646</v>
      </c>
      <c r="G5121" s="290"/>
      <c r="H5121" s="230"/>
      <c r="M5121" s="237" t="s">
        <v>646</v>
      </c>
    </row>
    <row r="5122" spans="2:13" ht="18.75" customHeight="1" x14ac:dyDescent="0.25">
      <c r="B5122" s="236"/>
      <c r="C5122" s="232"/>
      <c r="D5122" s="550"/>
      <c r="E5122" s="224"/>
      <c r="F5122" s="237"/>
      <c r="G5122" s="290"/>
      <c r="H5122" s="226"/>
      <c r="M5122" s="237"/>
    </row>
    <row r="5123" spans="2:13" ht="18.75" customHeight="1" x14ac:dyDescent="0.25">
      <c r="B5123" s="354"/>
      <c r="C5123" s="362"/>
      <c r="D5123" s="239"/>
      <c r="E5123" s="240"/>
      <c r="F5123" s="241"/>
      <c r="G5123" s="293"/>
      <c r="H5123" s="355"/>
      <c r="M5123" s="241"/>
    </row>
    <row r="5124" spans="2:13" ht="18.75" customHeight="1" x14ac:dyDescent="0.25">
      <c r="B5124" s="356" t="s">
        <v>647</v>
      </c>
      <c r="C5124" s="363" t="s">
        <v>648</v>
      </c>
      <c r="D5124" s="435"/>
      <c r="E5124" s="92"/>
      <c r="F5124" s="183"/>
      <c r="G5124" s="295"/>
      <c r="H5124" s="357">
        <f>H5110+H5117</f>
        <v>25490.5</v>
      </c>
      <c r="M5124" s="183"/>
    </row>
    <row r="5125" spans="2:13" ht="18.75" customHeight="1" x14ac:dyDescent="0.25">
      <c r="B5125" s="356" t="s">
        <v>649</v>
      </c>
      <c r="C5125" s="364" t="s">
        <v>650</v>
      </c>
      <c r="D5125" s="435"/>
      <c r="E5125" s="92"/>
      <c r="F5125" s="184" t="str">
        <f>$J$5</f>
        <v>8,0 % x D</v>
      </c>
      <c r="G5125" s="295"/>
      <c r="H5125" s="358">
        <f>+H5124*$K$5</f>
        <v>2039.24</v>
      </c>
      <c r="M5125" s="184" t="str">
        <f>$J$5</f>
        <v>8,0 % x D</v>
      </c>
    </row>
    <row r="5126" spans="2:13" ht="18.75" customHeight="1" x14ac:dyDescent="0.25">
      <c r="B5126" s="356" t="s">
        <v>651</v>
      </c>
      <c r="C5126" s="365" t="s">
        <v>652</v>
      </c>
      <c r="D5126" s="435"/>
      <c r="E5126" s="91"/>
      <c r="F5126" s="185"/>
      <c r="G5126" s="296"/>
      <c r="H5126" s="359">
        <f>ROUNDUP((H5125+H5124)/100,0)*100</f>
        <v>27600</v>
      </c>
      <c r="M5126" s="185"/>
    </row>
    <row r="5127" spans="2:13" ht="18.75" customHeight="1" x14ac:dyDescent="0.25">
      <c r="B5127" s="356"/>
      <c r="C5127" s="363"/>
      <c r="D5127" s="435"/>
      <c r="E5127" s="92"/>
      <c r="F5127" s="183"/>
      <c r="G5127" s="295"/>
      <c r="H5127" s="357"/>
      <c r="M5127" s="183"/>
    </row>
    <row r="5128" spans="2:13" ht="18.75" customHeight="1" x14ac:dyDescent="0.25">
      <c r="B5128" s="356" t="s">
        <v>825</v>
      </c>
      <c r="C5128" s="363" t="s">
        <v>648</v>
      </c>
      <c r="D5128" s="435"/>
      <c r="E5128" s="92"/>
      <c r="F5128" s="183"/>
      <c r="G5128" s="295"/>
      <c r="H5128" s="357">
        <f>H5110+H5118</f>
        <v>21110.5</v>
      </c>
      <c r="M5128" s="183"/>
    </row>
    <row r="5129" spans="2:13" ht="18.75" customHeight="1" x14ac:dyDescent="0.25">
      <c r="B5129" s="356" t="s">
        <v>827</v>
      </c>
      <c r="C5129" s="364" t="s">
        <v>650</v>
      </c>
      <c r="D5129" s="435"/>
      <c r="E5129" s="92"/>
      <c r="F5129" s="184" t="str">
        <f>$J$5</f>
        <v>8,0 % x D</v>
      </c>
      <c r="G5129" s="295"/>
      <c r="H5129" s="358">
        <f>+H5128*$K$5</f>
        <v>1688.8400000000001</v>
      </c>
      <c r="M5129" s="184" t="str">
        <f>$J$5</f>
        <v>8,0 % x D</v>
      </c>
    </row>
    <row r="5130" spans="2:13" ht="18.75" customHeight="1" x14ac:dyDescent="0.25">
      <c r="B5130" s="356" t="s">
        <v>617</v>
      </c>
      <c r="C5130" s="365" t="s">
        <v>1490</v>
      </c>
      <c r="D5130" s="435"/>
      <c r="E5130" s="91"/>
      <c r="F5130" s="185"/>
      <c r="G5130" s="296"/>
      <c r="H5130" s="359">
        <f>ROUNDUP((H5129+H5128)/100,0)*100</f>
        <v>22800</v>
      </c>
      <c r="M5130" s="185"/>
    </row>
    <row r="5131" spans="2:13" ht="18.75" customHeight="1" x14ac:dyDescent="0.25">
      <c r="B5131" s="360"/>
      <c r="C5131" s="366"/>
      <c r="D5131" s="245"/>
      <c r="E5131" s="246"/>
      <c r="F5131" s="247"/>
      <c r="G5131" s="299"/>
      <c r="H5131" s="361"/>
      <c r="M5131" s="247"/>
    </row>
    <row r="5132" spans="2:13" ht="18.75" customHeight="1" x14ac:dyDescent="0.25">
      <c r="B5132" s="92"/>
      <c r="C5132" s="104"/>
      <c r="D5132" s="435"/>
      <c r="E5132" s="91"/>
      <c r="F5132" s="185"/>
      <c r="G5132" s="168"/>
      <c r="H5132" s="139"/>
      <c r="M5132" s="185"/>
    </row>
    <row r="5133" spans="2:13" ht="18.75" customHeight="1" x14ac:dyDescent="0.25">
      <c r="B5133" s="19">
        <v>38</v>
      </c>
      <c r="C5133" s="93" t="s">
        <v>1806</v>
      </c>
      <c r="D5133" s="19"/>
      <c r="E5133" s="21"/>
      <c r="F5133" s="176"/>
      <c r="G5133" s="165"/>
      <c r="H5133" s="119"/>
      <c r="M5133" s="176"/>
    </row>
    <row r="5134" spans="2:13" ht="18.75" customHeight="1" x14ac:dyDescent="0.25">
      <c r="B5134" s="618" t="s">
        <v>620</v>
      </c>
      <c r="C5134" s="620" t="s">
        <v>621</v>
      </c>
      <c r="D5134" s="618" t="s">
        <v>622</v>
      </c>
      <c r="E5134" s="618" t="s">
        <v>2</v>
      </c>
      <c r="F5134" s="615" t="s">
        <v>623</v>
      </c>
      <c r="G5134" s="289" t="s">
        <v>624</v>
      </c>
      <c r="H5134" s="256" t="s">
        <v>625</v>
      </c>
      <c r="M5134" s="615" t="s">
        <v>623</v>
      </c>
    </row>
    <row r="5135" spans="2:13" ht="18.75" customHeight="1" x14ac:dyDescent="0.25">
      <c r="B5135" s="619"/>
      <c r="C5135" s="621"/>
      <c r="D5135" s="619"/>
      <c r="E5135" s="619"/>
      <c r="F5135" s="616"/>
      <c r="G5135" s="289" t="s">
        <v>626</v>
      </c>
      <c r="H5135" s="256" t="s">
        <v>626</v>
      </c>
      <c r="M5135" s="616"/>
    </row>
    <row r="5136" spans="2:13" ht="18.75" customHeight="1" x14ac:dyDescent="0.25">
      <c r="B5136" s="221"/>
      <c r="C5136" s="222"/>
      <c r="D5136" s="221"/>
      <c r="E5136" s="550"/>
      <c r="F5136" s="555"/>
      <c r="G5136" s="551"/>
      <c r="H5136" s="220"/>
      <c r="M5136" s="590"/>
    </row>
    <row r="5137" spans="2:14" ht="18.75" customHeight="1" x14ac:dyDescent="0.25">
      <c r="B5137" s="550" t="s">
        <v>627</v>
      </c>
      <c r="C5137" s="223" t="s">
        <v>628</v>
      </c>
      <c r="D5137" s="550"/>
      <c r="E5137" s="224"/>
      <c r="F5137" s="225"/>
      <c r="G5137" s="290"/>
      <c r="H5137" s="226"/>
      <c r="M5137" s="225"/>
    </row>
    <row r="5138" spans="2:14" ht="18.75" customHeight="1" x14ac:dyDescent="0.25">
      <c r="B5138" s="550"/>
      <c r="C5138" s="227" t="s">
        <v>629</v>
      </c>
      <c r="D5138" s="550" t="s">
        <v>630</v>
      </c>
      <c r="E5138" s="224" t="s">
        <v>631</v>
      </c>
      <c r="F5138" s="228">
        <f t="shared" ref="F5138:F5141" si="235">$K$8*M5138</f>
        <v>0.12</v>
      </c>
      <c r="G5138" s="229">
        <f>G5106</f>
        <v>95000</v>
      </c>
      <c r="H5138" s="230">
        <f>+G5138*F5138</f>
        <v>11400</v>
      </c>
      <c r="M5138" s="228">
        <v>0.12</v>
      </c>
    </row>
    <row r="5139" spans="2:14" ht="18.75" customHeight="1" x14ac:dyDescent="0.25">
      <c r="B5139" s="550"/>
      <c r="C5139" s="227" t="s">
        <v>1508</v>
      </c>
      <c r="D5139" s="550" t="s">
        <v>632</v>
      </c>
      <c r="E5139" s="224" t="s">
        <v>631</v>
      </c>
      <c r="F5139" s="228">
        <f t="shared" si="235"/>
        <v>0.12</v>
      </c>
      <c r="G5139" s="229">
        <f>G5107</f>
        <v>110000</v>
      </c>
      <c r="H5139" s="230">
        <f>+G5139*F5139</f>
        <v>13200</v>
      </c>
      <c r="M5139" s="228">
        <v>0.12</v>
      </c>
    </row>
    <row r="5140" spans="2:14" ht="18.75" customHeight="1" x14ac:dyDescent="0.25">
      <c r="B5140" s="550"/>
      <c r="C5140" s="227" t="s">
        <v>633</v>
      </c>
      <c r="D5140" s="550" t="s">
        <v>634</v>
      </c>
      <c r="E5140" s="224" t="s">
        <v>631</v>
      </c>
      <c r="F5140" s="228">
        <f t="shared" si="235"/>
        <v>1.2E-2</v>
      </c>
      <c r="G5140" s="229">
        <f>G5108</f>
        <v>115000</v>
      </c>
      <c r="H5140" s="230">
        <f>+G5140*F5140</f>
        <v>1380</v>
      </c>
      <c r="M5140" s="228">
        <v>1.2E-2</v>
      </c>
    </row>
    <row r="5141" spans="2:14" ht="18.75" customHeight="1" x14ac:dyDescent="0.25">
      <c r="B5141" s="550"/>
      <c r="C5141" s="227" t="s">
        <v>600</v>
      </c>
      <c r="D5141" s="550" t="s">
        <v>635</v>
      </c>
      <c r="E5141" s="224" t="s">
        <v>631</v>
      </c>
      <c r="F5141" s="228">
        <f t="shared" si="235"/>
        <v>6.0000000000000001E-3</v>
      </c>
      <c r="G5141" s="229">
        <f>G5109</f>
        <v>140000</v>
      </c>
      <c r="H5141" s="230">
        <f>+G5141*F5141</f>
        <v>840</v>
      </c>
      <c r="L5141" s="415"/>
      <c r="M5141" s="228">
        <v>6.0000000000000001E-3</v>
      </c>
      <c r="N5141" s="415"/>
    </row>
    <row r="5142" spans="2:14" ht="18.75" customHeight="1" x14ac:dyDescent="0.25">
      <c r="B5142" s="550"/>
      <c r="C5142" s="223"/>
      <c r="D5142" s="550"/>
      <c r="E5142" s="224"/>
      <c r="F5142" s="233" t="s">
        <v>636</v>
      </c>
      <c r="G5142" s="290"/>
      <c r="H5142" s="231">
        <f>SUM(H5138:H5141)</f>
        <v>26820</v>
      </c>
      <c r="L5142" s="415"/>
      <c r="M5142" s="233" t="s">
        <v>636</v>
      </c>
      <c r="N5142" s="415"/>
    </row>
    <row r="5143" spans="2:14" ht="18.75" customHeight="1" x14ac:dyDescent="0.25">
      <c r="B5143" s="550" t="s">
        <v>637</v>
      </c>
      <c r="C5143" s="223" t="s">
        <v>638</v>
      </c>
      <c r="D5143" s="550"/>
      <c r="E5143" s="224"/>
      <c r="F5143" s="225"/>
      <c r="G5143" s="290"/>
      <c r="H5143" s="226"/>
      <c r="L5143" s="415"/>
      <c r="M5143" s="225"/>
    </row>
    <row r="5144" spans="2:14" ht="18.75" customHeight="1" x14ac:dyDescent="0.25">
      <c r="B5144" s="550"/>
      <c r="C5144" s="223" t="s">
        <v>1056</v>
      </c>
      <c r="D5144" s="550"/>
      <c r="E5144" s="550" t="s">
        <v>52</v>
      </c>
      <c r="F5144" s="405">
        <v>3.0000000000000001E-3</v>
      </c>
      <c r="G5144" s="418">
        <f>Bahan!D246</f>
        <v>39500000</v>
      </c>
      <c r="H5144" s="230">
        <f>+G5144*F5144</f>
        <v>118500</v>
      </c>
      <c r="J5144" s="557" t="s">
        <v>220</v>
      </c>
      <c r="L5144" s="415"/>
      <c r="M5144" s="405">
        <v>3.0000000000000001E-3</v>
      </c>
    </row>
    <row r="5145" spans="2:14" ht="18.75" customHeight="1" x14ac:dyDescent="0.25">
      <c r="B5145" s="550"/>
      <c r="C5145" s="223" t="s">
        <v>1057</v>
      </c>
      <c r="D5145" s="550"/>
      <c r="E5145" s="550" t="s">
        <v>5</v>
      </c>
      <c r="F5145" s="405">
        <v>7.4999999999999997E-2</v>
      </c>
      <c r="G5145" s="418">
        <f>Bahan!D346</f>
        <v>28000</v>
      </c>
      <c r="H5145" s="230">
        <f>+G5145*F5145</f>
        <v>2100</v>
      </c>
      <c r="M5145" s="405">
        <v>7.4999999999999997E-2</v>
      </c>
    </row>
    <row r="5146" spans="2:14" ht="18.75" customHeight="1" x14ac:dyDescent="0.25">
      <c r="B5146" s="550"/>
      <c r="C5146" s="223"/>
      <c r="D5146" s="550"/>
      <c r="E5146" s="224"/>
      <c r="F5146" s="237" t="s">
        <v>643</v>
      </c>
      <c r="G5146" s="290"/>
      <c r="H5146" s="231">
        <f>SUM(H5144:H5145)</f>
        <v>120600</v>
      </c>
      <c r="M5146" s="237" t="s">
        <v>643</v>
      </c>
    </row>
    <row r="5147" spans="2:14" ht="18.75" customHeight="1" x14ac:dyDescent="0.25">
      <c r="B5147" s="550"/>
      <c r="C5147" s="223"/>
      <c r="D5147" s="550"/>
      <c r="E5147" s="224"/>
      <c r="F5147" s="225"/>
      <c r="G5147" s="290"/>
      <c r="H5147" s="226"/>
      <c r="M5147" s="225"/>
    </row>
    <row r="5148" spans="2:14" ht="18.75" customHeight="1" x14ac:dyDescent="0.25">
      <c r="B5148" s="550" t="s">
        <v>644</v>
      </c>
      <c r="C5148" s="223" t="s">
        <v>645</v>
      </c>
      <c r="D5148" s="550"/>
      <c r="E5148" s="224"/>
      <c r="F5148" s="225"/>
      <c r="G5148" s="290"/>
      <c r="H5148" s="235"/>
      <c r="M5148" s="225"/>
    </row>
    <row r="5149" spans="2:14" ht="18.75" customHeight="1" x14ac:dyDescent="0.25">
      <c r="B5149" s="236"/>
      <c r="C5149" s="232"/>
      <c r="D5149" s="550"/>
      <c r="E5149" s="224"/>
      <c r="F5149" s="237" t="s">
        <v>646</v>
      </c>
      <c r="G5149" s="290"/>
      <c r="H5149" s="230"/>
      <c r="M5149" s="237" t="s">
        <v>646</v>
      </c>
    </row>
    <row r="5150" spans="2:14" ht="18.75" customHeight="1" x14ac:dyDescent="0.25">
      <c r="B5150" s="236"/>
      <c r="C5150" s="232"/>
      <c r="D5150" s="550"/>
      <c r="E5150" s="224"/>
      <c r="F5150" s="237"/>
      <c r="G5150" s="290"/>
      <c r="H5150" s="226"/>
      <c r="M5150" s="237"/>
    </row>
    <row r="5151" spans="2:14" ht="18.75" customHeight="1" x14ac:dyDescent="0.25">
      <c r="B5151" s="354"/>
      <c r="C5151" s="362"/>
      <c r="D5151" s="239"/>
      <c r="E5151" s="266"/>
      <c r="F5151" s="241"/>
      <c r="G5151" s="370"/>
      <c r="H5151" s="369"/>
      <c r="M5151" s="241"/>
    </row>
    <row r="5152" spans="2:14" ht="18.75" customHeight="1" x14ac:dyDescent="0.25">
      <c r="B5152" s="356" t="s">
        <v>647</v>
      </c>
      <c r="C5152" s="363" t="s">
        <v>648</v>
      </c>
      <c r="D5152" s="435"/>
      <c r="E5152" s="92"/>
      <c r="F5152" s="183"/>
      <c r="G5152" s="295"/>
      <c r="H5152" s="357">
        <f>+H5149+H5146+H5142</f>
        <v>147420</v>
      </c>
      <c r="M5152" s="183"/>
    </row>
    <row r="5153" spans="2:13" ht="18.75" customHeight="1" x14ac:dyDescent="0.25">
      <c r="B5153" s="356" t="s">
        <v>649</v>
      </c>
      <c r="C5153" s="364" t="s">
        <v>650</v>
      </c>
      <c r="D5153" s="435"/>
      <c r="E5153" s="92"/>
      <c r="F5153" s="184" t="str">
        <f>$J$5</f>
        <v>8,0 % x D</v>
      </c>
      <c r="G5153" s="295"/>
      <c r="H5153" s="358">
        <f>+H5152*$K$5</f>
        <v>11793.6</v>
      </c>
      <c r="M5153" s="184" t="str">
        <f>$J$5</f>
        <v>8,0 % x D</v>
      </c>
    </row>
    <row r="5154" spans="2:13" ht="18.75" customHeight="1" x14ac:dyDescent="0.25">
      <c r="B5154" s="356" t="s">
        <v>651</v>
      </c>
      <c r="C5154" s="365" t="s">
        <v>652</v>
      </c>
      <c r="D5154" s="435"/>
      <c r="E5154" s="91"/>
      <c r="F5154" s="185"/>
      <c r="G5154" s="296"/>
      <c r="H5154" s="359">
        <f>ROUNDUP((H5153+H5152)/100,0)*100</f>
        <v>159300</v>
      </c>
      <c r="M5154" s="185"/>
    </row>
    <row r="5155" spans="2:13" ht="18.75" customHeight="1" x14ac:dyDescent="0.25">
      <c r="B5155" s="360"/>
      <c r="C5155" s="366"/>
      <c r="D5155" s="245"/>
      <c r="E5155" s="246"/>
      <c r="F5155" s="247"/>
      <c r="G5155" s="299"/>
      <c r="H5155" s="361"/>
      <c r="M5155" s="247"/>
    </row>
    <row r="5156" spans="2:13" ht="18.75" customHeight="1" x14ac:dyDescent="0.25">
      <c r="B5156" s="22"/>
      <c r="C5156" s="104"/>
      <c r="E5156" s="21"/>
      <c r="F5156" s="176"/>
      <c r="G5156" s="165"/>
      <c r="H5156" s="119"/>
      <c r="M5156" s="176"/>
    </row>
    <row r="5157" spans="2:13" ht="18.75" customHeight="1" x14ac:dyDescent="0.25">
      <c r="B5157" s="19">
        <v>39</v>
      </c>
      <c r="C5157" s="93" t="s">
        <v>1807</v>
      </c>
      <c r="D5157" s="19"/>
      <c r="E5157" s="21"/>
      <c r="F5157" s="176"/>
      <c r="G5157" s="165"/>
      <c r="H5157" s="119"/>
      <c r="M5157" s="176"/>
    </row>
    <row r="5158" spans="2:13" ht="18.75" customHeight="1" x14ac:dyDescent="0.25">
      <c r="B5158" s="618" t="s">
        <v>620</v>
      </c>
      <c r="C5158" s="620" t="s">
        <v>621</v>
      </c>
      <c r="D5158" s="618" t="s">
        <v>622</v>
      </c>
      <c r="E5158" s="618" t="s">
        <v>2</v>
      </c>
      <c r="F5158" s="615" t="s">
        <v>623</v>
      </c>
      <c r="G5158" s="289" t="s">
        <v>624</v>
      </c>
      <c r="H5158" s="256" t="s">
        <v>625</v>
      </c>
      <c r="M5158" s="615" t="s">
        <v>623</v>
      </c>
    </row>
    <row r="5159" spans="2:13" ht="18.75" customHeight="1" x14ac:dyDescent="0.25">
      <c r="B5159" s="619"/>
      <c r="C5159" s="621"/>
      <c r="D5159" s="619"/>
      <c r="E5159" s="619"/>
      <c r="F5159" s="616"/>
      <c r="G5159" s="289" t="s">
        <v>626</v>
      </c>
      <c r="H5159" s="256" t="s">
        <v>626</v>
      </c>
      <c r="M5159" s="616"/>
    </row>
    <row r="5160" spans="2:13" ht="18.75" customHeight="1" x14ac:dyDescent="0.25">
      <c r="B5160" s="221"/>
      <c r="C5160" s="222"/>
      <c r="D5160" s="221"/>
      <c r="E5160" s="550"/>
      <c r="F5160" s="555"/>
      <c r="G5160" s="551"/>
      <c r="H5160" s="220"/>
      <c r="M5160" s="590"/>
    </row>
    <row r="5161" spans="2:13" ht="18.75" customHeight="1" x14ac:dyDescent="0.25">
      <c r="B5161" s="550" t="s">
        <v>627</v>
      </c>
      <c r="C5161" s="223" t="s">
        <v>628</v>
      </c>
      <c r="D5161" s="550"/>
      <c r="E5161" s="224"/>
      <c r="F5161" s="225"/>
      <c r="G5161" s="290"/>
      <c r="H5161" s="226"/>
      <c r="M5161" s="225"/>
    </row>
    <row r="5162" spans="2:13" ht="18.75" customHeight="1" x14ac:dyDescent="0.25">
      <c r="B5162" s="550"/>
      <c r="C5162" s="227" t="s">
        <v>629</v>
      </c>
      <c r="D5162" s="550" t="s">
        <v>630</v>
      </c>
      <c r="E5162" s="224" t="s">
        <v>631</v>
      </c>
      <c r="F5162" s="228">
        <f t="shared" ref="F5162:F5165" si="236">$K$8*M5162</f>
        <v>0.09</v>
      </c>
      <c r="G5162" s="229">
        <f>G5138</f>
        <v>95000</v>
      </c>
      <c r="H5162" s="230">
        <f>+G5162*F5162</f>
        <v>8550</v>
      </c>
      <c r="M5162" s="228">
        <v>0.09</v>
      </c>
    </row>
    <row r="5163" spans="2:13" ht="18.75" customHeight="1" x14ac:dyDescent="0.25">
      <c r="B5163" s="550"/>
      <c r="C5163" s="227" t="s">
        <v>1508</v>
      </c>
      <c r="D5163" s="550" t="s">
        <v>632</v>
      </c>
      <c r="E5163" s="224" t="s">
        <v>631</v>
      </c>
      <c r="F5163" s="228">
        <f t="shared" si="236"/>
        <v>0.09</v>
      </c>
      <c r="G5163" s="229">
        <f>G5139</f>
        <v>110000</v>
      </c>
      <c r="H5163" s="230">
        <f>+G5163*F5163</f>
        <v>9900</v>
      </c>
      <c r="M5163" s="228">
        <v>0.09</v>
      </c>
    </row>
    <row r="5164" spans="2:13" ht="18.75" customHeight="1" x14ac:dyDescent="0.25">
      <c r="B5164" s="550"/>
      <c r="C5164" s="227" t="s">
        <v>633</v>
      </c>
      <c r="D5164" s="550" t="s">
        <v>634</v>
      </c>
      <c r="E5164" s="224" t="s">
        <v>631</v>
      </c>
      <c r="F5164" s="228">
        <f t="shared" si="236"/>
        <v>3.5000000000000003E-2</v>
      </c>
      <c r="G5164" s="229">
        <f>G5140</f>
        <v>115000</v>
      </c>
      <c r="H5164" s="230">
        <f>+G5164*F5164</f>
        <v>4025.0000000000005</v>
      </c>
      <c r="M5164" s="228">
        <v>3.5000000000000003E-2</v>
      </c>
    </row>
    <row r="5165" spans="2:13" ht="18.75" customHeight="1" x14ac:dyDescent="0.25">
      <c r="B5165" s="550"/>
      <c r="C5165" s="227" t="s">
        <v>600</v>
      </c>
      <c r="D5165" s="550" t="s">
        <v>635</v>
      </c>
      <c r="E5165" s="224" t="s">
        <v>631</v>
      </c>
      <c r="F5165" s="228">
        <f t="shared" si="236"/>
        <v>5.0000000000000001E-3</v>
      </c>
      <c r="G5165" s="229">
        <f>G5141</f>
        <v>140000</v>
      </c>
      <c r="H5165" s="230">
        <f>+G5165*F5165</f>
        <v>700</v>
      </c>
      <c r="M5165" s="228">
        <v>5.0000000000000001E-3</v>
      </c>
    </row>
    <row r="5166" spans="2:13" ht="18.75" customHeight="1" x14ac:dyDescent="0.25">
      <c r="B5166" s="550"/>
      <c r="C5166" s="223"/>
      <c r="D5166" s="550"/>
      <c r="E5166" s="224"/>
      <c r="F5166" s="233" t="s">
        <v>636</v>
      </c>
      <c r="G5166" s="290"/>
      <c r="H5166" s="231">
        <f>SUM(H5162:H5165)</f>
        <v>23175</v>
      </c>
      <c r="M5166" s="233" t="s">
        <v>636</v>
      </c>
    </row>
    <row r="5167" spans="2:13" ht="18.75" customHeight="1" x14ac:dyDescent="0.25">
      <c r="B5167" s="550"/>
      <c r="C5167" s="223"/>
      <c r="D5167" s="550"/>
      <c r="E5167" s="224"/>
      <c r="F5167" s="233"/>
      <c r="G5167" s="290"/>
      <c r="H5167" s="231"/>
      <c r="M5167" s="233"/>
    </row>
    <row r="5168" spans="2:13" ht="18.75" customHeight="1" x14ac:dyDescent="0.25">
      <c r="B5168" s="550" t="s">
        <v>637</v>
      </c>
      <c r="C5168" s="223" t="s">
        <v>638</v>
      </c>
      <c r="D5168" s="550"/>
      <c r="E5168" s="224"/>
      <c r="F5168" s="225"/>
      <c r="G5168" s="290"/>
      <c r="H5168" s="226"/>
      <c r="M5168" s="225"/>
    </row>
    <row r="5169" spans="2:13" ht="18.75" customHeight="1" x14ac:dyDescent="0.25">
      <c r="B5169" s="550"/>
      <c r="C5169" s="223" t="s">
        <v>1058</v>
      </c>
      <c r="D5169" s="550"/>
      <c r="E5169" s="550" t="s">
        <v>16</v>
      </c>
      <c r="F5169" s="405">
        <v>5.3</v>
      </c>
      <c r="G5169" s="418">
        <f>Bahan!D290/(1/0.05/0.2)</f>
        <v>600</v>
      </c>
      <c r="H5169" s="230">
        <f>+G5169*F5169</f>
        <v>3180</v>
      </c>
      <c r="M5169" s="405">
        <v>5.3</v>
      </c>
    </row>
    <row r="5170" spans="2:13" ht="18.75" customHeight="1" x14ac:dyDescent="0.25">
      <c r="B5170" s="550"/>
      <c r="C5170" s="223" t="s">
        <v>708</v>
      </c>
      <c r="D5170" s="550"/>
      <c r="E5170" s="550" t="s">
        <v>5</v>
      </c>
      <c r="F5170" s="405">
        <v>0.56999999999999995</v>
      </c>
      <c r="G5170" s="418">
        <f>G5114</f>
        <v>1700</v>
      </c>
      <c r="H5170" s="230">
        <f>+G5170*F5170</f>
        <v>968.99999999999989</v>
      </c>
      <c r="M5170" s="405">
        <v>0.56999999999999995</v>
      </c>
    </row>
    <row r="5171" spans="2:13" ht="18.75" customHeight="1" x14ac:dyDescent="0.25">
      <c r="B5171" s="550"/>
      <c r="C5171" s="223" t="s">
        <v>661</v>
      </c>
      <c r="D5171" s="550"/>
      <c r="E5171" s="550" t="s">
        <v>1013</v>
      </c>
      <c r="F5171" s="405">
        <v>1.5E-3</v>
      </c>
      <c r="G5171" s="234">
        <f>G5115</f>
        <v>230000</v>
      </c>
      <c r="H5171" s="230">
        <f>+G5171*F5171</f>
        <v>345</v>
      </c>
      <c r="M5171" s="405">
        <v>1.5E-3</v>
      </c>
    </row>
    <row r="5172" spans="2:13" ht="18.75" customHeight="1" x14ac:dyDescent="0.25">
      <c r="B5172" s="550"/>
      <c r="C5172" s="223" t="s">
        <v>1018</v>
      </c>
      <c r="D5172" s="550"/>
      <c r="E5172" s="550" t="s">
        <v>5</v>
      </c>
      <c r="F5172" s="405">
        <v>1.2999999999999999E-2</v>
      </c>
      <c r="G5172" s="410">
        <f>G5116</f>
        <v>14500</v>
      </c>
      <c r="H5172" s="230">
        <f>+G5172*F5172</f>
        <v>188.5</v>
      </c>
      <c r="M5172" s="405">
        <v>1.2999999999999999E-2</v>
      </c>
    </row>
    <row r="5173" spans="2:13" ht="18.75" customHeight="1" x14ac:dyDescent="0.25">
      <c r="B5173" s="550"/>
      <c r="C5173" s="223"/>
      <c r="D5173" s="550"/>
      <c r="E5173" s="224"/>
      <c r="F5173" s="237" t="s">
        <v>643</v>
      </c>
      <c r="G5173" s="290"/>
      <c r="H5173" s="231">
        <f>SUM(H5169:H5172)</f>
        <v>4682.5</v>
      </c>
      <c r="M5173" s="237" t="s">
        <v>643</v>
      </c>
    </row>
    <row r="5174" spans="2:13" ht="18.75" customHeight="1" x14ac:dyDescent="0.25">
      <c r="B5174" s="550"/>
      <c r="C5174" s="223"/>
      <c r="D5174" s="550"/>
      <c r="E5174" s="224"/>
      <c r="F5174" s="225"/>
      <c r="G5174" s="290"/>
      <c r="H5174" s="226"/>
      <c r="M5174" s="225"/>
    </row>
    <row r="5175" spans="2:13" ht="18.75" customHeight="1" x14ac:dyDescent="0.25">
      <c r="B5175" s="550" t="s">
        <v>644</v>
      </c>
      <c r="C5175" s="223" t="s">
        <v>645</v>
      </c>
      <c r="D5175" s="550"/>
      <c r="E5175" s="224"/>
      <c r="F5175" s="225"/>
      <c r="G5175" s="290"/>
      <c r="H5175" s="235"/>
      <c r="M5175" s="225"/>
    </row>
    <row r="5176" spans="2:13" ht="18.75" customHeight="1" x14ac:dyDescent="0.25">
      <c r="B5176" s="236"/>
      <c r="C5176" s="232"/>
      <c r="D5176" s="550"/>
      <c r="E5176" s="224"/>
      <c r="F5176" s="237" t="s">
        <v>646</v>
      </c>
      <c r="G5176" s="290"/>
      <c r="H5176" s="230"/>
      <c r="M5176" s="237" t="s">
        <v>646</v>
      </c>
    </row>
    <row r="5177" spans="2:13" ht="18.75" customHeight="1" x14ac:dyDescent="0.25">
      <c r="B5177" s="236"/>
      <c r="C5177" s="232"/>
      <c r="D5177" s="550"/>
      <c r="E5177" s="224"/>
      <c r="F5177" s="237"/>
      <c r="G5177" s="290"/>
      <c r="H5177" s="226"/>
      <c r="M5177" s="237"/>
    </row>
    <row r="5178" spans="2:13" ht="18.75" customHeight="1" x14ac:dyDescent="0.25">
      <c r="B5178" s="354"/>
      <c r="C5178" s="362"/>
      <c r="D5178" s="239"/>
      <c r="E5178" s="266"/>
      <c r="F5178" s="241"/>
      <c r="G5178" s="370"/>
      <c r="H5178" s="369"/>
      <c r="M5178" s="241"/>
    </row>
    <row r="5179" spans="2:13" ht="18.75" customHeight="1" x14ac:dyDescent="0.25">
      <c r="B5179" s="356" t="s">
        <v>647</v>
      </c>
      <c r="C5179" s="363" t="s">
        <v>648</v>
      </c>
      <c r="D5179" s="435"/>
      <c r="E5179" s="92"/>
      <c r="F5179" s="183"/>
      <c r="G5179" s="295"/>
      <c r="H5179" s="357">
        <f>+H5176+H5173+H5166</f>
        <v>27857.5</v>
      </c>
      <c r="M5179" s="183"/>
    </row>
    <row r="5180" spans="2:13" ht="18.75" customHeight="1" x14ac:dyDescent="0.25">
      <c r="B5180" s="356" t="s">
        <v>649</v>
      </c>
      <c r="C5180" s="364" t="s">
        <v>650</v>
      </c>
      <c r="D5180" s="435"/>
      <c r="E5180" s="92"/>
      <c r="F5180" s="184" t="str">
        <f>$J$5</f>
        <v>8,0 % x D</v>
      </c>
      <c r="G5180" s="295"/>
      <c r="H5180" s="358">
        <f>+H5179*$K$5</f>
        <v>2228.6</v>
      </c>
      <c r="M5180" s="184" t="str">
        <f>$J$5</f>
        <v>8,0 % x D</v>
      </c>
    </row>
    <row r="5181" spans="2:13" ht="18.75" customHeight="1" x14ac:dyDescent="0.25">
      <c r="B5181" s="356" t="s">
        <v>651</v>
      </c>
      <c r="C5181" s="365" t="s">
        <v>652</v>
      </c>
      <c r="D5181" s="435"/>
      <c r="E5181" s="91"/>
      <c r="F5181" s="185"/>
      <c r="G5181" s="296"/>
      <c r="H5181" s="359">
        <f>ROUNDUP((H5180+H5179)/100,0)*100</f>
        <v>30100</v>
      </c>
      <c r="M5181" s="185"/>
    </row>
    <row r="5182" spans="2:13" ht="18.75" customHeight="1" x14ac:dyDescent="0.25">
      <c r="B5182" s="360"/>
      <c r="C5182" s="366"/>
      <c r="D5182" s="245"/>
      <c r="E5182" s="246"/>
      <c r="F5182" s="247"/>
      <c r="G5182" s="299"/>
      <c r="H5182" s="361"/>
      <c r="M5182" s="247"/>
    </row>
    <row r="5183" spans="2:13" ht="18.75" customHeight="1" x14ac:dyDescent="0.25">
      <c r="B5183" s="92"/>
      <c r="C5183" s="104"/>
      <c r="D5183" s="435"/>
      <c r="E5183" s="91"/>
      <c r="F5183" s="185"/>
      <c r="G5183" s="168"/>
      <c r="H5183" s="139"/>
      <c r="M5183" s="185"/>
    </row>
    <row r="5184" spans="2:13" ht="18.75" customHeight="1" x14ac:dyDescent="0.25">
      <c r="B5184" s="19">
        <v>40</v>
      </c>
      <c r="C5184" s="93" t="s">
        <v>1059</v>
      </c>
      <c r="D5184" s="19"/>
      <c r="E5184" s="21"/>
      <c r="F5184" s="176"/>
      <c r="G5184" s="165"/>
      <c r="H5184" s="119"/>
      <c r="M5184" s="176"/>
    </row>
    <row r="5185" spans="2:13" ht="18.75" customHeight="1" x14ac:dyDescent="0.25">
      <c r="B5185" s="618" t="s">
        <v>620</v>
      </c>
      <c r="C5185" s="620" t="s">
        <v>621</v>
      </c>
      <c r="D5185" s="618" t="s">
        <v>622</v>
      </c>
      <c r="E5185" s="618" t="s">
        <v>2</v>
      </c>
      <c r="F5185" s="615" t="s">
        <v>623</v>
      </c>
      <c r="G5185" s="289" t="s">
        <v>624</v>
      </c>
      <c r="H5185" s="256" t="s">
        <v>625</v>
      </c>
      <c r="M5185" s="615" t="s">
        <v>623</v>
      </c>
    </row>
    <row r="5186" spans="2:13" ht="18.75" customHeight="1" x14ac:dyDescent="0.25">
      <c r="B5186" s="619"/>
      <c r="C5186" s="621"/>
      <c r="D5186" s="619"/>
      <c r="E5186" s="619"/>
      <c r="F5186" s="616"/>
      <c r="G5186" s="289" t="s">
        <v>626</v>
      </c>
      <c r="H5186" s="256" t="s">
        <v>626</v>
      </c>
      <c r="M5186" s="616"/>
    </row>
    <row r="5187" spans="2:13" ht="18.75" customHeight="1" x14ac:dyDescent="0.25">
      <c r="B5187" s="221"/>
      <c r="C5187" s="222"/>
      <c r="D5187" s="221"/>
      <c r="E5187" s="550"/>
      <c r="F5187" s="555"/>
      <c r="G5187" s="551"/>
      <c r="H5187" s="220"/>
      <c r="M5187" s="590"/>
    </row>
    <row r="5188" spans="2:13" ht="18.75" customHeight="1" x14ac:dyDescent="0.25">
      <c r="B5188" s="550" t="s">
        <v>627</v>
      </c>
      <c r="C5188" s="223" t="s">
        <v>628</v>
      </c>
      <c r="D5188" s="550"/>
      <c r="E5188" s="224"/>
      <c r="F5188" s="225"/>
      <c r="G5188" s="290"/>
      <c r="H5188" s="226"/>
      <c r="M5188" s="225"/>
    </row>
    <row r="5189" spans="2:13" ht="18.75" customHeight="1" x14ac:dyDescent="0.25">
      <c r="B5189" s="550"/>
      <c r="C5189" s="227" t="s">
        <v>629</v>
      </c>
      <c r="D5189" s="550" t="s">
        <v>630</v>
      </c>
      <c r="E5189" s="224" t="s">
        <v>631</v>
      </c>
      <c r="F5189" s="228">
        <f t="shared" ref="F5189:F5192" si="237">$K$8*M5189</f>
        <v>0.7</v>
      </c>
      <c r="G5189" s="229">
        <f>G5162</f>
        <v>95000</v>
      </c>
      <c r="H5189" s="230">
        <f>+G5189*F5189</f>
        <v>66500</v>
      </c>
      <c r="M5189" s="228">
        <v>0.7</v>
      </c>
    </row>
    <row r="5190" spans="2:13" ht="18.75" customHeight="1" x14ac:dyDescent="0.25">
      <c r="B5190" s="550"/>
      <c r="C5190" s="227" t="s">
        <v>1508</v>
      </c>
      <c r="D5190" s="550" t="s">
        <v>632</v>
      </c>
      <c r="E5190" s="224" t="s">
        <v>631</v>
      </c>
      <c r="F5190" s="228">
        <f t="shared" si="237"/>
        <v>0.35</v>
      </c>
      <c r="G5190" s="229">
        <f>G5163</f>
        <v>110000</v>
      </c>
      <c r="H5190" s="230">
        <f>+G5190*F5190</f>
        <v>38500</v>
      </c>
      <c r="M5190" s="228">
        <v>0.35</v>
      </c>
    </row>
    <row r="5191" spans="2:13" ht="18.75" customHeight="1" x14ac:dyDescent="0.25">
      <c r="B5191" s="550"/>
      <c r="C5191" s="227" t="s">
        <v>633</v>
      </c>
      <c r="D5191" s="550" t="s">
        <v>634</v>
      </c>
      <c r="E5191" s="224" t="s">
        <v>631</v>
      </c>
      <c r="F5191" s="228">
        <f t="shared" si="237"/>
        <v>3.5000000000000003E-2</v>
      </c>
      <c r="G5191" s="229">
        <f>G5164</f>
        <v>115000</v>
      </c>
      <c r="H5191" s="230">
        <f>+G5191*F5191</f>
        <v>4025.0000000000005</v>
      </c>
      <c r="M5191" s="228">
        <v>3.5000000000000003E-2</v>
      </c>
    </row>
    <row r="5192" spans="2:13" ht="18.75" customHeight="1" x14ac:dyDescent="0.25">
      <c r="B5192" s="550"/>
      <c r="C5192" s="227" t="s">
        <v>600</v>
      </c>
      <c r="D5192" s="550" t="s">
        <v>635</v>
      </c>
      <c r="E5192" s="224" t="s">
        <v>631</v>
      </c>
      <c r="F5192" s="228">
        <f t="shared" si="237"/>
        <v>3.5000000000000003E-2</v>
      </c>
      <c r="G5192" s="229">
        <f>G5165</f>
        <v>140000</v>
      </c>
      <c r="H5192" s="230">
        <f>+G5192*F5192</f>
        <v>4900.0000000000009</v>
      </c>
      <c r="M5192" s="228">
        <v>3.5000000000000003E-2</v>
      </c>
    </row>
    <row r="5193" spans="2:13" ht="18.75" customHeight="1" x14ac:dyDescent="0.25">
      <c r="B5193" s="550"/>
      <c r="C5193" s="223"/>
      <c r="D5193" s="550"/>
      <c r="E5193" s="224"/>
      <c r="F5193" s="233" t="s">
        <v>636</v>
      </c>
      <c r="G5193" s="290"/>
      <c r="H5193" s="231">
        <f>SUM(H5189:H5192)</f>
        <v>113925</v>
      </c>
      <c r="M5193" s="233" t="s">
        <v>636</v>
      </c>
    </row>
    <row r="5194" spans="2:13" ht="18.75" customHeight="1" x14ac:dyDescent="0.25">
      <c r="B5194" s="550"/>
      <c r="C5194" s="223"/>
      <c r="D5194" s="550"/>
      <c r="E5194" s="224"/>
      <c r="F5194" s="233"/>
      <c r="G5194" s="290"/>
      <c r="H5194" s="231"/>
      <c r="M5194" s="233"/>
    </row>
    <row r="5195" spans="2:13" ht="18.75" customHeight="1" x14ac:dyDescent="0.25">
      <c r="B5195" s="550" t="s">
        <v>637</v>
      </c>
      <c r="C5195" s="223" t="s">
        <v>638</v>
      </c>
      <c r="D5195" s="550"/>
      <c r="E5195" s="224"/>
      <c r="F5195" s="225"/>
      <c r="G5195" s="290"/>
      <c r="H5195" s="226"/>
      <c r="M5195" s="225"/>
    </row>
    <row r="5196" spans="2:13" ht="18.75" customHeight="1" x14ac:dyDescent="0.25">
      <c r="B5196" s="550"/>
      <c r="C5196" s="223" t="s">
        <v>1060</v>
      </c>
      <c r="D5196" s="550"/>
      <c r="E5196" s="550" t="s">
        <v>16</v>
      </c>
      <c r="F5196" s="405">
        <v>1.06</v>
      </c>
      <c r="G5196" s="418">
        <f>Bahan!D284</f>
        <v>200000</v>
      </c>
      <c r="H5196" s="230">
        <f>+G5196*F5196</f>
        <v>212000</v>
      </c>
      <c r="M5196" s="405">
        <v>1.06</v>
      </c>
    </row>
    <row r="5197" spans="2:13" ht="18.75" customHeight="1" x14ac:dyDescent="0.25">
      <c r="B5197" s="550"/>
      <c r="C5197" s="223" t="s">
        <v>708</v>
      </c>
      <c r="D5197" s="550"/>
      <c r="E5197" s="550" t="s">
        <v>5</v>
      </c>
      <c r="F5197" s="405">
        <v>8.19</v>
      </c>
      <c r="G5197" s="234">
        <f>+G5018</f>
        <v>1700</v>
      </c>
      <c r="H5197" s="230">
        <f>+G5197*F5197</f>
        <v>13923</v>
      </c>
      <c r="M5197" s="405">
        <v>8.19</v>
      </c>
    </row>
    <row r="5198" spans="2:13" ht="18.75" customHeight="1" x14ac:dyDescent="0.25">
      <c r="B5198" s="550"/>
      <c r="C5198" s="223" t="s">
        <v>661</v>
      </c>
      <c r="D5198" s="550"/>
      <c r="E5198" s="550" t="s">
        <v>1013</v>
      </c>
      <c r="F5198" s="405">
        <v>7.5499999999999998E-2</v>
      </c>
      <c r="G5198" s="234">
        <f>+G5019</f>
        <v>230000</v>
      </c>
      <c r="H5198" s="230">
        <f>+G5198*F5198</f>
        <v>17365</v>
      </c>
      <c r="M5198" s="405">
        <v>7.5499999999999998E-2</v>
      </c>
    </row>
    <row r="5199" spans="2:13" ht="18.75" customHeight="1" x14ac:dyDescent="0.25">
      <c r="B5199" s="550"/>
      <c r="C5199" s="223" t="s">
        <v>1018</v>
      </c>
      <c r="D5199" s="550"/>
      <c r="E5199" s="550" t="s">
        <v>5</v>
      </c>
      <c r="F5199" s="405">
        <v>0.65</v>
      </c>
      <c r="G5199" s="410">
        <f>+G5020</f>
        <v>14500</v>
      </c>
      <c r="H5199" s="230">
        <f>+G5199*F5199</f>
        <v>9425</v>
      </c>
      <c r="M5199" s="405">
        <v>0.65</v>
      </c>
    </row>
    <row r="5200" spans="2:13" ht="18.75" customHeight="1" x14ac:dyDescent="0.25">
      <c r="B5200" s="550"/>
      <c r="C5200" s="223"/>
      <c r="D5200" s="550"/>
      <c r="E5200" s="224"/>
      <c r="F5200" s="237" t="s">
        <v>643</v>
      </c>
      <c r="G5200" s="290"/>
      <c r="H5200" s="231">
        <f>SUM(H5196:H5199)</f>
        <v>252713</v>
      </c>
      <c r="M5200" s="237" t="s">
        <v>643</v>
      </c>
    </row>
    <row r="5201" spans="2:13" ht="18.75" customHeight="1" x14ac:dyDescent="0.25">
      <c r="B5201" s="550"/>
      <c r="C5201" s="223"/>
      <c r="D5201" s="550"/>
      <c r="E5201" s="224"/>
      <c r="F5201" s="225"/>
      <c r="G5201" s="290"/>
      <c r="H5201" s="226"/>
      <c r="M5201" s="225"/>
    </row>
    <row r="5202" spans="2:13" ht="18.75" customHeight="1" x14ac:dyDescent="0.25">
      <c r="B5202" s="550" t="s">
        <v>644</v>
      </c>
      <c r="C5202" s="223" t="s">
        <v>645</v>
      </c>
      <c r="D5202" s="550"/>
      <c r="E5202" s="224"/>
      <c r="F5202" s="225"/>
      <c r="G5202" s="290"/>
      <c r="H5202" s="235"/>
      <c r="M5202" s="225"/>
    </row>
    <row r="5203" spans="2:13" ht="18.75" customHeight="1" x14ac:dyDescent="0.25">
      <c r="B5203" s="236"/>
      <c r="C5203" s="232"/>
      <c r="D5203" s="550"/>
      <c r="E5203" s="224"/>
      <c r="F5203" s="237" t="s">
        <v>646</v>
      </c>
      <c r="G5203" s="290"/>
      <c r="H5203" s="230"/>
      <c r="M5203" s="237" t="s">
        <v>646</v>
      </c>
    </row>
    <row r="5204" spans="2:13" ht="18.75" customHeight="1" x14ac:dyDescent="0.25">
      <c r="B5204" s="236"/>
      <c r="C5204" s="232"/>
      <c r="D5204" s="550"/>
      <c r="E5204" s="224"/>
      <c r="F5204" s="237"/>
      <c r="G5204" s="290"/>
      <c r="H5204" s="226"/>
      <c r="M5204" s="237"/>
    </row>
    <row r="5205" spans="2:13" ht="18.75" customHeight="1" x14ac:dyDescent="0.25">
      <c r="B5205" s="354"/>
      <c r="C5205" s="362"/>
      <c r="D5205" s="239"/>
      <c r="E5205" s="266"/>
      <c r="F5205" s="241"/>
      <c r="G5205" s="370"/>
      <c r="H5205" s="369"/>
      <c r="M5205" s="241"/>
    </row>
    <row r="5206" spans="2:13" ht="18.75" customHeight="1" x14ac:dyDescent="0.25">
      <c r="B5206" s="356" t="s">
        <v>647</v>
      </c>
      <c r="C5206" s="363" t="s">
        <v>648</v>
      </c>
      <c r="D5206" s="435"/>
      <c r="E5206" s="92"/>
      <c r="F5206" s="183"/>
      <c r="G5206" s="295"/>
      <c r="H5206" s="357">
        <f>+H5203+H5200+H5193</f>
        <v>366638</v>
      </c>
      <c r="M5206" s="183"/>
    </row>
    <row r="5207" spans="2:13" ht="18.75" customHeight="1" x14ac:dyDescent="0.25">
      <c r="B5207" s="356" t="s">
        <v>649</v>
      </c>
      <c r="C5207" s="364" t="s">
        <v>650</v>
      </c>
      <c r="D5207" s="435"/>
      <c r="E5207" s="92"/>
      <c r="F5207" s="184" t="str">
        <f>$J$5</f>
        <v>8,0 % x D</v>
      </c>
      <c r="G5207" s="295"/>
      <c r="H5207" s="358">
        <f>+H5206*$K$5</f>
        <v>29331.040000000001</v>
      </c>
      <c r="M5207" s="184" t="str">
        <f>$J$5</f>
        <v>8,0 % x D</v>
      </c>
    </row>
    <row r="5208" spans="2:13" ht="18.75" customHeight="1" x14ac:dyDescent="0.25">
      <c r="B5208" s="356" t="s">
        <v>651</v>
      </c>
      <c r="C5208" s="365" t="s">
        <v>652</v>
      </c>
      <c r="D5208" s="435"/>
      <c r="E5208" s="91"/>
      <c r="F5208" s="185"/>
      <c r="G5208" s="296"/>
      <c r="H5208" s="359">
        <f>ROUNDUP((H5207+H5206)/100,0)*100</f>
        <v>396000</v>
      </c>
      <c r="M5208" s="185"/>
    </row>
    <row r="5209" spans="2:13" ht="18.75" customHeight="1" x14ac:dyDescent="0.25">
      <c r="B5209" s="360"/>
      <c r="C5209" s="366"/>
      <c r="D5209" s="245"/>
      <c r="E5209" s="246"/>
      <c r="F5209" s="247"/>
      <c r="G5209" s="299"/>
      <c r="H5209" s="361"/>
      <c r="M5209" s="247"/>
    </row>
    <row r="5210" spans="2:13" ht="18.75" customHeight="1" x14ac:dyDescent="0.25">
      <c r="B5210" s="22"/>
      <c r="C5210" s="104"/>
      <c r="E5210" s="21"/>
      <c r="F5210" s="176"/>
      <c r="G5210" s="165"/>
      <c r="H5210" s="119"/>
      <c r="M5210" s="176"/>
    </row>
    <row r="5211" spans="2:13" ht="18.75" customHeight="1" x14ac:dyDescent="0.25">
      <c r="B5211" s="19">
        <v>41</v>
      </c>
      <c r="C5211" s="93" t="s">
        <v>1061</v>
      </c>
      <c r="D5211" s="19"/>
      <c r="E5211" s="21"/>
      <c r="F5211" s="176"/>
      <c r="G5211" s="165"/>
      <c r="H5211" s="119"/>
      <c r="M5211" s="176"/>
    </row>
    <row r="5212" spans="2:13" ht="18.75" customHeight="1" x14ac:dyDescent="0.25">
      <c r="B5212" s="618" t="s">
        <v>620</v>
      </c>
      <c r="C5212" s="620" t="s">
        <v>621</v>
      </c>
      <c r="D5212" s="618" t="s">
        <v>622</v>
      </c>
      <c r="E5212" s="618" t="s">
        <v>2</v>
      </c>
      <c r="F5212" s="615" t="s">
        <v>623</v>
      </c>
      <c r="G5212" s="289" t="s">
        <v>624</v>
      </c>
      <c r="H5212" s="256" t="s">
        <v>625</v>
      </c>
      <c r="M5212" s="615" t="s">
        <v>623</v>
      </c>
    </row>
    <row r="5213" spans="2:13" ht="18.75" customHeight="1" x14ac:dyDescent="0.25">
      <c r="B5213" s="619"/>
      <c r="C5213" s="621"/>
      <c r="D5213" s="619"/>
      <c r="E5213" s="619"/>
      <c r="F5213" s="616"/>
      <c r="G5213" s="289" t="s">
        <v>626</v>
      </c>
      <c r="H5213" s="256" t="s">
        <v>626</v>
      </c>
      <c r="M5213" s="616"/>
    </row>
    <row r="5214" spans="2:13" ht="18.75" customHeight="1" x14ac:dyDescent="0.25">
      <c r="B5214" s="221"/>
      <c r="C5214" s="222"/>
      <c r="D5214" s="221"/>
      <c r="E5214" s="550"/>
      <c r="F5214" s="555"/>
      <c r="G5214" s="551"/>
      <c r="H5214" s="220"/>
      <c r="M5214" s="590"/>
    </row>
    <row r="5215" spans="2:13" ht="18.75" customHeight="1" x14ac:dyDescent="0.25">
      <c r="B5215" s="550" t="s">
        <v>627</v>
      </c>
      <c r="C5215" s="223" t="s">
        <v>628</v>
      </c>
      <c r="D5215" s="550"/>
      <c r="E5215" s="224"/>
      <c r="F5215" s="225"/>
      <c r="G5215" s="290"/>
      <c r="H5215" s="226"/>
      <c r="M5215" s="225"/>
    </row>
    <row r="5216" spans="2:13" ht="18.75" customHeight="1" x14ac:dyDescent="0.25">
      <c r="B5216" s="550"/>
      <c r="C5216" s="227" t="s">
        <v>629</v>
      </c>
      <c r="D5216" s="550" t="s">
        <v>630</v>
      </c>
      <c r="E5216" s="224" t="s">
        <v>631</v>
      </c>
      <c r="F5216" s="228">
        <f t="shared" ref="F5216:F5219" si="238">$K$8*M5216</f>
        <v>0.17</v>
      </c>
      <c r="G5216" s="229">
        <f>G5189</f>
        <v>95000</v>
      </c>
      <c r="H5216" s="230">
        <f>+G5216*F5216</f>
        <v>16150.000000000002</v>
      </c>
      <c r="M5216" s="228">
        <v>0.17</v>
      </c>
    </row>
    <row r="5217" spans="2:13" ht="18.75" customHeight="1" x14ac:dyDescent="0.25">
      <c r="B5217" s="550"/>
      <c r="C5217" s="227" t="s">
        <v>1508</v>
      </c>
      <c r="D5217" s="550" t="s">
        <v>632</v>
      </c>
      <c r="E5217" s="224" t="s">
        <v>631</v>
      </c>
      <c r="F5217" s="228">
        <f t="shared" si="238"/>
        <v>0.17</v>
      </c>
      <c r="G5217" s="229">
        <f>G5190</f>
        <v>110000</v>
      </c>
      <c r="H5217" s="230">
        <f>+G5217*F5217</f>
        <v>18700</v>
      </c>
      <c r="M5217" s="228">
        <v>0.17</v>
      </c>
    </row>
    <row r="5218" spans="2:13" ht="18.75" customHeight="1" x14ac:dyDescent="0.25">
      <c r="B5218" s="550"/>
      <c r="C5218" s="227" t="s">
        <v>633</v>
      </c>
      <c r="D5218" s="550" t="s">
        <v>634</v>
      </c>
      <c r="E5218" s="224" t="s">
        <v>631</v>
      </c>
      <c r="F5218" s="228">
        <f t="shared" si="238"/>
        <v>1.7000000000000001E-2</v>
      </c>
      <c r="G5218" s="229">
        <f>G5191</f>
        <v>115000</v>
      </c>
      <c r="H5218" s="230">
        <f>+G5218*F5218</f>
        <v>1955.0000000000002</v>
      </c>
      <c r="M5218" s="228">
        <v>1.7000000000000001E-2</v>
      </c>
    </row>
    <row r="5219" spans="2:13" ht="18.75" customHeight="1" x14ac:dyDescent="0.25">
      <c r="B5219" s="550"/>
      <c r="C5219" s="227" t="s">
        <v>600</v>
      </c>
      <c r="D5219" s="550" t="s">
        <v>635</v>
      </c>
      <c r="E5219" s="224" t="s">
        <v>631</v>
      </c>
      <c r="F5219" s="228">
        <f t="shared" si="238"/>
        <v>8.9999999999999993E-3</v>
      </c>
      <c r="G5219" s="229">
        <f>G5192</f>
        <v>140000</v>
      </c>
      <c r="H5219" s="230">
        <f>+G5219*F5219</f>
        <v>1260</v>
      </c>
      <c r="M5219" s="228">
        <v>8.9999999999999993E-3</v>
      </c>
    </row>
    <row r="5220" spans="2:13" ht="18.75" customHeight="1" x14ac:dyDescent="0.25">
      <c r="B5220" s="550"/>
      <c r="C5220" s="223"/>
      <c r="D5220" s="550"/>
      <c r="E5220" s="224"/>
      <c r="F5220" s="233" t="s">
        <v>636</v>
      </c>
      <c r="G5220" s="290"/>
      <c r="H5220" s="231">
        <f>SUM(H5216:H5219)</f>
        <v>38065</v>
      </c>
      <c r="M5220" s="233" t="s">
        <v>636</v>
      </c>
    </row>
    <row r="5221" spans="2:13" ht="18.75" customHeight="1" x14ac:dyDescent="0.25">
      <c r="B5221" s="550" t="s">
        <v>637</v>
      </c>
      <c r="C5221" s="223" t="s">
        <v>638</v>
      </c>
      <c r="D5221" s="550"/>
      <c r="E5221" s="224"/>
      <c r="F5221" s="225"/>
      <c r="G5221" s="290"/>
      <c r="H5221" s="226"/>
      <c r="M5221" s="225"/>
    </row>
    <row r="5222" spans="2:13" ht="18.75" customHeight="1" x14ac:dyDescent="0.25">
      <c r="B5222" s="550"/>
      <c r="C5222" s="223" t="s">
        <v>547</v>
      </c>
      <c r="D5222" s="550"/>
      <c r="E5222" s="550" t="s">
        <v>924</v>
      </c>
      <c r="F5222" s="405">
        <v>1.05</v>
      </c>
      <c r="G5222" s="418">
        <f>Bahan!D609</f>
        <v>295000</v>
      </c>
      <c r="H5222" s="230">
        <f>+G5222*F5222</f>
        <v>309750</v>
      </c>
      <c r="M5222" s="405">
        <v>1.05</v>
      </c>
    </row>
    <row r="5223" spans="2:13" ht="18.75" customHeight="1" x14ac:dyDescent="0.25">
      <c r="B5223" s="550"/>
      <c r="C5223" s="223" t="s">
        <v>1062</v>
      </c>
      <c r="D5223" s="550"/>
      <c r="E5223" s="550" t="s">
        <v>5</v>
      </c>
      <c r="F5223" s="405">
        <v>0.35</v>
      </c>
      <c r="G5223" s="418">
        <f>Bahan!D197</f>
        <v>45000</v>
      </c>
      <c r="H5223" s="230">
        <f>+G5223*F5223</f>
        <v>15749.999999999998</v>
      </c>
      <c r="M5223" s="405">
        <v>0.35</v>
      </c>
    </row>
    <row r="5224" spans="2:13" ht="18.75" customHeight="1" x14ac:dyDescent="0.25">
      <c r="B5224" s="550"/>
      <c r="C5224" s="223"/>
      <c r="D5224" s="550"/>
      <c r="E5224" s="224"/>
      <c r="F5224" s="237" t="s">
        <v>643</v>
      </c>
      <c r="G5224" s="290"/>
      <c r="H5224" s="231">
        <f>SUM(H5222:H5223)</f>
        <v>325500</v>
      </c>
      <c r="M5224" s="237" t="s">
        <v>643</v>
      </c>
    </row>
    <row r="5225" spans="2:13" ht="18.75" customHeight="1" x14ac:dyDescent="0.25">
      <c r="B5225" s="550"/>
      <c r="C5225" s="223"/>
      <c r="D5225" s="550"/>
      <c r="E5225" s="224"/>
      <c r="F5225" s="225"/>
      <c r="G5225" s="290"/>
      <c r="H5225" s="226"/>
      <c r="M5225" s="225"/>
    </row>
    <row r="5226" spans="2:13" ht="18.75" customHeight="1" x14ac:dyDescent="0.25">
      <c r="B5226" s="550" t="s">
        <v>644</v>
      </c>
      <c r="C5226" s="223" t="s">
        <v>645</v>
      </c>
      <c r="D5226" s="550"/>
      <c r="E5226" s="224"/>
      <c r="F5226" s="225"/>
      <c r="G5226" s="290"/>
      <c r="H5226" s="235"/>
      <c r="M5226" s="225"/>
    </row>
    <row r="5227" spans="2:13" ht="18.75" customHeight="1" x14ac:dyDescent="0.25">
      <c r="B5227" s="236"/>
      <c r="C5227" s="232"/>
      <c r="D5227" s="550"/>
      <c r="E5227" s="224"/>
      <c r="F5227" s="237" t="s">
        <v>646</v>
      </c>
      <c r="G5227" s="290"/>
      <c r="H5227" s="230"/>
      <c r="M5227" s="237" t="s">
        <v>646</v>
      </c>
    </row>
    <row r="5228" spans="2:13" ht="18.75" customHeight="1" x14ac:dyDescent="0.25">
      <c r="B5228" s="236"/>
      <c r="C5228" s="232"/>
      <c r="D5228" s="550"/>
      <c r="E5228" s="224"/>
      <c r="F5228" s="237"/>
      <c r="G5228" s="290"/>
      <c r="H5228" s="226"/>
      <c r="M5228" s="237"/>
    </row>
    <row r="5229" spans="2:13" ht="18.75" customHeight="1" x14ac:dyDescent="0.25">
      <c r="B5229" s="354"/>
      <c r="C5229" s="362"/>
      <c r="D5229" s="239"/>
      <c r="E5229" s="266"/>
      <c r="F5229" s="241"/>
      <c r="G5229" s="370"/>
      <c r="H5229" s="369"/>
      <c r="M5229" s="241"/>
    </row>
    <row r="5230" spans="2:13" ht="18.75" customHeight="1" x14ac:dyDescent="0.25">
      <c r="B5230" s="356" t="s">
        <v>647</v>
      </c>
      <c r="C5230" s="363" t="s">
        <v>648</v>
      </c>
      <c r="D5230" s="435"/>
      <c r="E5230" s="92"/>
      <c r="F5230" s="183"/>
      <c r="G5230" s="295"/>
      <c r="H5230" s="357">
        <f>H5220+H5224+H5227</f>
        <v>363565</v>
      </c>
      <c r="M5230" s="183"/>
    </row>
    <row r="5231" spans="2:13" ht="18.75" customHeight="1" x14ac:dyDescent="0.25">
      <c r="B5231" s="356" t="s">
        <v>649</v>
      </c>
      <c r="C5231" s="364" t="s">
        <v>650</v>
      </c>
      <c r="D5231" s="435"/>
      <c r="E5231" s="92"/>
      <c r="F5231" s="184" t="str">
        <f>$J$5</f>
        <v>8,0 % x D</v>
      </c>
      <c r="G5231" s="295"/>
      <c r="H5231" s="358">
        <f>+H5230*$K$5</f>
        <v>29085.200000000001</v>
      </c>
      <c r="M5231" s="184" t="str">
        <f>$J$5</f>
        <v>8,0 % x D</v>
      </c>
    </row>
    <row r="5232" spans="2:13" ht="18.75" customHeight="1" x14ac:dyDescent="0.25">
      <c r="B5232" s="356" t="s">
        <v>651</v>
      </c>
      <c r="C5232" s="365" t="s">
        <v>652</v>
      </c>
      <c r="D5232" s="435"/>
      <c r="E5232" s="91"/>
      <c r="F5232" s="185"/>
      <c r="G5232" s="296"/>
      <c r="H5232" s="359">
        <f>ROUNDUP((H5231+H5230)/100,0)*100</f>
        <v>392700</v>
      </c>
      <c r="M5232" s="185"/>
    </row>
    <row r="5233" spans="2:13" ht="18.75" customHeight="1" x14ac:dyDescent="0.25">
      <c r="B5233" s="360"/>
      <c r="C5233" s="366"/>
      <c r="D5233" s="245"/>
      <c r="E5233" s="246"/>
      <c r="F5233" s="247"/>
      <c r="G5233" s="299"/>
      <c r="H5233" s="361"/>
      <c r="M5233" s="247"/>
    </row>
    <row r="5234" spans="2:13" ht="18.75" customHeight="1" x14ac:dyDescent="0.25">
      <c r="B5234" s="92"/>
      <c r="C5234" s="104"/>
      <c r="D5234" s="435"/>
      <c r="E5234" s="91"/>
      <c r="F5234" s="185"/>
      <c r="G5234" s="168"/>
      <c r="H5234" s="139"/>
      <c r="M5234" s="185"/>
    </row>
    <row r="5235" spans="2:13" ht="18.75" customHeight="1" x14ac:dyDescent="0.25">
      <c r="B5235" s="19">
        <v>42</v>
      </c>
      <c r="C5235" s="93" t="s">
        <v>1063</v>
      </c>
      <c r="D5235" s="19"/>
      <c r="E5235" s="21"/>
      <c r="F5235" s="176"/>
      <c r="G5235" s="165"/>
      <c r="H5235" s="119"/>
      <c r="M5235" s="176"/>
    </row>
    <row r="5236" spans="2:13" ht="18.75" customHeight="1" x14ac:dyDescent="0.25">
      <c r="B5236" s="618" t="s">
        <v>620</v>
      </c>
      <c r="C5236" s="620" t="s">
        <v>621</v>
      </c>
      <c r="D5236" s="618" t="s">
        <v>622</v>
      </c>
      <c r="E5236" s="618" t="s">
        <v>2</v>
      </c>
      <c r="F5236" s="615" t="s">
        <v>623</v>
      </c>
      <c r="G5236" s="289" t="s">
        <v>624</v>
      </c>
      <c r="H5236" s="256" t="s">
        <v>625</v>
      </c>
      <c r="M5236" s="615" t="s">
        <v>623</v>
      </c>
    </row>
    <row r="5237" spans="2:13" ht="18.75" customHeight="1" x14ac:dyDescent="0.25">
      <c r="B5237" s="619"/>
      <c r="C5237" s="621"/>
      <c r="D5237" s="619"/>
      <c r="E5237" s="619"/>
      <c r="F5237" s="616"/>
      <c r="G5237" s="289" t="s">
        <v>626</v>
      </c>
      <c r="H5237" s="256" t="s">
        <v>626</v>
      </c>
      <c r="M5237" s="616"/>
    </row>
    <row r="5238" spans="2:13" ht="18.75" customHeight="1" x14ac:dyDescent="0.25">
      <c r="B5238" s="221"/>
      <c r="C5238" s="222"/>
      <c r="D5238" s="221"/>
      <c r="E5238" s="550"/>
      <c r="F5238" s="555"/>
      <c r="G5238" s="551"/>
      <c r="H5238" s="220"/>
      <c r="M5238" s="590"/>
    </row>
    <row r="5239" spans="2:13" ht="18.75" customHeight="1" x14ac:dyDescent="0.25">
      <c r="B5239" s="550" t="s">
        <v>627</v>
      </c>
      <c r="C5239" s="223" t="s">
        <v>628</v>
      </c>
      <c r="D5239" s="550"/>
      <c r="E5239" s="224"/>
      <c r="F5239" s="225"/>
      <c r="G5239" s="290"/>
      <c r="H5239" s="226"/>
      <c r="M5239" s="225"/>
    </row>
    <row r="5240" spans="2:13" ht="18.75" customHeight="1" x14ac:dyDescent="0.25">
      <c r="B5240" s="550"/>
      <c r="C5240" s="227" t="s">
        <v>629</v>
      </c>
      <c r="D5240" s="550" t="s">
        <v>630</v>
      </c>
      <c r="E5240" s="224" t="s">
        <v>631</v>
      </c>
      <c r="F5240" s="228">
        <f t="shared" ref="F5240:F5243" si="239">$K$8*M5240</f>
        <v>0.7</v>
      </c>
      <c r="G5240" s="229">
        <f>G5216</f>
        <v>95000</v>
      </c>
      <c r="H5240" s="230">
        <f>+G5240*F5240</f>
        <v>66500</v>
      </c>
      <c r="M5240" s="228">
        <v>0.7</v>
      </c>
    </row>
    <row r="5241" spans="2:13" ht="18.75" customHeight="1" x14ac:dyDescent="0.25">
      <c r="B5241" s="550"/>
      <c r="C5241" s="227" t="s">
        <v>1508</v>
      </c>
      <c r="D5241" s="550" t="s">
        <v>632</v>
      </c>
      <c r="E5241" s="224" t="s">
        <v>631</v>
      </c>
      <c r="F5241" s="228">
        <f t="shared" si="239"/>
        <v>0.35</v>
      </c>
      <c r="G5241" s="229">
        <f>G5217</f>
        <v>110000</v>
      </c>
      <c r="H5241" s="230">
        <f>+G5241*F5241</f>
        <v>38500</v>
      </c>
      <c r="M5241" s="228">
        <v>0.35</v>
      </c>
    </row>
    <row r="5242" spans="2:13" ht="18.75" customHeight="1" x14ac:dyDescent="0.25">
      <c r="B5242" s="550"/>
      <c r="C5242" s="227" t="s">
        <v>633</v>
      </c>
      <c r="D5242" s="550" t="s">
        <v>634</v>
      </c>
      <c r="E5242" s="224" t="s">
        <v>631</v>
      </c>
      <c r="F5242" s="228">
        <f t="shared" si="239"/>
        <v>3.5000000000000003E-2</v>
      </c>
      <c r="G5242" s="229">
        <f>G5218</f>
        <v>115000</v>
      </c>
      <c r="H5242" s="230">
        <f>+G5242*F5242</f>
        <v>4025.0000000000005</v>
      </c>
      <c r="M5242" s="228">
        <v>3.5000000000000003E-2</v>
      </c>
    </row>
    <row r="5243" spans="2:13" ht="18.75" customHeight="1" x14ac:dyDescent="0.25">
      <c r="B5243" s="550"/>
      <c r="C5243" s="227" t="s">
        <v>600</v>
      </c>
      <c r="D5243" s="550" t="s">
        <v>635</v>
      </c>
      <c r="E5243" s="224" t="s">
        <v>631</v>
      </c>
      <c r="F5243" s="228">
        <f t="shared" si="239"/>
        <v>3.5000000000000003E-2</v>
      </c>
      <c r="G5243" s="229">
        <f>G5219</f>
        <v>140000</v>
      </c>
      <c r="H5243" s="230">
        <f>+G5243*F5243</f>
        <v>4900.0000000000009</v>
      </c>
      <c r="M5243" s="228">
        <v>3.5000000000000003E-2</v>
      </c>
    </row>
    <row r="5244" spans="2:13" ht="18.75" customHeight="1" x14ac:dyDescent="0.25">
      <c r="B5244" s="550"/>
      <c r="C5244" s="223"/>
      <c r="D5244" s="550"/>
      <c r="E5244" s="224"/>
      <c r="F5244" s="233" t="s">
        <v>636</v>
      </c>
      <c r="G5244" s="290"/>
      <c r="H5244" s="231">
        <f>SUM(H5240:H5243)</f>
        <v>113925</v>
      </c>
      <c r="M5244" s="233" t="s">
        <v>636</v>
      </c>
    </row>
    <row r="5245" spans="2:13" ht="18.75" customHeight="1" x14ac:dyDescent="0.25">
      <c r="B5245" s="550"/>
      <c r="C5245" s="223"/>
      <c r="D5245" s="550"/>
      <c r="E5245" s="224"/>
      <c r="F5245" s="233"/>
      <c r="G5245" s="290"/>
      <c r="H5245" s="231"/>
      <c r="M5245" s="233"/>
    </row>
    <row r="5246" spans="2:13" ht="18.75" customHeight="1" x14ac:dyDescent="0.25">
      <c r="B5246" s="550" t="s">
        <v>637</v>
      </c>
      <c r="C5246" s="223" t="s">
        <v>638</v>
      </c>
      <c r="D5246" s="550"/>
      <c r="E5246" s="224"/>
      <c r="F5246" s="225"/>
      <c r="G5246" s="290"/>
      <c r="H5246" s="226"/>
      <c r="M5246" s="225"/>
    </row>
    <row r="5247" spans="2:13" ht="18.75" customHeight="1" x14ac:dyDescent="0.25">
      <c r="B5247" s="550"/>
      <c r="C5247" s="223" t="s">
        <v>548</v>
      </c>
      <c r="D5247" s="550"/>
      <c r="E5247" s="550" t="s">
        <v>924</v>
      </c>
      <c r="F5247" s="405">
        <v>1.05</v>
      </c>
      <c r="G5247" s="410">
        <f>Bahan!D610</f>
        <v>50000</v>
      </c>
      <c r="H5247" s="230">
        <f>+G5247*F5247</f>
        <v>52500</v>
      </c>
      <c r="M5247" s="405">
        <v>1.05</v>
      </c>
    </row>
    <row r="5248" spans="2:13" ht="18.75" customHeight="1" x14ac:dyDescent="0.25">
      <c r="B5248" s="550"/>
      <c r="C5248" s="223" t="s">
        <v>1062</v>
      </c>
      <c r="D5248" s="550"/>
      <c r="E5248" s="550" t="s">
        <v>5</v>
      </c>
      <c r="F5248" s="405">
        <v>0.6</v>
      </c>
      <c r="G5248" s="410">
        <f>+G5223</f>
        <v>45000</v>
      </c>
      <c r="H5248" s="230">
        <f>+G5248*F5248</f>
        <v>27000</v>
      </c>
      <c r="M5248" s="405">
        <v>0.6</v>
      </c>
    </row>
    <row r="5249" spans="2:13" ht="18.75" customHeight="1" x14ac:dyDescent="0.25">
      <c r="B5249" s="550"/>
      <c r="C5249" s="223"/>
      <c r="D5249" s="550"/>
      <c r="E5249" s="224"/>
      <c r="F5249" s="237" t="s">
        <v>643</v>
      </c>
      <c r="G5249" s="290"/>
      <c r="H5249" s="231">
        <f>SUM(H5247:H5248)</f>
        <v>79500</v>
      </c>
      <c r="M5249" s="237" t="s">
        <v>643</v>
      </c>
    </row>
    <row r="5250" spans="2:13" ht="18.75" customHeight="1" x14ac:dyDescent="0.25">
      <c r="B5250" s="550"/>
      <c r="C5250" s="223"/>
      <c r="D5250" s="550"/>
      <c r="E5250" s="224"/>
      <c r="F5250" s="225"/>
      <c r="G5250" s="290"/>
      <c r="H5250" s="226"/>
      <c r="M5250" s="225"/>
    </row>
    <row r="5251" spans="2:13" ht="18.75" customHeight="1" x14ac:dyDescent="0.25">
      <c r="B5251" s="550" t="s">
        <v>644</v>
      </c>
      <c r="C5251" s="223" t="s">
        <v>645</v>
      </c>
      <c r="D5251" s="550"/>
      <c r="E5251" s="224"/>
      <c r="F5251" s="225"/>
      <c r="G5251" s="290"/>
      <c r="H5251" s="235"/>
      <c r="M5251" s="225"/>
    </row>
    <row r="5252" spans="2:13" ht="18.75" customHeight="1" x14ac:dyDescent="0.25">
      <c r="B5252" s="236"/>
      <c r="C5252" s="232"/>
      <c r="D5252" s="550"/>
      <c r="E5252" s="224"/>
      <c r="F5252" s="237" t="s">
        <v>646</v>
      </c>
      <c r="G5252" s="290"/>
      <c r="H5252" s="230"/>
      <c r="M5252" s="237" t="s">
        <v>646</v>
      </c>
    </row>
    <row r="5253" spans="2:13" ht="18.75" customHeight="1" x14ac:dyDescent="0.25">
      <c r="B5253" s="236"/>
      <c r="C5253" s="232"/>
      <c r="D5253" s="550"/>
      <c r="E5253" s="224"/>
      <c r="F5253" s="237"/>
      <c r="G5253" s="290"/>
      <c r="H5253" s="230"/>
      <c r="M5253" s="237"/>
    </row>
    <row r="5254" spans="2:13" ht="18.75" customHeight="1" x14ac:dyDescent="0.25">
      <c r="B5254" s="354"/>
      <c r="C5254" s="362"/>
      <c r="D5254" s="239"/>
      <c r="E5254" s="266"/>
      <c r="F5254" s="241"/>
      <c r="G5254" s="370"/>
      <c r="H5254" s="369"/>
      <c r="M5254" s="241"/>
    </row>
    <row r="5255" spans="2:13" ht="18.75" customHeight="1" x14ac:dyDescent="0.25">
      <c r="B5255" s="356" t="s">
        <v>647</v>
      </c>
      <c r="C5255" s="363" t="s">
        <v>648</v>
      </c>
      <c r="D5255" s="435"/>
      <c r="E5255" s="92"/>
      <c r="F5255" s="183"/>
      <c r="G5255" s="295"/>
      <c r="H5255" s="357">
        <f>+H5252+H5249+H5244</f>
        <v>193425</v>
      </c>
      <c r="M5255" s="183"/>
    </row>
    <row r="5256" spans="2:13" ht="18.75" customHeight="1" x14ac:dyDescent="0.25">
      <c r="B5256" s="356" t="s">
        <v>649</v>
      </c>
      <c r="C5256" s="364" t="s">
        <v>650</v>
      </c>
      <c r="D5256" s="435"/>
      <c r="E5256" s="92"/>
      <c r="F5256" s="184" t="str">
        <f>$J$5</f>
        <v>8,0 % x D</v>
      </c>
      <c r="G5256" s="295"/>
      <c r="H5256" s="358">
        <f>+H5255*$K$5</f>
        <v>15474</v>
      </c>
      <c r="M5256" s="184" t="str">
        <f>$J$5</f>
        <v>8,0 % x D</v>
      </c>
    </row>
    <row r="5257" spans="2:13" ht="18.75" customHeight="1" x14ac:dyDescent="0.25">
      <c r="B5257" s="356" t="s">
        <v>651</v>
      </c>
      <c r="C5257" s="365" t="s">
        <v>652</v>
      </c>
      <c r="D5257" s="435"/>
      <c r="E5257" s="91"/>
      <c r="F5257" s="185"/>
      <c r="G5257" s="296"/>
      <c r="H5257" s="359">
        <f>ROUNDUP((H5256+H5255)/100,0)*100</f>
        <v>208900</v>
      </c>
      <c r="M5257" s="185"/>
    </row>
    <row r="5258" spans="2:13" ht="18.75" customHeight="1" x14ac:dyDescent="0.25">
      <c r="B5258" s="360"/>
      <c r="C5258" s="366"/>
      <c r="D5258" s="245"/>
      <c r="E5258" s="246"/>
      <c r="F5258" s="247"/>
      <c r="G5258" s="299"/>
      <c r="H5258" s="361"/>
      <c r="M5258" s="247"/>
    </row>
    <row r="5259" spans="2:13" ht="18.75" customHeight="1" x14ac:dyDescent="0.25">
      <c r="B5259" s="22"/>
      <c r="C5259" s="104"/>
      <c r="E5259" s="21"/>
      <c r="F5259" s="176"/>
      <c r="G5259" s="165"/>
      <c r="H5259" s="119"/>
      <c r="M5259" s="176"/>
    </row>
    <row r="5260" spans="2:13" ht="18.75" customHeight="1" x14ac:dyDescent="0.25">
      <c r="B5260" s="19">
        <v>43</v>
      </c>
      <c r="C5260" s="93" t="s">
        <v>1064</v>
      </c>
      <c r="D5260" s="19"/>
      <c r="E5260" s="21"/>
      <c r="F5260" s="176"/>
      <c r="G5260" s="165"/>
      <c r="H5260" s="119"/>
      <c r="M5260" s="176"/>
    </row>
    <row r="5261" spans="2:13" ht="18.75" customHeight="1" x14ac:dyDescent="0.25">
      <c r="B5261" s="618" t="s">
        <v>620</v>
      </c>
      <c r="C5261" s="620" t="s">
        <v>621</v>
      </c>
      <c r="D5261" s="618" t="s">
        <v>622</v>
      </c>
      <c r="E5261" s="618" t="s">
        <v>2</v>
      </c>
      <c r="F5261" s="615" t="s">
        <v>623</v>
      </c>
      <c r="G5261" s="289" t="s">
        <v>624</v>
      </c>
      <c r="H5261" s="256" t="s">
        <v>625</v>
      </c>
      <c r="M5261" s="615" t="s">
        <v>623</v>
      </c>
    </row>
    <row r="5262" spans="2:13" ht="18.75" customHeight="1" x14ac:dyDescent="0.25">
      <c r="B5262" s="619"/>
      <c r="C5262" s="621"/>
      <c r="D5262" s="619"/>
      <c r="E5262" s="619"/>
      <c r="F5262" s="616"/>
      <c r="G5262" s="289" t="s">
        <v>626</v>
      </c>
      <c r="H5262" s="256" t="s">
        <v>626</v>
      </c>
      <c r="M5262" s="616"/>
    </row>
    <row r="5263" spans="2:13" ht="18.75" customHeight="1" x14ac:dyDescent="0.25">
      <c r="B5263" s="221"/>
      <c r="C5263" s="222"/>
      <c r="D5263" s="221"/>
      <c r="E5263" s="550"/>
      <c r="F5263" s="555"/>
      <c r="G5263" s="551"/>
      <c r="H5263" s="220"/>
      <c r="M5263" s="590"/>
    </row>
    <row r="5264" spans="2:13" ht="18.75" customHeight="1" x14ac:dyDescent="0.25">
      <c r="B5264" s="550" t="s">
        <v>627</v>
      </c>
      <c r="C5264" s="223" t="s">
        <v>628</v>
      </c>
      <c r="D5264" s="550"/>
      <c r="E5264" s="224"/>
      <c r="F5264" s="225"/>
      <c r="G5264" s="290"/>
      <c r="H5264" s="226"/>
      <c r="M5264" s="225"/>
    </row>
    <row r="5265" spans="2:13" ht="18.75" customHeight="1" x14ac:dyDescent="0.25">
      <c r="B5265" s="550"/>
      <c r="C5265" s="227" t="s">
        <v>629</v>
      </c>
      <c r="D5265" s="550" t="s">
        <v>630</v>
      </c>
      <c r="E5265" s="224" t="s">
        <v>631</v>
      </c>
      <c r="F5265" s="228">
        <f t="shared" ref="F5265:F5268" si="240">$K$8*M5265</f>
        <v>0.7</v>
      </c>
      <c r="G5265" s="229">
        <f>G5240</f>
        <v>95000</v>
      </c>
      <c r="H5265" s="230">
        <f>+G5265*F5265</f>
        <v>66500</v>
      </c>
      <c r="M5265" s="228">
        <v>0.7</v>
      </c>
    </row>
    <row r="5266" spans="2:13" ht="18.75" customHeight="1" x14ac:dyDescent="0.25">
      <c r="B5266" s="550"/>
      <c r="C5266" s="227" t="s">
        <v>1508</v>
      </c>
      <c r="D5266" s="550" t="s">
        <v>632</v>
      </c>
      <c r="E5266" s="224" t="s">
        <v>631</v>
      </c>
      <c r="F5266" s="228">
        <f t="shared" si="240"/>
        <v>0.35</v>
      </c>
      <c r="G5266" s="229">
        <f>G5241</f>
        <v>110000</v>
      </c>
      <c r="H5266" s="230">
        <f>+G5266*F5266</f>
        <v>38500</v>
      </c>
      <c r="M5266" s="228">
        <v>0.35</v>
      </c>
    </row>
    <row r="5267" spans="2:13" ht="18.75" customHeight="1" x14ac:dyDescent="0.25">
      <c r="B5267" s="550"/>
      <c r="C5267" s="227" t="s">
        <v>633</v>
      </c>
      <c r="D5267" s="550" t="s">
        <v>634</v>
      </c>
      <c r="E5267" s="224" t="s">
        <v>631</v>
      </c>
      <c r="F5267" s="228">
        <f t="shared" si="240"/>
        <v>3.5000000000000003E-2</v>
      </c>
      <c r="G5267" s="229">
        <f>G5242</f>
        <v>115000</v>
      </c>
      <c r="H5267" s="230">
        <f>+G5267*F5267</f>
        <v>4025.0000000000005</v>
      </c>
      <c r="M5267" s="228">
        <v>3.5000000000000003E-2</v>
      </c>
    </row>
    <row r="5268" spans="2:13" ht="18.75" customHeight="1" x14ac:dyDescent="0.25">
      <c r="B5268" s="550"/>
      <c r="C5268" s="227" t="s">
        <v>600</v>
      </c>
      <c r="D5268" s="550" t="s">
        <v>635</v>
      </c>
      <c r="E5268" s="224" t="s">
        <v>631</v>
      </c>
      <c r="F5268" s="228">
        <f t="shared" si="240"/>
        <v>3.5000000000000003E-2</v>
      </c>
      <c r="G5268" s="229">
        <f>G5243</f>
        <v>140000</v>
      </c>
      <c r="H5268" s="230">
        <f>+G5268*F5268</f>
        <v>4900.0000000000009</v>
      </c>
      <c r="M5268" s="228">
        <v>3.5000000000000003E-2</v>
      </c>
    </row>
    <row r="5269" spans="2:13" ht="18.75" customHeight="1" x14ac:dyDescent="0.25">
      <c r="B5269" s="550"/>
      <c r="C5269" s="223"/>
      <c r="D5269" s="550"/>
      <c r="E5269" s="224"/>
      <c r="F5269" s="233" t="s">
        <v>636</v>
      </c>
      <c r="G5269" s="290"/>
      <c r="H5269" s="231">
        <f>SUM(H5265:H5268)</f>
        <v>113925</v>
      </c>
      <c r="M5269" s="233" t="s">
        <v>636</v>
      </c>
    </row>
    <row r="5270" spans="2:13" ht="18.75" customHeight="1" x14ac:dyDescent="0.25">
      <c r="B5270" s="550"/>
      <c r="C5270" s="223"/>
      <c r="D5270" s="550"/>
      <c r="E5270" s="224"/>
      <c r="F5270" s="233"/>
      <c r="G5270" s="290"/>
      <c r="H5270" s="231"/>
      <c r="M5270" s="233"/>
    </row>
    <row r="5271" spans="2:13" ht="18.75" customHeight="1" x14ac:dyDescent="0.25">
      <c r="B5271" s="550" t="s">
        <v>637</v>
      </c>
      <c r="C5271" s="223" t="s">
        <v>638</v>
      </c>
      <c r="D5271" s="550"/>
      <c r="E5271" s="224"/>
      <c r="F5271" s="225"/>
      <c r="G5271" s="290"/>
      <c r="H5271" s="226"/>
      <c r="M5271" s="225"/>
    </row>
    <row r="5272" spans="2:13" ht="18.75" customHeight="1" x14ac:dyDescent="0.25">
      <c r="B5272" s="550"/>
      <c r="C5272" s="223" t="s">
        <v>548</v>
      </c>
      <c r="D5272" s="550"/>
      <c r="E5272" s="550" t="s">
        <v>924</v>
      </c>
      <c r="F5272" s="405">
        <v>1.05</v>
      </c>
      <c r="G5272" s="410">
        <f>G5247</f>
        <v>50000</v>
      </c>
      <c r="H5272" s="230">
        <f>+G5272*F5272</f>
        <v>52500</v>
      </c>
      <c r="M5272" s="405">
        <v>1.05</v>
      </c>
    </row>
    <row r="5273" spans="2:13" ht="18.75" customHeight="1" x14ac:dyDescent="0.25">
      <c r="B5273" s="550"/>
      <c r="C5273" s="223" t="s">
        <v>1062</v>
      </c>
      <c r="D5273" s="550"/>
      <c r="E5273" s="550" t="s">
        <v>5</v>
      </c>
      <c r="F5273" s="405">
        <v>0.6</v>
      </c>
      <c r="G5273" s="410">
        <f>+G5248</f>
        <v>45000</v>
      </c>
      <c r="H5273" s="230">
        <f>+G5273*F5273</f>
        <v>27000</v>
      </c>
      <c r="M5273" s="405">
        <v>0.6</v>
      </c>
    </row>
    <row r="5274" spans="2:13" ht="18.75" customHeight="1" x14ac:dyDescent="0.25">
      <c r="B5274" s="550"/>
      <c r="C5274" s="223"/>
      <c r="D5274" s="550"/>
      <c r="E5274" s="224"/>
      <c r="F5274" s="237" t="s">
        <v>643</v>
      </c>
      <c r="G5274" s="290"/>
      <c r="H5274" s="231">
        <f>SUM(H5272:H5273)</f>
        <v>79500</v>
      </c>
      <c r="M5274" s="237" t="s">
        <v>643</v>
      </c>
    </row>
    <row r="5275" spans="2:13" ht="18.75" customHeight="1" x14ac:dyDescent="0.25">
      <c r="B5275" s="550"/>
      <c r="C5275" s="223"/>
      <c r="D5275" s="550"/>
      <c r="E5275" s="224"/>
      <c r="F5275" s="225"/>
      <c r="G5275" s="290"/>
      <c r="H5275" s="226"/>
      <c r="M5275" s="225"/>
    </row>
    <row r="5276" spans="2:13" ht="18.75" customHeight="1" x14ac:dyDescent="0.25">
      <c r="B5276" s="550" t="s">
        <v>644</v>
      </c>
      <c r="C5276" s="223" t="s">
        <v>645</v>
      </c>
      <c r="D5276" s="550"/>
      <c r="E5276" s="224"/>
      <c r="F5276" s="225"/>
      <c r="G5276" s="290"/>
      <c r="H5276" s="235"/>
      <c r="M5276" s="225"/>
    </row>
    <row r="5277" spans="2:13" ht="18.75" customHeight="1" x14ac:dyDescent="0.25">
      <c r="B5277" s="236"/>
      <c r="C5277" s="232"/>
      <c r="D5277" s="550"/>
      <c r="E5277" s="224"/>
      <c r="F5277" s="237" t="s">
        <v>646</v>
      </c>
      <c r="G5277" s="290"/>
      <c r="H5277" s="230"/>
      <c r="M5277" s="237" t="s">
        <v>646</v>
      </c>
    </row>
    <row r="5278" spans="2:13" ht="18.75" customHeight="1" x14ac:dyDescent="0.25">
      <c r="B5278" s="236"/>
      <c r="C5278" s="232"/>
      <c r="D5278" s="550"/>
      <c r="E5278" s="224"/>
      <c r="F5278" s="237"/>
      <c r="G5278" s="290"/>
      <c r="H5278" s="226"/>
      <c r="M5278" s="237"/>
    </row>
    <row r="5279" spans="2:13" ht="18.75" customHeight="1" x14ac:dyDescent="0.25">
      <c r="B5279" s="354"/>
      <c r="C5279" s="362"/>
      <c r="D5279" s="239"/>
      <c r="E5279" s="266"/>
      <c r="F5279" s="241"/>
      <c r="G5279" s="370"/>
      <c r="H5279" s="369"/>
      <c r="M5279" s="241"/>
    </row>
    <row r="5280" spans="2:13" ht="18.75" customHeight="1" x14ac:dyDescent="0.25">
      <c r="B5280" s="356" t="s">
        <v>647</v>
      </c>
      <c r="C5280" s="363" t="s">
        <v>648</v>
      </c>
      <c r="D5280" s="435"/>
      <c r="E5280" s="92"/>
      <c r="F5280" s="183"/>
      <c r="G5280" s="295"/>
      <c r="H5280" s="357">
        <f>+H5277+H5274+H5269</f>
        <v>193425</v>
      </c>
      <c r="M5280" s="183"/>
    </row>
    <row r="5281" spans="2:13" ht="18.75" customHeight="1" x14ac:dyDescent="0.25">
      <c r="B5281" s="356" t="s">
        <v>649</v>
      </c>
      <c r="C5281" s="364" t="s">
        <v>650</v>
      </c>
      <c r="D5281" s="435"/>
      <c r="E5281" s="92"/>
      <c r="F5281" s="184" t="str">
        <f>$J$5</f>
        <v>8,0 % x D</v>
      </c>
      <c r="G5281" s="295"/>
      <c r="H5281" s="358">
        <f>+H5280*$K$5</f>
        <v>15474</v>
      </c>
      <c r="M5281" s="184" t="str">
        <f>$J$5</f>
        <v>8,0 % x D</v>
      </c>
    </row>
    <row r="5282" spans="2:13" ht="18.75" customHeight="1" x14ac:dyDescent="0.25">
      <c r="B5282" s="356" t="s">
        <v>651</v>
      </c>
      <c r="C5282" s="365" t="s">
        <v>652</v>
      </c>
      <c r="D5282" s="435"/>
      <c r="E5282" s="91"/>
      <c r="F5282" s="185"/>
      <c r="G5282" s="296"/>
      <c r="H5282" s="359">
        <f>ROUNDUP((H5281+H5280)/100,0)*100</f>
        <v>208900</v>
      </c>
      <c r="M5282" s="185"/>
    </row>
    <row r="5283" spans="2:13" ht="18.75" customHeight="1" x14ac:dyDescent="0.25">
      <c r="B5283" s="360"/>
      <c r="C5283" s="366"/>
      <c r="D5283" s="245"/>
      <c r="E5283" s="246"/>
      <c r="F5283" s="247"/>
      <c r="G5283" s="299"/>
      <c r="H5283" s="361"/>
      <c r="M5283" s="247"/>
    </row>
    <row r="5284" spans="2:13" ht="18.75" customHeight="1" x14ac:dyDescent="0.25">
      <c r="B5284" s="22"/>
      <c r="C5284" s="104"/>
      <c r="E5284" s="21"/>
      <c r="F5284" s="176"/>
      <c r="G5284" s="165"/>
      <c r="H5284" s="119"/>
      <c r="M5284" s="176"/>
    </row>
    <row r="5285" spans="2:13" ht="18.75" customHeight="1" x14ac:dyDescent="0.25">
      <c r="B5285" s="19">
        <v>44</v>
      </c>
      <c r="C5285" s="93" t="s">
        <v>1065</v>
      </c>
      <c r="D5285" s="19"/>
      <c r="E5285" s="21"/>
      <c r="F5285" s="176"/>
      <c r="G5285" s="165"/>
      <c r="H5285" s="119"/>
      <c r="M5285" s="176"/>
    </row>
    <row r="5286" spans="2:13" ht="18.75" customHeight="1" x14ac:dyDescent="0.25">
      <c r="B5286" s="618" t="s">
        <v>620</v>
      </c>
      <c r="C5286" s="620" t="s">
        <v>621</v>
      </c>
      <c r="D5286" s="618" t="s">
        <v>622</v>
      </c>
      <c r="E5286" s="618" t="s">
        <v>2</v>
      </c>
      <c r="F5286" s="615" t="s">
        <v>623</v>
      </c>
      <c r="G5286" s="289" t="s">
        <v>624</v>
      </c>
      <c r="H5286" s="256" t="s">
        <v>625</v>
      </c>
      <c r="M5286" s="615" t="s">
        <v>623</v>
      </c>
    </row>
    <row r="5287" spans="2:13" ht="18.75" customHeight="1" x14ac:dyDescent="0.25">
      <c r="B5287" s="619"/>
      <c r="C5287" s="621"/>
      <c r="D5287" s="619"/>
      <c r="E5287" s="619"/>
      <c r="F5287" s="616"/>
      <c r="G5287" s="289" t="s">
        <v>626</v>
      </c>
      <c r="H5287" s="256" t="s">
        <v>626</v>
      </c>
      <c r="M5287" s="616"/>
    </row>
    <row r="5288" spans="2:13" ht="18.75" customHeight="1" x14ac:dyDescent="0.25">
      <c r="B5288" s="221"/>
      <c r="C5288" s="222"/>
      <c r="D5288" s="221"/>
      <c r="E5288" s="550"/>
      <c r="F5288" s="555"/>
      <c r="G5288" s="551"/>
      <c r="H5288" s="220"/>
      <c r="M5288" s="590"/>
    </row>
    <row r="5289" spans="2:13" ht="18.75" customHeight="1" x14ac:dyDescent="0.25">
      <c r="B5289" s="550" t="s">
        <v>627</v>
      </c>
      <c r="C5289" s="223" t="s">
        <v>628</v>
      </c>
      <c r="D5289" s="550"/>
      <c r="E5289" s="224"/>
      <c r="F5289" s="225"/>
      <c r="G5289" s="290"/>
      <c r="H5289" s="226"/>
      <c r="M5289" s="225"/>
    </row>
    <row r="5290" spans="2:13" ht="18.75" customHeight="1" x14ac:dyDescent="0.25">
      <c r="B5290" s="550"/>
      <c r="C5290" s="227" t="s">
        <v>629</v>
      </c>
      <c r="D5290" s="550" t="s">
        <v>630</v>
      </c>
      <c r="E5290" s="224" t="s">
        <v>631</v>
      </c>
      <c r="F5290" s="228">
        <f t="shared" ref="F5290:F5293" si="241">$K$8*M5290</f>
        <v>1</v>
      </c>
      <c r="G5290" s="229">
        <f>G5265</f>
        <v>95000</v>
      </c>
      <c r="H5290" s="230">
        <f>+G5290*F5290</f>
        <v>95000</v>
      </c>
      <c r="M5290" s="228">
        <v>1</v>
      </c>
    </row>
    <row r="5291" spans="2:13" ht="18.75" customHeight="1" x14ac:dyDescent="0.25">
      <c r="B5291" s="550"/>
      <c r="C5291" s="227" t="s">
        <v>1508</v>
      </c>
      <c r="D5291" s="550" t="s">
        <v>632</v>
      </c>
      <c r="E5291" s="224" t="s">
        <v>631</v>
      </c>
      <c r="F5291" s="228">
        <f t="shared" si="241"/>
        <v>0.5</v>
      </c>
      <c r="G5291" s="229">
        <f>G5266</f>
        <v>110000</v>
      </c>
      <c r="H5291" s="230">
        <f>+G5291*F5291</f>
        <v>55000</v>
      </c>
      <c r="M5291" s="228">
        <v>0.5</v>
      </c>
    </row>
    <row r="5292" spans="2:13" ht="18.75" customHeight="1" x14ac:dyDescent="0.25">
      <c r="B5292" s="550"/>
      <c r="C5292" s="227" t="s">
        <v>633</v>
      </c>
      <c r="D5292" s="550" t="s">
        <v>634</v>
      </c>
      <c r="E5292" s="224" t="s">
        <v>631</v>
      </c>
      <c r="F5292" s="228">
        <f t="shared" si="241"/>
        <v>7.4999999999999997E-2</v>
      </c>
      <c r="G5292" s="229">
        <f>G5267</f>
        <v>115000</v>
      </c>
      <c r="H5292" s="230">
        <f>+G5292*F5292</f>
        <v>8625</v>
      </c>
      <c r="M5292" s="228">
        <v>7.4999999999999997E-2</v>
      </c>
    </row>
    <row r="5293" spans="2:13" ht="18.75" customHeight="1" x14ac:dyDescent="0.25">
      <c r="B5293" s="550"/>
      <c r="C5293" s="227" t="s">
        <v>600</v>
      </c>
      <c r="D5293" s="550" t="s">
        <v>635</v>
      </c>
      <c r="E5293" s="224" t="s">
        <v>631</v>
      </c>
      <c r="F5293" s="228">
        <f t="shared" si="241"/>
        <v>7.4999999999999997E-2</v>
      </c>
      <c r="G5293" s="229">
        <f>G5268</f>
        <v>140000</v>
      </c>
      <c r="H5293" s="230">
        <f>+G5293*F5293</f>
        <v>10500</v>
      </c>
      <c r="M5293" s="228">
        <v>7.4999999999999997E-2</v>
      </c>
    </row>
    <row r="5294" spans="2:13" ht="18.75" customHeight="1" x14ac:dyDescent="0.25">
      <c r="B5294" s="550"/>
      <c r="C5294" s="223"/>
      <c r="D5294" s="550"/>
      <c r="E5294" s="224"/>
      <c r="F5294" s="233" t="s">
        <v>636</v>
      </c>
      <c r="G5294" s="290"/>
      <c r="H5294" s="231">
        <f>SUM(H5290:H5293)</f>
        <v>169125</v>
      </c>
      <c r="M5294" s="233" t="s">
        <v>636</v>
      </c>
    </row>
    <row r="5295" spans="2:13" ht="18.75" customHeight="1" x14ac:dyDescent="0.25">
      <c r="B5295" s="550"/>
      <c r="C5295" s="223"/>
      <c r="D5295" s="550"/>
      <c r="E5295" s="224"/>
      <c r="F5295" s="233"/>
      <c r="G5295" s="290"/>
      <c r="H5295" s="231"/>
      <c r="M5295" s="233"/>
    </row>
    <row r="5296" spans="2:13" ht="18.75" customHeight="1" x14ac:dyDescent="0.25">
      <c r="B5296" s="550" t="s">
        <v>637</v>
      </c>
      <c r="C5296" s="223" t="s">
        <v>638</v>
      </c>
      <c r="D5296" s="550"/>
      <c r="E5296" s="224"/>
      <c r="F5296" s="225"/>
      <c r="G5296" s="290"/>
      <c r="H5296" s="226"/>
      <c r="M5296" s="225"/>
    </row>
    <row r="5297" spans="2:13" ht="18.75" customHeight="1" x14ac:dyDescent="0.25">
      <c r="B5297" s="550"/>
      <c r="C5297" s="223" t="s">
        <v>255</v>
      </c>
      <c r="D5297" s="550"/>
      <c r="E5297" s="550" t="s">
        <v>16</v>
      </c>
      <c r="F5297" s="405">
        <v>86</v>
      </c>
      <c r="G5297" s="234">
        <f>Bahan!$D$287/F5297</f>
        <v>790.69767441860461</v>
      </c>
      <c r="H5297" s="230">
        <f>+G5297*F5297</f>
        <v>68000</v>
      </c>
      <c r="M5297" s="405">
        <v>86</v>
      </c>
    </row>
    <row r="5298" spans="2:13" ht="18.75" customHeight="1" x14ac:dyDescent="0.25">
      <c r="B5298" s="550"/>
      <c r="C5298" s="223" t="s">
        <v>708</v>
      </c>
      <c r="D5298" s="550"/>
      <c r="E5298" s="550" t="s">
        <v>5</v>
      </c>
      <c r="F5298" s="405">
        <v>9.3000000000000007</v>
      </c>
      <c r="G5298" s="234">
        <f>G5197</f>
        <v>1700</v>
      </c>
      <c r="H5298" s="230">
        <f>+G5298*F5298</f>
        <v>15810.000000000002</v>
      </c>
      <c r="M5298" s="405">
        <v>9.3000000000000007</v>
      </c>
    </row>
    <row r="5299" spans="2:13" ht="18.75" customHeight="1" x14ac:dyDescent="0.25">
      <c r="B5299" s="550"/>
      <c r="C5299" s="223" t="s">
        <v>661</v>
      </c>
      <c r="D5299" s="550"/>
      <c r="E5299" s="550" t="s">
        <v>1013</v>
      </c>
      <c r="F5299" s="405">
        <v>1.7999999999999999E-2</v>
      </c>
      <c r="G5299" s="234">
        <f>G5198</f>
        <v>230000</v>
      </c>
      <c r="H5299" s="230">
        <f>+G5299*F5299</f>
        <v>4140</v>
      </c>
      <c r="M5299" s="405">
        <v>1.7999999999999999E-2</v>
      </c>
    </row>
    <row r="5300" spans="2:13" ht="18.75" customHeight="1" x14ac:dyDescent="0.25">
      <c r="B5300" s="550"/>
      <c r="C5300" s="223" t="s">
        <v>1018</v>
      </c>
      <c r="D5300" s="550"/>
      <c r="E5300" s="550" t="s">
        <v>5</v>
      </c>
      <c r="F5300" s="405">
        <v>1.5</v>
      </c>
      <c r="G5300" s="234">
        <f>G5199</f>
        <v>14500</v>
      </c>
      <c r="H5300" s="230">
        <f>+G5300*F5300</f>
        <v>21750</v>
      </c>
      <c r="M5300" s="405">
        <v>1.5</v>
      </c>
    </row>
    <row r="5301" spans="2:13" ht="18.75" customHeight="1" x14ac:dyDescent="0.25">
      <c r="B5301" s="550"/>
      <c r="C5301" s="223"/>
      <c r="D5301" s="550"/>
      <c r="E5301" s="224"/>
      <c r="F5301" s="237" t="s">
        <v>643</v>
      </c>
      <c r="G5301" s="290"/>
      <c r="H5301" s="231">
        <f>SUM(H5297:H5300)</f>
        <v>109700</v>
      </c>
      <c r="M5301" s="237" t="s">
        <v>643</v>
      </c>
    </row>
    <row r="5302" spans="2:13" ht="18.75" customHeight="1" x14ac:dyDescent="0.25">
      <c r="B5302" s="550"/>
      <c r="C5302" s="223"/>
      <c r="D5302" s="550"/>
      <c r="E5302" s="224"/>
      <c r="F5302" s="225"/>
      <c r="G5302" s="290"/>
      <c r="H5302" s="226"/>
      <c r="M5302" s="225"/>
    </row>
    <row r="5303" spans="2:13" ht="18.75" customHeight="1" x14ac:dyDescent="0.25">
      <c r="B5303" s="550" t="s">
        <v>644</v>
      </c>
      <c r="C5303" s="223" t="s">
        <v>645</v>
      </c>
      <c r="D5303" s="550"/>
      <c r="E5303" s="224"/>
      <c r="F5303" s="225"/>
      <c r="G5303" s="290"/>
      <c r="H5303" s="235"/>
      <c r="M5303" s="225"/>
    </row>
    <row r="5304" spans="2:13" ht="18.75" customHeight="1" x14ac:dyDescent="0.25">
      <c r="B5304" s="236"/>
      <c r="C5304" s="232"/>
      <c r="D5304" s="550"/>
      <c r="E5304" s="224"/>
      <c r="F5304" s="237" t="s">
        <v>646</v>
      </c>
      <c r="G5304" s="290"/>
      <c r="H5304" s="230"/>
      <c r="M5304" s="237" t="s">
        <v>646</v>
      </c>
    </row>
    <row r="5305" spans="2:13" ht="18.75" customHeight="1" x14ac:dyDescent="0.25">
      <c r="B5305" s="236"/>
      <c r="C5305" s="232"/>
      <c r="D5305" s="550"/>
      <c r="E5305" s="224"/>
      <c r="F5305" s="237"/>
      <c r="G5305" s="290"/>
      <c r="H5305" s="226"/>
      <c r="M5305" s="237"/>
    </row>
    <row r="5306" spans="2:13" ht="18.75" customHeight="1" x14ac:dyDescent="0.25">
      <c r="B5306" s="354"/>
      <c r="C5306" s="362"/>
      <c r="D5306" s="239"/>
      <c r="E5306" s="240"/>
      <c r="F5306" s="241"/>
      <c r="G5306" s="293"/>
      <c r="H5306" s="355"/>
      <c r="M5306" s="241"/>
    </row>
    <row r="5307" spans="2:13" ht="18.75" customHeight="1" x14ac:dyDescent="0.25">
      <c r="B5307" s="356" t="s">
        <v>647</v>
      </c>
      <c r="C5307" s="363" t="s">
        <v>648</v>
      </c>
      <c r="D5307" s="435"/>
      <c r="E5307" s="92"/>
      <c r="F5307" s="183"/>
      <c r="G5307" s="295"/>
      <c r="H5307" s="357">
        <f>+H5304+H5301+H5294</f>
        <v>278825</v>
      </c>
      <c r="M5307" s="183"/>
    </row>
    <row r="5308" spans="2:13" ht="18.75" customHeight="1" x14ac:dyDescent="0.25">
      <c r="B5308" s="356" t="s">
        <v>649</v>
      </c>
      <c r="C5308" s="364" t="s">
        <v>650</v>
      </c>
      <c r="D5308" s="435"/>
      <c r="E5308" s="92"/>
      <c r="F5308" s="184" t="str">
        <f>$J$5</f>
        <v>8,0 % x D</v>
      </c>
      <c r="G5308" s="295"/>
      <c r="H5308" s="358">
        <f>+H5307*$K$5</f>
        <v>22306</v>
      </c>
      <c r="M5308" s="184" t="str">
        <f>$J$5</f>
        <v>8,0 % x D</v>
      </c>
    </row>
    <row r="5309" spans="2:13" ht="18.75" customHeight="1" x14ac:dyDescent="0.25">
      <c r="B5309" s="356" t="s">
        <v>651</v>
      </c>
      <c r="C5309" s="365" t="s">
        <v>652</v>
      </c>
      <c r="D5309" s="435"/>
      <c r="E5309" s="91"/>
      <c r="F5309" s="185"/>
      <c r="G5309" s="296"/>
      <c r="H5309" s="359">
        <f>ROUNDUP((H5308+H5307)/100,0)*100</f>
        <v>301200</v>
      </c>
      <c r="M5309" s="185"/>
    </row>
    <row r="5310" spans="2:13" ht="18.75" customHeight="1" x14ac:dyDescent="0.25">
      <c r="B5310" s="360"/>
      <c r="C5310" s="366"/>
      <c r="D5310" s="245"/>
      <c r="E5310" s="246"/>
      <c r="F5310" s="247"/>
      <c r="G5310" s="299"/>
      <c r="H5310" s="361"/>
      <c r="M5310" s="247"/>
    </row>
    <row r="5311" spans="2:13" ht="18.75" customHeight="1" x14ac:dyDescent="0.25">
      <c r="B5311" s="22"/>
      <c r="C5311" s="104"/>
      <c r="E5311" s="21"/>
      <c r="F5311" s="176"/>
      <c r="G5311" s="165"/>
      <c r="H5311" s="119"/>
      <c r="M5311" s="176"/>
    </row>
    <row r="5312" spans="2:13" ht="18.75" customHeight="1" x14ac:dyDescent="0.25">
      <c r="B5312" s="19">
        <v>45</v>
      </c>
      <c r="C5312" s="93" t="s">
        <v>1066</v>
      </c>
      <c r="D5312" s="19"/>
      <c r="E5312" s="21"/>
      <c r="F5312" s="176"/>
      <c r="G5312" s="165"/>
      <c r="H5312" s="119"/>
      <c r="M5312" s="176"/>
    </row>
    <row r="5313" spans="2:13" ht="18.75" customHeight="1" x14ac:dyDescent="0.25">
      <c r="B5313" s="618" t="s">
        <v>620</v>
      </c>
      <c r="C5313" s="620" t="s">
        <v>621</v>
      </c>
      <c r="D5313" s="618" t="s">
        <v>622</v>
      </c>
      <c r="E5313" s="618" t="s">
        <v>2</v>
      </c>
      <c r="F5313" s="615" t="s">
        <v>623</v>
      </c>
      <c r="G5313" s="289" t="s">
        <v>624</v>
      </c>
      <c r="H5313" s="256" t="s">
        <v>625</v>
      </c>
      <c r="M5313" s="615" t="s">
        <v>623</v>
      </c>
    </row>
    <row r="5314" spans="2:13" ht="18.75" customHeight="1" x14ac:dyDescent="0.25">
      <c r="B5314" s="619"/>
      <c r="C5314" s="621"/>
      <c r="D5314" s="619"/>
      <c r="E5314" s="619"/>
      <c r="F5314" s="616"/>
      <c r="G5314" s="289" t="s">
        <v>626</v>
      </c>
      <c r="H5314" s="256" t="s">
        <v>626</v>
      </c>
      <c r="M5314" s="616"/>
    </row>
    <row r="5315" spans="2:13" ht="18.75" customHeight="1" x14ac:dyDescent="0.25">
      <c r="B5315" s="221"/>
      <c r="C5315" s="222"/>
      <c r="D5315" s="221"/>
      <c r="E5315" s="550"/>
      <c r="F5315" s="555"/>
      <c r="G5315" s="551"/>
      <c r="H5315" s="220"/>
      <c r="M5315" s="590"/>
    </row>
    <row r="5316" spans="2:13" ht="18.75" customHeight="1" x14ac:dyDescent="0.25">
      <c r="B5316" s="550" t="s">
        <v>627</v>
      </c>
      <c r="C5316" s="223" t="s">
        <v>628</v>
      </c>
      <c r="D5316" s="550"/>
      <c r="E5316" s="224"/>
      <c r="F5316" s="225"/>
      <c r="G5316" s="290"/>
      <c r="H5316" s="226"/>
      <c r="M5316" s="225"/>
    </row>
    <row r="5317" spans="2:13" ht="18.75" customHeight="1" x14ac:dyDescent="0.25">
      <c r="B5317" s="550"/>
      <c r="C5317" s="227" t="s">
        <v>629</v>
      </c>
      <c r="D5317" s="550" t="s">
        <v>630</v>
      </c>
      <c r="E5317" s="224" t="s">
        <v>631</v>
      </c>
      <c r="F5317" s="228">
        <f t="shared" ref="F5317:F5320" si="242">$K$8*M5317</f>
        <v>0.9</v>
      </c>
      <c r="G5317" s="229">
        <f>G5290</f>
        <v>95000</v>
      </c>
      <c r="H5317" s="230">
        <f>+G5317*F5317</f>
        <v>85500</v>
      </c>
      <c r="M5317" s="228">
        <v>0.9</v>
      </c>
    </row>
    <row r="5318" spans="2:13" ht="18.75" customHeight="1" x14ac:dyDescent="0.25">
      <c r="B5318" s="550"/>
      <c r="C5318" s="227" t="s">
        <v>1508</v>
      </c>
      <c r="D5318" s="550" t="s">
        <v>632</v>
      </c>
      <c r="E5318" s="224" t="s">
        <v>631</v>
      </c>
      <c r="F5318" s="228">
        <f t="shared" si="242"/>
        <v>0.45</v>
      </c>
      <c r="G5318" s="229">
        <f>G5291</f>
        <v>110000</v>
      </c>
      <c r="H5318" s="230">
        <f>+G5318*F5318</f>
        <v>49500</v>
      </c>
      <c r="M5318" s="228">
        <v>0.45</v>
      </c>
    </row>
    <row r="5319" spans="2:13" ht="18.75" customHeight="1" x14ac:dyDescent="0.25">
      <c r="B5319" s="550"/>
      <c r="C5319" s="227" t="s">
        <v>633</v>
      </c>
      <c r="D5319" s="550" t="s">
        <v>634</v>
      </c>
      <c r="E5319" s="224" t="s">
        <v>631</v>
      </c>
      <c r="F5319" s="228">
        <f t="shared" si="242"/>
        <v>7.5499999999999998E-2</v>
      </c>
      <c r="G5319" s="229">
        <f>G5292</f>
        <v>115000</v>
      </c>
      <c r="H5319" s="230">
        <f>+G5319*F5319</f>
        <v>8682.5</v>
      </c>
      <c r="M5319" s="228">
        <v>7.5499999999999998E-2</v>
      </c>
    </row>
    <row r="5320" spans="2:13" ht="18.75" customHeight="1" x14ac:dyDescent="0.25">
      <c r="B5320" s="550"/>
      <c r="C5320" s="227" t="s">
        <v>600</v>
      </c>
      <c r="D5320" s="550" t="s">
        <v>635</v>
      </c>
      <c r="E5320" s="224" t="s">
        <v>631</v>
      </c>
      <c r="F5320" s="228">
        <f t="shared" si="242"/>
        <v>7.5499999999999998E-2</v>
      </c>
      <c r="G5320" s="229">
        <f>G5293</f>
        <v>140000</v>
      </c>
      <c r="H5320" s="230">
        <f>+G5320*F5320</f>
        <v>10570</v>
      </c>
      <c r="M5320" s="228">
        <v>7.5499999999999998E-2</v>
      </c>
    </row>
    <row r="5321" spans="2:13" ht="18.75" customHeight="1" x14ac:dyDescent="0.25">
      <c r="B5321" s="550"/>
      <c r="C5321" s="223"/>
      <c r="D5321" s="550"/>
      <c r="E5321" s="224"/>
      <c r="F5321" s="233" t="s">
        <v>636</v>
      </c>
      <c r="G5321" s="290"/>
      <c r="H5321" s="231">
        <f>SUM(H5317:H5320)</f>
        <v>154252.5</v>
      </c>
      <c r="M5321" s="233" t="s">
        <v>636</v>
      </c>
    </row>
    <row r="5322" spans="2:13" ht="18.75" customHeight="1" x14ac:dyDescent="0.25">
      <c r="B5322" s="550"/>
      <c r="C5322" s="223"/>
      <c r="D5322" s="550"/>
      <c r="E5322" s="224"/>
      <c r="F5322" s="233"/>
      <c r="G5322" s="290"/>
      <c r="H5322" s="231"/>
      <c r="M5322" s="233"/>
    </row>
    <row r="5323" spans="2:13" ht="18.75" customHeight="1" x14ac:dyDescent="0.25">
      <c r="B5323" s="550" t="s">
        <v>637</v>
      </c>
      <c r="C5323" s="223" t="s">
        <v>638</v>
      </c>
      <c r="D5323" s="550"/>
      <c r="E5323" s="224"/>
      <c r="F5323" s="225"/>
      <c r="G5323" s="290"/>
      <c r="H5323" s="226"/>
      <c r="M5323" s="225"/>
    </row>
    <row r="5324" spans="2:13" ht="18.75" customHeight="1" x14ac:dyDescent="0.25">
      <c r="B5324" s="550"/>
      <c r="C5324" s="223" t="s">
        <v>255</v>
      </c>
      <c r="D5324" s="550"/>
      <c r="E5324" s="550" t="s">
        <v>16</v>
      </c>
      <c r="F5324" s="405">
        <v>53</v>
      </c>
      <c r="G5324" s="234">
        <f>Bahan!$D$287/F5324</f>
        <v>1283.0188679245282</v>
      </c>
      <c r="H5324" s="230">
        <f>+G5324*F5324</f>
        <v>68000</v>
      </c>
      <c r="M5324" s="405">
        <v>53</v>
      </c>
    </row>
    <row r="5325" spans="2:13" ht="18.75" customHeight="1" x14ac:dyDescent="0.25">
      <c r="B5325" s="550"/>
      <c r="C5325" s="223" t="s">
        <v>708</v>
      </c>
      <c r="D5325" s="550"/>
      <c r="E5325" s="550" t="s">
        <v>5</v>
      </c>
      <c r="F5325" s="405">
        <v>9.3000000000000007</v>
      </c>
      <c r="G5325" s="234">
        <f>G5298</f>
        <v>1700</v>
      </c>
      <c r="H5325" s="230">
        <f>+G5325*F5325</f>
        <v>15810.000000000002</v>
      </c>
      <c r="M5325" s="405">
        <v>9.3000000000000007</v>
      </c>
    </row>
    <row r="5326" spans="2:13" ht="18.75" customHeight="1" x14ac:dyDescent="0.25">
      <c r="B5326" s="550"/>
      <c r="C5326" s="223" t="s">
        <v>661</v>
      </c>
      <c r="D5326" s="550"/>
      <c r="E5326" s="550" t="s">
        <v>1013</v>
      </c>
      <c r="F5326" s="405">
        <v>1.7999999999999999E-2</v>
      </c>
      <c r="G5326" s="234">
        <f>G5299</f>
        <v>230000</v>
      </c>
      <c r="H5326" s="230">
        <f>+G5326*F5326</f>
        <v>4140</v>
      </c>
      <c r="M5326" s="405">
        <v>1.7999999999999999E-2</v>
      </c>
    </row>
    <row r="5327" spans="2:13" ht="18.75" customHeight="1" x14ac:dyDescent="0.25">
      <c r="B5327" s="550"/>
      <c r="C5327" s="223" t="s">
        <v>1018</v>
      </c>
      <c r="D5327" s="550"/>
      <c r="E5327" s="550" t="s">
        <v>5</v>
      </c>
      <c r="F5327" s="405">
        <v>2.75</v>
      </c>
      <c r="G5327" s="234">
        <f>G5300</f>
        <v>14500</v>
      </c>
      <c r="H5327" s="230">
        <f>+G5327*F5327</f>
        <v>39875</v>
      </c>
      <c r="M5327" s="405">
        <v>2.75</v>
      </c>
    </row>
    <row r="5328" spans="2:13" ht="18.75" customHeight="1" x14ac:dyDescent="0.25">
      <c r="B5328" s="550"/>
      <c r="C5328" s="223"/>
      <c r="D5328" s="550"/>
      <c r="E5328" s="224"/>
      <c r="F5328" s="237" t="s">
        <v>643</v>
      </c>
      <c r="G5328" s="290"/>
      <c r="H5328" s="231">
        <f>SUM(H5324:H5327)</f>
        <v>127825</v>
      </c>
      <c r="M5328" s="237" t="s">
        <v>643</v>
      </c>
    </row>
    <row r="5329" spans="2:13" ht="18.75" customHeight="1" x14ac:dyDescent="0.25">
      <c r="B5329" s="550"/>
      <c r="C5329" s="223"/>
      <c r="D5329" s="550"/>
      <c r="E5329" s="224"/>
      <c r="F5329" s="225"/>
      <c r="G5329" s="290"/>
      <c r="H5329" s="226"/>
      <c r="M5329" s="225"/>
    </row>
    <row r="5330" spans="2:13" ht="18.75" customHeight="1" x14ac:dyDescent="0.25">
      <c r="B5330" s="550" t="s">
        <v>644</v>
      </c>
      <c r="C5330" s="223" t="s">
        <v>645</v>
      </c>
      <c r="D5330" s="550"/>
      <c r="E5330" s="224"/>
      <c r="F5330" s="225"/>
      <c r="G5330" s="290"/>
      <c r="H5330" s="235"/>
      <c r="M5330" s="225"/>
    </row>
    <row r="5331" spans="2:13" ht="18.75" customHeight="1" x14ac:dyDescent="0.25">
      <c r="B5331" s="236"/>
      <c r="C5331" s="232"/>
      <c r="D5331" s="550"/>
      <c r="E5331" s="224"/>
      <c r="F5331" s="237" t="s">
        <v>646</v>
      </c>
      <c r="G5331" s="290"/>
      <c r="H5331" s="230"/>
      <c r="M5331" s="237" t="s">
        <v>646</v>
      </c>
    </row>
    <row r="5332" spans="2:13" ht="18.75" customHeight="1" x14ac:dyDescent="0.25">
      <c r="B5332" s="236"/>
      <c r="C5332" s="232"/>
      <c r="D5332" s="550"/>
      <c r="E5332" s="224"/>
      <c r="F5332" s="237"/>
      <c r="G5332" s="290"/>
      <c r="H5332" s="226"/>
      <c r="M5332" s="237"/>
    </row>
    <row r="5333" spans="2:13" ht="18.75" customHeight="1" x14ac:dyDescent="0.25">
      <c r="B5333" s="354"/>
      <c r="C5333" s="362"/>
      <c r="D5333" s="239"/>
      <c r="E5333" s="266"/>
      <c r="F5333" s="241"/>
      <c r="G5333" s="370"/>
      <c r="H5333" s="369"/>
      <c r="M5333" s="241"/>
    </row>
    <row r="5334" spans="2:13" ht="18.75" customHeight="1" x14ac:dyDescent="0.25">
      <c r="B5334" s="356" t="s">
        <v>647</v>
      </c>
      <c r="C5334" s="363" t="s">
        <v>648</v>
      </c>
      <c r="D5334" s="435"/>
      <c r="E5334" s="92"/>
      <c r="F5334" s="183"/>
      <c r="G5334" s="295"/>
      <c r="H5334" s="357">
        <f>+H5331+H5328+H5321</f>
        <v>282077.5</v>
      </c>
      <c r="M5334" s="183"/>
    </row>
    <row r="5335" spans="2:13" ht="18.75" customHeight="1" x14ac:dyDescent="0.25">
      <c r="B5335" s="356" t="s">
        <v>649</v>
      </c>
      <c r="C5335" s="364" t="s">
        <v>650</v>
      </c>
      <c r="D5335" s="435"/>
      <c r="E5335" s="92"/>
      <c r="F5335" s="184" t="str">
        <f>$J$5</f>
        <v>8,0 % x D</v>
      </c>
      <c r="G5335" s="295"/>
      <c r="H5335" s="358">
        <f>+H5334*$K$5</f>
        <v>22566.2</v>
      </c>
      <c r="M5335" s="184" t="str">
        <f>$J$5</f>
        <v>8,0 % x D</v>
      </c>
    </row>
    <row r="5336" spans="2:13" ht="18.75" customHeight="1" x14ac:dyDescent="0.25">
      <c r="B5336" s="356" t="s">
        <v>651</v>
      </c>
      <c r="C5336" s="365" t="s">
        <v>652</v>
      </c>
      <c r="D5336" s="435"/>
      <c r="E5336" s="91"/>
      <c r="F5336" s="185"/>
      <c r="G5336" s="296"/>
      <c r="H5336" s="359">
        <f>ROUNDUP((H5335+H5334)/100,0)*100</f>
        <v>304700</v>
      </c>
      <c r="M5336" s="185"/>
    </row>
    <row r="5337" spans="2:13" ht="18.75" customHeight="1" x14ac:dyDescent="0.25">
      <c r="B5337" s="360"/>
      <c r="C5337" s="366"/>
      <c r="D5337" s="245"/>
      <c r="E5337" s="246"/>
      <c r="F5337" s="247"/>
      <c r="G5337" s="299"/>
      <c r="H5337" s="361"/>
      <c r="M5337" s="247"/>
    </row>
    <row r="5338" spans="2:13" ht="18.75" customHeight="1" x14ac:dyDescent="0.25">
      <c r="B5338" s="92"/>
      <c r="C5338" s="104"/>
      <c r="D5338" s="435"/>
      <c r="E5338" s="91"/>
      <c r="F5338" s="185"/>
      <c r="G5338" s="168"/>
      <c r="H5338" s="139"/>
      <c r="M5338" s="185"/>
    </row>
    <row r="5339" spans="2:13" ht="18.75" customHeight="1" x14ac:dyDescent="0.25">
      <c r="B5339" s="19">
        <v>46</v>
      </c>
      <c r="C5339" s="93" t="s">
        <v>1067</v>
      </c>
      <c r="D5339" s="19"/>
      <c r="E5339" s="21"/>
      <c r="F5339" s="176"/>
      <c r="G5339" s="165"/>
      <c r="H5339" s="119"/>
      <c r="M5339" s="176"/>
    </row>
    <row r="5340" spans="2:13" ht="18.75" customHeight="1" x14ac:dyDescent="0.25">
      <c r="B5340" s="618" t="s">
        <v>620</v>
      </c>
      <c r="C5340" s="620" t="s">
        <v>621</v>
      </c>
      <c r="D5340" s="618" t="s">
        <v>622</v>
      </c>
      <c r="E5340" s="618" t="s">
        <v>2</v>
      </c>
      <c r="F5340" s="615" t="s">
        <v>623</v>
      </c>
      <c r="G5340" s="289" t="s">
        <v>624</v>
      </c>
      <c r="H5340" s="256" t="s">
        <v>625</v>
      </c>
      <c r="M5340" s="615" t="s">
        <v>623</v>
      </c>
    </row>
    <row r="5341" spans="2:13" ht="18.75" customHeight="1" x14ac:dyDescent="0.25">
      <c r="B5341" s="619"/>
      <c r="C5341" s="621"/>
      <c r="D5341" s="619"/>
      <c r="E5341" s="619"/>
      <c r="F5341" s="616"/>
      <c r="G5341" s="289" t="s">
        <v>626</v>
      </c>
      <c r="H5341" s="256" t="s">
        <v>626</v>
      </c>
      <c r="M5341" s="616"/>
    </row>
    <row r="5342" spans="2:13" ht="18.75" customHeight="1" x14ac:dyDescent="0.25">
      <c r="B5342" s="221"/>
      <c r="C5342" s="222"/>
      <c r="D5342" s="221"/>
      <c r="E5342" s="550"/>
      <c r="F5342" s="555"/>
      <c r="G5342" s="551"/>
      <c r="H5342" s="220"/>
      <c r="M5342" s="590"/>
    </row>
    <row r="5343" spans="2:13" ht="18.75" customHeight="1" x14ac:dyDescent="0.25">
      <c r="B5343" s="550" t="s">
        <v>627</v>
      </c>
      <c r="C5343" s="223" t="s">
        <v>628</v>
      </c>
      <c r="D5343" s="550"/>
      <c r="E5343" s="224"/>
      <c r="F5343" s="225"/>
      <c r="G5343" s="290"/>
      <c r="H5343" s="226"/>
      <c r="M5343" s="225"/>
    </row>
    <row r="5344" spans="2:13" ht="18.75" customHeight="1" x14ac:dyDescent="0.25">
      <c r="B5344" s="550"/>
      <c r="C5344" s="227" t="s">
        <v>629</v>
      </c>
      <c r="D5344" s="550" t="s">
        <v>630</v>
      </c>
      <c r="E5344" s="224" t="s">
        <v>631</v>
      </c>
      <c r="F5344" s="228">
        <f t="shared" ref="F5344:F5347" si="243">$K$8*M5344</f>
        <v>0.9</v>
      </c>
      <c r="G5344" s="229">
        <f>G5317</f>
        <v>95000</v>
      </c>
      <c r="H5344" s="230">
        <f>+G5344*F5344</f>
        <v>85500</v>
      </c>
      <c r="M5344" s="228">
        <v>0.9</v>
      </c>
    </row>
    <row r="5345" spans="2:13" ht="18.75" customHeight="1" x14ac:dyDescent="0.25">
      <c r="B5345" s="550"/>
      <c r="C5345" s="227" t="s">
        <v>1508</v>
      </c>
      <c r="D5345" s="550" t="s">
        <v>632</v>
      </c>
      <c r="E5345" s="224" t="s">
        <v>631</v>
      </c>
      <c r="F5345" s="228">
        <f t="shared" si="243"/>
        <v>0.45</v>
      </c>
      <c r="G5345" s="229">
        <f>G5318</f>
        <v>110000</v>
      </c>
      <c r="H5345" s="230">
        <f>+G5345*F5345</f>
        <v>49500</v>
      </c>
      <c r="M5345" s="228">
        <v>0.45</v>
      </c>
    </row>
    <row r="5346" spans="2:13" ht="18.75" customHeight="1" x14ac:dyDescent="0.25">
      <c r="B5346" s="550"/>
      <c r="C5346" s="227" t="s">
        <v>633</v>
      </c>
      <c r="D5346" s="550" t="s">
        <v>634</v>
      </c>
      <c r="E5346" s="224" t="s">
        <v>631</v>
      </c>
      <c r="F5346" s="228">
        <f t="shared" si="243"/>
        <v>7.5499999999999998E-2</v>
      </c>
      <c r="G5346" s="229">
        <f>G5319</f>
        <v>115000</v>
      </c>
      <c r="H5346" s="230">
        <f>+G5346*F5346</f>
        <v>8682.5</v>
      </c>
      <c r="M5346" s="228">
        <v>7.5499999999999998E-2</v>
      </c>
    </row>
    <row r="5347" spans="2:13" ht="18.75" customHeight="1" x14ac:dyDescent="0.25">
      <c r="B5347" s="550"/>
      <c r="C5347" s="227" t="s">
        <v>600</v>
      </c>
      <c r="D5347" s="550" t="s">
        <v>635</v>
      </c>
      <c r="E5347" s="224" t="s">
        <v>631</v>
      </c>
      <c r="F5347" s="228">
        <f t="shared" si="243"/>
        <v>7.5499999999999998E-2</v>
      </c>
      <c r="G5347" s="229">
        <f>G5320</f>
        <v>140000</v>
      </c>
      <c r="H5347" s="230">
        <f>+G5347*F5347</f>
        <v>10570</v>
      </c>
      <c r="M5347" s="228">
        <v>7.5499999999999998E-2</v>
      </c>
    </row>
    <row r="5348" spans="2:13" ht="18.75" customHeight="1" x14ac:dyDescent="0.25">
      <c r="B5348" s="550"/>
      <c r="C5348" s="223"/>
      <c r="D5348" s="550"/>
      <c r="E5348" s="224"/>
      <c r="F5348" s="233" t="s">
        <v>636</v>
      </c>
      <c r="G5348" s="290"/>
      <c r="H5348" s="231">
        <f>SUM(H5344:H5347)</f>
        <v>154252.5</v>
      </c>
      <c r="M5348" s="233" t="s">
        <v>636</v>
      </c>
    </row>
    <row r="5349" spans="2:13" ht="18.75" customHeight="1" x14ac:dyDescent="0.25">
      <c r="B5349" s="550"/>
      <c r="C5349" s="223"/>
      <c r="D5349" s="550"/>
      <c r="E5349" s="224"/>
      <c r="F5349" s="233"/>
      <c r="G5349" s="290"/>
      <c r="H5349" s="231"/>
      <c r="M5349" s="233"/>
    </row>
    <row r="5350" spans="2:13" ht="18.75" customHeight="1" x14ac:dyDescent="0.25">
      <c r="B5350" s="550" t="s">
        <v>637</v>
      </c>
      <c r="C5350" s="223" t="s">
        <v>638</v>
      </c>
      <c r="D5350" s="550"/>
      <c r="E5350" s="224"/>
      <c r="F5350" s="225"/>
      <c r="G5350" s="290"/>
      <c r="H5350" s="226"/>
      <c r="M5350" s="225"/>
    </row>
    <row r="5351" spans="2:13" ht="18.75" customHeight="1" x14ac:dyDescent="0.25">
      <c r="B5351" s="550"/>
      <c r="C5351" s="223" t="s">
        <v>255</v>
      </c>
      <c r="D5351" s="550"/>
      <c r="E5351" s="550" t="s">
        <v>16</v>
      </c>
      <c r="F5351" s="405">
        <v>26</v>
      </c>
      <c r="G5351" s="234">
        <f>Bahan!$D$287/F5351</f>
        <v>2615.3846153846152</v>
      </c>
      <c r="H5351" s="230">
        <f>+G5351*F5351</f>
        <v>68000</v>
      </c>
      <c r="M5351" s="405">
        <v>26</v>
      </c>
    </row>
    <row r="5352" spans="2:13" ht="18.75" customHeight="1" x14ac:dyDescent="0.25">
      <c r="B5352" s="550"/>
      <c r="C5352" s="223" t="s">
        <v>708</v>
      </c>
      <c r="D5352" s="550"/>
      <c r="E5352" s="550" t="s">
        <v>5</v>
      </c>
      <c r="F5352" s="405">
        <v>9.3000000000000007</v>
      </c>
      <c r="G5352" s="234">
        <f>G5325</f>
        <v>1700</v>
      </c>
      <c r="H5352" s="230">
        <f>+G5352*F5352</f>
        <v>15810.000000000002</v>
      </c>
      <c r="M5352" s="405">
        <v>9.3000000000000007</v>
      </c>
    </row>
    <row r="5353" spans="2:13" ht="18.75" customHeight="1" x14ac:dyDescent="0.25">
      <c r="B5353" s="550"/>
      <c r="C5353" s="223" t="s">
        <v>661</v>
      </c>
      <c r="D5353" s="550"/>
      <c r="E5353" s="550" t="s">
        <v>1013</v>
      </c>
      <c r="F5353" s="405">
        <v>1.7999999999999999E-2</v>
      </c>
      <c r="G5353" s="234">
        <f>G5326</f>
        <v>230000</v>
      </c>
      <c r="H5353" s="230">
        <f>+G5353*F5353</f>
        <v>4140</v>
      </c>
      <c r="M5353" s="405">
        <v>1.7999999999999999E-2</v>
      </c>
    </row>
    <row r="5354" spans="2:13" ht="18.75" customHeight="1" x14ac:dyDescent="0.25">
      <c r="B5354" s="550"/>
      <c r="C5354" s="223" t="s">
        <v>1018</v>
      </c>
      <c r="D5354" s="550"/>
      <c r="E5354" s="550" t="s">
        <v>5</v>
      </c>
      <c r="F5354" s="405">
        <v>1.94</v>
      </c>
      <c r="G5354" s="234">
        <f>G5327</f>
        <v>14500</v>
      </c>
      <c r="H5354" s="230">
        <f>+G5354*F5354</f>
        <v>28130</v>
      </c>
      <c r="M5354" s="405">
        <v>1.94</v>
      </c>
    </row>
    <row r="5355" spans="2:13" ht="18.75" customHeight="1" x14ac:dyDescent="0.25">
      <c r="B5355" s="550"/>
      <c r="C5355" s="223"/>
      <c r="D5355" s="550"/>
      <c r="E5355" s="224"/>
      <c r="F5355" s="237" t="s">
        <v>643</v>
      </c>
      <c r="G5355" s="290"/>
      <c r="H5355" s="231">
        <f>SUM(H5351:H5354)</f>
        <v>116080</v>
      </c>
      <c r="M5355" s="237" t="s">
        <v>643</v>
      </c>
    </row>
    <row r="5356" spans="2:13" ht="18.75" customHeight="1" x14ac:dyDescent="0.25">
      <c r="B5356" s="550"/>
      <c r="C5356" s="223"/>
      <c r="D5356" s="550"/>
      <c r="E5356" s="224"/>
      <c r="F5356" s="225"/>
      <c r="G5356" s="290"/>
      <c r="H5356" s="226"/>
      <c r="M5356" s="225"/>
    </row>
    <row r="5357" spans="2:13" ht="18.75" customHeight="1" x14ac:dyDescent="0.25">
      <c r="B5357" s="550" t="s">
        <v>644</v>
      </c>
      <c r="C5357" s="223" t="s">
        <v>645</v>
      </c>
      <c r="D5357" s="550"/>
      <c r="E5357" s="224"/>
      <c r="F5357" s="225"/>
      <c r="G5357" s="290"/>
      <c r="H5357" s="235"/>
      <c r="M5357" s="225"/>
    </row>
    <row r="5358" spans="2:13" ht="18.75" customHeight="1" x14ac:dyDescent="0.25">
      <c r="B5358" s="236"/>
      <c r="C5358" s="232"/>
      <c r="D5358" s="550"/>
      <c r="E5358" s="224"/>
      <c r="F5358" s="237" t="s">
        <v>646</v>
      </c>
      <c r="G5358" s="290"/>
      <c r="H5358" s="230"/>
      <c r="M5358" s="237" t="s">
        <v>646</v>
      </c>
    </row>
    <row r="5359" spans="2:13" ht="18.75" customHeight="1" x14ac:dyDescent="0.25">
      <c r="B5359" s="236"/>
      <c r="C5359" s="232"/>
      <c r="D5359" s="550"/>
      <c r="E5359" s="224"/>
      <c r="F5359" s="237"/>
      <c r="G5359" s="290"/>
      <c r="H5359" s="226"/>
      <c r="M5359" s="237"/>
    </row>
    <row r="5360" spans="2:13" ht="18.75" customHeight="1" x14ac:dyDescent="0.25">
      <c r="B5360" s="354"/>
      <c r="C5360" s="362"/>
      <c r="D5360" s="239"/>
      <c r="E5360" s="266"/>
      <c r="F5360" s="241"/>
      <c r="G5360" s="370"/>
      <c r="H5360" s="369"/>
      <c r="M5360" s="241"/>
    </row>
    <row r="5361" spans="2:13" ht="18.75" customHeight="1" x14ac:dyDescent="0.25">
      <c r="B5361" s="356" t="s">
        <v>647</v>
      </c>
      <c r="C5361" s="363" t="s">
        <v>648</v>
      </c>
      <c r="D5361" s="435"/>
      <c r="E5361" s="92"/>
      <c r="F5361" s="183"/>
      <c r="G5361" s="295"/>
      <c r="H5361" s="357">
        <f>+H5358+H5355+H5348</f>
        <v>270332.5</v>
      </c>
      <c r="M5361" s="183"/>
    </row>
    <row r="5362" spans="2:13" ht="18.75" customHeight="1" x14ac:dyDescent="0.25">
      <c r="B5362" s="356" t="s">
        <v>649</v>
      </c>
      <c r="C5362" s="364" t="s">
        <v>650</v>
      </c>
      <c r="D5362" s="435"/>
      <c r="E5362" s="92"/>
      <c r="F5362" s="184" t="str">
        <f>$J$5</f>
        <v>8,0 % x D</v>
      </c>
      <c r="G5362" s="295"/>
      <c r="H5362" s="358">
        <f>+H5361*$K$5</f>
        <v>21626.600000000002</v>
      </c>
      <c r="M5362" s="184" t="str">
        <f>$J$5</f>
        <v>8,0 % x D</v>
      </c>
    </row>
    <row r="5363" spans="2:13" ht="18.75" customHeight="1" x14ac:dyDescent="0.25">
      <c r="B5363" s="356" t="s">
        <v>651</v>
      </c>
      <c r="C5363" s="365" t="s">
        <v>652</v>
      </c>
      <c r="D5363" s="435"/>
      <c r="E5363" s="91"/>
      <c r="F5363" s="185"/>
      <c r="G5363" s="296"/>
      <c r="H5363" s="359">
        <f>ROUNDUP((H5362+H5361)/100,0)*100</f>
        <v>292000</v>
      </c>
      <c r="M5363" s="185"/>
    </row>
    <row r="5364" spans="2:13" ht="18.75" customHeight="1" x14ac:dyDescent="0.25">
      <c r="B5364" s="360"/>
      <c r="C5364" s="366"/>
      <c r="D5364" s="245"/>
      <c r="E5364" s="246"/>
      <c r="F5364" s="247"/>
      <c r="G5364" s="299"/>
      <c r="H5364" s="361"/>
      <c r="M5364" s="247"/>
    </row>
    <row r="5365" spans="2:13" ht="18.75" customHeight="1" x14ac:dyDescent="0.25">
      <c r="B5365" s="22"/>
      <c r="C5365" s="104"/>
      <c r="E5365" s="21"/>
      <c r="F5365" s="176"/>
      <c r="G5365" s="165"/>
      <c r="H5365" s="119"/>
      <c r="M5365" s="176"/>
    </row>
    <row r="5366" spans="2:13" ht="18.75" customHeight="1" x14ac:dyDescent="0.25">
      <c r="B5366" s="19">
        <v>47</v>
      </c>
      <c r="C5366" s="93" t="s">
        <v>1068</v>
      </c>
      <c r="D5366" s="19"/>
      <c r="E5366" s="21"/>
      <c r="F5366" s="176"/>
      <c r="G5366" s="165"/>
      <c r="H5366" s="119"/>
      <c r="M5366" s="176"/>
    </row>
    <row r="5367" spans="2:13" ht="18.75" customHeight="1" x14ac:dyDescent="0.25">
      <c r="B5367" s="618" t="s">
        <v>620</v>
      </c>
      <c r="C5367" s="620" t="s">
        <v>621</v>
      </c>
      <c r="D5367" s="618" t="s">
        <v>622</v>
      </c>
      <c r="E5367" s="618" t="s">
        <v>2</v>
      </c>
      <c r="F5367" s="615" t="s">
        <v>623</v>
      </c>
      <c r="G5367" s="289" t="s">
        <v>624</v>
      </c>
      <c r="H5367" s="256" t="s">
        <v>625</v>
      </c>
      <c r="M5367" s="615" t="s">
        <v>623</v>
      </c>
    </row>
    <row r="5368" spans="2:13" ht="18.75" customHeight="1" x14ac:dyDescent="0.25">
      <c r="B5368" s="619"/>
      <c r="C5368" s="621"/>
      <c r="D5368" s="619"/>
      <c r="E5368" s="619"/>
      <c r="F5368" s="616"/>
      <c r="G5368" s="289" t="s">
        <v>626</v>
      </c>
      <c r="H5368" s="256" t="s">
        <v>626</v>
      </c>
      <c r="M5368" s="616"/>
    </row>
    <row r="5369" spans="2:13" ht="18.75" customHeight="1" x14ac:dyDescent="0.25">
      <c r="B5369" s="221"/>
      <c r="C5369" s="222"/>
      <c r="D5369" s="221"/>
      <c r="E5369" s="550"/>
      <c r="F5369" s="555"/>
      <c r="G5369" s="551"/>
      <c r="H5369" s="220"/>
      <c r="M5369" s="590"/>
    </row>
    <row r="5370" spans="2:13" ht="18.75" customHeight="1" x14ac:dyDescent="0.25">
      <c r="B5370" s="550" t="s">
        <v>627</v>
      </c>
      <c r="C5370" s="223" t="s">
        <v>628</v>
      </c>
      <c r="D5370" s="550"/>
      <c r="E5370" s="224"/>
      <c r="F5370" s="225"/>
      <c r="G5370" s="290"/>
      <c r="H5370" s="226"/>
      <c r="M5370" s="225"/>
    </row>
    <row r="5371" spans="2:13" ht="18.75" customHeight="1" x14ac:dyDescent="0.25">
      <c r="B5371" s="550"/>
      <c r="C5371" s="227" t="s">
        <v>629</v>
      </c>
      <c r="D5371" s="550" t="s">
        <v>630</v>
      </c>
      <c r="E5371" s="224" t="s">
        <v>631</v>
      </c>
      <c r="F5371" s="228">
        <f t="shared" ref="F5371:F5374" si="244">$K$8*M5371</f>
        <v>0.9</v>
      </c>
      <c r="G5371" s="229">
        <f>G5344</f>
        <v>95000</v>
      </c>
      <c r="H5371" s="230">
        <f>+G5371*F5371</f>
        <v>85500</v>
      </c>
      <c r="M5371" s="228">
        <v>0.9</v>
      </c>
    </row>
    <row r="5372" spans="2:13" ht="18.75" customHeight="1" x14ac:dyDescent="0.25">
      <c r="B5372" s="550"/>
      <c r="C5372" s="227" t="s">
        <v>1508</v>
      </c>
      <c r="D5372" s="550" t="s">
        <v>632</v>
      </c>
      <c r="E5372" s="224" t="s">
        <v>631</v>
      </c>
      <c r="F5372" s="228">
        <f t="shared" si="244"/>
        <v>0.45</v>
      </c>
      <c r="G5372" s="229">
        <f>G5345</f>
        <v>110000</v>
      </c>
      <c r="H5372" s="230">
        <f>+G5372*F5372</f>
        <v>49500</v>
      </c>
      <c r="M5372" s="228">
        <v>0.45</v>
      </c>
    </row>
    <row r="5373" spans="2:13" ht="18.75" customHeight="1" x14ac:dyDescent="0.25">
      <c r="B5373" s="550"/>
      <c r="C5373" s="227" t="s">
        <v>633</v>
      </c>
      <c r="D5373" s="550" t="s">
        <v>634</v>
      </c>
      <c r="E5373" s="224" t="s">
        <v>631</v>
      </c>
      <c r="F5373" s="228">
        <f t="shared" si="244"/>
        <v>7.5499999999999998E-2</v>
      </c>
      <c r="G5373" s="229">
        <f>G5346</f>
        <v>115000</v>
      </c>
      <c r="H5373" s="230">
        <f>+G5373*F5373</f>
        <v>8682.5</v>
      </c>
      <c r="M5373" s="228">
        <v>7.5499999999999998E-2</v>
      </c>
    </row>
    <row r="5374" spans="2:13" ht="18.75" customHeight="1" x14ac:dyDescent="0.25">
      <c r="B5374" s="550"/>
      <c r="C5374" s="227" t="s">
        <v>600</v>
      </c>
      <c r="D5374" s="550" t="s">
        <v>635</v>
      </c>
      <c r="E5374" s="224" t="s">
        <v>631</v>
      </c>
      <c r="F5374" s="228">
        <f t="shared" si="244"/>
        <v>7.5499999999999998E-2</v>
      </c>
      <c r="G5374" s="229">
        <f>G5347</f>
        <v>140000</v>
      </c>
      <c r="H5374" s="230">
        <f>+G5374*F5374</f>
        <v>10570</v>
      </c>
      <c r="M5374" s="228">
        <v>7.5499999999999998E-2</v>
      </c>
    </row>
    <row r="5375" spans="2:13" ht="18.75" customHeight="1" x14ac:dyDescent="0.25">
      <c r="B5375" s="550"/>
      <c r="C5375" s="227"/>
      <c r="D5375" s="550"/>
      <c r="E5375" s="224"/>
      <c r="F5375" s="233" t="s">
        <v>636</v>
      </c>
      <c r="G5375" s="290"/>
      <c r="H5375" s="231">
        <f>SUM(H5371:H5374)</f>
        <v>154252.5</v>
      </c>
      <c r="M5375" s="233" t="s">
        <v>636</v>
      </c>
    </row>
    <row r="5376" spans="2:13" ht="18.75" customHeight="1" x14ac:dyDescent="0.25">
      <c r="B5376" s="550"/>
      <c r="C5376" s="227"/>
      <c r="D5376" s="550"/>
      <c r="E5376" s="224"/>
      <c r="F5376" s="233"/>
      <c r="G5376" s="290"/>
      <c r="H5376" s="231"/>
      <c r="M5376" s="233"/>
    </row>
    <row r="5377" spans="2:13" ht="18.75" customHeight="1" x14ac:dyDescent="0.25">
      <c r="B5377" s="550" t="s">
        <v>637</v>
      </c>
      <c r="C5377" s="223" t="s">
        <v>638</v>
      </c>
      <c r="D5377" s="550"/>
      <c r="E5377" s="224"/>
      <c r="F5377" s="228"/>
      <c r="G5377" s="275"/>
      <c r="H5377" s="230"/>
      <c r="M5377" s="228"/>
    </row>
    <row r="5378" spans="2:13" ht="18.75" customHeight="1" x14ac:dyDescent="0.25">
      <c r="B5378" s="550"/>
      <c r="C5378" s="227" t="s">
        <v>1069</v>
      </c>
      <c r="D5378" s="550"/>
      <c r="E5378" s="224" t="s">
        <v>28</v>
      </c>
      <c r="F5378" s="228">
        <v>54</v>
      </c>
      <c r="G5378" s="234">
        <f>Bahan!$D$295/F5378</f>
        <v>3333.3333333333335</v>
      </c>
      <c r="H5378" s="230">
        <f>F5378*G5378</f>
        <v>180000</v>
      </c>
      <c r="M5378" s="228">
        <v>54</v>
      </c>
    </row>
    <row r="5379" spans="2:13" ht="18.75" customHeight="1" x14ac:dyDescent="0.25">
      <c r="B5379" s="550"/>
      <c r="C5379" s="223" t="s">
        <v>708</v>
      </c>
      <c r="D5379" s="550"/>
      <c r="E5379" s="550" t="s">
        <v>5</v>
      </c>
      <c r="F5379" s="405">
        <v>9.3000000000000007</v>
      </c>
      <c r="G5379" s="234">
        <f>G5352</f>
        <v>1700</v>
      </c>
      <c r="H5379" s="230">
        <f>+G5379*F5379</f>
        <v>15810.000000000002</v>
      </c>
      <c r="M5379" s="405">
        <v>9.3000000000000007</v>
      </c>
    </row>
    <row r="5380" spans="2:13" ht="18.75" customHeight="1" x14ac:dyDescent="0.25">
      <c r="B5380" s="550"/>
      <c r="C5380" s="223" t="s">
        <v>661</v>
      </c>
      <c r="D5380" s="550"/>
      <c r="E5380" s="550" t="s">
        <v>1013</v>
      </c>
      <c r="F5380" s="405">
        <v>1.7999999999999999E-2</v>
      </c>
      <c r="G5380" s="234">
        <f>G5353</f>
        <v>230000</v>
      </c>
      <c r="H5380" s="230">
        <f>+G5380*F5380</f>
        <v>4140</v>
      </c>
      <c r="M5380" s="405">
        <v>1.7999999999999999E-2</v>
      </c>
    </row>
    <row r="5381" spans="2:13" ht="18.75" customHeight="1" x14ac:dyDescent="0.25">
      <c r="B5381" s="550"/>
      <c r="C5381" s="223" t="s">
        <v>1018</v>
      </c>
      <c r="D5381" s="550"/>
      <c r="E5381" s="550" t="s">
        <v>5</v>
      </c>
      <c r="F5381" s="405">
        <v>2.75</v>
      </c>
      <c r="G5381" s="234">
        <f>G5354</f>
        <v>14500</v>
      </c>
      <c r="H5381" s="230">
        <f>+G5381*F5381</f>
        <v>39875</v>
      </c>
      <c r="M5381" s="405">
        <v>2.75</v>
      </c>
    </row>
    <row r="5382" spans="2:13" ht="18.75" customHeight="1" x14ac:dyDescent="0.25">
      <c r="B5382" s="550"/>
      <c r="C5382" s="223"/>
      <c r="D5382" s="550"/>
      <c r="E5382" s="224"/>
      <c r="F5382" s="237" t="s">
        <v>643</v>
      </c>
      <c r="G5382" s="290"/>
      <c r="H5382" s="231">
        <f>SUM(H5378:H5381)</f>
        <v>239825</v>
      </c>
      <c r="M5382" s="237" t="s">
        <v>643</v>
      </c>
    </row>
    <row r="5383" spans="2:13" ht="18.75" customHeight="1" x14ac:dyDescent="0.25">
      <c r="B5383" s="550"/>
      <c r="C5383" s="223"/>
      <c r="D5383" s="550"/>
      <c r="E5383" s="224"/>
      <c r="F5383" s="225"/>
      <c r="G5383" s="290"/>
      <c r="H5383" s="226"/>
      <c r="M5383" s="225"/>
    </row>
    <row r="5384" spans="2:13" ht="18.75" customHeight="1" x14ac:dyDescent="0.25">
      <c r="B5384" s="550" t="s">
        <v>644</v>
      </c>
      <c r="C5384" s="223" t="s">
        <v>645</v>
      </c>
      <c r="D5384" s="550"/>
      <c r="E5384" s="224"/>
      <c r="F5384" s="225"/>
      <c r="G5384" s="290"/>
      <c r="H5384" s="235"/>
      <c r="M5384" s="225"/>
    </row>
    <row r="5385" spans="2:13" ht="18.75" customHeight="1" x14ac:dyDescent="0.25">
      <c r="B5385" s="236"/>
      <c r="C5385" s="232"/>
      <c r="D5385" s="550"/>
      <c r="E5385" s="224"/>
      <c r="F5385" s="237" t="s">
        <v>646</v>
      </c>
      <c r="G5385" s="290"/>
      <c r="H5385" s="230"/>
      <c r="M5385" s="237" t="s">
        <v>646</v>
      </c>
    </row>
    <row r="5386" spans="2:13" ht="18.75" customHeight="1" x14ac:dyDescent="0.25">
      <c r="B5386" s="236"/>
      <c r="C5386" s="232"/>
      <c r="D5386" s="550"/>
      <c r="E5386" s="224"/>
      <c r="F5386" s="237"/>
      <c r="G5386" s="290"/>
      <c r="H5386" s="226"/>
      <c r="M5386" s="237"/>
    </row>
    <row r="5387" spans="2:13" ht="18.75" customHeight="1" x14ac:dyDescent="0.25">
      <c r="B5387" s="354"/>
      <c r="C5387" s="362"/>
      <c r="D5387" s="239"/>
      <c r="E5387" s="266"/>
      <c r="F5387" s="241"/>
      <c r="G5387" s="370"/>
      <c r="H5387" s="369"/>
      <c r="M5387" s="241"/>
    </row>
    <row r="5388" spans="2:13" ht="18.75" customHeight="1" x14ac:dyDescent="0.25">
      <c r="B5388" s="356" t="s">
        <v>647</v>
      </c>
      <c r="C5388" s="363" t="s">
        <v>648</v>
      </c>
      <c r="D5388" s="435"/>
      <c r="E5388" s="92"/>
      <c r="F5388" s="183"/>
      <c r="G5388" s="295"/>
      <c r="H5388" s="357">
        <f>H5375+H5382</f>
        <v>394077.5</v>
      </c>
      <c r="M5388" s="183"/>
    </row>
    <row r="5389" spans="2:13" ht="18.75" customHeight="1" x14ac:dyDescent="0.25">
      <c r="B5389" s="356" t="s">
        <v>649</v>
      </c>
      <c r="C5389" s="364" t="s">
        <v>650</v>
      </c>
      <c r="D5389" s="435"/>
      <c r="E5389" s="92"/>
      <c r="F5389" s="184" t="str">
        <f>$J$5</f>
        <v>8,0 % x D</v>
      </c>
      <c r="G5389" s="295"/>
      <c r="H5389" s="358">
        <f>+H5388*$K$5</f>
        <v>31526.2</v>
      </c>
      <c r="M5389" s="184" t="str">
        <f>$J$5</f>
        <v>8,0 % x D</v>
      </c>
    </row>
    <row r="5390" spans="2:13" ht="18.75" customHeight="1" x14ac:dyDescent="0.25">
      <c r="B5390" s="356" t="s">
        <v>651</v>
      </c>
      <c r="C5390" s="365" t="s">
        <v>652</v>
      </c>
      <c r="D5390" s="435"/>
      <c r="E5390" s="91"/>
      <c r="F5390" s="185"/>
      <c r="G5390" s="296"/>
      <c r="H5390" s="359">
        <f>ROUNDUP((H5389+H5388)/100,0)*100</f>
        <v>425700</v>
      </c>
      <c r="M5390" s="185"/>
    </row>
    <row r="5391" spans="2:13" ht="18.75" customHeight="1" x14ac:dyDescent="0.25">
      <c r="B5391" s="360"/>
      <c r="C5391" s="366"/>
      <c r="D5391" s="245"/>
      <c r="E5391" s="246"/>
      <c r="F5391" s="247"/>
      <c r="G5391" s="299"/>
      <c r="H5391" s="361"/>
      <c r="M5391" s="247"/>
    </row>
    <row r="5392" spans="2:13" ht="18.75" customHeight="1" x14ac:dyDescent="0.25">
      <c r="B5392" s="92"/>
      <c r="C5392" s="104"/>
      <c r="D5392" s="435"/>
      <c r="E5392" s="91"/>
      <c r="F5392" s="185"/>
      <c r="G5392" s="168"/>
      <c r="H5392" s="139"/>
      <c r="M5392" s="185"/>
    </row>
    <row r="5393" spans="2:13" ht="18.75" customHeight="1" x14ac:dyDescent="0.25">
      <c r="B5393" s="19">
        <v>48</v>
      </c>
      <c r="C5393" s="93" t="s">
        <v>1070</v>
      </c>
      <c r="D5393" s="19"/>
      <c r="E5393" s="21"/>
      <c r="F5393" s="176"/>
      <c r="G5393" s="165"/>
      <c r="H5393" s="119"/>
      <c r="M5393" s="176"/>
    </row>
    <row r="5394" spans="2:13" ht="18.75" customHeight="1" x14ac:dyDescent="0.25">
      <c r="B5394" s="618" t="s">
        <v>620</v>
      </c>
      <c r="C5394" s="620" t="s">
        <v>621</v>
      </c>
      <c r="D5394" s="618" t="s">
        <v>622</v>
      </c>
      <c r="E5394" s="618" t="s">
        <v>2</v>
      </c>
      <c r="F5394" s="615" t="s">
        <v>623</v>
      </c>
      <c r="G5394" s="289" t="s">
        <v>624</v>
      </c>
      <c r="H5394" s="256" t="s">
        <v>625</v>
      </c>
      <c r="M5394" s="615" t="s">
        <v>623</v>
      </c>
    </row>
    <row r="5395" spans="2:13" ht="18.75" customHeight="1" x14ac:dyDescent="0.25">
      <c r="B5395" s="619"/>
      <c r="C5395" s="621"/>
      <c r="D5395" s="619"/>
      <c r="E5395" s="619"/>
      <c r="F5395" s="616"/>
      <c r="G5395" s="289" t="s">
        <v>626</v>
      </c>
      <c r="H5395" s="256" t="s">
        <v>626</v>
      </c>
      <c r="M5395" s="616"/>
    </row>
    <row r="5396" spans="2:13" ht="18.75" customHeight="1" x14ac:dyDescent="0.25">
      <c r="B5396" s="221"/>
      <c r="C5396" s="222"/>
      <c r="D5396" s="221"/>
      <c r="E5396" s="550"/>
      <c r="F5396" s="555"/>
      <c r="G5396" s="551"/>
      <c r="H5396" s="220"/>
      <c r="M5396" s="590"/>
    </row>
    <row r="5397" spans="2:13" ht="18.75" customHeight="1" x14ac:dyDescent="0.25">
      <c r="B5397" s="550" t="s">
        <v>627</v>
      </c>
      <c r="C5397" s="223" t="s">
        <v>628</v>
      </c>
      <c r="D5397" s="550"/>
      <c r="E5397" s="224"/>
      <c r="F5397" s="225"/>
      <c r="G5397" s="290"/>
      <c r="H5397" s="226"/>
      <c r="M5397" s="225"/>
    </row>
    <row r="5398" spans="2:13" ht="18.75" customHeight="1" x14ac:dyDescent="0.25">
      <c r="B5398" s="550"/>
      <c r="C5398" s="227" t="s">
        <v>629</v>
      </c>
      <c r="D5398" s="550" t="s">
        <v>630</v>
      </c>
      <c r="E5398" s="224" t="s">
        <v>631</v>
      </c>
      <c r="F5398" s="228">
        <f t="shared" ref="F5398:F5401" si="245">$K$8*M5398</f>
        <v>0.9</v>
      </c>
      <c r="G5398" s="229">
        <f>G5371</f>
        <v>95000</v>
      </c>
      <c r="H5398" s="230">
        <f>+G5398*F5398</f>
        <v>85500</v>
      </c>
      <c r="M5398" s="228">
        <v>0.9</v>
      </c>
    </row>
    <row r="5399" spans="2:13" ht="18.75" customHeight="1" x14ac:dyDescent="0.25">
      <c r="B5399" s="550"/>
      <c r="C5399" s="227" t="s">
        <v>1508</v>
      </c>
      <c r="D5399" s="550" t="s">
        <v>632</v>
      </c>
      <c r="E5399" s="224" t="s">
        <v>631</v>
      </c>
      <c r="F5399" s="228">
        <f t="shared" si="245"/>
        <v>0.45</v>
      </c>
      <c r="G5399" s="229">
        <f>G5372</f>
        <v>110000</v>
      </c>
      <c r="H5399" s="230">
        <f>+G5399*F5399</f>
        <v>49500</v>
      </c>
      <c r="M5399" s="228">
        <v>0.45</v>
      </c>
    </row>
    <row r="5400" spans="2:13" ht="18.75" customHeight="1" x14ac:dyDescent="0.25">
      <c r="B5400" s="550"/>
      <c r="C5400" s="227" t="s">
        <v>633</v>
      </c>
      <c r="D5400" s="550" t="s">
        <v>634</v>
      </c>
      <c r="E5400" s="224" t="s">
        <v>631</v>
      </c>
      <c r="F5400" s="228">
        <f t="shared" si="245"/>
        <v>7.5499999999999998E-2</v>
      </c>
      <c r="G5400" s="229">
        <f>G5373</f>
        <v>115000</v>
      </c>
      <c r="H5400" s="230">
        <f>+G5400*F5400</f>
        <v>8682.5</v>
      </c>
      <c r="M5400" s="228">
        <v>7.5499999999999998E-2</v>
      </c>
    </row>
    <row r="5401" spans="2:13" ht="18.75" customHeight="1" x14ac:dyDescent="0.25">
      <c r="B5401" s="550"/>
      <c r="C5401" s="227" t="s">
        <v>600</v>
      </c>
      <c r="D5401" s="550" t="s">
        <v>635</v>
      </c>
      <c r="E5401" s="224" t="s">
        <v>631</v>
      </c>
      <c r="F5401" s="228">
        <f t="shared" si="245"/>
        <v>7.5499999999999998E-2</v>
      </c>
      <c r="G5401" s="229">
        <f>G5374</f>
        <v>140000</v>
      </c>
      <c r="H5401" s="230">
        <f>+G5401*F5401</f>
        <v>10570</v>
      </c>
      <c r="M5401" s="228">
        <v>7.5499999999999998E-2</v>
      </c>
    </row>
    <row r="5402" spans="2:13" ht="18.75" customHeight="1" x14ac:dyDescent="0.25">
      <c r="B5402" s="550"/>
      <c r="C5402" s="223"/>
      <c r="D5402" s="550"/>
      <c r="E5402" s="224"/>
      <c r="F5402" s="233" t="s">
        <v>636</v>
      </c>
      <c r="G5402" s="290"/>
      <c r="H5402" s="231">
        <f>SUM(H5398:H5401)</f>
        <v>154252.5</v>
      </c>
      <c r="M5402" s="233" t="s">
        <v>636</v>
      </c>
    </row>
    <row r="5403" spans="2:13" ht="18.75" customHeight="1" x14ac:dyDescent="0.25">
      <c r="B5403" s="550"/>
      <c r="C5403" s="223"/>
      <c r="D5403" s="550"/>
      <c r="E5403" s="224"/>
      <c r="F5403" s="233"/>
      <c r="G5403" s="290"/>
      <c r="H5403" s="231"/>
      <c r="M5403" s="233"/>
    </row>
    <row r="5404" spans="2:13" ht="18.75" customHeight="1" x14ac:dyDescent="0.25">
      <c r="B5404" s="550" t="s">
        <v>637</v>
      </c>
      <c r="C5404" s="223" t="s">
        <v>638</v>
      </c>
      <c r="D5404" s="550"/>
      <c r="E5404" s="224"/>
      <c r="F5404" s="225"/>
      <c r="G5404" s="290"/>
      <c r="H5404" s="226"/>
      <c r="M5404" s="225"/>
    </row>
    <row r="5405" spans="2:13" ht="18.75" customHeight="1" x14ac:dyDescent="0.25">
      <c r="B5405" s="550"/>
      <c r="C5405" s="223" t="s">
        <v>1069</v>
      </c>
      <c r="D5405" s="550"/>
      <c r="E5405" s="550" t="s">
        <v>16</v>
      </c>
      <c r="F5405" s="405">
        <v>106</v>
      </c>
      <c r="G5405" s="234">
        <f>Bahan!$D$295/F5405</f>
        <v>1698.1132075471698</v>
      </c>
      <c r="H5405" s="230">
        <f>F5405*G5405</f>
        <v>180000</v>
      </c>
      <c r="M5405" s="405">
        <v>106</v>
      </c>
    </row>
    <row r="5406" spans="2:13" ht="18.75" customHeight="1" x14ac:dyDescent="0.25">
      <c r="B5406" s="550"/>
      <c r="C5406" s="223" t="s">
        <v>708</v>
      </c>
      <c r="D5406" s="550"/>
      <c r="E5406" s="550" t="s">
        <v>5</v>
      </c>
      <c r="F5406" s="405">
        <v>9.3000000000000007</v>
      </c>
      <c r="G5406" s="234">
        <f>G5379</f>
        <v>1700</v>
      </c>
      <c r="H5406" s="230">
        <f>+G5406*F5406</f>
        <v>15810.000000000002</v>
      </c>
      <c r="M5406" s="405">
        <v>9.3000000000000007</v>
      </c>
    </row>
    <row r="5407" spans="2:13" ht="18.75" customHeight="1" x14ac:dyDescent="0.25">
      <c r="B5407" s="550"/>
      <c r="C5407" s="223" t="s">
        <v>661</v>
      </c>
      <c r="D5407" s="550"/>
      <c r="E5407" s="550" t="s">
        <v>1013</v>
      </c>
      <c r="F5407" s="405">
        <v>1.7999999999999999E-2</v>
      </c>
      <c r="G5407" s="234">
        <f>G5380</f>
        <v>230000</v>
      </c>
      <c r="H5407" s="230">
        <f>+G5407*F5407</f>
        <v>4140</v>
      </c>
      <c r="M5407" s="405">
        <v>1.7999999999999999E-2</v>
      </c>
    </row>
    <row r="5408" spans="2:13" ht="18.75" customHeight="1" x14ac:dyDescent="0.25">
      <c r="B5408" s="550"/>
      <c r="C5408" s="223" t="s">
        <v>1018</v>
      </c>
      <c r="D5408" s="550"/>
      <c r="E5408" s="550" t="s">
        <v>5</v>
      </c>
      <c r="F5408" s="405">
        <v>2.9</v>
      </c>
      <c r="G5408" s="234">
        <f>G5381</f>
        <v>14500</v>
      </c>
      <c r="H5408" s="230">
        <f>+G5408*F5408</f>
        <v>42050</v>
      </c>
      <c r="M5408" s="405">
        <v>2.9</v>
      </c>
    </row>
    <row r="5409" spans="2:13" ht="18.75" customHeight="1" x14ac:dyDescent="0.25">
      <c r="B5409" s="550"/>
      <c r="C5409" s="223"/>
      <c r="D5409" s="550"/>
      <c r="E5409" s="224"/>
      <c r="F5409" s="237" t="s">
        <v>643</v>
      </c>
      <c r="G5409" s="290"/>
      <c r="H5409" s="231">
        <f>SUM(H5405:H5408)</f>
        <v>242000</v>
      </c>
      <c r="M5409" s="237" t="s">
        <v>643</v>
      </c>
    </row>
    <row r="5410" spans="2:13" ht="18.75" customHeight="1" x14ac:dyDescent="0.25">
      <c r="B5410" s="550"/>
      <c r="C5410" s="223"/>
      <c r="D5410" s="550"/>
      <c r="E5410" s="224"/>
      <c r="F5410" s="225"/>
      <c r="G5410" s="290"/>
      <c r="H5410" s="226"/>
      <c r="M5410" s="225"/>
    </row>
    <row r="5411" spans="2:13" ht="18.75" customHeight="1" x14ac:dyDescent="0.25">
      <c r="B5411" s="550" t="s">
        <v>644</v>
      </c>
      <c r="C5411" s="223" t="s">
        <v>645</v>
      </c>
      <c r="D5411" s="550"/>
      <c r="E5411" s="224"/>
      <c r="F5411" s="225"/>
      <c r="G5411" s="290"/>
      <c r="H5411" s="235"/>
      <c r="M5411" s="225"/>
    </row>
    <row r="5412" spans="2:13" ht="18.75" customHeight="1" x14ac:dyDescent="0.25">
      <c r="B5412" s="236"/>
      <c r="C5412" s="232"/>
      <c r="D5412" s="550"/>
      <c r="E5412" s="224"/>
      <c r="F5412" s="237" t="s">
        <v>646</v>
      </c>
      <c r="G5412" s="290"/>
      <c r="H5412" s="230"/>
      <c r="M5412" s="237" t="s">
        <v>646</v>
      </c>
    </row>
    <row r="5413" spans="2:13" ht="18.75" customHeight="1" x14ac:dyDescent="0.25">
      <c r="B5413" s="236"/>
      <c r="C5413" s="232"/>
      <c r="D5413" s="550"/>
      <c r="E5413" s="224"/>
      <c r="F5413" s="237"/>
      <c r="G5413" s="290"/>
      <c r="H5413" s="226"/>
      <c r="M5413" s="237"/>
    </row>
    <row r="5414" spans="2:13" ht="18.75" customHeight="1" x14ac:dyDescent="0.25">
      <c r="B5414" s="354"/>
      <c r="C5414" s="362"/>
      <c r="D5414" s="239"/>
      <c r="E5414" s="266"/>
      <c r="F5414" s="241"/>
      <c r="G5414" s="370"/>
      <c r="H5414" s="369"/>
      <c r="M5414" s="241"/>
    </row>
    <row r="5415" spans="2:13" ht="18.75" customHeight="1" x14ac:dyDescent="0.25">
      <c r="B5415" s="356" t="s">
        <v>647</v>
      </c>
      <c r="C5415" s="363" t="s">
        <v>648</v>
      </c>
      <c r="D5415" s="435"/>
      <c r="E5415" s="92"/>
      <c r="F5415" s="183"/>
      <c r="G5415" s="295"/>
      <c r="H5415" s="357">
        <f>H5402+H5409</f>
        <v>396252.5</v>
      </c>
      <c r="M5415" s="183"/>
    </row>
    <row r="5416" spans="2:13" ht="18.75" customHeight="1" x14ac:dyDescent="0.25">
      <c r="B5416" s="356" t="s">
        <v>649</v>
      </c>
      <c r="C5416" s="364" t="s">
        <v>650</v>
      </c>
      <c r="D5416" s="435"/>
      <c r="E5416" s="92"/>
      <c r="F5416" s="184" t="str">
        <f>$J$5</f>
        <v>8,0 % x D</v>
      </c>
      <c r="G5416" s="295"/>
      <c r="H5416" s="358">
        <f>+H5415*$K$5</f>
        <v>31700.2</v>
      </c>
      <c r="M5416" s="184" t="str">
        <f>$J$5</f>
        <v>8,0 % x D</v>
      </c>
    </row>
    <row r="5417" spans="2:13" ht="18.75" customHeight="1" x14ac:dyDescent="0.25">
      <c r="B5417" s="356" t="s">
        <v>651</v>
      </c>
      <c r="C5417" s="365" t="s">
        <v>652</v>
      </c>
      <c r="D5417" s="435"/>
      <c r="E5417" s="91"/>
      <c r="F5417" s="185"/>
      <c r="G5417" s="296"/>
      <c r="H5417" s="359">
        <f>ROUNDUP((H5416+H5415)/100,0)*100</f>
        <v>428000</v>
      </c>
      <c r="M5417" s="185"/>
    </row>
    <row r="5418" spans="2:13" ht="18.75" customHeight="1" x14ac:dyDescent="0.25">
      <c r="B5418" s="360"/>
      <c r="C5418" s="366"/>
      <c r="D5418" s="245"/>
      <c r="E5418" s="246"/>
      <c r="F5418" s="247"/>
      <c r="G5418" s="299"/>
      <c r="H5418" s="361"/>
      <c r="M5418" s="247"/>
    </row>
    <row r="5419" spans="2:13" ht="18.75" customHeight="1" x14ac:dyDescent="0.25">
      <c r="B5419" s="22"/>
      <c r="C5419" s="104"/>
      <c r="E5419" s="21"/>
      <c r="F5419" s="176"/>
      <c r="G5419" s="165"/>
      <c r="H5419" s="119"/>
      <c r="M5419" s="176"/>
    </row>
    <row r="5420" spans="2:13" ht="18.75" customHeight="1" x14ac:dyDescent="0.25">
      <c r="B5420" s="19">
        <v>49</v>
      </c>
      <c r="C5420" s="93" t="s">
        <v>1071</v>
      </c>
      <c r="D5420" s="19"/>
      <c r="E5420" s="21"/>
      <c r="F5420" s="176"/>
      <c r="G5420" s="165"/>
      <c r="H5420" s="119"/>
      <c r="M5420" s="176"/>
    </row>
    <row r="5421" spans="2:13" ht="18.75" customHeight="1" x14ac:dyDescent="0.25">
      <c r="B5421" s="618" t="s">
        <v>620</v>
      </c>
      <c r="C5421" s="620" t="s">
        <v>621</v>
      </c>
      <c r="D5421" s="618" t="s">
        <v>622</v>
      </c>
      <c r="E5421" s="618" t="s">
        <v>2</v>
      </c>
      <c r="F5421" s="615" t="s">
        <v>623</v>
      </c>
      <c r="G5421" s="289" t="s">
        <v>624</v>
      </c>
      <c r="H5421" s="256" t="s">
        <v>625</v>
      </c>
      <c r="M5421" s="615" t="s">
        <v>623</v>
      </c>
    </row>
    <row r="5422" spans="2:13" ht="18.75" customHeight="1" x14ac:dyDescent="0.25">
      <c r="B5422" s="619"/>
      <c r="C5422" s="621"/>
      <c r="D5422" s="619"/>
      <c r="E5422" s="619"/>
      <c r="F5422" s="616"/>
      <c r="G5422" s="289" t="s">
        <v>626</v>
      </c>
      <c r="H5422" s="256" t="s">
        <v>626</v>
      </c>
      <c r="M5422" s="616"/>
    </row>
    <row r="5423" spans="2:13" ht="18.75" customHeight="1" x14ac:dyDescent="0.25">
      <c r="B5423" s="221"/>
      <c r="C5423" s="222"/>
      <c r="D5423" s="221"/>
      <c r="E5423" s="550"/>
      <c r="F5423" s="555"/>
      <c r="G5423" s="551"/>
      <c r="H5423" s="220"/>
      <c r="M5423" s="590"/>
    </row>
    <row r="5424" spans="2:13" ht="18.75" customHeight="1" x14ac:dyDescent="0.25">
      <c r="B5424" s="550" t="s">
        <v>627</v>
      </c>
      <c r="C5424" s="223" t="s">
        <v>628</v>
      </c>
      <c r="D5424" s="550"/>
      <c r="E5424" s="224"/>
      <c r="F5424" s="225"/>
      <c r="G5424" s="290"/>
      <c r="H5424" s="226"/>
      <c r="M5424" s="225"/>
    </row>
    <row r="5425" spans="2:13" ht="18.75" customHeight="1" x14ac:dyDescent="0.25">
      <c r="B5425" s="550"/>
      <c r="C5425" s="227" t="s">
        <v>629</v>
      </c>
      <c r="D5425" s="550" t="s">
        <v>630</v>
      </c>
      <c r="E5425" s="224" t="s">
        <v>631</v>
      </c>
      <c r="F5425" s="228">
        <f t="shared" ref="F5425:F5428" si="246">$K$8*M5425</f>
        <v>0.9</v>
      </c>
      <c r="G5425" s="229">
        <f>G5398</f>
        <v>95000</v>
      </c>
      <c r="H5425" s="230">
        <f>+G5425*F5425</f>
        <v>85500</v>
      </c>
      <c r="M5425" s="228">
        <v>0.9</v>
      </c>
    </row>
    <row r="5426" spans="2:13" ht="18.75" customHeight="1" x14ac:dyDescent="0.25">
      <c r="B5426" s="550"/>
      <c r="C5426" s="227" t="s">
        <v>1508</v>
      </c>
      <c r="D5426" s="550" t="s">
        <v>632</v>
      </c>
      <c r="E5426" s="224" t="s">
        <v>631</v>
      </c>
      <c r="F5426" s="228">
        <f t="shared" si="246"/>
        <v>0.45</v>
      </c>
      <c r="G5426" s="229">
        <f>G5399</f>
        <v>110000</v>
      </c>
      <c r="H5426" s="230">
        <f>+G5426*F5426</f>
        <v>49500</v>
      </c>
      <c r="M5426" s="228">
        <v>0.45</v>
      </c>
    </row>
    <row r="5427" spans="2:13" ht="18.75" customHeight="1" x14ac:dyDescent="0.25">
      <c r="B5427" s="550"/>
      <c r="C5427" s="227" t="s">
        <v>633</v>
      </c>
      <c r="D5427" s="550" t="s">
        <v>634</v>
      </c>
      <c r="E5427" s="224" t="s">
        <v>631</v>
      </c>
      <c r="F5427" s="228">
        <f t="shared" si="246"/>
        <v>7.5499999999999998E-2</v>
      </c>
      <c r="G5427" s="229">
        <f>G5400</f>
        <v>115000</v>
      </c>
      <c r="H5427" s="230">
        <f>+G5427*F5427</f>
        <v>8682.5</v>
      </c>
      <c r="M5427" s="228">
        <v>7.5499999999999998E-2</v>
      </c>
    </row>
    <row r="5428" spans="2:13" ht="18.75" customHeight="1" x14ac:dyDescent="0.25">
      <c r="B5428" s="550"/>
      <c r="C5428" s="227" t="s">
        <v>600</v>
      </c>
      <c r="D5428" s="550" t="s">
        <v>635</v>
      </c>
      <c r="E5428" s="224" t="s">
        <v>631</v>
      </c>
      <c r="F5428" s="228">
        <f t="shared" si="246"/>
        <v>7.5499999999999998E-2</v>
      </c>
      <c r="G5428" s="229">
        <f>G5401</f>
        <v>140000</v>
      </c>
      <c r="H5428" s="230">
        <f>+G5428*F5428</f>
        <v>10570</v>
      </c>
      <c r="M5428" s="228">
        <v>7.5499999999999998E-2</v>
      </c>
    </row>
    <row r="5429" spans="2:13" ht="18.75" customHeight="1" x14ac:dyDescent="0.25">
      <c r="B5429" s="550"/>
      <c r="C5429" s="223"/>
      <c r="D5429" s="550"/>
      <c r="E5429" s="224"/>
      <c r="F5429" s="233" t="s">
        <v>636</v>
      </c>
      <c r="G5429" s="290"/>
      <c r="H5429" s="231">
        <f>SUM(H5425:H5428)</f>
        <v>154252.5</v>
      </c>
      <c r="M5429" s="233" t="s">
        <v>636</v>
      </c>
    </row>
    <row r="5430" spans="2:13" ht="18.75" customHeight="1" x14ac:dyDescent="0.25">
      <c r="B5430" s="550"/>
      <c r="C5430" s="223"/>
      <c r="D5430" s="550"/>
      <c r="E5430" s="224"/>
      <c r="F5430" s="233"/>
      <c r="G5430" s="290"/>
      <c r="H5430" s="230"/>
      <c r="M5430" s="233"/>
    </row>
    <row r="5431" spans="2:13" ht="18.75" customHeight="1" x14ac:dyDescent="0.25">
      <c r="B5431" s="550" t="s">
        <v>637</v>
      </c>
      <c r="C5431" s="223" t="s">
        <v>638</v>
      </c>
      <c r="D5431" s="550"/>
      <c r="E5431" s="224"/>
      <c r="F5431" s="225"/>
      <c r="G5431" s="290"/>
      <c r="H5431" s="226"/>
      <c r="M5431" s="225"/>
    </row>
    <row r="5432" spans="2:13" ht="18.75" customHeight="1" x14ac:dyDescent="0.25">
      <c r="B5432" s="550"/>
      <c r="C5432" s="223" t="s">
        <v>1069</v>
      </c>
      <c r="D5432" s="550"/>
      <c r="E5432" s="550" t="s">
        <v>16</v>
      </c>
      <c r="F5432" s="405">
        <v>54</v>
      </c>
      <c r="G5432" s="234">
        <f>G5378</f>
        <v>3333.3333333333335</v>
      </c>
      <c r="H5432" s="230">
        <f>+G5432*F5432</f>
        <v>180000</v>
      </c>
      <c r="M5432" s="405">
        <v>54</v>
      </c>
    </row>
    <row r="5433" spans="2:13" ht="18.75" customHeight="1" x14ac:dyDescent="0.25">
      <c r="B5433" s="550"/>
      <c r="C5433" s="223" t="s">
        <v>708</v>
      </c>
      <c r="D5433" s="550"/>
      <c r="E5433" s="550" t="s">
        <v>5</v>
      </c>
      <c r="F5433" s="405">
        <v>9.3000000000000007</v>
      </c>
      <c r="G5433" s="234">
        <f>+G5197</f>
        <v>1700</v>
      </c>
      <c r="H5433" s="230">
        <f>+G5433*F5433</f>
        <v>15810.000000000002</v>
      </c>
      <c r="M5433" s="405">
        <v>9.3000000000000007</v>
      </c>
    </row>
    <row r="5434" spans="2:13" ht="18.75" customHeight="1" x14ac:dyDescent="0.25">
      <c r="B5434" s="550"/>
      <c r="C5434" s="223" t="s">
        <v>661</v>
      </c>
      <c r="D5434" s="550"/>
      <c r="E5434" s="550" t="s">
        <v>1013</v>
      </c>
      <c r="F5434" s="405">
        <v>1.7999999999999999E-2</v>
      </c>
      <c r="G5434" s="234">
        <f>+G5198</f>
        <v>230000</v>
      </c>
      <c r="H5434" s="230">
        <f>+G5434*F5434</f>
        <v>4140</v>
      </c>
      <c r="M5434" s="405">
        <v>1.7999999999999999E-2</v>
      </c>
    </row>
    <row r="5435" spans="2:13" ht="18.75" customHeight="1" x14ac:dyDescent="0.25">
      <c r="B5435" s="550"/>
      <c r="C5435" s="223" t="s">
        <v>1018</v>
      </c>
      <c r="D5435" s="550"/>
      <c r="E5435" s="550" t="s">
        <v>5</v>
      </c>
      <c r="F5435" s="405">
        <v>2.75</v>
      </c>
      <c r="G5435" s="410">
        <f>+G5199</f>
        <v>14500</v>
      </c>
      <c r="H5435" s="230">
        <f>+G5435*F5435</f>
        <v>39875</v>
      </c>
      <c r="M5435" s="405">
        <v>2.75</v>
      </c>
    </row>
    <row r="5436" spans="2:13" ht="18.75" customHeight="1" x14ac:dyDescent="0.25">
      <c r="B5436" s="550"/>
      <c r="C5436" s="223"/>
      <c r="D5436" s="550"/>
      <c r="E5436" s="224"/>
      <c r="F5436" s="237" t="s">
        <v>643</v>
      </c>
      <c r="G5436" s="290"/>
      <c r="H5436" s="231">
        <f>SUM(H5432:H5435)</f>
        <v>239825</v>
      </c>
      <c r="M5436" s="237" t="s">
        <v>643</v>
      </c>
    </row>
    <row r="5437" spans="2:13" ht="18.75" customHeight="1" x14ac:dyDescent="0.25">
      <c r="B5437" s="550"/>
      <c r="C5437" s="223"/>
      <c r="D5437" s="550"/>
      <c r="E5437" s="224"/>
      <c r="F5437" s="225"/>
      <c r="G5437" s="290"/>
      <c r="H5437" s="226"/>
      <c r="M5437" s="225"/>
    </row>
    <row r="5438" spans="2:13" ht="18.75" customHeight="1" x14ac:dyDescent="0.25">
      <c r="B5438" s="550" t="s">
        <v>644</v>
      </c>
      <c r="C5438" s="223" t="s">
        <v>645</v>
      </c>
      <c r="D5438" s="550"/>
      <c r="E5438" s="224"/>
      <c r="F5438" s="225"/>
      <c r="G5438" s="290"/>
      <c r="H5438" s="235"/>
      <c r="M5438" s="225"/>
    </row>
    <row r="5439" spans="2:13" ht="18.75" customHeight="1" x14ac:dyDescent="0.25">
      <c r="B5439" s="236"/>
      <c r="C5439" s="232"/>
      <c r="D5439" s="550"/>
      <c r="E5439" s="224"/>
      <c r="F5439" s="237" t="s">
        <v>646</v>
      </c>
      <c r="G5439" s="290"/>
      <c r="H5439" s="230"/>
      <c r="M5439" s="237" t="s">
        <v>646</v>
      </c>
    </row>
    <row r="5440" spans="2:13" ht="18.75" customHeight="1" x14ac:dyDescent="0.25">
      <c r="B5440" s="236"/>
      <c r="C5440" s="232"/>
      <c r="D5440" s="550"/>
      <c r="E5440" s="224"/>
      <c r="F5440" s="237"/>
      <c r="G5440" s="290"/>
      <c r="H5440" s="226"/>
      <c r="M5440" s="237"/>
    </row>
    <row r="5441" spans="2:13" ht="18.75" customHeight="1" x14ac:dyDescent="0.25">
      <c r="B5441" s="354"/>
      <c r="C5441" s="362"/>
      <c r="D5441" s="239"/>
      <c r="E5441" s="266"/>
      <c r="F5441" s="241"/>
      <c r="G5441" s="370"/>
      <c r="H5441" s="369"/>
      <c r="M5441" s="241"/>
    </row>
    <row r="5442" spans="2:13" ht="18.75" customHeight="1" x14ac:dyDescent="0.25">
      <c r="B5442" s="356" t="s">
        <v>647</v>
      </c>
      <c r="C5442" s="363" t="s">
        <v>648</v>
      </c>
      <c r="D5442" s="435"/>
      <c r="E5442" s="92"/>
      <c r="F5442" s="183"/>
      <c r="G5442" s="295"/>
      <c r="H5442" s="357">
        <f>+H5439+H5436+H5429</f>
        <v>394077.5</v>
      </c>
      <c r="M5442" s="183"/>
    </row>
    <row r="5443" spans="2:13" ht="18.75" customHeight="1" x14ac:dyDescent="0.25">
      <c r="B5443" s="356" t="s">
        <v>649</v>
      </c>
      <c r="C5443" s="364" t="s">
        <v>650</v>
      </c>
      <c r="D5443" s="435"/>
      <c r="E5443" s="92"/>
      <c r="F5443" s="184" t="str">
        <f>$J$5</f>
        <v>8,0 % x D</v>
      </c>
      <c r="G5443" s="295"/>
      <c r="H5443" s="358">
        <f>+H5442*$K$5</f>
        <v>31526.2</v>
      </c>
      <c r="M5443" s="184" t="str">
        <f>$J$5</f>
        <v>8,0 % x D</v>
      </c>
    </row>
    <row r="5444" spans="2:13" ht="18.75" customHeight="1" x14ac:dyDescent="0.25">
      <c r="B5444" s="356" t="s">
        <v>651</v>
      </c>
      <c r="C5444" s="365" t="s">
        <v>652</v>
      </c>
      <c r="D5444" s="435"/>
      <c r="E5444" s="91"/>
      <c r="F5444" s="185"/>
      <c r="G5444" s="296"/>
      <c r="H5444" s="359">
        <f>ROUNDUP((H5443+H5442)/100,0)*100</f>
        <v>425700</v>
      </c>
      <c r="M5444" s="185"/>
    </row>
    <row r="5445" spans="2:13" ht="18.75" customHeight="1" x14ac:dyDescent="0.25">
      <c r="B5445" s="360"/>
      <c r="C5445" s="366"/>
      <c r="D5445" s="245"/>
      <c r="E5445" s="246"/>
      <c r="F5445" s="247"/>
      <c r="G5445" s="299"/>
      <c r="H5445" s="361"/>
      <c r="M5445" s="247"/>
    </row>
    <row r="5446" spans="2:13" ht="18.75" customHeight="1" x14ac:dyDescent="0.25">
      <c r="B5446" s="92"/>
      <c r="C5446" s="104"/>
      <c r="D5446" s="435"/>
      <c r="E5446" s="91"/>
      <c r="F5446" s="185"/>
      <c r="G5446" s="168"/>
      <c r="H5446" s="139"/>
      <c r="M5446" s="185"/>
    </row>
    <row r="5447" spans="2:13" ht="18.75" customHeight="1" x14ac:dyDescent="0.25">
      <c r="B5447" s="19">
        <v>50</v>
      </c>
      <c r="C5447" s="93" t="s">
        <v>1072</v>
      </c>
      <c r="D5447" s="19"/>
      <c r="E5447" s="21"/>
      <c r="F5447" s="176"/>
      <c r="G5447" s="165"/>
      <c r="H5447" s="119"/>
      <c r="M5447" s="176"/>
    </row>
    <row r="5448" spans="2:13" ht="18.75" customHeight="1" x14ac:dyDescent="0.25">
      <c r="B5448" s="618" t="s">
        <v>620</v>
      </c>
      <c r="C5448" s="620" t="s">
        <v>621</v>
      </c>
      <c r="D5448" s="618" t="s">
        <v>622</v>
      </c>
      <c r="E5448" s="618" t="s">
        <v>2</v>
      </c>
      <c r="F5448" s="615" t="s">
        <v>623</v>
      </c>
      <c r="G5448" s="289" t="s">
        <v>624</v>
      </c>
      <c r="H5448" s="256" t="s">
        <v>625</v>
      </c>
      <c r="M5448" s="615" t="s">
        <v>623</v>
      </c>
    </row>
    <row r="5449" spans="2:13" ht="18.75" customHeight="1" x14ac:dyDescent="0.25">
      <c r="B5449" s="619"/>
      <c r="C5449" s="621"/>
      <c r="D5449" s="619"/>
      <c r="E5449" s="619"/>
      <c r="F5449" s="616"/>
      <c r="G5449" s="289" t="s">
        <v>626</v>
      </c>
      <c r="H5449" s="256" t="s">
        <v>626</v>
      </c>
      <c r="M5449" s="616"/>
    </row>
    <row r="5450" spans="2:13" ht="18.75" customHeight="1" x14ac:dyDescent="0.25">
      <c r="B5450" s="221"/>
      <c r="C5450" s="222"/>
      <c r="D5450" s="221"/>
      <c r="E5450" s="550"/>
      <c r="F5450" s="555"/>
      <c r="G5450" s="551"/>
      <c r="H5450" s="220"/>
      <c r="M5450" s="590"/>
    </row>
    <row r="5451" spans="2:13" ht="18.75" customHeight="1" x14ac:dyDescent="0.25">
      <c r="B5451" s="550" t="s">
        <v>627</v>
      </c>
      <c r="C5451" s="223" t="s">
        <v>628</v>
      </c>
      <c r="D5451" s="550"/>
      <c r="E5451" s="224"/>
      <c r="F5451" s="225"/>
      <c r="G5451" s="290"/>
      <c r="H5451" s="226"/>
      <c r="M5451" s="225"/>
    </row>
    <row r="5452" spans="2:13" ht="18.75" customHeight="1" x14ac:dyDescent="0.25">
      <c r="B5452" s="550"/>
      <c r="C5452" s="227" t="s">
        <v>629</v>
      </c>
      <c r="D5452" s="550" t="s">
        <v>630</v>
      </c>
      <c r="E5452" s="224" t="s">
        <v>631</v>
      </c>
      <c r="F5452" s="228">
        <f t="shared" ref="F5452:F5455" si="247">$K$8*M5452</f>
        <v>0.9</v>
      </c>
      <c r="G5452" s="229">
        <f>G5371</f>
        <v>95000</v>
      </c>
      <c r="H5452" s="230">
        <f>+G5452*F5452</f>
        <v>85500</v>
      </c>
      <c r="M5452" s="228">
        <v>0.9</v>
      </c>
    </row>
    <row r="5453" spans="2:13" ht="18.75" customHeight="1" x14ac:dyDescent="0.25">
      <c r="B5453" s="550"/>
      <c r="C5453" s="227" t="s">
        <v>1508</v>
      </c>
      <c r="D5453" s="550" t="s">
        <v>632</v>
      </c>
      <c r="E5453" s="224" t="s">
        <v>631</v>
      </c>
      <c r="F5453" s="228">
        <f t="shared" si="247"/>
        <v>0.45</v>
      </c>
      <c r="G5453" s="229">
        <f>G5372</f>
        <v>110000</v>
      </c>
      <c r="H5453" s="230">
        <f>+G5453*F5453</f>
        <v>49500</v>
      </c>
      <c r="M5453" s="228">
        <v>0.45</v>
      </c>
    </row>
    <row r="5454" spans="2:13" ht="18.75" customHeight="1" x14ac:dyDescent="0.25">
      <c r="B5454" s="550"/>
      <c r="C5454" s="227" t="s">
        <v>633</v>
      </c>
      <c r="D5454" s="550" t="s">
        <v>634</v>
      </c>
      <c r="E5454" s="224" t="s">
        <v>631</v>
      </c>
      <c r="F5454" s="228">
        <f t="shared" si="247"/>
        <v>7.5499999999999998E-2</v>
      </c>
      <c r="G5454" s="229">
        <f>G5373</f>
        <v>115000</v>
      </c>
      <c r="H5454" s="230">
        <f>+G5454*F5454</f>
        <v>8682.5</v>
      </c>
      <c r="M5454" s="228">
        <v>7.5499999999999998E-2</v>
      </c>
    </row>
    <row r="5455" spans="2:13" ht="18.75" customHeight="1" x14ac:dyDescent="0.25">
      <c r="B5455" s="550"/>
      <c r="C5455" s="227" t="s">
        <v>600</v>
      </c>
      <c r="D5455" s="550" t="s">
        <v>635</v>
      </c>
      <c r="E5455" s="224" t="s">
        <v>631</v>
      </c>
      <c r="F5455" s="228">
        <f t="shared" si="247"/>
        <v>7.5499999999999998E-2</v>
      </c>
      <c r="G5455" s="229">
        <f>G5374</f>
        <v>140000</v>
      </c>
      <c r="H5455" s="230">
        <f>+G5455*F5455</f>
        <v>10570</v>
      </c>
      <c r="M5455" s="228">
        <v>7.5499999999999998E-2</v>
      </c>
    </row>
    <row r="5456" spans="2:13" ht="18.75" customHeight="1" x14ac:dyDescent="0.25">
      <c r="B5456" s="550"/>
      <c r="C5456" s="223"/>
      <c r="D5456" s="550"/>
      <c r="E5456" s="224"/>
      <c r="F5456" s="233" t="s">
        <v>636</v>
      </c>
      <c r="G5456" s="290"/>
      <c r="H5456" s="231">
        <f>SUM(H5452:H5455)</f>
        <v>154252.5</v>
      </c>
      <c r="M5456" s="233" t="s">
        <v>636</v>
      </c>
    </row>
    <row r="5457" spans="2:13" ht="18.75" customHeight="1" x14ac:dyDescent="0.25">
      <c r="B5457" s="550"/>
      <c r="C5457" s="223"/>
      <c r="D5457" s="550"/>
      <c r="E5457" s="224"/>
      <c r="F5457" s="233"/>
      <c r="G5457" s="290"/>
      <c r="H5457" s="230"/>
      <c r="M5457" s="233"/>
    </row>
    <row r="5458" spans="2:13" ht="18.75" customHeight="1" x14ac:dyDescent="0.25">
      <c r="B5458" s="550" t="s">
        <v>637</v>
      </c>
      <c r="C5458" s="223" t="s">
        <v>638</v>
      </c>
      <c r="D5458" s="550"/>
      <c r="E5458" s="224"/>
      <c r="F5458" s="225"/>
      <c r="G5458" s="290"/>
      <c r="H5458" s="226"/>
      <c r="M5458" s="225"/>
    </row>
    <row r="5459" spans="2:13" ht="18.75" customHeight="1" x14ac:dyDescent="0.25">
      <c r="B5459" s="550"/>
      <c r="C5459" s="223" t="s">
        <v>1073</v>
      </c>
      <c r="D5459" s="550"/>
      <c r="E5459" s="550" t="s">
        <v>16</v>
      </c>
      <c r="F5459" s="405">
        <v>26.5</v>
      </c>
      <c r="G5459" s="418">
        <f>Bahan!D290/(1/0.2/0.2)</f>
        <v>2400</v>
      </c>
      <c r="H5459" s="230">
        <f>+G5459*F5459</f>
        <v>63600</v>
      </c>
      <c r="M5459" s="405">
        <v>26.5</v>
      </c>
    </row>
    <row r="5460" spans="2:13" ht="18.75" customHeight="1" x14ac:dyDescent="0.25">
      <c r="B5460" s="550"/>
      <c r="C5460" s="223" t="s">
        <v>708</v>
      </c>
      <c r="D5460" s="550"/>
      <c r="E5460" s="550" t="s">
        <v>5</v>
      </c>
      <c r="F5460" s="405">
        <v>10</v>
      </c>
      <c r="G5460" s="409">
        <f>G5433</f>
        <v>1700</v>
      </c>
      <c r="H5460" s="230">
        <f>+G5460*F5460</f>
        <v>17000</v>
      </c>
      <c r="M5460" s="405">
        <v>10</v>
      </c>
    </row>
    <row r="5461" spans="2:13" ht="18.75" customHeight="1" x14ac:dyDescent="0.25">
      <c r="B5461" s="550"/>
      <c r="C5461" s="223" t="s">
        <v>661</v>
      </c>
      <c r="D5461" s="550"/>
      <c r="E5461" s="550" t="s">
        <v>1013</v>
      </c>
      <c r="F5461" s="405">
        <v>1.7999999999999999E-2</v>
      </c>
      <c r="G5461" s="409">
        <f>G5434</f>
        <v>230000</v>
      </c>
      <c r="H5461" s="230">
        <f>+G5461*F5461</f>
        <v>4140</v>
      </c>
      <c r="M5461" s="405">
        <v>1.7999999999999999E-2</v>
      </c>
    </row>
    <row r="5462" spans="2:13" ht="18.75" customHeight="1" x14ac:dyDescent="0.25">
      <c r="B5462" s="550"/>
      <c r="C5462" s="223" t="s">
        <v>1018</v>
      </c>
      <c r="D5462" s="550"/>
      <c r="E5462" s="550" t="s">
        <v>5</v>
      </c>
      <c r="F5462" s="405">
        <v>1.94</v>
      </c>
      <c r="G5462" s="418">
        <f>G5435</f>
        <v>14500</v>
      </c>
      <c r="H5462" s="230">
        <f>+G5462*F5462</f>
        <v>28130</v>
      </c>
      <c r="M5462" s="405">
        <v>1.94</v>
      </c>
    </row>
    <row r="5463" spans="2:13" ht="18.75" customHeight="1" x14ac:dyDescent="0.25">
      <c r="B5463" s="550"/>
      <c r="C5463" s="223"/>
      <c r="D5463" s="550"/>
      <c r="E5463" s="224"/>
      <c r="F5463" s="237" t="s">
        <v>643</v>
      </c>
      <c r="G5463" s="290"/>
      <c r="H5463" s="231">
        <f>SUM(H5459:H5462)</f>
        <v>112870</v>
      </c>
      <c r="M5463" s="237" t="s">
        <v>643</v>
      </c>
    </row>
    <row r="5464" spans="2:13" ht="18.75" customHeight="1" x14ac:dyDescent="0.25">
      <c r="B5464" s="550"/>
      <c r="C5464" s="223"/>
      <c r="D5464" s="550"/>
      <c r="E5464" s="224"/>
      <c r="F5464" s="225"/>
      <c r="G5464" s="290"/>
      <c r="H5464" s="226"/>
      <c r="M5464" s="225"/>
    </row>
    <row r="5465" spans="2:13" ht="18.75" customHeight="1" x14ac:dyDescent="0.25">
      <c r="B5465" s="550" t="s">
        <v>644</v>
      </c>
      <c r="C5465" s="223" t="s">
        <v>645</v>
      </c>
      <c r="D5465" s="550"/>
      <c r="E5465" s="224"/>
      <c r="F5465" s="225"/>
      <c r="G5465" s="290"/>
      <c r="H5465" s="235"/>
      <c r="M5465" s="225"/>
    </row>
    <row r="5466" spans="2:13" ht="18.75" customHeight="1" x14ac:dyDescent="0.25">
      <c r="B5466" s="236"/>
      <c r="C5466" s="232"/>
      <c r="D5466" s="550"/>
      <c r="E5466" s="224"/>
      <c r="F5466" s="237" t="s">
        <v>646</v>
      </c>
      <c r="G5466" s="290"/>
      <c r="H5466" s="230"/>
      <c r="M5466" s="237" t="s">
        <v>646</v>
      </c>
    </row>
    <row r="5467" spans="2:13" ht="18.75" customHeight="1" x14ac:dyDescent="0.25">
      <c r="B5467" s="236"/>
      <c r="C5467" s="232"/>
      <c r="D5467" s="550"/>
      <c r="E5467" s="224"/>
      <c r="F5467" s="237"/>
      <c r="G5467" s="290"/>
      <c r="H5467" s="226"/>
      <c r="M5467" s="237"/>
    </row>
    <row r="5468" spans="2:13" ht="18.75" customHeight="1" x14ac:dyDescent="0.25">
      <c r="B5468" s="354"/>
      <c r="C5468" s="362"/>
      <c r="D5468" s="239"/>
      <c r="E5468" s="266"/>
      <c r="F5468" s="241"/>
      <c r="G5468" s="370"/>
      <c r="H5468" s="369"/>
      <c r="M5468" s="241"/>
    </row>
    <row r="5469" spans="2:13" ht="18.75" customHeight="1" x14ac:dyDescent="0.25">
      <c r="B5469" s="356" t="s">
        <v>647</v>
      </c>
      <c r="C5469" s="363" t="s">
        <v>648</v>
      </c>
      <c r="D5469" s="435"/>
      <c r="E5469" s="92"/>
      <c r="F5469" s="183"/>
      <c r="G5469" s="295"/>
      <c r="H5469" s="357">
        <f>+H5466+H5463+H5456</f>
        <v>267122.5</v>
      </c>
      <c r="M5469" s="183"/>
    </row>
    <row r="5470" spans="2:13" ht="18.75" customHeight="1" x14ac:dyDescent="0.25">
      <c r="B5470" s="356" t="s">
        <v>649</v>
      </c>
      <c r="C5470" s="364" t="s">
        <v>650</v>
      </c>
      <c r="D5470" s="435"/>
      <c r="E5470" s="92"/>
      <c r="F5470" s="184" t="str">
        <f>$J$5</f>
        <v>8,0 % x D</v>
      </c>
      <c r="G5470" s="295"/>
      <c r="H5470" s="358">
        <f>+H5469*$K$5</f>
        <v>21369.8</v>
      </c>
      <c r="M5470" s="184" t="str">
        <f>$J$5</f>
        <v>8,0 % x D</v>
      </c>
    </row>
    <row r="5471" spans="2:13" ht="18.75" customHeight="1" x14ac:dyDescent="0.25">
      <c r="B5471" s="356" t="s">
        <v>651</v>
      </c>
      <c r="C5471" s="365" t="s">
        <v>652</v>
      </c>
      <c r="D5471" s="435"/>
      <c r="E5471" s="91"/>
      <c r="F5471" s="185"/>
      <c r="G5471" s="296"/>
      <c r="H5471" s="359">
        <f>ROUNDUP((H5470+H5469)/100,0)*100</f>
        <v>288500</v>
      </c>
      <c r="M5471" s="185"/>
    </row>
    <row r="5472" spans="2:13" ht="18.75" customHeight="1" x14ac:dyDescent="0.25">
      <c r="B5472" s="371"/>
      <c r="C5472" s="373"/>
      <c r="D5472" s="245"/>
      <c r="E5472" s="246"/>
      <c r="F5472" s="247"/>
      <c r="G5472" s="299"/>
      <c r="H5472" s="372"/>
      <c r="M5472" s="247"/>
    </row>
    <row r="5473" spans="2:13" ht="18.75" customHeight="1" x14ac:dyDescent="0.25">
      <c r="C5473" s="111"/>
      <c r="E5473" s="21"/>
      <c r="F5473" s="176"/>
      <c r="G5473" s="165"/>
      <c r="H5473" s="154"/>
      <c r="M5473" s="176"/>
    </row>
    <row r="5474" spans="2:13" ht="18.75" customHeight="1" x14ac:dyDescent="0.25">
      <c r="B5474" s="19">
        <v>51</v>
      </c>
      <c r="C5474" s="93" t="s">
        <v>1074</v>
      </c>
      <c r="D5474" s="19"/>
      <c r="E5474" s="21"/>
      <c r="F5474" s="176"/>
      <c r="G5474" s="165"/>
      <c r="H5474" s="119"/>
      <c r="M5474" s="176"/>
    </row>
    <row r="5475" spans="2:13" ht="18.75" customHeight="1" x14ac:dyDescent="0.25">
      <c r="B5475" s="618" t="s">
        <v>620</v>
      </c>
      <c r="C5475" s="620" t="s">
        <v>621</v>
      </c>
      <c r="D5475" s="618" t="s">
        <v>622</v>
      </c>
      <c r="E5475" s="618" t="s">
        <v>2</v>
      </c>
      <c r="F5475" s="615" t="s">
        <v>623</v>
      </c>
      <c r="G5475" s="289" t="s">
        <v>624</v>
      </c>
      <c r="H5475" s="256" t="s">
        <v>625</v>
      </c>
      <c r="M5475" s="615" t="s">
        <v>623</v>
      </c>
    </row>
    <row r="5476" spans="2:13" ht="18.75" customHeight="1" x14ac:dyDescent="0.25">
      <c r="B5476" s="619"/>
      <c r="C5476" s="621"/>
      <c r="D5476" s="619"/>
      <c r="E5476" s="619"/>
      <c r="F5476" s="616"/>
      <c r="G5476" s="289" t="s">
        <v>626</v>
      </c>
      <c r="H5476" s="256" t="s">
        <v>626</v>
      </c>
      <c r="M5476" s="616"/>
    </row>
    <row r="5477" spans="2:13" ht="18.75" customHeight="1" x14ac:dyDescent="0.25">
      <c r="B5477" s="221"/>
      <c r="C5477" s="222"/>
      <c r="D5477" s="221"/>
      <c r="E5477" s="550"/>
      <c r="F5477" s="555"/>
      <c r="G5477" s="551"/>
      <c r="H5477" s="220"/>
      <c r="M5477" s="590"/>
    </row>
    <row r="5478" spans="2:13" ht="18.75" customHeight="1" x14ac:dyDescent="0.25">
      <c r="B5478" s="550" t="s">
        <v>627</v>
      </c>
      <c r="C5478" s="223" t="s">
        <v>628</v>
      </c>
      <c r="D5478" s="550"/>
      <c r="E5478" s="224"/>
      <c r="F5478" s="225"/>
      <c r="G5478" s="290"/>
      <c r="H5478" s="226"/>
      <c r="M5478" s="225"/>
    </row>
    <row r="5479" spans="2:13" ht="18.75" customHeight="1" x14ac:dyDescent="0.25">
      <c r="B5479" s="550"/>
      <c r="C5479" s="227" t="s">
        <v>629</v>
      </c>
      <c r="D5479" s="550" t="s">
        <v>630</v>
      </c>
      <c r="E5479" s="224" t="s">
        <v>631</v>
      </c>
      <c r="F5479" s="228">
        <f t="shared" ref="F5479:F5482" si="248">$K$8*M5479</f>
        <v>1.3</v>
      </c>
      <c r="G5479" s="408">
        <f>G5452</f>
        <v>95000</v>
      </c>
      <c r="H5479" s="230">
        <f>+G5479*F5479</f>
        <v>123500</v>
      </c>
      <c r="M5479" s="228">
        <v>1.3</v>
      </c>
    </row>
    <row r="5480" spans="2:13" ht="18.75" customHeight="1" x14ac:dyDescent="0.25">
      <c r="B5480" s="550"/>
      <c r="C5480" s="227" t="s">
        <v>1508</v>
      </c>
      <c r="D5480" s="550" t="s">
        <v>632</v>
      </c>
      <c r="E5480" s="224" t="s">
        <v>631</v>
      </c>
      <c r="F5480" s="228">
        <f t="shared" si="248"/>
        <v>0.65</v>
      </c>
      <c r="G5480" s="408">
        <f>G5453</f>
        <v>110000</v>
      </c>
      <c r="H5480" s="230">
        <f>+G5480*F5480</f>
        <v>71500</v>
      </c>
      <c r="M5480" s="228">
        <v>0.65</v>
      </c>
    </row>
    <row r="5481" spans="2:13" ht="18.75" customHeight="1" x14ac:dyDescent="0.25">
      <c r="B5481" s="550"/>
      <c r="C5481" s="227" t="s">
        <v>633</v>
      </c>
      <c r="D5481" s="550" t="s">
        <v>634</v>
      </c>
      <c r="E5481" s="224" t="s">
        <v>631</v>
      </c>
      <c r="F5481" s="228">
        <f t="shared" si="248"/>
        <v>7.5499999999999998E-2</v>
      </c>
      <c r="G5481" s="408">
        <f>G5454</f>
        <v>115000</v>
      </c>
      <c r="H5481" s="230">
        <f>+G5481*F5481</f>
        <v>8682.5</v>
      </c>
      <c r="M5481" s="228">
        <v>7.5499999999999998E-2</v>
      </c>
    </row>
    <row r="5482" spans="2:13" ht="18.75" customHeight="1" x14ac:dyDescent="0.25">
      <c r="B5482" s="550"/>
      <c r="C5482" s="227" t="s">
        <v>600</v>
      </c>
      <c r="D5482" s="550" t="s">
        <v>635</v>
      </c>
      <c r="E5482" s="224" t="s">
        <v>631</v>
      </c>
      <c r="F5482" s="228">
        <f t="shared" si="248"/>
        <v>7.5499999999999998E-2</v>
      </c>
      <c r="G5482" s="408">
        <f>G5455</f>
        <v>140000</v>
      </c>
      <c r="H5482" s="230">
        <f>+G5482*F5482</f>
        <v>10570</v>
      </c>
      <c r="M5482" s="228">
        <v>7.5499999999999998E-2</v>
      </c>
    </row>
    <row r="5483" spans="2:13" ht="18.75" customHeight="1" x14ac:dyDescent="0.25">
      <c r="B5483" s="550"/>
      <c r="C5483" s="223"/>
      <c r="D5483" s="550"/>
      <c r="E5483" s="224"/>
      <c r="F5483" s="233" t="s">
        <v>636</v>
      </c>
      <c r="G5483" s="290"/>
      <c r="H5483" s="231">
        <f>SUM(H5479:H5482)</f>
        <v>214252.5</v>
      </c>
      <c r="M5483" s="233" t="s">
        <v>636</v>
      </c>
    </row>
    <row r="5484" spans="2:13" ht="18.75" customHeight="1" x14ac:dyDescent="0.25">
      <c r="B5484" s="550"/>
      <c r="C5484" s="223"/>
      <c r="D5484" s="550"/>
      <c r="E5484" s="224"/>
      <c r="F5484" s="233"/>
      <c r="G5484" s="290"/>
      <c r="H5484" s="231"/>
      <c r="M5484" s="233"/>
    </row>
    <row r="5485" spans="2:13" ht="18.75" customHeight="1" x14ac:dyDescent="0.25">
      <c r="B5485" s="550" t="s">
        <v>637</v>
      </c>
      <c r="C5485" s="223" t="s">
        <v>638</v>
      </c>
      <c r="D5485" s="550"/>
      <c r="E5485" s="224"/>
      <c r="F5485" s="225"/>
      <c r="G5485" s="290"/>
      <c r="H5485" s="226"/>
      <c r="M5485" s="225"/>
    </row>
    <row r="5486" spans="2:13" ht="18.75" customHeight="1" x14ac:dyDescent="0.25">
      <c r="B5486" s="550"/>
      <c r="C5486" s="223" t="s">
        <v>1060</v>
      </c>
      <c r="D5486" s="550"/>
      <c r="E5486" s="550" t="s">
        <v>16</v>
      </c>
      <c r="F5486" s="405">
        <v>1.06</v>
      </c>
      <c r="G5486" s="409">
        <f>Bahan!D284</f>
        <v>200000</v>
      </c>
      <c r="H5486" s="230">
        <f>+G5486*F5486</f>
        <v>212000</v>
      </c>
      <c r="M5486" s="405">
        <v>1.06</v>
      </c>
    </row>
    <row r="5487" spans="2:13" ht="18.75" customHeight="1" x14ac:dyDescent="0.25">
      <c r="B5487" s="550"/>
      <c r="C5487" s="223" t="s">
        <v>708</v>
      </c>
      <c r="D5487" s="550"/>
      <c r="E5487" s="550" t="s">
        <v>5</v>
      </c>
      <c r="F5487" s="405">
        <v>12.44</v>
      </c>
      <c r="G5487" s="409">
        <f>+G5433</f>
        <v>1700</v>
      </c>
      <c r="H5487" s="230">
        <f>+G5487*F5487</f>
        <v>21148</v>
      </c>
      <c r="M5487" s="405">
        <v>12.44</v>
      </c>
    </row>
    <row r="5488" spans="2:13" ht="18.75" customHeight="1" x14ac:dyDescent="0.25">
      <c r="B5488" s="550"/>
      <c r="C5488" s="223" t="s">
        <v>661</v>
      </c>
      <c r="D5488" s="550"/>
      <c r="E5488" s="550" t="s">
        <v>1013</v>
      </c>
      <c r="F5488" s="405">
        <v>2.5000000000000001E-2</v>
      </c>
      <c r="G5488" s="409">
        <f>+G5434</f>
        <v>230000</v>
      </c>
      <c r="H5488" s="230">
        <f>+G5488*F5488</f>
        <v>5750</v>
      </c>
      <c r="M5488" s="405">
        <v>2.5000000000000001E-2</v>
      </c>
    </row>
    <row r="5489" spans="2:13" ht="18.75" customHeight="1" x14ac:dyDescent="0.25">
      <c r="B5489" s="550"/>
      <c r="C5489" s="223" t="s">
        <v>1018</v>
      </c>
      <c r="D5489" s="550"/>
      <c r="E5489" s="550" t="s">
        <v>5</v>
      </c>
      <c r="F5489" s="405">
        <v>0.65</v>
      </c>
      <c r="G5489" s="407">
        <f>+G5435</f>
        <v>14500</v>
      </c>
      <c r="H5489" s="230">
        <f>+G5489*F5489</f>
        <v>9425</v>
      </c>
      <c r="M5489" s="405">
        <v>0.65</v>
      </c>
    </row>
    <row r="5490" spans="2:13" ht="18.75" customHeight="1" x14ac:dyDescent="0.25">
      <c r="B5490" s="550"/>
      <c r="C5490" s="223" t="s">
        <v>786</v>
      </c>
      <c r="D5490" s="550"/>
      <c r="E5490" s="550" t="s">
        <v>16</v>
      </c>
      <c r="F5490" s="405">
        <v>3.03</v>
      </c>
      <c r="G5490" s="407">
        <f>Bahan!D338</f>
        <v>2000</v>
      </c>
      <c r="H5490" s="230">
        <f>+G5490*F5490</f>
        <v>6060</v>
      </c>
      <c r="M5490" s="405">
        <v>3.03</v>
      </c>
    </row>
    <row r="5491" spans="2:13" ht="18.75" customHeight="1" x14ac:dyDescent="0.25">
      <c r="B5491" s="550"/>
      <c r="C5491" s="223"/>
      <c r="D5491" s="550"/>
      <c r="E5491" s="224"/>
      <c r="F5491" s="237" t="s">
        <v>643</v>
      </c>
      <c r="G5491" s="290"/>
      <c r="H5491" s="231">
        <f>SUM(H5486:H5490)</f>
        <v>254383</v>
      </c>
      <c r="M5491" s="237" t="s">
        <v>643</v>
      </c>
    </row>
    <row r="5492" spans="2:13" ht="18.75" customHeight="1" x14ac:dyDescent="0.25">
      <c r="B5492" s="550"/>
      <c r="C5492" s="223"/>
      <c r="D5492" s="550"/>
      <c r="E5492" s="224"/>
      <c r="F5492" s="225"/>
      <c r="G5492" s="290"/>
      <c r="H5492" s="226"/>
      <c r="M5492" s="225"/>
    </row>
    <row r="5493" spans="2:13" ht="18.75" customHeight="1" x14ac:dyDescent="0.25">
      <c r="B5493" s="550" t="s">
        <v>644</v>
      </c>
      <c r="C5493" s="223" t="s">
        <v>645</v>
      </c>
      <c r="D5493" s="550"/>
      <c r="E5493" s="224"/>
      <c r="F5493" s="225"/>
      <c r="G5493" s="290"/>
      <c r="H5493" s="235"/>
      <c r="M5493" s="225"/>
    </row>
    <row r="5494" spans="2:13" ht="18.75" customHeight="1" x14ac:dyDescent="0.25">
      <c r="B5494" s="236"/>
      <c r="C5494" s="232"/>
      <c r="D5494" s="550"/>
      <c r="E5494" s="224"/>
      <c r="F5494" s="237" t="s">
        <v>646</v>
      </c>
      <c r="G5494" s="290"/>
      <c r="H5494" s="230"/>
      <c r="M5494" s="237" t="s">
        <v>646</v>
      </c>
    </row>
    <row r="5495" spans="2:13" ht="18.75" customHeight="1" x14ac:dyDescent="0.25">
      <c r="B5495" s="236"/>
      <c r="C5495" s="232"/>
      <c r="D5495" s="550"/>
      <c r="E5495" s="224"/>
      <c r="F5495" s="237"/>
      <c r="G5495" s="290"/>
      <c r="H5495" s="226"/>
      <c r="M5495" s="237"/>
    </row>
    <row r="5496" spans="2:13" ht="18.75" customHeight="1" x14ac:dyDescent="0.25">
      <c r="B5496" s="354"/>
      <c r="C5496" s="362"/>
      <c r="D5496" s="239"/>
      <c r="E5496" s="266"/>
      <c r="F5496" s="241"/>
      <c r="G5496" s="370"/>
      <c r="H5496" s="369"/>
      <c r="M5496" s="241"/>
    </row>
    <row r="5497" spans="2:13" ht="18.75" customHeight="1" x14ac:dyDescent="0.25">
      <c r="B5497" s="356" t="s">
        <v>647</v>
      </c>
      <c r="C5497" s="363" t="s">
        <v>648</v>
      </c>
      <c r="D5497" s="435"/>
      <c r="E5497" s="92"/>
      <c r="F5497" s="183"/>
      <c r="G5497" s="295"/>
      <c r="H5497" s="357">
        <f>+H5494+H5491+H5483</f>
        <v>468635.5</v>
      </c>
      <c r="M5497" s="183"/>
    </row>
    <row r="5498" spans="2:13" ht="18.75" customHeight="1" x14ac:dyDescent="0.25">
      <c r="B5498" s="356" t="s">
        <v>649</v>
      </c>
      <c r="C5498" s="364" t="s">
        <v>650</v>
      </c>
      <c r="D5498" s="435"/>
      <c r="E5498" s="92"/>
      <c r="F5498" s="184" t="str">
        <f>$J$5</f>
        <v>8,0 % x D</v>
      </c>
      <c r="G5498" s="295"/>
      <c r="H5498" s="358">
        <f>+H5497*$K$5</f>
        <v>37490.840000000004</v>
      </c>
      <c r="M5498" s="184" t="str">
        <f>$J$5</f>
        <v>8,0 % x D</v>
      </c>
    </row>
    <row r="5499" spans="2:13" ht="18.75" customHeight="1" x14ac:dyDescent="0.25">
      <c r="B5499" s="356" t="s">
        <v>651</v>
      </c>
      <c r="C5499" s="365" t="s">
        <v>652</v>
      </c>
      <c r="D5499" s="435"/>
      <c r="E5499" s="91"/>
      <c r="F5499" s="185"/>
      <c r="G5499" s="296"/>
      <c r="H5499" s="359">
        <f>ROUNDUP((H5498+H5497)/100,0)*100</f>
        <v>506200</v>
      </c>
      <c r="M5499" s="185"/>
    </row>
    <row r="5500" spans="2:13" ht="18.75" customHeight="1" x14ac:dyDescent="0.25">
      <c r="B5500" s="360"/>
      <c r="C5500" s="366"/>
      <c r="D5500" s="245"/>
      <c r="E5500" s="246"/>
      <c r="F5500" s="247"/>
      <c r="G5500" s="299"/>
      <c r="H5500" s="361"/>
      <c r="M5500" s="247"/>
    </row>
    <row r="5501" spans="2:13" ht="18.75" customHeight="1" x14ac:dyDescent="0.25">
      <c r="B5501" s="92"/>
      <c r="C5501" s="104"/>
      <c r="D5501" s="435"/>
      <c r="E5501" s="91"/>
      <c r="F5501" s="185"/>
      <c r="G5501" s="168"/>
      <c r="H5501" s="139"/>
      <c r="M5501" s="185"/>
    </row>
    <row r="5502" spans="2:13" ht="18.75" customHeight="1" x14ac:dyDescent="0.25">
      <c r="B5502" s="19">
        <f>B5474+1</f>
        <v>52</v>
      </c>
      <c r="C5502" s="93" t="s">
        <v>1075</v>
      </c>
      <c r="D5502" s="19"/>
      <c r="E5502" s="21"/>
      <c r="F5502" s="176"/>
      <c r="G5502" s="165"/>
      <c r="H5502" s="119"/>
      <c r="M5502" s="176"/>
    </row>
    <row r="5503" spans="2:13" ht="18.75" customHeight="1" x14ac:dyDescent="0.25">
      <c r="B5503" s="618" t="s">
        <v>620</v>
      </c>
      <c r="C5503" s="620" t="s">
        <v>621</v>
      </c>
      <c r="D5503" s="618" t="s">
        <v>622</v>
      </c>
      <c r="E5503" s="618" t="s">
        <v>2</v>
      </c>
      <c r="F5503" s="615" t="s">
        <v>623</v>
      </c>
      <c r="G5503" s="289" t="s">
        <v>624</v>
      </c>
      <c r="H5503" s="256" t="s">
        <v>625</v>
      </c>
      <c r="M5503" s="615" t="s">
        <v>623</v>
      </c>
    </row>
    <row r="5504" spans="2:13" ht="18.75" customHeight="1" x14ac:dyDescent="0.25">
      <c r="B5504" s="619"/>
      <c r="C5504" s="621"/>
      <c r="D5504" s="619"/>
      <c r="E5504" s="619"/>
      <c r="F5504" s="616"/>
      <c r="G5504" s="289" t="s">
        <v>626</v>
      </c>
      <c r="H5504" s="256" t="s">
        <v>626</v>
      </c>
      <c r="M5504" s="616"/>
    </row>
    <row r="5505" spans="2:13" ht="18.75" customHeight="1" x14ac:dyDescent="0.25">
      <c r="B5505" s="221"/>
      <c r="C5505" s="222"/>
      <c r="D5505" s="221"/>
      <c r="E5505" s="550"/>
      <c r="F5505" s="555"/>
      <c r="G5505" s="551"/>
      <c r="H5505" s="220"/>
      <c r="M5505" s="590"/>
    </row>
    <row r="5506" spans="2:13" ht="18.75" customHeight="1" x14ac:dyDescent="0.25">
      <c r="B5506" s="550" t="s">
        <v>627</v>
      </c>
      <c r="C5506" s="223" t="s">
        <v>628</v>
      </c>
      <c r="D5506" s="550"/>
      <c r="E5506" s="224"/>
      <c r="F5506" s="225"/>
      <c r="G5506" s="290"/>
      <c r="H5506" s="226"/>
      <c r="M5506" s="225"/>
    </row>
    <row r="5507" spans="2:13" ht="18.75" customHeight="1" x14ac:dyDescent="0.25">
      <c r="B5507" s="550"/>
      <c r="C5507" s="227" t="s">
        <v>629</v>
      </c>
      <c r="D5507" s="550" t="s">
        <v>630</v>
      </c>
      <c r="E5507" s="224" t="s">
        <v>631</v>
      </c>
      <c r="F5507" s="228">
        <f t="shared" ref="F5507:F5510" si="249">$K$8*M5507</f>
        <v>1</v>
      </c>
      <c r="G5507" s="408">
        <f>G5479</f>
        <v>95000</v>
      </c>
      <c r="H5507" s="230">
        <f>+G5507*F5507</f>
        <v>95000</v>
      </c>
      <c r="M5507" s="228">
        <v>1</v>
      </c>
    </row>
    <row r="5508" spans="2:13" ht="18.75" customHeight="1" x14ac:dyDescent="0.25">
      <c r="B5508" s="550"/>
      <c r="C5508" s="227" t="s">
        <v>1508</v>
      </c>
      <c r="D5508" s="550" t="s">
        <v>632</v>
      </c>
      <c r="E5508" s="224" t="s">
        <v>631</v>
      </c>
      <c r="F5508" s="228">
        <f t="shared" si="249"/>
        <v>0.5</v>
      </c>
      <c r="G5508" s="408">
        <f>G5480</f>
        <v>110000</v>
      </c>
      <c r="H5508" s="230">
        <f>+G5508*F5508</f>
        <v>55000</v>
      </c>
      <c r="M5508" s="228">
        <v>0.5</v>
      </c>
    </row>
    <row r="5509" spans="2:13" ht="18.75" customHeight="1" x14ac:dyDescent="0.25">
      <c r="B5509" s="550"/>
      <c r="C5509" s="227" t="s">
        <v>633</v>
      </c>
      <c r="D5509" s="550" t="s">
        <v>634</v>
      </c>
      <c r="E5509" s="224" t="s">
        <v>631</v>
      </c>
      <c r="F5509" s="228">
        <f t="shared" si="249"/>
        <v>7.4999999999999997E-2</v>
      </c>
      <c r="G5509" s="408">
        <f>G5481</f>
        <v>115000</v>
      </c>
      <c r="H5509" s="230">
        <f>+G5509*F5509</f>
        <v>8625</v>
      </c>
      <c r="M5509" s="228">
        <v>7.4999999999999997E-2</v>
      </c>
    </row>
    <row r="5510" spans="2:13" ht="18.75" customHeight="1" x14ac:dyDescent="0.25">
      <c r="B5510" s="550"/>
      <c r="C5510" s="227" t="s">
        <v>600</v>
      </c>
      <c r="D5510" s="550" t="s">
        <v>635</v>
      </c>
      <c r="E5510" s="224" t="s">
        <v>631</v>
      </c>
      <c r="F5510" s="228">
        <f t="shared" si="249"/>
        <v>7.4999999999999997E-2</v>
      </c>
      <c r="G5510" s="408">
        <f>G5482</f>
        <v>140000</v>
      </c>
      <c r="H5510" s="230">
        <f>+G5510*F5510</f>
        <v>10500</v>
      </c>
      <c r="M5510" s="228">
        <v>7.4999999999999997E-2</v>
      </c>
    </row>
    <row r="5511" spans="2:13" ht="18.75" customHeight="1" x14ac:dyDescent="0.25">
      <c r="B5511" s="550"/>
      <c r="C5511" s="223"/>
      <c r="D5511" s="550"/>
      <c r="E5511" s="224"/>
      <c r="F5511" s="233" t="s">
        <v>636</v>
      </c>
      <c r="G5511" s="290"/>
      <c r="H5511" s="231">
        <f>SUM(H5507:H5510)</f>
        <v>169125</v>
      </c>
      <c r="M5511" s="233" t="s">
        <v>636</v>
      </c>
    </row>
    <row r="5512" spans="2:13" ht="18.75" customHeight="1" x14ac:dyDescent="0.25">
      <c r="B5512" s="550"/>
      <c r="C5512" s="223"/>
      <c r="D5512" s="550"/>
      <c r="E5512" s="224"/>
      <c r="F5512" s="233"/>
      <c r="G5512" s="290"/>
      <c r="H5512" s="231"/>
      <c r="M5512" s="233"/>
    </row>
    <row r="5513" spans="2:13" ht="18.75" customHeight="1" x14ac:dyDescent="0.25">
      <c r="B5513" s="550" t="s">
        <v>637</v>
      </c>
      <c r="C5513" s="223" t="s">
        <v>638</v>
      </c>
      <c r="D5513" s="550"/>
      <c r="E5513" s="224"/>
      <c r="F5513" s="225"/>
      <c r="G5513" s="290"/>
      <c r="H5513" s="226"/>
      <c r="M5513" s="225"/>
    </row>
    <row r="5514" spans="2:13" ht="18.75" customHeight="1" x14ac:dyDescent="0.25">
      <c r="B5514" s="550"/>
      <c r="C5514" s="223" t="s">
        <v>1076</v>
      </c>
      <c r="D5514" s="550"/>
      <c r="E5514" s="550" t="s">
        <v>16</v>
      </c>
      <c r="F5514" s="405">
        <v>63</v>
      </c>
      <c r="G5514" s="409">
        <f>Bahan!D69</f>
        <v>3750</v>
      </c>
      <c r="H5514" s="230">
        <f>+G5514*F5514</f>
        <v>236250</v>
      </c>
      <c r="M5514" s="405">
        <v>63</v>
      </c>
    </row>
    <row r="5515" spans="2:13" ht="18.75" customHeight="1" x14ac:dyDescent="0.25">
      <c r="B5515" s="550"/>
      <c r="C5515" s="223" t="s">
        <v>708</v>
      </c>
      <c r="D5515" s="550"/>
      <c r="E5515" s="550" t="s">
        <v>5</v>
      </c>
      <c r="F5515" s="405">
        <v>12.44</v>
      </c>
      <c r="G5515" s="409">
        <f>+G5487</f>
        <v>1700</v>
      </c>
      <c r="H5515" s="230">
        <f>+G5515*F5515</f>
        <v>21148</v>
      </c>
      <c r="M5515" s="405">
        <v>12.44</v>
      </c>
    </row>
    <row r="5516" spans="2:13" ht="18.75" customHeight="1" x14ac:dyDescent="0.25">
      <c r="B5516" s="550"/>
      <c r="C5516" s="223" t="s">
        <v>661</v>
      </c>
      <c r="D5516" s="550"/>
      <c r="E5516" s="550" t="s">
        <v>1013</v>
      </c>
      <c r="F5516" s="405">
        <v>2.5000000000000001E-2</v>
      </c>
      <c r="G5516" s="409">
        <f>+G5488</f>
        <v>230000</v>
      </c>
      <c r="H5516" s="230">
        <f>+G5516*F5516</f>
        <v>5750</v>
      </c>
      <c r="M5516" s="405">
        <v>2.5000000000000001E-2</v>
      </c>
    </row>
    <row r="5517" spans="2:13" ht="18.75" customHeight="1" x14ac:dyDescent="0.25">
      <c r="B5517" s="550"/>
      <c r="C5517" s="223" t="s">
        <v>1018</v>
      </c>
      <c r="D5517" s="550"/>
      <c r="E5517" s="550" t="s">
        <v>5</v>
      </c>
      <c r="F5517" s="405">
        <v>2.75</v>
      </c>
      <c r="G5517" s="407">
        <f>+G5489</f>
        <v>14500</v>
      </c>
      <c r="H5517" s="230">
        <f>+G5517*F5517</f>
        <v>39875</v>
      </c>
      <c r="M5517" s="405">
        <v>2.75</v>
      </c>
    </row>
    <row r="5518" spans="2:13" ht="18.75" customHeight="1" x14ac:dyDescent="0.25">
      <c r="B5518" s="550"/>
      <c r="C5518" s="223"/>
      <c r="D5518" s="550"/>
      <c r="E5518" s="224"/>
      <c r="F5518" s="237" t="s">
        <v>643</v>
      </c>
      <c r="G5518" s="290"/>
      <c r="H5518" s="231">
        <f>SUM(H5514:H5517)</f>
        <v>303023</v>
      </c>
      <c r="M5518" s="237" t="s">
        <v>643</v>
      </c>
    </row>
    <row r="5519" spans="2:13" ht="18.75" customHeight="1" x14ac:dyDescent="0.25">
      <c r="B5519" s="550"/>
      <c r="C5519" s="223"/>
      <c r="D5519" s="550"/>
      <c r="E5519" s="224"/>
      <c r="F5519" s="225"/>
      <c r="G5519" s="290"/>
      <c r="H5519" s="226"/>
      <c r="M5519" s="225"/>
    </row>
    <row r="5520" spans="2:13" ht="18.75" customHeight="1" x14ac:dyDescent="0.25">
      <c r="B5520" s="550" t="s">
        <v>644</v>
      </c>
      <c r="C5520" s="223" t="s">
        <v>645</v>
      </c>
      <c r="D5520" s="550"/>
      <c r="E5520" s="224"/>
      <c r="F5520" s="225"/>
      <c r="G5520" s="290"/>
      <c r="H5520" s="235"/>
      <c r="M5520" s="225"/>
    </row>
    <row r="5521" spans="2:13" ht="18.75" customHeight="1" x14ac:dyDescent="0.25">
      <c r="B5521" s="236"/>
      <c r="C5521" s="232"/>
      <c r="D5521" s="550"/>
      <c r="E5521" s="224"/>
      <c r="F5521" s="237" t="s">
        <v>646</v>
      </c>
      <c r="G5521" s="290"/>
      <c r="H5521" s="230"/>
      <c r="M5521" s="237" t="s">
        <v>646</v>
      </c>
    </row>
    <row r="5522" spans="2:13" ht="18.75" customHeight="1" x14ac:dyDescent="0.25">
      <c r="B5522" s="236"/>
      <c r="C5522" s="232"/>
      <c r="D5522" s="550"/>
      <c r="E5522" s="224"/>
      <c r="F5522" s="237"/>
      <c r="G5522" s="290"/>
      <c r="H5522" s="226"/>
      <c r="M5522" s="237"/>
    </row>
    <row r="5523" spans="2:13" ht="18.75" customHeight="1" x14ac:dyDescent="0.25">
      <c r="B5523" s="354"/>
      <c r="C5523" s="362"/>
      <c r="D5523" s="239"/>
      <c r="E5523" s="266"/>
      <c r="F5523" s="241"/>
      <c r="G5523" s="370"/>
      <c r="H5523" s="369"/>
      <c r="M5523" s="241"/>
    </row>
    <row r="5524" spans="2:13" ht="18.75" customHeight="1" x14ac:dyDescent="0.25">
      <c r="B5524" s="356" t="s">
        <v>647</v>
      </c>
      <c r="C5524" s="363" t="s">
        <v>648</v>
      </c>
      <c r="D5524" s="435"/>
      <c r="E5524" s="92"/>
      <c r="F5524" s="183"/>
      <c r="G5524" s="295"/>
      <c r="H5524" s="357">
        <f>+H5521+H5518+H5511</f>
        <v>472148</v>
      </c>
      <c r="M5524" s="183"/>
    </row>
    <row r="5525" spans="2:13" ht="18.75" customHeight="1" x14ac:dyDescent="0.25">
      <c r="B5525" s="356" t="s">
        <v>649</v>
      </c>
      <c r="C5525" s="364" t="s">
        <v>650</v>
      </c>
      <c r="D5525" s="435"/>
      <c r="E5525" s="92"/>
      <c r="F5525" s="184" t="str">
        <f>$J$5</f>
        <v>8,0 % x D</v>
      </c>
      <c r="G5525" s="295"/>
      <c r="H5525" s="358">
        <f>+H5524*$K$5</f>
        <v>37771.840000000004</v>
      </c>
      <c r="M5525" s="184" t="str">
        <f>$J$5</f>
        <v>8,0 % x D</v>
      </c>
    </row>
    <row r="5526" spans="2:13" ht="18.75" customHeight="1" x14ac:dyDescent="0.25">
      <c r="B5526" s="356" t="s">
        <v>651</v>
      </c>
      <c r="C5526" s="365" t="s">
        <v>652</v>
      </c>
      <c r="D5526" s="435"/>
      <c r="E5526" s="91"/>
      <c r="F5526" s="185"/>
      <c r="G5526" s="296"/>
      <c r="H5526" s="359">
        <f>ROUNDUP((H5525+H5524)/100,0)*100</f>
        <v>510000</v>
      </c>
      <c r="M5526" s="185"/>
    </row>
    <row r="5527" spans="2:13" ht="18.75" customHeight="1" x14ac:dyDescent="0.25">
      <c r="B5527" s="360"/>
      <c r="C5527" s="366"/>
      <c r="D5527" s="245"/>
      <c r="E5527" s="246"/>
      <c r="F5527" s="247"/>
      <c r="G5527" s="299"/>
      <c r="H5527" s="361"/>
      <c r="M5527" s="247"/>
    </row>
    <row r="5528" spans="2:13" ht="18.75" customHeight="1" x14ac:dyDescent="0.25">
      <c r="B5528" s="22"/>
      <c r="C5528" s="104"/>
      <c r="E5528" s="21"/>
      <c r="F5528" s="176"/>
      <c r="G5528" s="165"/>
      <c r="H5528" s="119"/>
      <c r="M5528" s="176"/>
    </row>
    <row r="5529" spans="2:13" ht="18.75" customHeight="1" x14ac:dyDescent="0.25">
      <c r="B5529" s="19">
        <f>+B5502+1</f>
        <v>53</v>
      </c>
      <c r="C5529" s="93" t="s">
        <v>1077</v>
      </c>
      <c r="D5529" s="19"/>
      <c r="E5529" s="21"/>
      <c r="F5529" s="176"/>
      <c r="G5529" s="165"/>
      <c r="H5529" s="119"/>
      <c r="M5529" s="176"/>
    </row>
    <row r="5530" spans="2:13" ht="18.75" customHeight="1" x14ac:dyDescent="0.25">
      <c r="B5530" s="618" t="s">
        <v>620</v>
      </c>
      <c r="C5530" s="620" t="s">
        <v>621</v>
      </c>
      <c r="D5530" s="618" t="s">
        <v>622</v>
      </c>
      <c r="E5530" s="618" t="s">
        <v>2</v>
      </c>
      <c r="F5530" s="615" t="s">
        <v>623</v>
      </c>
      <c r="G5530" s="289" t="s">
        <v>624</v>
      </c>
      <c r="H5530" s="256" t="s">
        <v>625</v>
      </c>
      <c r="M5530" s="615" t="s">
        <v>623</v>
      </c>
    </row>
    <row r="5531" spans="2:13" ht="18.75" customHeight="1" x14ac:dyDescent="0.25">
      <c r="B5531" s="619"/>
      <c r="C5531" s="621"/>
      <c r="D5531" s="619"/>
      <c r="E5531" s="619"/>
      <c r="F5531" s="616"/>
      <c r="G5531" s="289" t="s">
        <v>626</v>
      </c>
      <c r="H5531" s="256" t="s">
        <v>626</v>
      </c>
      <c r="M5531" s="616"/>
    </row>
    <row r="5532" spans="2:13" ht="18.75" customHeight="1" x14ac:dyDescent="0.25">
      <c r="B5532" s="221"/>
      <c r="C5532" s="222"/>
      <c r="D5532" s="221"/>
      <c r="E5532" s="550"/>
      <c r="F5532" s="555"/>
      <c r="G5532" s="551"/>
      <c r="H5532" s="220"/>
      <c r="M5532" s="590"/>
    </row>
    <row r="5533" spans="2:13" ht="18.75" customHeight="1" x14ac:dyDescent="0.25">
      <c r="B5533" s="550" t="s">
        <v>627</v>
      </c>
      <c r="C5533" s="223" t="s">
        <v>628</v>
      </c>
      <c r="D5533" s="550"/>
      <c r="E5533" s="224"/>
      <c r="F5533" s="225"/>
      <c r="G5533" s="290"/>
      <c r="H5533" s="226"/>
      <c r="M5533" s="225"/>
    </row>
    <row r="5534" spans="2:13" ht="18.75" customHeight="1" x14ac:dyDescent="0.25">
      <c r="B5534" s="550"/>
      <c r="C5534" s="227" t="s">
        <v>629</v>
      </c>
      <c r="D5534" s="550" t="s">
        <v>630</v>
      </c>
      <c r="E5534" s="224" t="s">
        <v>631</v>
      </c>
      <c r="F5534" s="228">
        <f t="shared" ref="F5534:F5537" si="250">$K$8*M5534</f>
        <v>0.7</v>
      </c>
      <c r="G5534" s="408">
        <f>G5479</f>
        <v>95000</v>
      </c>
      <c r="H5534" s="230">
        <f>+G5534*F5534</f>
        <v>66500</v>
      </c>
      <c r="M5534" s="228">
        <v>0.7</v>
      </c>
    </row>
    <row r="5535" spans="2:13" ht="18.75" customHeight="1" x14ac:dyDescent="0.25">
      <c r="B5535" s="550"/>
      <c r="C5535" s="227" t="s">
        <v>1508</v>
      </c>
      <c r="D5535" s="550" t="s">
        <v>632</v>
      </c>
      <c r="E5535" s="224" t="s">
        <v>631</v>
      </c>
      <c r="F5535" s="228">
        <f t="shared" si="250"/>
        <v>0.35</v>
      </c>
      <c r="G5535" s="408">
        <f>G5480</f>
        <v>110000</v>
      </c>
      <c r="H5535" s="230">
        <f>+G5535*F5535</f>
        <v>38500</v>
      </c>
      <c r="M5535" s="228">
        <v>0.35</v>
      </c>
    </row>
    <row r="5536" spans="2:13" ht="18.75" customHeight="1" x14ac:dyDescent="0.25">
      <c r="B5536" s="550"/>
      <c r="C5536" s="227" t="s">
        <v>633</v>
      </c>
      <c r="D5536" s="550" t="s">
        <v>634</v>
      </c>
      <c r="E5536" s="224" t="s">
        <v>631</v>
      </c>
      <c r="F5536" s="228">
        <f t="shared" si="250"/>
        <v>3.5000000000000003E-2</v>
      </c>
      <c r="G5536" s="408">
        <f>G5481</f>
        <v>115000</v>
      </c>
      <c r="H5536" s="230">
        <f>+G5536*F5536</f>
        <v>4025.0000000000005</v>
      </c>
      <c r="M5536" s="228">
        <v>3.5000000000000003E-2</v>
      </c>
    </row>
    <row r="5537" spans="2:13" ht="18.75" customHeight="1" x14ac:dyDescent="0.25">
      <c r="B5537" s="550"/>
      <c r="C5537" s="227" t="s">
        <v>600</v>
      </c>
      <c r="D5537" s="550" t="s">
        <v>635</v>
      </c>
      <c r="E5537" s="224" t="s">
        <v>631</v>
      </c>
      <c r="F5537" s="228">
        <f t="shared" si="250"/>
        <v>3.5000000000000003E-2</v>
      </c>
      <c r="G5537" s="408">
        <f>G5482</f>
        <v>140000</v>
      </c>
      <c r="H5537" s="230">
        <f>+G5537*F5537</f>
        <v>4900.0000000000009</v>
      </c>
      <c r="M5537" s="228">
        <v>3.5000000000000003E-2</v>
      </c>
    </row>
    <row r="5538" spans="2:13" ht="18.75" customHeight="1" x14ac:dyDescent="0.25">
      <c r="B5538" s="550"/>
      <c r="C5538" s="223"/>
      <c r="D5538" s="550"/>
      <c r="E5538" s="224"/>
      <c r="F5538" s="233" t="s">
        <v>636</v>
      </c>
      <c r="G5538" s="290"/>
      <c r="H5538" s="231">
        <f>SUM(H5534:H5537)</f>
        <v>113925</v>
      </c>
      <c r="M5538" s="233" t="s">
        <v>636</v>
      </c>
    </row>
    <row r="5539" spans="2:13" ht="18.75" customHeight="1" x14ac:dyDescent="0.25">
      <c r="B5539" s="550" t="s">
        <v>637</v>
      </c>
      <c r="C5539" s="223" t="s">
        <v>638</v>
      </c>
      <c r="D5539" s="550"/>
      <c r="E5539" s="224"/>
      <c r="F5539" s="225"/>
      <c r="G5539" s="290"/>
      <c r="H5539" s="226"/>
      <c r="M5539" s="225"/>
    </row>
    <row r="5540" spans="2:13" ht="18.75" customHeight="1" x14ac:dyDescent="0.25">
      <c r="B5540" s="550"/>
      <c r="C5540" s="223" t="s">
        <v>1078</v>
      </c>
      <c r="D5540" s="550"/>
      <c r="E5540" s="550" t="s">
        <v>16</v>
      </c>
      <c r="F5540" s="405">
        <v>1.1000000000000001</v>
      </c>
      <c r="G5540" s="409">
        <f>Bahan!D78</f>
        <v>22000</v>
      </c>
      <c r="H5540" s="230">
        <f>+G5540*F5540</f>
        <v>24200.000000000004</v>
      </c>
      <c r="M5540" s="405">
        <v>1.1000000000000001</v>
      </c>
    </row>
    <row r="5541" spans="2:13" ht="18.75" customHeight="1" x14ac:dyDescent="0.25">
      <c r="B5541" s="550"/>
      <c r="C5541" s="223" t="s">
        <v>708</v>
      </c>
      <c r="D5541" s="550"/>
      <c r="E5541" s="550" t="s">
        <v>5</v>
      </c>
      <c r="F5541" s="405">
        <v>11.75</v>
      </c>
      <c r="G5541" s="409">
        <f>+G5515</f>
        <v>1700</v>
      </c>
      <c r="H5541" s="230">
        <f>+G5541*F5541</f>
        <v>19975</v>
      </c>
      <c r="M5541" s="405">
        <v>11.75</v>
      </c>
    </row>
    <row r="5542" spans="2:13" ht="18.75" customHeight="1" x14ac:dyDescent="0.25">
      <c r="B5542" s="550"/>
      <c r="C5542" s="223" t="s">
        <v>661</v>
      </c>
      <c r="D5542" s="550"/>
      <c r="E5542" s="550" t="s">
        <v>1013</v>
      </c>
      <c r="F5542" s="405">
        <v>3.5000000000000003E-2</v>
      </c>
      <c r="G5542" s="409">
        <f>+G5516</f>
        <v>230000</v>
      </c>
      <c r="H5542" s="230">
        <f>+G5542*F5542</f>
        <v>8050.0000000000009</v>
      </c>
      <c r="M5542" s="405">
        <v>3.5000000000000003E-2</v>
      </c>
    </row>
    <row r="5543" spans="2:13" ht="18.75" customHeight="1" x14ac:dyDescent="0.25">
      <c r="B5543" s="550"/>
      <c r="C5543" s="223"/>
      <c r="D5543" s="550"/>
      <c r="E5543" s="224"/>
      <c r="F5543" s="237" t="s">
        <v>643</v>
      </c>
      <c r="G5543" s="290"/>
      <c r="H5543" s="231">
        <f>H5540+H5541+H5542</f>
        <v>52225</v>
      </c>
      <c r="M5543" s="237" t="s">
        <v>643</v>
      </c>
    </row>
    <row r="5544" spans="2:13" ht="18.75" customHeight="1" x14ac:dyDescent="0.25">
      <c r="B5544" s="550" t="s">
        <v>644</v>
      </c>
      <c r="C5544" s="223" t="s">
        <v>645</v>
      </c>
      <c r="D5544" s="550"/>
      <c r="E5544" s="224"/>
      <c r="F5544" s="225"/>
      <c r="G5544" s="290"/>
      <c r="H5544" s="235"/>
      <c r="M5544" s="225"/>
    </row>
    <row r="5545" spans="2:13" ht="18.75" customHeight="1" x14ac:dyDescent="0.25">
      <c r="B5545" s="236"/>
      <c r="C5545" s="232"/>
      <c r="D5545" s="550"/>
      <c r="E5545" s="224"/>
      <c r="F5545" s="237" t="s">
        <v>646</v>
      </c>
      <c r="G5545" s="290"/>
      <c r="H5545" s="230"/>
      <c r="M5545" s="237" t="s">
        <v>646</v>
      </c>
    </row>
    <row r="5546" spans="2:13" ht="18.75" customHeight="1" x14ac:dyDescent="0.25">
      <c r="B5546" s="236"/>
      <c r="C5546" s="232"/>
      <c r="D5546" s="550"/>
      <c r="E5546" s="224"/>
      <c r="F5546" s="237"/>
      <c r="G5546" s="290"/>
      <c r="H5546" s="226"/>
      <c r="M5546" s="237"/>
    </row>
    <row r="5547" spans="2:13" ht="18.75" customHeight="1" x14ac:dyDescent="0.25">
      <c r="B5547" s="354"/>
      <c r="C5547" s="362"/>
      <c r="D5547" s="239"/>
      <c r="E5547" s="266"/>
      <c r="F5547" s="241"/>
      <c r="G5547" s="370"/>
      <c r="H5547" s="369"/>
      <c r="M5547" s="241"/>
    </row>
    <row r="5548" spans="2:13" ht="18.75" customHeight="1" x14ac:dyDescent="0.25">
      <c r="B5548" s="356" t="s">
        <v>647</v>
      </c>
      <c r="C5548" s="363" t="s">
        <v>648</v>
      </c>
      <c r="D5548" s="435"/>
      <c r="E5548" s="92"/>
      <c r="F5548" s="183"/>
      <c r="G5548" s="295"/>
      <c r="H5548" s="357">
        <f>+H5545+H5543+H5538</f>
        <v>166150</v>
      </c>
      <c r="M5548" s="183"/>
    </row>
    <row r="5549" spans="2:13" ht="18.75" customHeight="1" x14ac:dyDescent="0.25">
      <c r="B5549" s="356" t="s">
        <v>649</v>
      </c>
      <c r="C5549" s="364" t="s">
        <v>650</v>
      </c>
      <c r="D5549" s="435"/>
      <c r="E5549" s="92"/>
      <c r="F5549" s="184" t="str">
        <f>$J$5</f>
        <v>8,0 % x D</v>
      </c>
      <c r="G5549" s="295"/>
      <c r="H5549" s="358">
        <f>+H5548*$K$5</f>
        <v>13292</v>
      </c>
      <c r="M5549" s="184" t="str">
        <f>$J$5</f>
        <v>8,0 % x D</v>
      </c>
    </row>
    <row r="5550" spans="2:13" ht="18.75" customHeight="1" x14ac:dyDescent="0.25">
      <c r="B5550" s="356" t="s">
        <v>651</v>
      </c>
      <c r="C5550" s="365" t="s">
        <v>652</v>
      </c>
      <c r="D5550" s="435"/>
      <c r="E5550" s="91"/>
      <c r="F5550" s="185"/>
      <c r="G5550" s="296"/>
      <c r="H5550" s="359">
        <f>ROUNDUP((H5549+H5548)/100,0)*100</f>
        <v>179500</v>
      </c>
      <c r="M5550" s="185"/>
    </row>
    <row r="5551" spans="2:13" ht="18.75" customHeight="1" x14ac:dyDescent="0.25">
      <c r="B5551" s="360"/>
      <c r="C5551" s="366"/>
      <c r="D5551" s="245"/>
      <c r="E5551" s="246"/>
      <c r="F5551" s="247"/>
      <c r="G5551" s="299"/>
      <c r="H5551" s="361"/>
      <c r="M5551" s="247"/>
    </row>
    <row r="5552" spans="2:13" ht="18.75" customHeight="1" x14ac:dyDescent="0.25">
      <c r="B5552" s="92"/>
      <c r="C5552" s="104"/>
      <c r="D5552" s="435"/>
      <c r="E5552" s="91"/>
      <c r="F5552" s="185"/>
      <c r="G5552" s="168"/>
      <c r="H5552" s="139"/>
      <c r="M5552" s="185"/>
    </row>
    <row r="5553" spans="2:13" ht="18.75" customHeight="1" x14ac:dyDescent="0.25">
      <c r="B5553" s="19">
        <f>B5529+1</f>
        <v>54</v>
      </c>
      <c r="C5553" s="93" t="s">
        <v>1079</v>
      </c>
      <c r="D5553" s="19"/>
      <c r="E5553" s="21"/>
      <c r="F5553" s="176"/>
      <c r="G5553" s="165"/>
      <c r="H5553" s="119"/>
      <c r="M5553" s="176"/>
    </row>
    <row r="5554" spans="2:13" ht="18.75" customHeight="1" x14ac:dyDescent="0.25">
      <c r="B5554" s="618" t="s">
        <v>620</v>
      </c>
      <c r="C5554" s="620" t="s">
        <v>621</v>
      </c>
      <c r="D5554" s="618" t="s">
        <v>622</v>
      </c>
      <c r="E5554" s="618" t="s">
        <v>2</v>
      </c>
      <c r="F5554" s="615" t="s">
        <v>623</v>
      </c>
      <c r="G5554" s="289" t="s">
        <v>624</v>
      </c>
      <c r="H5554" s="256" t="s">
        <v>625</v>
      </c>
      <c r="M5554" s="615" t="s">
        <v>623</v>
      </c>
    </row>
    <row r="5555" spans="2:13" ht="18.75" customHeight="1" x14ac:dyDescent="0.25">
      <c r="B5555" s="619"/>
      <c r="C5555" s="621"/>
      <c r="D5555" s="619"/>
      <c r="E5555" s="619"/>
      <c r="F5555" s="616"/>
      <c r="G5555" s="289" t="s">
        <v>626</v>
      </c>
      <c r="H5555" s="256" t="s">
        <v>626</v>
      </c>
      <c r="M5555" s="616"/>
    </row>
    <row r="5556" spans="2:13" ht="18.75" customHeight="1" x14ac:dyDescent="0.25">
      <c r="B5556" s="221"/>
      <c r="C5556" s="222"/>
      <c r="D5556" s="221"/>
      <c r="E5556" s="550"/>
      <c r="F5556" s="555"/>
      <c r="G5556" s="551"/>
      <c r="H5556" s="220"/>
      <c r="M5556" s="590"/>
    </row>
    <row r="5557" spans="2:13" ht="18.75" customHeight="1" x14ac:dyDescent="0.25">
      <c r="B5557" s="550" t="s">
        <v>627</v>
      </c>
      <c r="C5557" s="223" t="s">
        <v>628</v>
      </c>
      <c r="D5557" s="550"/>
      <c r="E5557" s="224"/>
      <c r="F5557" s="225"/>
      <c r="G5557" s="290"/>
      <c r="H5557" s="226"/>
      <c r="M5557" s="225"/>
    </row>
    <row r="5558" spans="2:13" ht="18.75" customHeight="1" x14ac:dyDescent="0.25">
      <c r="B5558" s="550"/>
      <c r="C5558" s="227" t="s">
        <v>629</v>
      </c>
      <c r="D5558" s="550" t="s">
        <v>630</v>
      </c>
      <c r="E5558" s="224" t="s">
        <v>631</v>
      </c>
      <c r="F5558" s="228">
        <f t="shared" ref="F5558:F5561" si="251">$K$8*M5558</f>
        <v>0.7</v>
      </c>
      <c r="G5558" s="408">
        <f>G5534</f>
        <v>95000</v>
      </c>
      <c r="H5558" s="230">
        <f>+G5558*F5558</f>
        <v>66500</v>
      </c>
      <c r="M5558" s="228">
        <v>0.7</v>
      </c>
    </row>
    <row r="5559" spans="2:13" ht="18.75" customHeight="1" x14ac:dyDescent="0.25">
      <c r="B5559" s="550"/>
      <c r="C5559" s="227" t="s">
        <v>1508</v>
      </c>
      <c r="D5559" s="550" t="s">
        <v>632</v>
      </c>
      <c r="E5559" s="224" t="s">
        <v>631</v>
      </c>
      <c r="F5559" s="228">
        <f t="shared" si="251"/>
        <v>0.35</v>
      </c>
      <c r="G5559" s="408">
        <f>G5535</f>
        <v>110000</v>
      </c>
      <c r="H5559" s="230">
        <f>+G5559*F5559</f>
        <v>38500</v>
      </c>
      <c r="M5559" s="228">
        <v>0.35</v>
      </c>
    </row>
    <row r="5560" spans="2:13" ht="18.75" customHeight="1" x14ac:dyDescent="0.25">
      <c r="B5560" s="550"/>
      <c r="C5560" s="227" t="s">
        <v>633</v>
      </c>
      <c r="D5560" s="550" t="s">
        <v>634</v>
      </c>
      <c r="E5560" s="224" t="s">
        <v>631</v>
      </c>
      <c r="F5560" s="228">
        <f t="shared" si="251"/>
        <v>3.5000000000000003E-2</v>
      </c>
      <c r="G5560" s="408">
        <f>G5536</f>
        <v>115000</v>
      </c>
      <c r="H5560" s="230">
        <f>+G5560*F5560</f>
        <v>4025.0000000000005</v>
      </c>
      <c r="M5560" s="228">
        <v>3.5000000000000003E-2</v>
      </c>
    </row>
    <row r="5561" spans="2:13" ht="18.75" customHeight="1" x14ac:dyDescent="0.25">
      <c r="B5561" s="550"/>
      <c r="C5561" s="227" t="s">
        <v>600</v>
      </c>
      <c r="D5561" s="550" t="s">
        <v>635</v>
      </c>
      <c r="E5561" s="224" t="s">
        <v>631</v>
      </c>
      <c r="F5561" s="228">
        <f t="shared" si="251"/>
        <v>3.5000000000000003E-2</v>
      </c>
      <c r="G5561" s="408">
        <f>G5537</f>
        <v>140000</v>
      </c>
      <c r="H5561" s="230">
        <f>+G5561*F5561</f>
        <v>4900.0000000000009</v>
      </c>
      <c r="M5561" s="228">
        <v>3.5000000000000003E-2</v>
      </c>
    </row>
    <row r="5562" spans="2:13" ht="18.75" customHeight="1" x14ac:dyDescent="0.25">
      <c r="B5562" s="550"/>
      <c r="C5562" s="223"/>
      <c r="D5562" s="550"/>
      <c r="E5562" s="224"/>
      <c r="F5562" s="233" t="s">
        <v>636</v>
      </c>
      <c r="G5562" s="290"/>
      <c r="H5562" s="231">
        <f>SUM(H5558:H5561)</f>
        <v>113925</v>
      </c>
      <c r="M5562" s="233" t="s">
        <v>636</v>
      </c>
    </row>
    <row r="5563" spans="2:13" ht="18.75" customHeight="1" x14ac:dyDescent="0.25">
      <c r="B5563" s="550" t="s">
        <v>637</v>
      </c>
      <c r="C5563" s="223" t="s">
        <v>638</v>
      </c>
      <c r="D5563" s="550"/>
      <c r="E5563" s="224"/>
      <c r="F5563" s="225"/>
      <c r="G5563" s="290"/>
      <c r="H5563" s="226"/>
      <c r="M5563" s="225"/>
    </row>
    <row r="5564" spans="2:13" ht="18.75" customHeight="1" x14ac:dyDescent="0.25">
      <c r="B5564" s="550"/>
      <c r="C5564" s="223" t="s">
        <v>1080</v>
      </c>
      <c r="D5564" s="550"/>
      <c r="E5564" s="550" t="s">
        <v>52</v>
      </c>
      <c r="F5564" s="405">
        <v>1.1000000000000001</v>
      </c>
      <c r="G5564" s="409">
        <f>Bahan!D94</f>
        <v>275000</v>
      </c>
      <c r="H5564" s="230">
        <f>+G5564*F5564</f>
        <v>302500</v>
      </c>
      <c r="M5564" s="405">
        <v>1.1000000000000001</v>
      </c>
    </row>
    <row r="5565" spans="2:13" ht="18.75" customHeight="1" x14ac:dyDescent="0.25">
      <c r="B5565" s="550"/>
      <c r="C5565" s="223" t="s">
        <v>708</v>
      </c>
      <c r="D5565" s="550"/>
      <c r="E5565" s="550" t="s">
        <v>5</v>
      </c>
      <c r="F5565" s="405">
        <v>11.75</v>
      </c>
      <c r="G5565" s="409">
        <f>+G5541</f>
        <v>1700</v>
      </c>
      <c r="H5565" s="230">
        <f>+G5565*F5565</f>
        <v>19975</v>
      </c>
      <c r="M5565" s="405">
        <v>11.75</v>
      </c>
    </row>
    <row r="5566" spans="2:13" ht="18.75" customHeight="1" x14ac:dyDescent="0.25">
      <c r="B5566" s="550"/>
      <c r="C5566" s="223" t="s">
        <v>661</v>
      </c>
      <c r="D5566" s="550"/>
      <c r="E5566" s="550" t="s">
        <v>1013</v>
      </c>
      <c r="F5566" s="405">
        <v>3.5000000000000003E-2</v>
      </c>
      <c r="G5566" s="409">
        <f>+G5542</f>
        <v>230000</v>
      </c>
      <c r="H5566" s="230">
        <f>+G5566*F5566</f>
        <v>8050.0000000000009</v>
      </c>
      <c r="M5566" s="405">
        <v>3.5000000000000003E-2</v>
      </c>
    </row>
    <row r="5567" spans="2:13" ht="18.75" customHeight="1" x14ac:dyDescent="0.25">
      <c r="B5567" s="550"/>
      <c r="C5567" s="223"/>
      <c r="D5567" s="550"/>
      <c r="E5567" s="224"/>
      <c r="F5567" s="237" t="s">
        <v>643</v>
      </c>
      <c r="G5567" s="290"/>
      <c r="H5567" s="231">
        <f>SUM(H5564:H5566)</f>
        <v>330525</v>
      </c>
      <c r="M5567" s="237" t="s">
        <v>643</v>
      </c>
    </row>
    <row r="5568" spans="2:13" ht="18.75" customHeight="1" x14ac:dyDescent="0.25">
      <c r="B5568" s="550"/>
      <c r="C5568" s="223"/>
      <c r="D5568" s="550"/>
      <c r="E5568" s="224"/>
      <c r="F5568" s="237"/>
      <c r="G5568" s="290"/>
      <c r="H5568" s="231"/>
      <c r="M5568" s="237"/>
    </row>
    <row r="5569" spans="2:13" ht="18.75" customHeight="1" x14ac:dyDescent="0.25">
      <c r="B5569" s="550" t="s">
        <v>644</v>
      </c>
      <c r="C5569" s="223" t="s">
        <v>645</v>
      </c>
      <c r="D5569" s="550"/>
      <c r="E5569" s="224"/>
      <c r="F5569" s="225"/>
      <c r="G5569" s="290"/>
      <c r="H5569" s="235"/>
      <c r="M5569" s="225"/>
    </row>
    <row r="5570" spans="2:13" ht="18.75" customHeight="1" x14ac:dyDescent="0.25">
      <c r="B5570" s="236"/>
      <c r="C5570" s="232"/>
      <c r="D5570" s="550"/>
      <c r="E5570" s="224"/>
      <c r="F5570" s="237" t="s">
        <v>646</v>
      </c>
      <c r="G5570" s="290"/>
      <c r="H5570" s="230"/>
      <c r="M5570" s="237" t="s">
        <v>646</v>
      </c>
    </row>
    <row r="5571" spans="2:13" ht="18.75" customHeight="1" x14ac:dyDescent="0.25">
      <c r="B5571" s="236"/>
      <c r="C5571" s="232"/>
      <c r="D5571" s="550"/>
      <c r="E5571" s="224"/>
      <c r="F5571" s="237"/>
      <c r="G5571" s="290"/>
      <c r="H5571" s="226"/>
      <c r="M5571" s="237"/>
    </row>
    <row r="5572" spans="2:13" ht="18.75" customHeight="1" x14ac:dyDescent="0.25">
      <c r="B5572" s="354"/>
      <c r="C5572" s="362"/>
      <c r="D5572" s="239"/>
      <c r="E5572" s="266"/>
      <c r="F5572" s="241"/>
      <c r="G5572" s="370"/>
      <c r="H5572" s="369"/>
      <c r="M5572" s="241"/>
    </row>
    <row r="5573" spans="2:13" ht="18.75" customHeight="1" x14ac:dyDescent="0.25">
      <c r="B5573" s="356" t="s">
        <v>647</v>
      </c>
      <c r="C5573" s="363" t="s">
        <v>648</v>
      </c>
      <c r="D5573" s="435"/>
      <c r="E5573" s="92"/>
      <c r="F5573" s="183"/>
      <c r="G5573" s="295"/>
      <c r="H5573" s="357">
        <f>+H5570+H5567+H5562</f>
        <v>444450</v>
      </c>
      <c r="M5573" s="183"/>
    </row>
    <row r="5574" spans="2:13" ht="18.75" customHeight="1" x14ac:dyDescent="0.25">
      <c r="B5574" s="356" t="s">
        <v>649</v>
      </c>
      <c r="C5574" s="364" t="s">
        <v>650</v>
      </c>
      <c r="D5574" s="435"/>
      <c r="E5574" s="92"/>
      <c r="F5574" s="184" t="str">
        <f>$J$5</f>
        <v>8,0 % x D</v>
      </c>
      <c r="G5574" s="295"/>
      <c r="H5574" s="358">
        <f>+H5573*$K$5</f>
        <v>35556</v>
      </c>
      <c r="M5574" s="184" t="str">
        <f>$J$5</f>
        <v>8,0 % x D</v>
      </c>
    </row>
    <row r="5575" spans="2:13" ht="18.75" customHeight="1" x14ac:dyDescent="0.25">
      <c r="B5575" s="356" t="s">
        <v>651</v>
      </c>
      <c r="C5575" s="365" t="s">
        <v>652</v>
      </c>
      <c r="D5575" s="435"/>
      <c r="E5575" s="91"/>
      <c r="F5575" s="185"/>
      <c r="G5575" s="296"/>
      <c r="H5575" s="359">
        <f>ROUNDUP((H5574+H5573)/100,0)*100</f>
        <v>480100</v>
      </c>
      <c r="M5575" s="185"/>
    </row>
    <row r="5576" spans="2:13" ht="18.75" customHeight="1" x14ac:dyDescent="0.25">
      <c r="B5576" s="360"/>
      <c r="C5576" s="366"/>
      <c r="D5576" s="245"/>
      <c r="E5576" s="246"/>
      <c r="F5576" s="247"/>
      <c r="G5576" s="299"/>
      <c r="H5576" s="361"/>
      <c r="M5576" s="247"/>
    </row>
    <row r="5577" spans="2:13" ht="18.75" customHeight="1" x14ac:dyDescent="0.25">
      <c r="B5577" s="92"/>
      <c r="C5577" s="104"/>
      <c r="D5577" s="435"/>
      <c r="E5577" s="91"/>
      <c r="F5577" s="185"/>
      <c r="G5577" s="168"/>
      <c r="H5577" s="139"/>
      <c r="M5577" s="185"/>
    </row>
    <row r="5578" spans="2:13" ht="18.75" customHeight="1" x14ac:dyDescent="0.25">
      <c r="B5578" s="19">
        <f>B5553+1</f>
        <v>55</v>
      </c>
      <c r="C5578" s="93" t="s">
        <v>1081</v>
      </c>
      <c r="D5578" s="19"/>
      <c r="E5578" s="21"/>
      <c r="F5578" s="176"/>
      <c r="G5578" s="165"/>
      <c r="H5578" s="119"/>
      <c r="M5578" s="176"/>
    </row>
    <row r="5579" spans="2:13" ht="18.75" customHeight="1" x14ac:dyDescent="0.25">
      <c r="B5579" s="618" t="s">
        <v>620</v>
      </c>
      <c r="C5579" s="620" t="s">
        <v>621</v>
      </c>
      <c r="D5579" s="618" t="s">
        <v>622</v>
      </c>
      <c r="E5579" s="618" t="s">
        <v>2</v>
      </c>
      <c r="F5579" s="615" t="s">
        <v>623</v>
      </c>
      <c r="G5579" s="289" t="s">
        <v>624</v>
      </c>
      <c r="H5579" s="256" t="s">
        <v>625</v>
      </c>
      <c r="M5579" s="615" t="s">
        <v>623</v>
      </c>
    </row>
    <row r="5580" spans="2:13" ht="18.75" customHeight="1" x14ac:dyDescent="0.25">
      <c r="B5580" s="619"/>
      <c r="C5580" s="621"/>
      <c r="D5580" s="619"/>
      <c r="E5580" s="619"/>
      <c r="F5580" s="616"/>
      <c r="G5580" s="289" t="s">
        <v>626</v>
      </c>
      <c r="H5580" s="256" t="s">
        <v>626</v>
      </c>
      <c r="M5580" s="616"/>
    </row>
    <row r="5581" spans="2:13" ht="18.75" customHeight="1" x14ac:dyDescent="0.25">
      <c r="B5581" s="221"/>
      <c r="C5581" s="222"/>
      <c r="D5581" s="221"/>
      <c r="E5581" s="550"/>
      <c r="F5581" s="555"/>
      <c r="G5581" s="551"/>
      <c r="H5581" s="220"/>
      <c r="M5581" s="590"/>
    </row>
    <row r="5582" spans="2:13" ht="18.75" customHeight="1" x14ac:dyDescent="0.25">
      <c r="B5582" s="550" t="s">
        <v>627</v>
      </c>
      <c r="C5582" s="223" t="s">
        <v>628</v>
      </c>
      <c r="D5582" s="550"/>
      <c r="E5582" s="224"/>
      <c r="F5582" s="225"/>
      <c r="G5582" s="290"/>
      <c r="H5582" s="226"/>
      <c r="M5582" s="225"/>
    </row>
    <row r="5583" spans="2:13" ht="18.75" customHeight="1" x14ac:dyDescent="0.25">
      <c r="B5583" s="550"/>
      <c r="C5583" s="227" t="s">
        <v>629</v>
      </c>
      <c r="D5583" s="550" t="s">
        <v>630</v>
      </c>
      <c r="E5583" s="224" t="s">
        <v>631</v>
      </c>
      <c r="F5583" s="228">
        <f t="shared" ref="F5583:F5586" si="252">$K$8*M5583</f>
        <v>0.7</v>
      </c>
      <c r="G5583" s="408">
        <f>G5558</f>
        <v>95000</v>
      </c>
      <c r="H5583" s="230">
        <f>+G5583*F5583</f>
        <v>66500</v>
      </c>
      <c r="M5583" s="228">
        <v>0.7</v>
      </c>
    </row>
    <row r="5584" spans="2:13" ht="18.75" customHeight="1" x14ac:dyDescent="0.25">
      <c r="B5584" s="550"/>
      <c r="C5584" s="227" t="s">
        <v>1508</v>
      </c>
      <c r="D5584" s="550" t="s">
        <v>632</v>
      </c>
      <c r="E5584" s="224" t="s">
        <v>631</v>
      </c>
      <c r="F5584" s="228">
        <f t="shared" si="252"/>
        <v>0.35</v>
      </c>
      <c r="G5584" s="408">
        <f>G5559</f>
        <v>110000</v>
      </c>
      <c r="H5584" s="230">
        <f>+G5584*F5584</f>
        <v>38500</v>
      </c>
      <c r="M5584" s="228">
        <v>0.35</v>
      </c>
    </row>
    <row r="5585" spans="2:13" ht="18.75" customHeight="1" x14ac:dyDescent="0.25">
      <c r="B5585" s="550"/>
      <c r="C5585" s="227" t="s">
        <v>633</v>
      </c>
      <c r="D5585" s="550" t="s">
        <v>634</v>
      </c>
      <c r="E5585" s="224" t="s">
        <v>631</v>
      </c>
      <c r="F5585" s="228">
        <f t="shared" si="252"/>
        <v>3.5000000000000003E-2</v>
      </c>
      <c r="G5585" s="408">
        <f>G5560</f>
        <v>115000</v>
      </c>
      <c r="H5585" s="230">
        <f>+G5585*F5585</f>
        <v>4025.0000000000005</v>
      </c>
      <c r="M5585" s="228">
        <v>3.5000000000000003E-2</v>
      </c>
    </row>
    <row r="5586" spans="2:13" ht="18.75" customHeight="1" x14ac:dyDescent="0.25">
      <c r="B5586" s="550"/>
      <c r="C5586" s="227" t="s">
        <v>600</v>
      </c>
      <c r="D5586" s="550" t="s">
        <v>635</v>
      </c>
      <c r="E5586" s="224" t="s">
        <v>631</v>
      </c>
      <c r="F5586" s="228">
        <f t="shared" si="252"/>
        <v>3.5000000000000001E-3</v>
      </c>
      <c r="G5586" s="408">
        <f>G5561</f>
        <v>140000</v>
      </c>
      <c r="H5586" s="230">
        <f>+G5586*F5586</f>
        <v>490</v>
      </c>
      <c r="M5586" s="228">
        <v>3.5000000000000001E-3</v>
      </c>
    </row>
    <row r="5587" spans="2:13" ht="18.75" customHeight="1" x14ac:dyDescent="0.25">
      <c r="B5587" s="550"/>
      <c r="C5587" s="223"/>
      <c r="D5587" s="550"/>
      <c r="E5587" s="224"/>
      <c r="F5587" s="233" t="s">
        <v>636</v>
      </c>
      <c r="G5587" s="290"/>
      <c r="H5587" s="231">
        <f>SUM(H5583:H5586)</f>
        <v>109515</v>
      </c>
      <c r="M5587" s="233" t="s">
        <v>636</v>
      </c>
    </row>
    <row r="5588" spans="2:13" ht="18.75" customHeight="1" x14ac:dyDescent="0.25">
      <c r="B5588" s="550" t="s">
        <v>637</v>
      </c>
      <c r="C5588" s="223" t="s">
        <v>638</v>
      </c>
      <c r="D5588" s="550"/>
      <c r="E5588" s="224"/>
      <c r="F5588" s="225"/>
      <c r="G5588" s="290"/>
      <c r="H5588" s="226"/>
      <c r="M5588" s="225"/>
    </row>
    <row r="5589" spans="2:13" ht="18.75" customHeight="1" x14ac:dyDescent="0.25">
      <c r="B5589" s="550"/>
      <c r="C5589" s="223" t="s">
        <v>1082</v>
      </c>
      <c r="D5589" s="550"/>
      <c r="E5589" s="550" t="s">
        <v>52</v>
      </c>
      <c r="F5589" s="405">
        <v>1.1000000000000001</v>
      </c>
      <c r="G5589" s="407">
        <f>Bahan!D99</f>
        <v>115000</v>
      </c>
      <c r="H5589" s="230">
        <f>+G5589*F5589</f>
        <v>126500.00000000001</v>
      </c>
      <c r="M5589" s="405">
        <v>1.1000000000000001</v>
      </c>
    </row>
    <row r="5590" spans="2:13" ht="18.75" customHeight="1" x14ac:dyDescent="0.25">
      <c r="B5590" s="550"/>
      <c r="C5590" s="223" t="s">
        <v>1482</v>
      </c>
      <c r="D5590" s="550"/>
      <c r="E5590" s="550" t="s">
        <v>62</v>
      </c>
      <c r="F5590" s="405">
        <v>11.75</v>
      </c>
      <c r="G5590" s="407">
        <f>G5565</f>
        <v>1700</v>
      </c>
      <c r="H5590" s="230">
        <f>+G5590*F5590</f>
        <v>19975</v>
      </c>
      <c r="M5590" s="405">
        <v>11.75</v>
      </c>
    </row>
    <row r="5591" spans="2:13" ht="18.75" customHeight="1" x14ac:dyDescent="0.25">
      <c r="B5591" s="550"/>
      <c r="C5591" s="223" t="s">
        <v>1083</v>
      </c>
      <c r="D5591" s="550"/>
      <c r="E5591" s="550" t="s">
        <v>5</v>
      </c>
      <c r="F5591" s="405">
        <v>3.5000000000000003E-2</v>
      </c>
      <c r="G5591" s="407">
        <f>G5566</f>
        <v>230000</v>
      </c>
      <c r="H5591" s="230">
        <f>+G5591*F5591</f>
        <v>8050.0000000000009</v>
      </c>
      <c r="M5591" s="405">
        <v>3.5000000000000003E-2</v>
      </c>
    </row>
    <row r="5592" spans="2:13" ht="18.75" customHeight="1" x14ac:dyDescent="0.25">
      <c r="B5592" s="550"/>
      <c r="C5592" s="223"/>
      <c r="D5592" s="550"/>
      <c r="E5592" s="224"/>
      <c r="F5592" s="237" t="s">
        <v>643</v>
      </c>
      <c r="G5592" s="290"/>
      <c r="H5592" s="231">
        <f>SUM(H5589:H5591)</f>
        <v>154525</v>
      </c>
      <c r="M5592" s="237" t="s">
        <v>643</v>
      </c>
    </row>
    <row r="5593" spans="2:13" ht="18.75" customHeight="1" x14ac:dyDescent="0.25">
      <c r="B5593" s="550" t="s">
        <v>644</v>
      </c>
      <c r="C5593" s="223" t="s">
        <v>645</v>
      </c>
      <c r="D5593" s="550"/>
      <c r="E5593" s="224"/>
      <c r="F5593" s="225"/>
      <c r="G5593" s="290"/>
      <c r="H5593" s="235"/>
      <c r="M5593" s="225"/>
    </row>
    <row r="5594" spans="2:13" ht="18.75" customHeight="1" x14ac:dyDescent="0.25">
      <c r="B5594" s="236"/>
      <c r="C5594" s="232"/>
      <c r="D5594" s="550"/>
      <c r="E5594" s="224"/>
      <c r="F5594" s="237" t="s">
        <v>646</v>
      </c>
      <c r="G5594" s="290"/>
      <c r="H5594" s="230"/>
      <c r="M5594" s="237" t="s">
        <v>646</v>
      </c>
    </row>
    <row r="5595" spans="2:13" ht="18.75" customHeight="1" x14ac:dyDescent="0.25">
      <c r="B5595" s="236"/>
      <c r="C5595" s="232"/>
      <c r="D5595" s="550"/>
      <c r="E5595" s="224"/>
      <c r="F5595" s="237"/>
      <c r="G5595" s="290"/>
      <c r="H5595" s="226"/>
      <c r="M5595" s="237"/>
    </row>
    <row r="5596" spans="2:13" ht="18.75" customHeight="1" x14ac:dyDescent="0.25">
      <c r="B5596" s="354"/>
      <c r="C5596" s="362"/>
      <c r="D5596" s="239"/>
      <c r="E5596" s="266"/>
      <c r="F5596" s="241"/>
      <c r="G5596" s="370"/>
      <c r="H5596" s="369"/>
      <c r="M5596" s="241"/>
    </row>
    <row r="5597" spans="2:13" ht="18.75" customHeight="1" x14ac:dyDescent="0.25">
      <c r="B5597" s="356" t="s">
        <v>647</v>
      </c>
      <c r="C5597" s="363" t="s">
        <v>648</v>
      </c>
      <c r="D5597" s="435"/>
      <c r="E5597" s="92"/>
      <c r="F5597" s="183"/>
      <c r="G5597" s="295"/>
      <c r="H5597" s="357">
        <f>+H5594+H5592+H5587</f>
        <v>264040</v>
      </c>
      <c r="M5597" s="183"/>
    </row>
    <row r="5598" spans="2:13" ht="18.75" customHeight="1" x14ac:dyDescent="0.25">
      <c r="B5598" s="356" t="s">
        <v>649</v>
      </c>
      <c r="C5598" s="364" t="s">
        <v>650</v>
      </c>
      <c r="D5598" s="435"/>
      <c r="E5598" s="92"/>
      <c r="F5598" s="184" t="str">
        <f>$J$5</f>
        <v>8,0 % x D</v>
      </c>
      <c r="G5598" s="295"/>
      <c r="H5598" s="358">
        <f>+H5597*$K$5</f>
        <v>21123.200000000001</v>
      </c>
      <c r="M5598" s="184" t="str">
        <f>$J$5</f>
        <v>8,0 % x D</v>
      </c>
    </row>
    <row r="5599" spans="2:13" ht="18.75" customHeight="1" x14ac:dyDescent="0.25">
      <c r="B5599" s="356" t="s">
        <v>651</v>
      </c>
      <c r="C5599" s="365" t="s">
        <v>652</v>
      </c>
      <c r="D5599" s="435"/>
      <c r="E5599" s="91"/>
      <c r="F5599" s="185"/>
      <c r="G5599" s="296"/>
      <c r="H5599" s="359">
        <f>ROUNDUP((H5598+H5597)/100,0)*100</f>
        <v>285200</v>
      </c>
      <c r="M5599" s="185"/>
    </row>
    <row r="5600" spans="2:13" ht="18.75" customHeight="1" x14ac:dyDescent="0.25">
      <c r="B5600" s="360"/>
      <c r="C5600" s="366"/>
      <c r="D5600" s="245"/>
      <c r="E5600" s="246"/>
      <c r="F5600" s="247"/>
      <c r="G5600" s="299"/>
      <c r="H5600" s="361"/>
      <c r="M5600" s="247"/>
    </row>
    <row r="5601" spans="1:13" ht="18.75" customHeight="1" x14ac:dyDescent="0.25">
      <c r="B5601" s="22"/>
      <c r="C5601" s="104"/>
      <c r="E5601" s="21"/>
      <c r="F5601" s="176"/>
      <c r="G5601" s="165"/>
      <c r="H5601" s="119"/>
      <c r="M5601" s="176"/>
    </row>
    <row r="5602" spans="1:13" ht="18.75" customHeight="1" x14ac:dyDescent="0.25">
      <c r="A5602" s="388" t="s">
        <v>1605</v>
      </c>
      <c r="B5602" s="389" t="s">
        <v>1084</v>
      </c>
      <c r="C5602" s="390"/>
      <c r="D5602" s="391"/>
      <c r="E5602" s="392"/>
      <c r="F5602" s="393"/>
      <c r="G5602" s="394"/>
      <c r="H5602" s="394"/>
      <c r="M5602" s="393"/>
    </row>
    <row r="5603" spans="1:13" ht="18.75" customHeight="1" x14ac:dyDescent="0.25">
      <c r="G5603" s="66"/>
      <c r="H5603" s="138"/>
    </row>
    <row r="5604" spans="1:13" ht="18.75" customHeight="1" x14ac:dyDescent="0.25">
      <c r="B5604" s="19">
        <v>1</v>
      </c>
      <c r="C5604" s="93" t="s">
        <v>1085</v>
      </c>
      <c r="D5604" s="19"/>
      <c r="E5604" s="21"/>
      <c r="F5604" s="176"/>
      <c r="G5604" s="165"/>
      <c r="H5604" s="119"/>
      <c r="M5604" s="176"/>
    </row>
    <row r="5605" spans="1:13" ht="18.75" customHeight="1" x14ac:dyDescent="0.25">
      <c r="B5605" s="618" t="s">
        <v>620</v>
      </c>
      <c r="C5605" s="620" t="s">
        <v>621</v>
      </c>
      <c r="D5605" s="618" t="s">
        <v>622</v>
      </c>
      <c r="E5605" s="618" t="s">
        <v>2</v>
      </c>
      <c r="F5605" s="615" t="s">
        <v>623</v>
      </c>
      <c r="G5605" s="289" t="s">
        <v>624</v>
      </c>
      <c r="H5605" s="256" t="s">
        <v>625</v>
      </c>
      <c r="M5605" s="615" t="s">
        <v>623</v>
      </c>
    </row>
    <row r="5606" spans="1:13" ht="18.75" customHeight="1" x14ac:dyDescent="0.25">
      <c r="B5606" s="619"/>
      <c r="C5606" s="621"/>
      <c r="D5606" s="619"/>
      <c r="E5606" s="619"/>
      <c r="F5606" s="616"/>
      <c r="G5606" s="289" t="s">
        <v>626</v>
      </c>
      <c r="H5606" s="256" t="s">
        <v>626</v>
      </c>
      <c r="M5606" s="616"/>
    </row>
    <row r="5607" spans="1:13" ht="18.75" customHeight="1" x14ac:dyDescent="0.25">
      <c r="B5607" s="221"/>
      <c r="C5607" s="222"/>
      <c r="D5607" s="221"/>
      <c r="E5607" s="550"/>
      <c r="F5607" s="555"/>
      <c r="G5607" s="551"/>
      <c r="H5607" s="220"/>
      <c r="M5607" s="590"/>
    </row>
    <row r="5608" spans="1:13" ht="18.75" customHeight="1" x14ac:dyDescent="0.25">
      <c r="B5608" s="550" t="s">
        <v>627</v>
      </c>
      <c r="C5608" s="223" t="s">
        <v>628</v>
      </c>
      <c r="D5608" s="550"/>
      <c r="E5608" s="224"/>
      <c r="F5608" s="225"/>
      <c r="G5608" s="290"/>
      <c r="H5608" s="226"/>
      <c r="M5608" s="225"/>
    </row>
    <row r="5609" spans="1:13" ht="18.75" customHeight="1" x14ac:dyDescent="0.25">
      <c r="B5609" s="550"/>
      <c r="C5609" s="227" t="s">
        <v>629</v>
      </c>
      <c r="D5609" s="550" t="s">
        <v>630</v>
      </c>
      <c r="E5609" s="224" t="s">
        <v>631</v>
      </c>
      <c r="F5609" s="228">
        <f t="shared" ref="F5609:F5612" si="253">$K$8*M5609</f>
        <v>0.03</v>
      </c>
      <c r="G5609" s="229">
        <f>G5583</f>
        <v>95000</v>
      </c>
      <c r="H5609" s="230">
        <f>+G5609*F5609</f>
        <v>2850</v>
      </c>
      <c r="M5609" s="228">
        <v>0.03</v>
      </c>
    </row>
    <row r="5610" spans="1:13" ht="18.75" customHeight="1" x14ac:dyDescent="0.25">
      <c r="B5610" s="550"/>
      <c r="C5610" s="227" t="s">
        <v>1508</v>
      </c>
      <c r="D5610" s="550" t="s">
        <v>632</v>
      </c>
      <c r="E5610" s="224" t="s">
        <v>631</v>
      </c>
      <c r="F5610" s="228">
        <f t="shared" si="253"/>
        <v>7.0000000000000007E-2</v>
      </c>
      <c r="G5610" s="229">
        <f>G5584</f>
        <v>110000</v>
      </c>
      <c r="H5610" s="230">
        <f>+G5610*F5610</f>
        <v>7700.0000000000009</v>
      </c>
      <c r="M5610" s="228">
        <v>7.0000000000000007E-2</v>
      </c>
    </row>
    <row r="5611" spans="1:13" ht="18.75" customHeight="1" x14ac:dyDescent="0.25">
      <c r="B5611" s="550"/>
      <c r="C5611" s="227" t="s">
        <v>633</v>
      </c>
      <c r="D5611" s="550" t="s">
        <v>634</v>
      </c>
      <c r="E5611" s="224" t="s">
        <v>631</v>
      </c>
      <c r="F5611" s="228">
        <f t="shared" si="253"/>
        <v>7.0000000000000001E-3</v>
      </c>
      <c r="G5611" s="229">
        <f>G5585</f>
        <v>115000</v>
      </c>
      <c r="H5611" s="230">
        <f>+G5611*F5611</f>
        <v>805</v>
      </c>
      <c r="M5611" s="228">
        <v>7.0000000000000001E-3</v>
      </c>
    </row>
    <row r="5612" spans="1:13" ht="18.75" customHeight="1" x14ac:dyDescent="0.25">
      <c r="B5612" s="550"/>
      <c r="C5612" s="227" t="s">
        <v>600</v>
      </c>
      <c r="D5612" s="550" t="s">
        <v>635</v>
      </c>
      <c r="E5612" s="224" t="s">
        <v>631</v>
      </c>
      <c r="F5612" s="228">
        <f t="shared" si="253"/>
        <v>4.0000000000000001E-3</v>
      </c>
      <c r="G5612" s="229">
        <f>G5586</f>
        <v>140000</v>
      </c>
      <c r="H5612" s="230">
        <f>+G5612*F5612</f>
        <v>560</v>
      </c>
      <c r="M5612" s="228">
        <v>4.0000000000000001E-3</v>
      </c>
    </row>
    <row r="5613" spans="1:13" ht="18.75" customHeight="1" x14ac:dyDescent="0.25">
      <c r="B5613" s="550"/>
      <c r="C5613" s="223"/>
      <c r="D5613" s="550"/>
      <c r="E5613" s="224"/>
      <c r="F5613" s="233" t="s">
        <v>636</v>
      </c>
      <c r="G5613" s="290"/>
      <c r="H5613" s="231">
        <f>SUM(H5609:H5612)</f>
        <v>11915</v>
      </c>
      <c r="M5613" s="233" t="s">
        <v>636</v>
      </c>
    </row>
    <row r="5614" spans="1:13" ht="18.75" customHeight="1" x14ac:dyDescent="0.25">
      <c r="B5614" s="550"/>
      <c r="C5614" s="223"/>
      <c r="D5614" s="550"/>
      <c r="E5614" s="224"/>
      <c r="F5614" s="233"/>
      <c r="G5614" s="290"/>
      <c r="H5614" s="231"/>
      <c r="M5614" s="233"/>
    </row>
    <row r="5615" spans="1:13" ht="18.75" customHeight="1" x14ac:dyDescent="0.25">
      <c r="B5615" s="550" t="s">
        <v>637</v>
      </c>
      <c r="C5615" s="223" t="s">
        <v>638</v>
      </c>
      <c r="D5615" s="550"/>
      <c r="E5615" s="224"/>
      <c r="F5615" s="225"/>
      <c r="G5615" s="290"/>
      <c r="H5615" s="226"/>
      <c r="M5615" s="225"/>
    </row>
    <row r="5616" spans="1:13" ht="18.75" customHeight="1" x14ac:dyDescent="0.25">
      <c r="B5616" s="550"/>
      <c r="C5616" s="223" t="s">
        <v>1086</v>
      </c>
      <c r="D5616" s="550"/>
      <c r="E5616" s="550" t="s">
        <v>1087</v>
      </c>
      <c r="F5616" s="405">
        <v>1.1000000000000001</v>
      </c>
      <c r="G5616" s="418">
        <f>Bahan!D397</f>
        <v>41500</v>
      </c>
      <c r="H5616" s="230">
        <f>+G5616*F5616</f>
        <v>45650.000000000007</v>
      </c>
      <c r="M5616" s="405">
        <v>1.1000000000000001</v>
      </c>
    </row>
    <row r="5617" spans="2:13" ht="18.75" customHeight="1" x14ac:dyDescent="0.25">
      <c r="B5617" s="550"/>
      <c r="C5617" s="223" t="s">
        <v>1088</v>
      </c>
      <c r="D5617" s="550"/>
      <c r="E5617" s="550" t="s">
        <v>5</v>
      </c>
      <c r="F5617" s="405">
        <v>0.01</v>
      </c>
      <c r="G5617" s="418">
        <f>Bahan!D343</f>
        <v>25000</v>
      </c>
      <c r="H5617" s="230">
        <f>+G5617*F5617</f>
        <v>250</v>
      </c>
      <c r="M5617" s="405">
        <v>0.01</v>
      </c>
    </row>
    <row r="5618" spans="2:13" ht="18.75" customHeight="1" x14ac:dyDescent="0.25">
      <c r="B5618" s="550"/>
      <c r="C5618" s="223"/>
      <c r="D5618" s="550"/>
      <c r="E5618" s="224"/>
      <c r="F5618" s="237" t="s">
        <v>643</v>
      </c>
      <c r="G5618" s="290"/>
      <c r="H5618" s="231">
        <f>SUM(H5616:H5616)</f>
        <v>45650.000000000007</v>
      </c>
      <c r="M5618" s="237" t="s">
        <v>643</v>
      </c>
    </row>
    <row r="5619" spans="2:13" ht="18.75" customHeight="1" x14ac:dyDescent="0.25">
      <c r="B5619" s="550"/>
      <c r="C5619" s="223"/>
      <c r="D5619" s="550"/>
      <c r="E5619" s="224"/>
      <c r="F5619" s="225"/>
      <c r="G5619" s="290"/>
      <c r="H5619" s="226"/>
      <c r="M5619" s="225"/>
    </row>
    <row r="5620" spans="2:13" ht="18.75" customHeight="1" x14ac:dyDescent="0.25">
      <c r="B5620" s="550" t="s">
        <v>644</v>
      </c>
      <c r="C5620" s="223" t="s">
        <v>645</v>
      </c>
      <c r="D5620" s="550"/>
      <c r="E5620" s="224"/>
      <c r="F5620" s="225"/>
      <c r="G5620" s="290"/>
      <c r="H5620" s="235"/>
      <c r="M5620" s="225"/>
    </row>
    <row r="5621" spans="2:13" ht="18.75" customHeight="1" x14ac:dyDescent="0.25">
      <c r="B5621" s="236"/>
      <c r="C5621" s="562"/>
      <c r="D5621" s="563"/>
      <c r="E5621" s="564"/>
      <c r="F5621" s="565" t="s">
        <v>646</v>
      </c>
      <c r="G5621" s="566"/>
      <c r="H5621" s="230"/>
      <c r="M5621" s="565" t="s">
        <v>646</v>
      </c>
    </row>
    <row r="5622" spans="2:13" ht="18.75" customHeight="1" x14ac:dyDescent="0.25">
      <c r="B5622" s="354"/>
      <c r="C5622" s="362"/>
      <c r="D5622" s="239"/>
      <c r="E5622" s="266"/>
      <c r="F5622" s="241"/>
      <c r="G5622" s="370"/>
      <c r="H5622" s="369"/>
      <c r="M5622" s="241"/>
    </row>
    <row r="5623" spans="2:13" ht="18.75" customHeight="1" x14ac:dyDescent="0.25">
      <c r="B5623" s="356" t="s">
        <v>647</v>
      </c>
      <c r="C5623" s="363" t="s">
        <v>648</v>
      </c>
      <c r="D5623" s="435"/>
      <c r="E5623" s="92"/>
      <c r="F5623" s="183"/>
      <c r="G5623" s="295"/>
      <c r="H5623" s="357">
        <f>+H5621+H5618+H5613</f>
        <v>57565.000000000007</v>
      </c>
      <c r="M5623" s="183"/>
    </row>
    <row r="5624" spans="2:13" ht="18.75" customHeight="1" x14ac:dyDescent="0.25">
      <c r="B5624" s="356" t="s">
        <v>649</v>
      </c>
      <c r="C5624" s="364" t="s">
        <v>650</v>
      </c>
      <c r="D5624" s="435"/>
      <c r="E5624" s="92"/>
      <c r="F5624" s="184" t="str">
        <f>$J$5</f>
        <v>8,0 % x D</v>
      </c>
      <c r="G5624" s="295"/>
      <c r="H5624" s="358">
        <f>+H5623*$K$5</f>
        <v>4605.2000000000007</v>
      </c>
      <c r="M5624" s="184" t="str">
        <f>$J$5</f>
        <v>8,0 % x D</v>
      </c>
    </row>
    <row r="5625" spans="2:13" ht="18.75" customHeight="1" x14ac:dyDescent="0.25">
      <c r="B5625" s="356" t="s">
        <v>651</v>
      </c>
      <c r="C5625" s="365" t="s">
        <v>652</v>
      </c>
      <c r="D5625" s="435"/>
      <c r="E5625" s="91"/>
      <c r="F5625" s="185"/>
      <c r="G5625" s="296"/>
      <c r="H5625" s="359">
        <f>ROUNDUP((H5624+H5623)/100,0)*100</f>
        <v>62200</v>
      </c>
      <c r="M5625" s="185"/>
    </row>
    <row r="5626" spans="2:13" ht="18.75" customHeight="1" x14ac:dyDescent="0.25">
      <c r="B5626" s="360"/>
      <c r="C5626" s="366"/>
      <c r="D5626" s="245"/>
      <c r="E5626" s="246"/>
      <c r="F5626" s="247"/>
      <c r="G5626" s="299"/>
      <c r="H5626" s="361"/>
      <c r="M5626" s="247"/>
    </row>
    <row r="5627" spans="2:13" ht="18.75" customHeight="1" x14ac:dyDescent="0.25">
      <c r="B5627" s="92"/>
      <c r="C5627" s="104"/>
      <c r="D5627" s="435"/>
      <c r="E5627" s="91"/>
      <c r="F5627" s="185"/>
      <c r="G5627" s="168"/>
      <c r="H5627" s="139"/>
      <c r="M5627" s="185"/>
    </row>
    <row r="5628" spans="2:13" ht="18.75" customHeight="1" x14ac:dyDescent="0.25">
      <c r="B5628" s="19">
        <v>2</v>
      </c>
      <c r="C5628" s="93" t="s">
        <v>1089</v>
      </c>
      <c r="D5628" s="19"/>
      <c r="E5628" s="21"/>
      <c r="F5628" s="176"/>
      <c r="G5628" s="165"/>
      <c r="H5628" s="119"/>
      <c r="M5628" s="176"/>
    </row>
    <row r="5629" spans="2:13" ht="18.75" customHeight="1" x14ac:dyDescent="0.25">
      <c r="B5629" s="618" t="s">
        <v>620</v>
      </c>
      <c r="C5629" s="620" t="s">
        <v>621</v>
      </c>
      <c r="D5629" s="618" t="s">
        <v>622</v>
      </c>
      <c r="E5629" s="618" t="s">
        <v>2</v>
      </c>
      <c r="F5629" s="615" t="s">
        <v>623</v>
      </c>
      <c r="G5629" s="289" t="s">
        <v>624</v>
      </c>
      <c r="H5629" s="256" t="s">
        <v>625</v>
      </c>
      <c r="M5629" s="615" t="s">
        <v>623</v>
      </c>
    </row>
    <row r="5630" spans="2:13" ht="18.75" customHeight="1" x14ac:dyDescent="0.25">
      <c r="B5630" s="619"/>
      <c r="C5630" s="621"/>
      <c r="D5630" s="619"/>
      <c r="E5630" s="619"/>
      <c r="F5630" s="616"/>
      <c r="G5630" s="289" t="s">
        <v>626</v>
      </c>
      <c r="H5630" s="256" t="s">
        <v>626</v>
      </c>
      <c r="M5630" s="616"/>
    </row>
    <row r="5631" spans="2:13" ht="18.75" customHeight="1" x14ac:dyDescent="0.25">
      <c r="B5631" s="221"/>
      <c r="C5631" s="222"/>
      <c r="D5631" s="221"/>
      <c r="E5631" s="550"/>
      <c r="F5631" s="555"/>
      <c r="G5631" s="551"/>
      <c r="H5631" s="220"/>
      <c r="M5631" s="590"/>
    </row>
    <row r="5632" spans="2:13" ht="18.75" customHeight="1" x14ac:dyDescent="0.25">
      <c r="B5632" s="550" t="s">
        <v>627</v>
      </c>
      <c r="C5632" s="223" t="s">
        <v>628</v>
      </c>
      <c r="D5632" s="550"/>
      <c r="E5632" s="224"/>
      <c r="F5632" s="225"/>
      <c r="G5632" s="290"/>
      <c r="H5632" s="226"/>
      <c r="K5632" s="415"/>
      <c r="L5632" s="415"/>
      <c r="M5632" s="225"/>
    </row>
    <row r="5633" spans="2:13" ht="18.75" customHeight="1" x14ac:dyDescent="0.25">
      <c r="B5633" s="550"/>
      <c r="C5633" s="227" t="s">
        <v>629</v>
      </c>
      <c r="D5633" s="550" t="s">
        <v>630</v>
      </c>
      <c r="E5633" s="224" t="s">
        <v>631</v>
      </c>
      <c r="F5633" s="228">
        <f t="shared" ref="F5633:F5636" si="254">$K$8*M5633</f>
        <v>0.15</v>
      </c>
      <c r="G5633" s="229">
        <f>G5609</f>
        <v>95000</v>
      </c>
      <c r="H5633" s="230">
        <f>+G5633*F5633</f>
        <v>14250</v>
      </c>
      <c r="K5633" s="415"/>
      <c r="L5633" s="415"/>
      <c r="M5633" s="228">
        <v>0.15</v>
      </c>
    </row>
    <row r="5634" spans="2:13" ht="18.75" customHeight="1" x14ac:dyDescent="0.25">
      <c r="B5634" s="550"/>
      <c r="C5634" s="227" t="s">
        <v>1508</v>
      </c>
      <c r="D5634" s="550" t="s">
        <v>632</v>
      </c>
      <c r="E5634" s="224" t="s">
        <v>631</v>
      </c>
      <c r="F5634" s="228">
        <f t="shared" si="254"/>
        <v>0.3</v>
      </c>
      <c r="G5634" s="229">
        <f>G5610</f>
        <v>110000</v>
      </c>
      <c r="H5634" s="230">
        <f>+G5634*F5634</f>
        <v>33000</v>
      </c>
      <c r="K5634" s="415"/>
      <c r="M5634" s="228">
        <v>0.3</v>
      </c>
    </row>
    <row r="5635" spans="2:13" ht="18.75" customHeight="1" x14ac:dyDescent="0.25">
      <c r="B5635" s="550"/>
      <c r="C5635" s="227" t="s">
        <v>633</v>
      </c>
      <c r="D5635" s="550" t="s">
        <v>634</v>
      </c>
      <c r="E5635" s="224" t="s">
        <v>631</v>
      </c>
      <c r="F5635" s="228">
        <f t="shared" si="254"/>
        <v>0.03</v>
      </c>
      <c r="G5635" s="229">
        <f>G5611</f>
        <v>115000</v>
      </c>
      <c r="H5635" s="230">
        <f>+G5635*F5635</f>
        <v>3450</v>
      </c>
      <c r="K5635" s="415"/>
      <c r="M5635" s="228">
        <v>0.03</v>
      </c>
    </row>
    <row r="5636" spans="2:13" ht="18.75" customHeight="1" x14ac:dyDescent="0.25">
      <c r="B5636" s="550"/>
      <c r="C5636" s="227" t="s">
        <v>600</v>
      </c>
      <c r="D5636" s="550" t="s">
        <v>635</v>
      </c>
      <c r="E5636" s="224" t="s">
        <v>631</v>
      </c>
      <c r="F5636" s="228">
        <f t="shared" si="254"/>
        <v>7.4999999999999997E-2</v>
      </c>
      <c r="G5636" s="229">
        <f>G5612</f>
        <v>140000</v>
      </c>
      <c r="H5636" s="230">
        <f>+G5636*F5636</f>
        <v>10500</v>
      </c>
      <c r="M5636" s="228">
        <v>7.4999999999999997E-2</v>
      </c>
    </row>
    <row r="5637" spans="2:13" ht="18.75" customHeight="1" x14ac:dyDescent="0.25">
      <c r="B5637" s="550"/>
      <c r="C5637" s="223"/>
      <c r="D5637" s="550"/>
      <c r="E5637" s="224"/>
      <c r="F5637" s="233" t="s">
        <v>636</v>
      </c>
      <c r="G5637" s="290"/>
      <c r="H5637" s="231">
        <f>SUM(H5633:H5636)</f>
        <v>61200</v>
      </c>
      <c r="M5637" s="233" t="s">
        <v>636</v>
      </c>
    </row>
    <row r="5638" spans="2:13" ht="18.75" customHeight="1" x14ac:dyDescent="0.25">
      <c r="B5638" s="550"/>
      <c r="C5638" s="223"/>
      <c r="D5638" s="550"/>
      <c r="E5638" s="224"/>
      <c r="F5638" s="233"/>
      <c r="G5638" s="290"/>
      <c r="H5638" s="231"/>
      <c r="M5638" s="233"/>
    </row>
    <row r="5639" spans="2:13" ht="18.75" customHeight="1" x14ac:dyDescent="0.25">
      <c r="B5639" s="550" t="s">
        <v>637</v>
      </c>
      <c r="C5639" s="223" t="s">
        <v>638</v>
      </c>
      <c r="D5639" s="550"/>
      <c r="E5639" s="224"/>
      <c r="F5639" s="225"/>
      <c r="G5639" s="290"/>
      <c r="H5639" s="226"/>
      <c r="M5639" s="225"/>
    </row>
    <row r="5640" spans="2:13" ht="18.75" customHeight="1" x14ac:dyDescent="0.25">
      <c r="B5640" s="550"/>
      <c r="C5640" s="223" t="s">
        <v>1090</v>
      </c>
      <c r="D5640" s="550"/>
      <c r="E5640" s="550" t="s">
        <v>52</v>
      </c>
      <c r="F5640" s="405">
        <v>1.4999999999999999E-2</v>
      </c>
      <c r="G5640" s="418">
        <f>Bahan!D259</f>
        <v>4230000</v>
      </c>
      <c r="H5640" s="230">
        <f>+G5640*F5640</f>
        <v>63450</v>
      </c>
      <c r="M5640" s="405">
        <v>1.4999999999999999E-2</v>
      </c>
    </row>
    <row r="5641" spans="2:13" ht="18.75" customHeight="1" x14ac:dyDescent="0.25">
      <c r="B5641" s="550"/>
      <c r="C5641" s="223" t="s">
        <v>1091</v>
      </c>
      <c r="D5641" s="550"/>
      <c r="E5641" s="550" t="s">
        <v>5</v>
      </c>
      <c r="F5641" s="405">
        <v>0.2</v>
      </c>
      <c r="G5641" s="418">
        <f>Bahan!D342</f>
        <v>25000</v>
      </c>
      <c r="H5641" s="230">
        <f>+G5641*F5641</f>
        <v>5000</v>
      </c>
      <c r="M5641" s="405">
        <v>0.2</v>
      </c>
    </row>
    <row r="5642" spans="2:13" ht="18.75" customHeight="1" x14ac:dyDescent="0.25">
      <c r="B5642" s="550"/>
      <c r="C5642" s="223"/>
      <c r="D5642" s="550"/>
      <c r="E5642" s="224"/>
      <c r="F5642" s="237" t="s">
        <v>643</v>
      </c>
      <c r="G5642" s="290"/>
      <c r="H5642" s="231">
        <f>SUM(H5640:H5641)</f>
        <v>68450</v>
      </c>
      <c r="M5642" s="237" t="s">
        <v>643</v>
      </c>
    </row>
    <row r="5643" spans="2:13" ht="18.75" customHeight="1" x14ac:dyDescent="0.25">
      <c r="B5643" s="550"/>
      <c r="C5643" s="223"/>
      <c r="D5643" s="550"/>
      <c r="E5643" s="224"/>
      <c r="F5643" s="225"/>
      <c r="G5643" s="290"/>
      <c r="H5643" s="226"/>
      <c r="M5643" s="225"/>
    </row>
    <row r="5644" spans="2:13" ht="18.75" customHeight="1" x14ac:dyDescent="0.25">
      <c r="B5644" s="550" t="s">
        <v>644</v>
      </c>
      <c r="C5644" s="223" t="s">
        <v>645</v>
      </c>
      <c r="D5644" s="550"/>
      <c r="E5644" s="224"/>
      <c r="F5644" s="225"/>
      <c r="G5644" s="290"/>
      <c r="H5644" s="235"/>
      <c r="M5644" s="225"/>
    </row>
    <row r="5645" spans="2:13" ht="18.75" customHeight="1" x14ac:dyDescent="0.25">
      <c r="B5645" s="236"/>
      <c r="C5645" s="232"/>
      <c r="D5645" s="550"/>
      <c r="E5645" s="224"/>
      <c r="F5645" s="237" t="s">
        <v>646</v>
      </c>
      <c r="G5645" s="290"/>
      <c r="H5645" s="230"/>
      <c r="M5645" s="237" t="s">
        <v>646</v>
      </c>
    </row>
    <row r="5646" spans="2:13" ht="18.75" customHeight="1" x14ac:dyDescent="0.25">
      <c r="B5646" s="236"/>
      <c r="C5646" s="562"/>
      <c r="D5646" s="563"/>
      <c r="E5646" s="564"/>
      <c r="F5646" s="565"/>
      <c r="G5646" s="566"/>
      <c r="H5646" s="226"/>
      <c r="M5646" s="565"/>
    </row>
    <row r="5647" spans="2:13" ht="18.75" customHeight="1" x14ac:dyDescent="0.25">
      <c r="B5647" s="354"/>
      <c r="C5647" s="362"/>
      <c r="D5647" s="239"/>
      <c r="E5647" s="266"/>
      <c r="F5647" s="241"/>
      <c r="G5647" s="370"/>
      <c r="H5647" s="369"/>
      <c r="M5647" s="241"/>
    </row>
    <row r="5648" spans="2:13" ht="18.75" customHeight="1" x14ac:dyDescent="0.25">
      <c r="B5648" s="356" t="s">
        <v>647</v>
      </c>
      <c r="C5648" s="363" t="s">
        <v>648</v>
      </c>
      <c r="D5648" s="435"/>
      <c r="E5648" s="92"/>
      <c r="F5648" s="183"/>
      <c r="G5648" s="295"/>
      <c r="H5648" s="357">
        <f>+H5645+H5642+H5637</f>
        <v>129650</v>
      </c>
      <c r="M5648" s="183"/>
    </row>
    <row r="5649" spans="2:13" ht="18.75" customHeight="1" x14ac:dyDescent="0.25">
      <c r="B5649" s="356" t="s">
        <v>649</v>
      </c>
      <c r="C5649" s="364" t="s">
        <v>650</v>
      </c>
      <c r="D5649" s="435"/>
      <c r="E5649" s="92"/>
      <c r="F5649" s="184" t="str">
        <f>$J$5</f>
        <v>8,0 % x D</v>
      </c>
      <c r="G5649" s="295"/>
      <c r="H5649" s="358">
        <f>+H5648*$K$5</f>
        <v>10372</v>
      </c>
      <c r="M5649" s="184" t="str">
        <f>$J$5</f>
        <v>8,0 % x D</v>
      </c>
    </row>
    <row r="5650" spans="2:13" ht="18.75" customHeight="1" x14ac:dyDescent="0.25">
      <c r="B5650" s="356" t="s">
        <v>651</v>
      </c>
      <c r="C5650" s="365" t="s">
        <v>652</v>
      </c>
      <c r="D5650" s="435"/>
      <c r="E5650" s="91"/>
      <c r="F5650" s="185"/>
      <c r="G5650" s="296"/>
      <c r="H5650" s="359">
        <f>ROUNDUP((H5649+H5648)/100,0)*100</f>
        <v>140100</v>
      </c>
      <c r="M5650" s="185"/>
    </row>
    <row r="5651" spans="2:13" ht="18.75" customHeight="1" x14ac:dyDescent="0.25">
      <c r="B5651" s="371"/>
      <c r="C5651" s="373"/>
      <c r="D5651" s="245"/>
      <c r="E5651" s="246"/>
      <c r="F5651" s="247"/>
      <c r="G5651" s="299"/>
      <c r="H5651" s="372"/>
      <c r="M5651" s="247"/>
    </row>
    <row r="5652" spans="2:13" ht="18.75" customHeight="1" x14ac:dyDescent="0.25">
      <c r="B5652" s="22"/>
      <c r="C5652" s="104"/>
      <c r="E5652" s="21"/>
      <c r="F5652" s="176"/>
      <c r="G5652" s="165"/>
      <c r="H5652" s="119"/>
      <c r="M5652" s="176"/>
    </row>
    <row r="5653" spans="2:13" ht="18.75" customHeight="1" x14ac:dyDescent="0.25">
      <c r="B5653" s="19">
        <v>3</v>
      </c>
      <c r="C5653" s="93" t="s">
        <v>1092</v>
      </c>
      <c r="D5653" s="19"/>
      <c r="E5653" s="21"/>
      <c r="F5653" s="176"/>
      <c r="G5653" s="165"/>
      <c r="H5653" s="119"/>
      <c r="M5653" s="176"/>
    </row>
    <row r="5654" spans="2:13" ht="18.75" customHeight="1" x14ac:dyDescent="0.25">
      <c r="B5654" s="618" t="s">
        <v>620</v>
      </c>
      <c r="C5654" s="620" t="s">
        <v>621</v>
      </c>
      <c r="D5654" s="618" t="s">
        <v>622</v>
      </c>
      <c r="E5654" s="618" t="s">
        <v>2</v>
      </c>
      <c r="F5654" s="615" t="s">
        <v>623</v>
      </c>
      <c r="G5654" s="289" t="s">
        <v>624</v>
      </c>
      <c r="H5654" s="256" t="s">
        <v>625</v>
      </c>
      <c r="M5654" s="615" t="s">
        <v>623</v>
      </c>
    </row>
    <row r="5655" spans="2:13" ht="18.75" customHeight="1" x14ac:dyDescent="0.25">
      <c r="B5655" s="619"/>
      <c r="C5655" s="621"/>
      <c r="D5655" s="619"/>
      <c r="E5655" s="619"/>
      <c r="F5655" s="616"/>
      <c r="G5655" s="289" t="s">
        <v>626</v>
      </c>
      <c r="H5655" s="256" t="s">
        <v>626</v>
      </c>
      <c r="M5655" s="616"/>
    </row>
    <row r="5656" spans="2:13" ht="18.75" customHeight="1" x14ac:dyDescent="0.25">
      <c r="B5656" s="221"/>
      <c r="C5656" s="222"/>
      <c r="D5656" s="221"/>
      <c r="E5656" s="550"/>
      <c r="F5656" s="555"/>
      <c r="G5656" s="551"/>
      <c r="H5656" s="220"/>
      <c r="M5656" s="590"/>
    </row>
    <row r="5657" spans="2:13" ht="18.75" customHeight="1" x14ac:dyDescent="0.25">
      <c r="B5657" s="550" t="s">
        <v>627</v>
      </c>
      <c r="C5657" s="223" t="s">
        <v>628</v>
      </c>
      <c r="D5657" s="550"/>
      <c r="E5657" s="224"/>
      <c r="F5657" s="225"/>
      <c r="G5657" s="290"/>
      <c r="H5657" s="226"/>
      <c r="M5657" s="225"/>
    </row>
    <row r="5658" spans="2:13" ht="18.75" customHeight="1" x14ac:dyDescent="0.25">
      <c r="B5658" s="550"/>
      <c r="C5658" s="227" t="s">
        <v>629</v>
      </c>
      <c r="D5658" s="550" t="s">
        <v>630</v>
      </c>
      <c r="E5658" s="224" t="s">
        <v>631</v>
      </c>
      <c r="F5658" s="228">
        <f t="shared" ref="F5658:F5661" si="255">$K$8*M5658</f>
        <v>0.1</v>
      </c>
      <c r="G5658" s="229">
        <f>G5633</f>
        <v>95000</v>
      </c>
      <c r="H5658" s="230">
        <f>+G5658*F5658</f>
        <v>9500</v>
      </c>
      <c r="M5658" s="228">
        <v>0.1</v>
      </c>
    </row>
    <row r="5659" spans="2:13" ht="18.75" customHeight="1" x14ac:dyDescent="0.25">
      <c r="B5659" s="550"/>
      <c r="C5659" s="227" t="s">
        <v>1508</v>
      </c>
      <c r="D5659" s="550" t="s">
        <v>632</v>
      </c>
      <c r="E5659" s="224" t="s">
        <v>631</v>
      </c>
      <c r="F5659" s="228">
        <f t="shared" si="255"/>
        <v>0.1</v>
      </c>
      <c r="G5659" s="229">
        <f>G5634</f>
        <v>110000</v>
      </c>
      <c r="H5659" s="230">
        <f>+G5659*F5659</f>
        <v>11000</v>
      </c>
      <c r="M5659" s="228">
        <v>0.1</v>
      </c>
    </row>
    <row r="5660" spans="2:13" ht="18.75" customHeight="1" x14ac:dyDescent="0.25">
      <c r="B5660" s="550"/>
      <c r="C5660" s="227" t="s">
        <v>633</v>
      </c>
      <c r="D5660" s="550" t="s">
        <v>634</v>
      </c>
      <c r="E5660" s="224" t="s">
        <v>631</v>
      </c>
      <c r="F5660" s="228">
        <f t="shared" si="255"/>
        <v>0.01</v>
      </c>
      <c r="G5660" s="229">
        <f>G5635</f>
        <v>115000</v>
      </c>
      <c r="H5660" s="230">
        <f>+G5660*F5660</f>
        <v>1150</v>
      </c>
      <c r="M5660" s="228">
        <v>0.01</v>
      </c>
    </row>
    <row r="5661" spans="2:13" ht="18.75" customHeight="1" x14ac:dyDescent="0.25">
      <c r="B5661" s="550"/>
      <c r="C5661" s="227" t="s">
        <v>600</v>
      </c>
      <c r="D5661" s="550" t="s">
        <v>635</v>
      </c>
      <c r="E5661" s="224" t="s">
        <v>631</v>
      </c>
      <c r="F5661" s="228">
        <f t="shared" si="255"/>
        <v>5.0000000000000001E-3</v>
      </c>
      <c r="G5661" s="229">
        <f>G5636</f>
        <v>140000</v>
      </c>
      <c r="H5661" s="230">
        <f>+G5661*F5661</f>
        <v>700</v>
      </c>
      <c r="M5661" s="228">
        <v>5.0000000000000001E-3</v>
      </c>
    </row>
    <row r="5662" spans="2:13" ht="18.75" customHeight="1" x14ac:dyDescent="0.25">
      <c r="B5662" s="550"/>
      <c r="C5662" s="223"/>
      <c r="D5662" s="550"/>
      <c r="E5662" s="224"/>
      <c r="F5662" s="233" t="s">
        <v>636</v>
      </c>
      <c r="G5662" s="290"/>
      <c r="H5662" s="231">
        <f>SUM(H5658:H5661)</f>
        <v>22350</v>
      </c>
      <c r="M5662" s="233" t="s">
        <v>636</v>
      </c>
    </row>
    <row r="5663" spans="2:13" ht="18.75" customHeight="1" x14ac:dyDescent="0.25">
      <c r="B5663" s="550"/>
      <c r="C5663" s="223"/>
      <c r="D5663" s="550"/>
      <c r="E5663" s="224"/>
      <c r="F5663" s="233"/>
      <c r="G5663" s="290"/>
      <c r="H5663" s="231"/>
      <c r="M5663" s="233"/>
    </row>
    <row r="5664" spans="2:13" ht="18.75" customHeight="1" x14ac:dyDescent="0.25">
      <c r="B5664" s="550" t="s">
        <v>637</v>
      </c>
      <c r="C5664" s="223" t="s">
        <v>638</v>
      </c>
      <c r="D5664" s="550"/>
      <c r="E5664" s="224"/>
      <c r="F5664" s="225"/>
      <c r="G5664" s="290"/>
      <c r="H5664" s="226"/>
      <c r="M5664" s="225"/>
    </row>
    <row r="5665" spans="2:13" ht="18.75" customHeight="1" x14ac:dyDescent="0.25">
      <c r="B5665" s="550"/>
      <c r="C5665" s="223" t="s">
        <v>1618</v>
      </c>
      <c r="D5665" s="550"/>
      <c r="E5665" s="550" t="s">
        <v>345</v>
      </c>
      <c r="F5665" s="405">
        <v>1.5</v>
      </c>
      <c r="G5665" s="418">
        <f>Bahan!D395</f>
        <v>57000</v>
      </c>
      <c r="H5665" s="230">
        <f>F5665*G5665</f>
        <v>85500</v>
      </c>
      <c r="M5665" s="405">
        <v>1.5</v>
      </c>
    </row>
    <row r="5666" spans="2:13" ht="18.75" customHeight="1" x14ac:dyDescent="0.25">
      <c r="B5666" s="550"/>
      <c r="C5666" s="223" t="s">
        <v>1088</v>
      </c>
      <c r="D5666" s="550"/>
      <c r="E5666" s="550" t="s">
        <v>5</v>
      </c>
      <c r="F5666" s="405">
        <v>7.4999999999999997E-2</v>
      </c>
      <c r="G5666" s="418">
        <f>G5617</f>
        <v>25000</v>
      </c>
      <c r="H5666" s="230">
        <f>+G5666*F5666</f>
        <v>1875</v>
      </c>
      <c r="M5666" s="405">
        <v>7.4999999999999997E-2</v>
      </c>
    </row>
    <row r="5667" spans="2:13" ht="18.75" customHeight="1" x14ac:dyDescent="0.25">
      <c r="B5667" s="550"/>
      <c r="C5667" s="223"/>
      <c r="D5667" s="550"/>
      <c r="E5667" s="224"/>
      <c r="F5667" s="237" t="s">
        <v>643</v>
      </c>
      <c r="G5667" s="290"/>
      <c r="H5667" s="231">
        <f>H5665+H5666</f>
        <v>87375</v>
      </c>
      <c r="M5667" s="237" t="s">
        <v>643</v>
      </c>
    </row>
    <row r="5668" spans="2:13" ht="18.75" customHeight="1" x14ac:dyDescent="0.25">
      <c r="B5668" s="550"/>
      <c r="C5668" s="223"/>
      <c r="D5668" s="550"/>
      <c r="E5668" s="224"/>
      <c r="F5668" s="225"/>
      <c r="G5668" s="290"/>
      <c r="H5668" s="226"/>
      <c r="M5668" s="225"/>
    </row>
    <row r="5669" spans="2:13" ht="18.75" customHeight="1" x14ac:dyDescent="0.25">
      <c r="B5669" s="550" t="s">
        <v>644</v>
      </c>
      <c r="C5669" s="223" t="s">
        <v>645</v>
      </c>
      <c r="D5669" s="550"/>
      <c r="E5669" s="224"/>
      <c r="F5669" s="225"/>
      <c r="G5669" s="290"/>
      <c r="H5669" s="235"/>
      <c r="M5669" s="225"/>
    </row>
    <row r="5670" spans="2:13" ht="18.75" customHeight="1" x14ac:dyDescent="0.25">
      <c r="B5670" s="236"/>
      <c r="C5670" s="232"/>
      <c r="D5670" s="550"/>
      <c r="E5670" s="224"/>
      <c r="F5670" s="237" t="s">
        <v>646</v>
      </c>
      <c r="G5670" s="290"/>
      <c r="H5670" s="230"/>
      <c r="M5670" s="237" t="s">
        <v>646</v>
      </c>
    </row>
    <row r="5671" spans="2:13" ht="18.75" customHeight="1" x14ac:dyDescent="0.25">
      <c r="B5671" s="236"/>
      <c r="C5671" s="232"/>
      <c r="D5671" s="550"/>
      <c r="E5671" s="224"/>
      <c r="F5671" s="237"/>
      <c r="G5671" s="290"/>
      <c r="H5671" s="226"/>
      <c r="M5671" s="237"/>
    </row>
    <row r="5672" spans="2:13" ht="18.75" customHeight="1" x14ac:dyDescent="0.25">
      <c r="B5672" s="354"/>
      <c r="C5672" s="362"/>
      <c r="D5672" s="239"/>
      <c r="E5672" s="240"/>
      <c r="F5672" s="241"/>
      <c r="G5672" s="293"/>
      <c r="H5672" s="355"/>
      <c r="M5672" s="241"/>
    </row>
    <row r="5673" spans="2:13" ht="18.75" customHeight="1" x14ac:dyDescent="0.25">
      <c r="B5673" s="356" t="s">
        <v>647</v>
      </c>
      <c r="C5673" s="363" t="s">
        <v>648</v>
      </c>
      <c r="D5673" s="435"/>
      <c r="E5673" s="92"/>
      <c r="F5673" s="183"/>
      <c r="G5673" s="295"/>
      <c r="H5673" s="357">
        <f>H5662+H5667</f>
        <v>109725</v>
      </c>
      <c r="M5673" s="183"/>
    </row>
    <row r="5674" spans="2:13" ht="18.75" customHeight="1" x14ac:dyDescent="0.25">
      <c r="B5674" s="356" t="s">
        <v>649</v>
      </c>
      <c r="C5674" s="364" t="s">
        <v>650</v>
      </c>
      <c r="D5674" s="435"/>
      <c r="E5674" s="92"/>
      <c r="F5674" s="184" t="str">
        <f>$J$5</f>
        <v>8,0 % x D</v>
      </c>
      <c r="G5674" s="295"/>
      <c r="H5674" s="358">
        <f>+H5673*$K$5</f>
        <v>8778</v>
      </c>
      <c r="M5674" s="184" t="str">
        <f>$J$5</f>
        <v>8,0 % x D</v>
      </c>
    </row>
    <row r="5675" spans="2:13" ht="18.75" customHeight="1" x14ac:dyDescent="0.25">
      <c r="B5675" s="356" t="s">
        <v>651</v>
      </c>
      <c r="C5675" s="365" t="s">
        <v>652</v>
      </c>
      <c r="D5675" s="435"/>
      <c r="E5675" s="91"/>
      <c r="F5675" s="185"/>
      <c r="G5675" s="296"/>
      <c r="H5675" s="359">
        <f>ROUNDUP((H5674+H5673)/100,0)*100</f>
        <v>118600</v>
      </c>
      <c r="M5675" s="185"/>
    </row>
    <row r="5676" spans="2:13" ht="18.75" customHeight="1" x14ac:dyDescent="0.25">
      <c r="B5676" s="360"/>
      <c r="C5676" s="366"/>
      <c r="D5676" s="245"/>
      <c r="E5676" s="246"/>
      <c r="F5676" s="247"/>
      <c r="G5676" s="299"/>
      <c r="H5676" s="361"/>
      <c r="M5676" s="247"/>
    </row>
    <row r="5677" spans="2:13" ht="18.75" customHeight="1" x14ac:dyDescent="0.25">
      <c r="B5677" s="92"/>
      <c r="C5677" s="104"/>
      <c r="D5677" s="435"/>
      <c r="E5677" s="91"/>
      <c r="F5677" s="185"/>
      <c r="G5677" s="168"/>
      <c r="H5677" s="139"/>
      <c r="M5677" s="185"/>
    </row>
    <row r="5678" spans="2:13" ht="18.75" customHeight="1" x14ac:dyDescent="0.25">
      <c r="B5678" s="19">
        <v>4</v>
      </c>
      <c r="C5678" s="93" t="s">
        <v>1093</v>
      </c>
      <c r="D5678" s="19"/>
      <c r="E5678" s="21"/>
      <c r="F5678" s="176"/>
      <c r="G5678" s="165"/>
      <c r="H5678" s="119"/>
      <c r="M5678" s="176"/>
    </row>
    <row r="5679" spans="2:13" ht="18.75" customHeight="1" x14ac:dyDescent="0.25">
      <c r="B5679" s="618" t="s">
        <v>620</v>
      </c>
      <c r="C5679" s="620" t="s">
        <v>621</v>
      </c>
      <c r="D5679" s="618" t="s">
        <v>622</v>
      </c>
      <c r="E5679" s="618" t="s">
        <v>2</v>
      </c>
      <c r="F5679" s="615" t="s">
        <v>623</v>
      </c>
      <c r="G5679" s="289" t="s">
        <v>624</v>
      </c>
      <c r="H5679" s="256" t="s">
        <v>625</v>
      </c>
      <c r="M5679" s="615" t="s">
        <v>623</v>
      </c>
    </row>
    <row r="5680" spans="2:13" ht="18.75" customHeight="1" x14ac:dyDescent="0.25">
      <c r="B5680" s="619"/>
      <c r="C5680" s="621"/>
      <c r="D5680" s="619"/>
      <c r="E5680" s="619"/>
      <c r="F5680" s="616"/>
      <c r="G5680" s="289" t="s">
        <v>626</v>
      </c>
      <c r="H5680" s="256" t="s">
        <v>626</v>
      </c>
      <c r="M5680" s="616"/>
    </row>
    <row r="5681" spans="2:13" ht="18.75" customHeight="1" x14ac:dyDescent="0.25">
      <c r="B5681" s="221"/>
      <c r="C5681" s="222"/>
      <c r="D5681" s="221"/>
      <c r="E5681" s="550"/>
      <c r="F5681" s="555"/>
      <c r="G5681" s="551"/>
      <c r="H5681" s="220"/>
      <c r="K5681" s="415"/>
      <c r="L5681" s="415"/>
      <c r="M5681" s="590"/>
    </row>
    <row r="5682" spans="2:13" ht="18.75" customHeight="1" x14ac:dyDescent="0.25">
      <c r="B5682" s="550" t="s">
        <v>627</v>
      </c>
      <c r="C5682" s="223" t="s">
        <v>628</v>
      </c>
      <c r="D5682" s="550"/>
      <c r="E5682" s="224"/>
      <c r="F5682" s="225"/>
      <c r="G5682" s="290"/>
      <c r="H5682" s="226"/>
      <c r="K5682" s="415"/>
      <c r="L5682" s="415"/>
      <c r="M5682" s="225"/>
    </row>
    <row r="5683" spans="2:13" ht="18.75" customHeight="1" x14ac:dyDescent="0.25">
      <c r="B5683" s="550"/>
      <c r="C5683" s="227" t="s">
        <v>629</v>
      </c>
      <c r="D5683" s="550" t="s">
        <v>630</v>
      </c>
      <c r="E5683" s="224" t="s">
        <v>631</v>
      </c>
      <c r="F5683" s="228">
        <f t="shared" ref="F5683:F5686" si="256">$K$8*M5683</f>
        <v>7.0000000000000007E-2</v>
      </c>
      <c r="G5683" s="229">
        <f>G5633</f>
        <v>95000</v>
      </c>
      <c r="H5683" s="230">
        <f>+G5683*F5683</f>
        <v>6650.0000000000009</v>
      </c>
      <c r="K5683" s="415"/>
      <c r="M5683" s="228">
        <v>7.0000000000000007E-2</v>
      </c>
    </row>
    <row r="5684" spans="2:13" ht="18.75" customHeight="1" x14ac:dyDescent="0.25">
      <c r="B5684" s="550"/>
      <c r="C5684" s="227" t="s">
        <v>1508</v>
      </c>
      <c r="D5684" s="550" t="s">
        <v>632</v>
      </c>
      <c r="E5684" s="224" t="s">
        <v>631</v>
      </c>
      <c r="F5684" s="228">
        <f t="shared" si="256"/>
        <v>0.1</v>
      </c>
      <c r="G5684" s="229">
        <f>G5634</f>
        <v>110000</v>
      </c>
      <c r="H5684" s="230">
        <f>+G5684*F5684</f>
        <v>11000</v>
      </c>
      <c r="K5684" s="415"/>
      <c r="M5684" s="228">
        <v>0.1</v>
      </c>
    </row>
    <row r="5685" spans="2:13" ht="18.75" customHeight="1" x14ac:dyDescent="0.25">
      <c r="B5685" s="550"/>
      <c r="C5685" s="227" t="s">
        <v>633</v>
      </c>
      <c r="D5685" s="550" t="s">
        <v>634</v>
      </c>
      <c r="E5685" s="224" t="s">
        <v>631</v>
      </c>
      <c r="F5685" s="228">
        <f t="shared" si="256"/>
        <v>0.01</v>
      </c>
      <c r="G5685" s="229">
        <f>G5635</f>
        <v>115000</v>
      </c>
      <c r="H5685" s="230">
        <f>+G5685*F5685</f>
        <v>1150</v>
      </c>
      <c r="M5685" s="228">
        <v>0.01</v>
      </c>
    </row>
    <row r="5686" spans="2:13" ht="18.75" customHeight="1" x14ac:dyDescent="0.25">
      <c r="B5686" s="550"/>
      <c r="C5686" s="227" t="s">
        <v>600</v>
      </c>
      <c r="D5686" s="550" t="s">
        <v>635</v>
      </c>
      <c r="E5686" s="224" t="s">
        <v>631</v>
      </c>
      <c r="F5686" s="228">
        <f t="shared" si="256"/>
        <v>4.0000000000000001E-3</v>
      </c>
      <c r="G5686" s="229">
        <f>G5636</f>
        <v>140000</v>
      </c>
      <c r="H5686" s="230">
        <f>+G5686*F5686</f>
        <v>560</v>
      </c>
      <c r="J5686" s="473"/>
      <c r="M5686" s="228">
        <v>4.0000000000000001E-3</v>
      </c>
    </row>
    <row r="5687" spans="2:13" ht="18.75" customHeight="1" x14ac:dyDescent="0.25">
      <c r="B5687" s="550"/>
      <c r="C5687" s="223"/>
      <c r="D5687" s="550"/>
      <c r="E5687" s="224"/>
      <c r="F5687" s="233" t="s">
        <v>636</v>
      </c>
      <c r="G5687" s="290"/>
      <c r="H5687" s="231">
        <f>SUM(H5683:H5686)</f>
        <v>19360</v>
      </c>
      <c r="J5687" s="473"/>
      <c r="M5687" s="233" t="s">
        <v>636</v>
      </c>
    </row>
    <row r="5688" spans="2:13" ht="18.75" customHeight="1" x14ac:dyDescent="0.25">
      <c r="B5688" s="550" t="s">
        <v>637</v>
      </c>
      <c r="C5688" s="223" t="s">
        <v>638</v>
      </c>
      <c r="D5688" s="550"/>
      <c r="E5688" s="224"/>
      <c r="F5688" s="225"/>
      <c r="G5688" s="290"/>
      <c r="H5688" s="226"/>
      <c r="J5688" s="473"/>
      <c r="M5688" s="225"/>
    </row>
    <row r="5689" spans="2:13" ht="18.75" customHeight="1" x14ac:dyDescent="0.25">
      <c r="B5689" s="550"/>
      <c r="C5689" s="223" t="s">
        <v>1094</v>
      </c>
      <c r="D5689" s="550"/>
      <c r="E5689" s="550" t="s">
        <v>345</v>
      </c>
      <c r="F5689" s="405">
        <v>0.36</v>
      </c>
      <c r="G5689" s="418">
        <f>Bahan!D538</f>
        <v>114000</v>
      </c>
      <c r="H5689" s="230">
        <f>+G5689*F5689</f>
        <v>41040</v>
      </c>
      <c r="J5689" s="473"/>
      <c r="M5689" s="405">
        <v>0.36</v>
      </c>
    </row>
    <row r="5690" spans="2:13" ht="18.75" customHeight="1" x14ac:dyDescent="0.25">
      <c r="B5690" s="550"/>
      <c r="C5690" s="223" t="s">
        <v>1088</v>
      </c>
      <c r="D5690" s="550"/>
      <c r="E5690" s="550" t="s">
        <v>5</v>
      </c>
      <c r="F5690" s="405">
        <v>0.03</v>
      </c>
      <c r="G5690" s="418">
        <f>G5666</f>
        <v>25000</v>
      </c>
      <c r="H5690" s="230">
        <f>+G5690*F5690</f>
        <v>750</v>
      </c>
      <c r="M5690" s="405">
        <v>0.03</v>
      </c>
    </row>
    <row r="5691" spans="2:13" ht="18.75" customHeight="1" x14ac:dyDescent="0.25">
      <c r="B5691" s="550"/>
      <c r="C5691" s="223"/>
      <c r="D5691" s="550"/>
      <c r="E5691" s="224"/>
      <c r="F5691" s="237" t="s">
        <v>643</v>
      </c>
      <c r="G5691" s="290"/>
      <c r="H5691" s="231">
        <f>H5689+H5690</f>
        <v>41790</v>
      </c>
      <c r="M5691" s="237" t="s">
        <v>643</v>
      </c>
    </row>
    <row r="5692" spans="2:13" ht="18.75" customHeight="1" x14ac:dyDescent="0.25">
      <c r="B5692" s="550"/>
      <c r="C5692" s="223"/>
      <c r="D5692" s="550"/>
      <c r="E5692" s="224"/>
      <c r="F5692" s="225"/>
      <c r="G5692" s="290"/>
      <c r="H5692" s="226"/>
      <c r="M5692" s="225"/>
    </row>
    <row r="5693" spans="2:13" ht="18.75" customHeight="1" x14ac:dyDescent="0.25">
      <c r="B5693" s="550" t="s">
        <v>644</v>
      </c>
      <c r="C5693" s="223" t="s">
        <v>645</v>
      </c>
      <c r="D5693" s="550"/>
      <c r="E5693" s="224"/>
      <c r="F5693" s="225"/>
      <c r="G5693" s="290"/>
      <c r="H5693" s="235"/>
      <c r="M5693" s="225"/>
    </row>
    <row r="5694" spans="2:13" ht="18.75" customHeight="1" x14ac:dyDescent="0.25">
      <c r="B5694" s="236"/>
      <c r="C5694" s="232"/>
      <c r="D5694" s="550"/>
      <c r="E5694" s="224"/>
      <c r="F5694" s="237" t="s">
        <v>646</v>
      </c>
      <c r="G5694" s="290"/>
      <c r="H5694" s="230"/>
      <c r="M5694" s="237" t="s">
        <v>646</v>
      </c>
    </row>
    <row r="5695" spans="2:13" ht="18.75" customHeight="1" x14ac:dyDescent="0.25">
      <c r="B5695" s="236"/>
      <c r="C5695" s="562"/>
      <c r="D5695" s="563"/>
      <c r="E5695" s="564"/>
      <c r="F5695" s="565"/>
      <c r="G5695" s="566"/>
      <c r="H5695" s="226"/>
      <c r="M5695" s="565"/>
    </row>
    <row r="5696" spans="2:13" ht="18.75" customHeight="1" x14ac:dyDescent="0.25">
      <c r="B5696" s="354"/>
      <c r="C5696" s="362"/>
      <c r="D5696" s="239"/>
      <c r="E5696" s="240"/>
      <c r="F5696" s="241"/>
      <c r="G5696" s="293"/>
      <c r="H5696" s="355"/>
      <c r="M5696" s="241"/>
    </row>
    <row r="5697" spans="2:13" ht="18.75" customHeight="1" x14ac:dyDescent="0.25">
      <c r="B5697" s="356" t="s">
        <v>647</v>
      </c>
      <c r="C5697" s="363" t="s">
        <v>648</v>
      </c>
      <c r="D5697" s="435"/>
      <c r="E5697" s="92"/>
      <c r="F5697" s="183"/>
      <c r="G5697" s="295"/>
      <c r="H5697" s="357">
        <f>+H5694+H5691+H5687</f>
        <v>61150</v>
      </c>
      <c r="M5697" s="183"/>
    </row>
    <row r="5698" spans="2:13" ht="18.75" customHeight="1" x14ac:dyDescent="0.25">
      <c r="B5698" s="356" t="s">
        <v>649</v>
      </c>
      <c r="C5698" s="364" t="s">
        <v>650</v>
      </c>
      <c r="D5698" s="435"/>
      <c r="E5698" s="92"/>
      <c r="F5698" s="184" t="str">
        <f>$J$5</f>
        <v>8,0 % x D</v>
      </c>
      <c r="G5698" s="295"/>
      <c r="H5698" s="358">
        <f>+H5697*$K$5</f>
        <v>4892</v>
      </c>
      <c r="M5698" s="184" t="str">
        <f>$J$5</f>
        <v>8,0 % x D</v>
      </c>
    </row>
    <row r="5699" spans="2:13" ht="18.75" customHeight="1" x14ac:dyDescent="0.25">
      <c r="B5699" s="356" t="s">
        <v>651</v>
      </c>
      <c r="C5699" s="365" t="s">
        <v>652</v>
      </c>
      <c r="D5699" s="435"/>
      <c r="E5699" s="91"/>
      <c r="F5699" s="185"/>
      <c r="G5699" s="296"/>
      <c r="H5699" s="359">
        <f>ROUNDUP((H5698+H5697)/100,0)*100</f>
        <v>66100</v>
      </c>
      <c r="M5699" s="185"/>
    </row>
    <row r="5700" spans="2:13" ht="18.75" customHeight="1" x14ac:dyDescent="0.25">
      <c r="B5700" s="371"/>
      <c r="C5700" s="373"/>
      <c r="D5700" s="245"/>
      <c r="E5700" s="246"/>
      <c r="F5700" s="247"/>
      <c r="G5700" s="299"/>
      <c r="H5700" s="372"/>
      <c r="M5700" s="247"/>
    </row>
    <row r="5701" spans="2:13" ht="18.75" customHeight="1" x14ac:dyDescent="0.25">
      <c r="B5701" s="22"/>
      <c r="C5701" s="104"/>
      <c r="E5701" s="21"/>
      <c r="F5701" s="176"/>
      <c r="G5701" s="165"/>
      <c r="H5701" s="119"/>
      <c r="M5701" s="176"/>
    </row>
    <row r="5702" spans="2:13" ht="18.75" customHeight="1" x14ac:dyDescent="0.25">
      <c r="B5702" s="19">
        <f>B5678+1</f>
        <v>5</v>
      </c>
      <c r="C5702" s="93" t="s">
        <v>1095</v>
      </c>
      <c r="D5702" s="19"/>
      <c r="E5702" s="21"/>
      <c r="F5702" s="176"/>
      <c r="G5702" s="165"/>
      <c r="H5702" s="119"/>
      <c r="M5702" s="176"/>
    </row>
    <row r="5703" spans="2:13" ht="18.75" customHeight="1" x14ac:dyDescent="0.25">
      <c r="B5703" s="618" t="s">
        <v>620</v>
      </c>
      <c r="C5703" s="620" t="s">
        <v>621</v>
      </c>
      <c r="D5703" s="618" t="s">
        <v>622</v>
      </c>
      <c r="E5703" s="618" t="s">
        <v>2</v>
      </c>
      <c r="F5703" s="615" t="s">
        <v>623</v>
      </c>
      <c r="G5703" s="289" t="s">
        <v>624</v>
      </c>
      <c r="H5703" s="256" t="s">
        <v>625</v>
      </c>
      <c r="M5703" s="615" t="s">
        <v>623</v>
      </c>
    </row>
    <row r="5704" spans="2:13" ht="18.75" customHeight="1" x14ac:dyDescent="0.25">
      <c r="B5704" s="619"/>
      <c r="C5704" s="621"/>
      <c r="D5704" s="619"/>
      <c r="E5704" s="619"/>
      <c r="F5704" s="616"/>
      <c r="G5704" s="289" t="s">
        <v>626</v>
      </c>
      <c r="H5704" s="256" t="s">
        <v>626</v>
      </c>
      <c r="M5704" s="616"/>
    </row>
    <row r="5705" spans="2:13" ht="18.75" customHeight="1" x14ac:dyDescent="0.25">
      <c r="B5705" s="221"/>
      <c r="C5705" s="222"/>
      <c r="D5705" s="221"/>
      <c r="E5705" s="550"/>
      <c r="F5705" s="555"/>
      <c r="G5705" s="551"/>
      <c r="H5705" s="220"/>
      <c r="M5705" s="590"/>
    </row>
    <row r="5706" spans="2:13" ht="18.75" customHeight="1" x14ac:dyDescent="0.25">
      <c r="B5706" s="550" t="s">
        <v>627</v>
      </c>
      <c r="C5706" s="223" t="s">
        <v>628</v>
      </c>
      <c r="D5706" s="550"/>
      <c r="E5706" s="224"/>
      <c r="F5706" s="225"/>
      <c r="G5706" s="290"/>
      <c r="H5706" s="226"/>
      <c r="M5706" s="225"/>
    </row>
    <row r="5707" spans="2:13" ht="18.75" customHeight="1" x14ac:dyDescent="0.25">
      <c r="B5707" s="550"/>
      <c r="C5707" s="227" t="s">
        <v>629</v>
      </c>
      <c r="D5707" s="550" t="s">
        <v>630</v>
      </c>
      <c r="E5707" s="224" t="s">
        <v>631</v>
      </c>
      <c r="F5707" s="228">
        <f t="shared" ref="F5707:F5710" si="257">$K$8*M5707</f>
        <v>0.25</v>
      </c>
      <c r="G5707" s="229">
        <f>G5683</f>
        <v>95000</v>
      </c>
      <c r="H5707" s="230">
        <f>+G5707*F5707</f>
        <v>23750</v>
      </c>
      <c r="K5707" s="415"/>
      <c r="M5707" s="228">
        <v>0.25</v>
      </c>
    </row>
    <row r="5708" spans="2:13" ht="18.75" customHeight="1" x14ac:dyDescent="0.25">
      <c r="B5708" s="550"/>
      <c r="C5708" s="227" t="s">
        <v>1508</v>
      </c>
      <c r="D5708" s="550" t="s">
        <v>632</v>
      </c>
      <c r="E5708" s="224" t="s">
        <v>631</v>
      </c>
      <c r="F5708" s="228">
        <f t="shared" si="257"/>
        <v>0.4</v>
      </c>
      <c r="G5708" s="229">
        <f>G5684</f>
        <v>110000</v>
      </c>
      <c r="H5708" s="230">
        <f>+G5708*F5708</f>
        <v>44000</v>
      </c>
      <c r="K5708" s="415"/>
      <c r="M5708" s="228">
        <v>0.4</v>
      </c>
    </row>
    <row r="5709" spans="2:13" ht="18.75" customHeight="1" x14ac:dyDescent="0.25">
      <c r="B5709" s="550"/>
      <c r="C5709" s="227" t="s">
        <v>633</v>
      </c>
      <c r="D5709" s="550" t="s">
        <v>634</v>
      </c>
      <c r="E5709" s="224" t="s">
        <v>631</v>
      </c>
      <c r="F5709" s="228">
        <f t="shared" si="257"/>
        <v>7.4999999999999997E-2</v>
      </c>
      <c r="G5709" s="229">
        <f>G5685</f>
        <v>115000</v>
      </c>
      <c r="H5709" s="230">
        <f>+G5709*F5709</f>
        <v>8625</v>
      </c>
      <c r="K5709" s="415"/>
      <c r="M5709" s="228">
        <v>7.4999999999999997E-2</v>
      </c>
    </row>
    <row r="5710" spans="2:13" ht="18.75" customHeight="1" x14ac:dyDescent="0.25">
      <c r="B5710" s="550"/>
      <c r="C5710" s="227" t="s">
        <v>600</v>
      </c>
      <c r="D5710" s="550" t="s">
        <v>635</v>
      </c>
      <c r="E5710" s="224" t="s">
        <v>631</v>
      </c>
      <c r="F5710" s="228">
        <f t="shared" si="257"/>
        <v>1.35E-2</v>
      </c>
      <c r="G5710" s="229">
        <f>G5686</f>
        <v>140000</v>
      </c>
      <c r="H5710" s="230">
        <f>+G5710*F5710</f>
        <v>1890</v>
      </c>
      <c r="K5710" s="415"/>
      <c r="M5710" s="228">
        <v>1.35E-2</v>
      </c>
    </row>
    <row r="5711" spans="2:13" ht="18.75" customHeight="1" x14ac:dyDescent="0.25">
      <c r="B5711" s="550"/>
      <c r="C5711" s="223"/>
      <c r="D5711" s="550"/>
      <c r="E5711" s="224"/>
      <c r="F5711" s="233" t="s">
        <v>636</v>
      </c>
      <c r="G5711" s="290"/>
      <c r="H5711" s="231">
        <f>SUM(H5707:H5710)</f>
        <v>78265</v>
      </c>
      <c r="M5711" s="233" t="s">
        <v>636</v>
      </c>
    </row>
    <row r="5712" spans="2:13" ht="18.75" customHeight="1" x14ac:dyDescent="0.25">
      <c r="B5712" s="550"/>
      <c r="C5712" s="223"/>
      <c r="D5712" s="550"/>
      <c r="E5712" s="224"/>
      <c r="F5712" s="233"/>
      <c r="G5712" s="290"/>
      <c r="H5712" s="231"/>
      <c r="M5712" s="233"/>
    </row>
    <row r="5713" spans="2:13" ht="18.75" customHeight="1" x14ac:dyDescent="0.25">
      <c r="B5713" s="550" t="s">
        <v>637</v>
      </c>
      <c r="C5713" s="223" t="s">
        <v>638</v>
      </c>
      <c r="D5713" s="550"/>
      <c r="E5713" s="224"/>
      <c r="F5713" s="225"/>
      <c r="G5713" s="290"/>
      <c r="H5713" s="226"/>
      <c r="M5713" s="225"/>
    </row>
    <row r="5714" spans="2:13" ht="18.75" customHeight="1" x14ac:dyDescent="0.25">
      <c r="B5714" s="550"/>
      <c r="C5714" s="223" t="s">
        <v>1094</v>
      </c>
      <c r="D5714" s="550"/>
      <c r="E5714" s="550" t="s">
        <v>345</v>
      </c>
      <c r="F5714" s="405">
        <v>0.39</v>
      </c>
      <c r="G5714" s="410">
        <f>G5689</f>
        <v>114000</v>
      </c>
      <c r="H5714" s="230">
        <f>+G5714*F5714</f>
        <v>44460</v>
      </c>
      <c r="K5714" s="415"/>
      <c r="M5714" s="405">
        <v>0.39</v>
      </c>
    </row>
    <row r="5715" spans="2:13" ht="18.75" customHeight="1" x14ac:dyDescent="0.25">
      <c r="B5715" s="550"/>
      <c r="C5715" s="223" t="s">
        <v>1088</v>
      </c>
      <c r="D5715" s="550"/>
      <c r="E5715" s="550" t="s">
        <v>5</v>
      </c>
      <c r="F5715" s="405">
        <v>0.2</v>
      </c>
      <c r="G5715" s="234">
        <f>G5690</f>
        <v>25000</v>
      </c>
      <c r="H5715" s="230">
        <f>+G5715*F5715</f>
        <v>5000</v>
      </c>
      <c r="K5715" s="415"/>
      <c r="M5715" s="405">
        <v>0.2</v>
      </c>
    </row>
    <row r="5716" spans="2:13" ht="18.75" customHeight="1" x14ac:dyDescent="0.25">
      <c r="B5716" s="550"/>
      <c r="C5716" s="223" t="s">
        <v>234</v>
      </c>
      <c r="D5716" s="550"/>
      <c r="E5716" s="550" t="s">
        <v>52</v>
      </c>
      <c r="F5716" s="405">
        <v>1.4999999999999999E-2</v>
      </c>
      <c r="G5716" s="234">
        <f>G5640</f>
        <v>4230000</v>
      </c>
      <c r="H5716" s="230">
        <f>+G5716*F5716</f>
        <v>63450</v>
      </c>
      <c r="K5716" s="415"/>
      <c r="M5716" s="405">
        <v>1.4999999999999999E-2</v>
      </c>
    </row>
    <row r="5717" spans="2:13" ht="18.75" customHeight="1" x14ac:dyDescent="0.25">
      <c r="B5717" s="550"/>
      <c r="C5717" s="223"/>
      <c r="D5717" s="550"/>
      <c r="E5717" s="224"/>
      <c r="F5717" s="237" t="s">
        <v>643</v>
      </c>
      <c r="G5717" s="290"/>
      <c r="H5717" s="231">
        <f>SUM(H5714:H5716)</f>
        <v>112910</v>
      </c>
      <c r="M5717" s="237" t="s">
        <v>643</v>
      </c>
    </row>
    <row r="5718" spans="2:13" ht="18.75" customHeight="1" x14ac:dyDescent="0.25">
      <c r="B5718" s="550"/>
      <c r="C5718" s="223"/>
      <c r="D5718" s="550"/>
      <c r="E5718" s="224"/>
      <c r="F5718" s="225"/>
      <c r="G5718" s="290"/>
      <c r="H5718" s="226"/>
      <c r="M5718" s="225"/>
    </row>
    <row r="5719" spans="2:13" ht="18.75" customHeight="1" x14ac:dyDescent="0.25">
      <c r="B5719" s="550" t="s">
        <v>644</v>
      </c>
      <c r="C5719" s="223" t="s">
        <v>645</v>
      </c>
      <c r="D5719" s="550"/>
      <c r="E5719" s="224"/>
      <c r="F5719" s="225"/>
      <c r="G5719" s="290"/>
      <c r="H5719" s="235"/>
      <c r="M5719" s="225"/>
    </row>
    <row r="5720" spans="2:13" ht="18.75" customHeight="1" x14ac:dyDescent="0.25">
      <c r="B5720" s="236"/>
      <c r="C5720" s="232"/>
      <c r="D5720" s="550"/>
      <c r="E5720" s="224"/>
      <c r="F5720" s="237" t="s">
        <v>646</v>
      </c>
      <c r="G5720" s="290"/>
      <c r="H5720" s="230"/>
      <c r="M5720" s="237" t="s">
        <v>646</v>
      </c>
    </row>
    <row r="5721" spans="2:13" ht="18.75" customHeight="1" x14ac:dyDescent="0.25">
      <c r="B5721" s="236"/>
      <c r="C5721" s="562"/>
      <c r="D5721" s="563"/>
      <c r="E5721" s="564"/>
      <c r="F5721" s="565"/>
      <c r="G5721" s="566"/>
      <c r="H5721" s="226"/>
      <c r="M5721" s="565"/>
    </row>
    <row r="5722" spans="2:13" ht="18.75" customHeight="1" x14ac:dyDescent="0.25">
      <c r="B5722" s="354"/>
      <c r="C5722" s="362"/>
      <c r="D5722" s="239"/>
      <c r="E5722" s="240"/>
      <c r="F5722" s="241"/>
      <c r="G5722" s="293"/>
      <c r="H5722" s="355"/>
      <c r="M5722" s="241"/>
    </row>
    <row r="5723" spans="2:13" ht="18.75" customHeight="1" x14ac:dyDescent="0.25">
      <c r="B5723" s="356" t="s">
        <v>647</v>
      </c>
      <c r="C5723" s="363" t="s">
        <v>648</v>
      </c>
      <c r="D5723" s="435"/>
      <c r="E5723" s="92"/>
      <c r="F5723" s="183"/>
      <c r="G5723" s="295"/>
      <c r="H5723" s="357">
        <f>+H5720+H5717+H5711</f>
        <v>191175</v>
      </c>
      <c r="M5723" s="183"/>
    </row>
    <row r="5724" spans="2:13" ht="18.75" customHeight="1" x14ac:dyDescent="0.25">
      <c r="B5724" s="356" t="s">
        <v>649</v>
      </c>
      <c r="C5724" s="364" t="s">
        <v>650</v>
      </c>
      <c r="D5724" s="435"/>
      <c r="E5724" s="92"/>
      <c r="F5724" s="184" t="str">
        <f>$J$5</f>
        <v>8,0 % x D</v>
      </c>
      <c r="G5724" s="295"/>
      <c r="H5724" s="358">
        <f>+H5723*$K$5</f>
        <v>15294</v>
      </c>
      <c r="M5724" s="184" t="str">
        <f>$J$5</f>
        <v>8,0 % x D</v>
      </c>
    </row>
    <row r="5725" spans="2:13" ht="18.75" customHeight="1" x14ac:dyDescent="0.25">
      <c r="B5725" s="356" t="s">
        <v>651</v>
      </c>
      <c r="C5725" s="365" t="s">
        <v>652</v>
      </c>
      <c r="D5725" s="435"/>
      <c r="E5725" s="91"/>
      <c r="F5725" s="185"/>
      <c r="G5725" s="296"/>
      <c r="H5725" s="359">
        <f>ROUNDUP((H5724+H5723)/100,0)*100</f>
        <v>206500</v>
      </c>
      <c r="M5725" s="185"/>
    </row>
    <row r="5726" spans="2:13" ht="18.75" customHeight="1" x14ac:dyDescent="0.25">
      <c r="B5726" s="371"/>
      <c r="C5726" s="373"/>
      <c r="D5726" s="245"/>
      <c r="E5726" s="246"/>
      <c r="F5726" s="247"/>
      <c r="G5726" s="299"/>
      <c r="H5726" s="372"/>
      <c r="M5726" s="247"/>
    </row>
    <row r="5727" spans="2:13" ht="18.75" customHeight="1" x14ac:dyDescent="0.25">
      <c r="B5727" s="435"/>
      <c r="C5727" s="111"/>
      <c r="E5727" s="21"/>
      <c r="F5727" s="176"/>
      <c r="G5727" s="168"/>
      <c r="H5727" s="211"/>
      <c r="M5727" s="176"/>
    </row>
    <row r="5728" spans="2:13" ht="18.75" customHeight="1" x14ac:dyDescent="0.25">
      <c r="B5728" s="19">
        <f>B5702+1</f>
        <v>6</v>
      </c>
      <c r="C5728" s="93" t="s">
        <v>1096</v>
      </c>
      <c r="D5728" s="19"/>
      <c r="E5728" s="21"/>
      <c r="F5728" s="176"/>
      <c r="G5728" s="165"/>
      <c r="H5728" s="119"/>
      <c r="M5728" s="176"/>
    </row>
    <row r="5729" spans="2:13" ht="18.75" customHeight="1" x14ac:dyDescent="0.25">
      <c r="B5729" s="618" t="s">
        <v>620</v>
      </c>
      <c r="C5729" s="620" t="s">
        <v>621</v>
      </c>
      <c r="D5729" s="618" t="s">
        <v>622</v>
      </c>
      <c r="E5729" s="618" t="s">
        <v>2</v>
      </c>
      <c r="F5729" s="615" t="s">
        <v>623</v>
      </c>
      <c r="G5729" s="289" t="s">
        <v>624</v>
      </c>
      <c r="H5729" s="256" t="s">
        <v>625</v>
      </c>
      <c r="M5729" s="615" t="s">
        <v>623</v>
      </c>
    </row>
    <row r="5730" spans="2:13" ht="18.75" customHeight="1" x14ac:dyDescent="0.25">
      <c r="B5730" s="619"/>
      <c r="C5730" s="621"/>
      <c r="D5730" s="619"/>
      <c r="E5730" s="619"/>
      <c r="F5730" s="616"/>
      <c r="G5730" s="289" t="s">
        <v>626</v>
      </c>
      <c r="H5730" s="256" t="s">
        <v>626</v>
      </c>
      <c r="M5730" s="616"/>
    </row>
    <row r="5731" spans="2:13" ht="18.75" customHeight="1" x14ac:dyDescent="0.25">
      <c r="B5731" s="221"/>
      <c r="C5731" s="222"/>
      <c r="D5731" s="221"/>
      <c r="E5731" s="550"/>
      <c r="F5731" s="555"/>
      <c r="G5731" s="551"/>
      <c r="H5731" s="220"/>
      <c r="M5731" s="590"/>
    </row>
    <row r="5732" spans="2:13" ht="18.75" customHeight="1" x14ac:dyDescent="0.25">
      <c r="B5732" s="550" t="s">
        <v>627</v>
      </c>
      <c r="C5732" s="223" t="s">
        <v>628</v>
      </c>
      <c r="D5732" s="550"/>
      <c r="E5732" s="224"/>
      <c r="F5732" s="225"/>
      <c r="G5732" s="290"/>
      <c r="H5732" s="226"/>
      <c r="M5732" s="225"/>
    </row>
    <row r="5733" spans="2:13" ht="18.75" customHeight="1" x14ac:dyDescent="0.25">
      <c r="B5733" s="550"/>
      <c r="C5733" s="227" t="s">
        <v>629</v>
      </c>
      <c r="D5733" s="550" t="s">
        <v>630</v>
      </c>
      <c r="E5733" s="224" t="s">
        <v>631</v>
      </c>
      <c r="F5733" s="228">
        <f t="shared" ref="F5733:F5736" si="258">$K$8*M5733</f>
        <v>0.18</v>
      </c>
      <c r="G5733" s="229">
        <f>G5707</f>
        <v>95000</v>
      </c>
      <c r="H5733" s="230">
        <f>+G5733*F5733</f>
        <v>17100</v>
      </c>
      <c r="J5733" s="473"/>
      <c r="M5733" s="228">
        <v>0.18</v>
      </c>
    </row>
    <row r="5734" spans="2:13" ht="18.75" customHeight="1" x14ac:dyDescent="0.25">
      <c r="B5734" s="550"/>
      <c r="C5734" s="227" t="s">
        <v>1508</v>
      </c>
      <c r="D5734" s="550" t="s">
        <v>632</v>
      </c>
      <c r="E5734" s="224" t="s">
        <v>631</v>
      </c>
      <c r="F5734" s="228">
        <f t="shared" si="258"/>
        <v>0.32</v>
      </c>
      <c r="G5734" s="229">
        <f>G5708</f>
        <v>110000</v>
      </c>
      <c r="H5734" s="230">
        <f>+G5734*F5734</f>
        <v>35200</v>
      </c>
      <c r="J5734" s="473"/>
      <c r="M5734" s="228">
        <v>0.32</v>
      </c>
    </row>
    <row r="5735" spans="2:13" ht="18.75" customHeight="1" x14ac:dyDescent="0.25">
      <c r="B5735" s="550"/>
      <c r="C5735" s="227" t="s">
        <v>633</v>
      </c>
      <c r="D5735" s="550" t="s">
        <v>634</v>
      </c>
      <c r="E5735" s="224" t="s">
        <v>631</v>
      </c>
      <c r="F5735" s="228">
        <f t="shared" si="258"/>
        <v>3.2000000000000001E-2</v>
      </c>
      <c r="G5735" s="229">
        <f>G5709</f>
        <v>115000</v>
      </c>
      <c r="H5735" s="230">
        <f>+G5735*F5735</f>
        <v>3680</v>
      </c>
      <c r="J5735" s="473"/>
      <c r="M5735" s="228">
        <v>3.2000000000000001E-2</v>
      </c>
    </row>
    <row r="5736" spans="2:13" ht="18.75" customHeight="1" x14ac:dyDescent="0.25">
      <c r="B5736" s="550"/>
      <c r="C5736" s="227" t="s">
        <v>600</v>
      </c>
      <c r="D5736" s="550" t="s">
        <v>635</v>
      </c>
      <c r="E5736" s="224" t="s">
        <v>631</v>
      </c>
      <c r="F5736" s="228">
        <f t="shared" si="258"/>
        <v>8.9999999999999993E-3</v>
      </c>
      <c r="G5736" s="229">
        <f>G5710</f>
        <v>140000</v>
      </c>
      <c r="H5736" s="230">
        <f>+G5736*F5736</f>
        <v>1260</v>
      </c>
      <c r="J5736" s="473"/>
      <c r="M5736" s="228">
        <v>8.9999999999999993E-3</v>
      </c>
    </row>
    <row r="5737" spans="2:13" ht="18.75" customHeight="1" x14ac:dyDescent="0.25">
      <c r="B5737" s="550"/>
      <c r="C5737" s="223"/>
      <c r="D5737" s="550"/>
      <c r="E5737" s="224"/>
      <c r="F5737" s="233" t="s">
        <v>636</v>
      </c>
      <c r="G5737" s="290"/>
      <c r="H5737" s="231">
        <f>SUM(H5733:H5736)</f>
        <v>57240</v>
      </c>
      <c r="M5737" s="233" t="s">
        <v>636</v>
      </c>
    </row>
    <row r="5738" spans="2:13" ht="18.75" customHeight="1" x14ac:dyDescent="0.25">
      <c r="B5738" s="550"/>
      <c r="C5738" s="223"/>
      <c r="D5738" s="550"/>
      <c r="E5738" s="224"/>
      <c r="F5738" s="233"/>
      <c r="G5738" s="290"/>
      <c r="H5738" s="231"/>
      <c r="M5738" s="233"/>
    </row>
    <row r="5739" spans="2:13" ht="18.75" customHeight="1" x14ac:dyDescent="0.25">
      <c r="B5739" s="550" t="s">
        <v>637</v>
      </c>
      <c r="C5739" s="223" t="s">
        <v>638</v>
      </c>
      <c r="D5739" s="550"/>
      <c r="E5739" s="224"/>
      <c r="F5739" s="225"/>
      <c r="G5739" s="290"/>
      <c r="H5739" s="226"/>
      <c r="M5739" s="225"/>
    </row>
    <row r="5740" spans="2:13" ht="18.75" customHeight="1" x14ac:dyDescent="0.25">
      <c r="B5740" s="550"/>
      <c r="C5740" s="223" t="s">
        <v>1097</v>
      </c>
      <c r="D5740" s="550"/>
      <c r="E5740" s="550" t="s">
        <v>345</v>
      </c>
      <c r="F5740" s="405">
        <v>1</v>
      </c>
      <c r="G5740" s="418">
        <f>Bahan!D534</f>
        <v>25000</v>
      </c>
      <c r="H5740" s="230">
        <f>+G5740*F5740</f>
        <v>25000</v>
      </c>
      <c r="J5740" s="473"/>
      <c r="M5740" s="405">
        <v>1</v>
      </c>
    </row>
    <row r="5741" spans="2:13" ht="18.75" customHeight="1" x14ac:dyDescent="0.25">
      <c r="B5741" s="550"/>
      <c r="C5741" s="223" t="s">
        <v>1088</v>
      </c>
      <c r="D5741" s="550"/>
      <c r="E5741" s="550" t="s">
        <v>5</v>
      </c>
      <c r="F5741" s="405">
        <v>7.4999999999999997E-2</v>
      </c>
      <c r="G5741" s="568">
        <f>G5715</f>
        <v>25000</v>
      </c>
      <c r="H5741" s="230">
        <f>+G5741*F5741</f>
        <v>1875</v>
      </c>
      <c r="J5741" s="473"/>
      <c r="M5741" s="405">
        <v>7.4999999999999997E-2</v>
      </c>
    </row>
    <row r="5742" spans="2:13" ht="18.75" customHeight="1" x14ac:dyDescent="0.25">
      <c r="B5742" s="550"/>
      <c r="C5742" s="223" t="s">
        <v>234</v>
      </c>
      <c r="D5742" s="550"/>
      <c r="E5742" s="550" t="s">
        <v>52</v>
      </c>
      <c r="F5742" s="405">
        <v>1.2E-2</v>
      </c>
      <c r="G5742" s="234">
        <f>G5716</f>
        <v>4230000</v>
      </c>
      <c r="H5742" s="230">
        <f>+G5742*F5742</f>
        <v>50760</v>
      </c>
      <c r="J5742" s="473"/>
      <c r="M5742" s="405">
        <v>1.2E-2</v>
      </c>
    </row>
    <row r="5743" spans="2:13" ht="18.75" customHeight="1" x14ac:dyDescent="0.25">
      <c r="B5743" s="550"/>
      <c r="C5743" s="223"/>
      <c r="D5743" s="550"/>
      <c r="E5743" s="224"/>
      <c r="F5743" s="237" t="s">
        <v>643</v>
      </c>
      <c r="G5743" s="290"/>
      <c r="H5743" s="231">
        <f>SUM(H5740:H5742)</f>
        <v>77635</v>
      </c>
      <c r="M5743" s="237" t="s">
        <v>643</v>
      </c>
    </row>
    <row r="5744" spans="2:13" ht="18.75" customHeight="1" x14ac:dyDescent="0.25">
      <c r="B5744" s="550"/>
      <c r="C5744" s="223"/>
      <c r="D5744" s="550"/>
      <c r="E5744" s="224"/>
      <c r="F5744" s="225"/>
      <c r="G5744" s="290"/>
      <c r="H5744" s="226"/>
      <c r="M5744" s="225"/>
    </row>
    <row r="5745" spans="2:13" ht="18.75" customHeight="1" x14ac:dyDescent="0.25">
      <c r="B5745" s="550" t="s">
        <v>644</v>
      </c>
      <c r="C5745" s="223" t="s">
        <v>645</v>
      </c>
      <c r="D5745" s="550"/>
      <c r="E5745" s="224"/>
      <c r="F5745" s="225"/>
      <c r="G5745" s="290"/>
      <c r="H5745" s="235"/>
      <c r="M5745" s="225"/>
    </row>
    <row r="5746" spans="2:13" ht="18.75" customHeight="1" x14ac:dyDescent="0.25">
      <c r="B5746" s="236"/>
      <c r="C5746" s="232"/>
      <c r="D5746" s="550"/>
      <c r="E5746" s="224"/>
      <c r="F5746" s="237" t="s">
        <v>646</v>
      </c>
      <c r="G5746" s="290"/>
      <c r="H5746" s="230"/>
      <c r="M5746" s="237" t="s">
        <v>646</v>
      </c>
    </row>
    <row r="5747" spans="2:13" ht="18.75" customHeight="1" x14ac:dyDescent="0.25">
      <c r="B5747" s="236"/>
      <c r="C5747" s="562"/>
      <c r="D5747" s="563"/>
      <c r="E5747" s="564"/>
      <c r="F5747" s="565"/>
      <c r="G5747" s="566"/>
      <c r="H5747" s="226"/>
      <c r="M5747" s="565"/>
    </row>
    <row r="5748" spans="2:13" ht="18.75" customHeight="1" x14ac:dyDescent="0.25">
      <c r="B5748" s="354"/>
      <c r="C5748" s="362"/>
      <c r="D5748" s="239"/>
      <c r="E5748" s="240"/>
      <c r="F5748" s="241"/>
      <c r="G5748" s="293"/>
      <c r="H5748" s="355"/>
      <c r="M5748" s="241"/>
    </row>
    <row r="5749" spans="2:13" ht="18.75" customHeight="1" x14ac:dyDescent="0.25">
      <c r="B5749" s="356" t="s">
        <v>647</v>
      </c>
      <c r="C5749" s="363" t="s">
        <v>648</v>
      </c>
      <c r="D5749" s="435"/>
      <c r="E5749" s="92"/>
      <c r="F5749" s="183"/>
      <c r="G5749" s="295"/>
      <c r="H5749" s="357">
        <f>+H5746+H5743+H5737</f>
        <v>134875</v>
      </c>
      <c r="M5749" s="183"/>
    </row>
    <row r="5750" spans="2:13" ht="18.75" customHeight="1" x14ac:dyDescent="0.25">
      <c r="B5750" s="356" t="s">
        <v>649</v>
      </c>
      <c r="C5750" s="364" t="s">
        <v>650</v>
      </c>
      <c r="D5750" s="435"/>
      <c r="E5750" s="92"/>
      <c r="F5750" s="184" t="str">
        <f>$J$5</f>
        <v>8,0 % x D</v>
      </c>
      <c r="G5750" s="295"/>
      <c r="H5750" s="358">
        <f>+H5749*$K$5</f>
        <v>10790</v>
      </c>
      <c r="M5750" s="184" t="str">
        <f>$J$5</f>
        <v>8,0 % x D</v>
      </c>
    </row>
    <row r="5751" spans="2:13" ht="18.75" customHeight="1" x14ac:dyDescent="0.25">
      <c r="B5751" s="356" t="s">
        <v>651</v>
      </c>
      <c r="C5751" s="365" t="s">
        <v>652</v>
      </c>
      <c r="D5751" s="435"/>
      <c r="E5751" s="91"/>
      <c r="F5751" s="185"/>
      <c r="G5751" s="296"/>
      <c r="H5751" s="359">
        <f>ROUNDUP((H5750+H5749)/100,0)*100</f>
        <v>145700</v>
      </c>
      <c r="M5751" s="185"/>
    </row>
    <row r="5752" spans="2:13" ht="18.75" customHeight="1" x14ac:dyDescent="0.25">
      <c r="B5752" s="371"/>
      <c r="C5752" s="373"/>
      <c r="D5752" s="245"/>
      <c r="E5752" s="246"/>
      <c r="F5752" s="247"/>
      <c r="G5752" s="299"/>
      <c r="H5752" s="372"/>
      <c r="M5752" s="247"/>
    </row>
    <row r="5753" spans="2:13" ht="18.75" customHeight="1" x14ac:dyDescent="0.25">
      <c r="G5753" s="66"/>
      <c r="H5753" s="138"/>
    </row>
    <row r="5754" spans="2:13" ht="18.75" customHeight="1" x14ac:dyDescent="0.25">
      <c r="B5754" s="19">
        <f>B5728+1</f>
        <v>7</v>
      </c>
      <c r="C5754" s="93" t="s">
        <v>1098</v>
      </c>
      <c r="D5754" s="19"/>
      <c r="E5754" s="21"/>
      <c r="F5754" s="176"/>
      <c r="G5754" s="165"/>
      <c r="H5754" s="119"/>
      <c r="M5754" s="176"/>
    </row>
    <row r="5755" spans="2:13" ht="18.75" customHeight="1" x14ac:dyDescent="0.25">
      <c r="B5755" s="618" t="s">
        <v>620</v>
      </c>
      <c r="C5755" s="620" t="s">
        <v>621</v>
      </c>
      <c r="D5755" s="618" t="s">
        <v>622</v>
      </c>
      <c r="E5755" s="618" t="s">
        <v>2</v>
      </c>
      <c r="F5755" s="615" t="s">
        <v>623</v>
      </c>
      <c r="G5755" s="289" t="s">
        <v>624</v>
      </c>
      <c r="H5755" s="256" t="s">
        <v>625</v>
      </c>
      <c r="M5755" s="615" t="s">
        <v>623</v>
      </c>
    </row>
    <row r="5756" spans="2:13" ht="18.75" customHeight="1" x14ac:dyDescent="0.25">
      <c r="B5756" s="619"/>
      <c r="C5756" s="621"/>
      <c r="D5756" s="619"/>
      <c r="E5756" s="619"/>
      <c r="F5756" s="616"/>
      <c r="G5756" s="289" t="s">
        <v>626</v>
      </c>
      <c r="H5756" s="256" t="s">
        <v>626</v>
      </c>
      <c r="M5756" s="616"/>
    </row>
    <row r="5757" spans="2:13" ht="18.75" customHeight="1" x14ac:dyDescent="0.25">
      <c r="B5757" s="221"/>
      <c r="C5757" s="222"/>
      <c r="D5757" s="221"/>
      <c r="E5757" s="550"/>
      <c r="F5757" s="555"/>
      <c r="G5757" s="551"/>
      <c r="H5757" s="220"/>
      <c r="M5757" s="590"/>
    </row>
    <row r="5758" spans="2:13" ht="18.75" customHeight="1" x14ac:dyDescent="0.25">
      <c r="B5758" s="550" t="s">
        <v>627</v>
      </c>
      <c r="C5758" s="223" t="s">
        <v>628</v>
      </c>
      <c r="D5758" s="550"/>
      <c r="E5758" s="224"/>
      <c r="F5758" s="225"/>
      <c r="G5758" s="290"/>
      <c r="H5758" s="226"/>
      <c r="M5758" s="225"/>
    </row>
    <row r="5759" spans="2:13" ht="18.75" customHeight="1" x14ac:dyDescent="0.25">
      <c r="B5759" s="550"/>
      <c r="C5759" s="227" t="s">
        <v>629</v>
      </c>
      <c r="D5759" s="550" t="s">
        <v>630</v>
      </c>
      <c r="E5759" s="224" t="s">
        <v>631</v>
      </c>
      <c r="F5759" s="228">
        <f t="shared" ref="F5759:F5762" si="259">$K$8*M5759</f>
        <v>0.1</v>
      </c>
      <c r="G5759" s="229">
        <f>G5733</f>
        <v>95000</v>
      </c>
      <c r="H5759" s="230">
        <f>+G5759*F5759</f>
        <v>9500</v>
      </c>
      <c r="M5759" s="228">
        <v>0.1</v>
      </c>
    </row>
    <row r="5760" spans="2:13" ht="18.75" customHeight="1" x14ac:dyDescent="0.25">
      <c r="B5760" s="550"/>
      <c r="C5760" s="227" t="s">
        <v>1508</v>
      </c>
      <c r="D5760" s="550" t="s">
        <v>632</v>
      </c>
      <c r="E5760" s="224" t="s">
        <v>631</v>
      </c>
      <c r="F5760" s="228">
        <f t="shared" si="259"/>
        <v>7.4999999999999997E-2</v>
      </c>
      <c r="G5760" s="229">
        <f>G5734</f>
        <v>110000</v>
      </c>
      <c r="H5760" s="230">
        <f>+G5760*F5760</f>
        <v>8250</v>
      </c>
      <c r="M5760" s="228">
        <v>7.4999999999999997E-2</v>
      </c>
    </row>
    <row r="5761" spans="2:13" ht="18.75" customHeight="1" x14ac:dyDescent="0.25">
      <c r="B5761" s="550"/>
      <c r="C5761" s="227" t="s">
        <v>633</v>
      </c>
      <c r="D5761" s="550" t="s">
        <v>634</v>
      </c>
      <c r="E5761" s="224" t="s">
        <v>631</v>
      </c>
      <c r="F5761" s="228">
        <f t="shared" si="259"/>
        <v>5.0000000000000001E-3</v>
      </c>
      <c r="G5761" s="229">
        <f>G5735</f>
        <v>115000</v>
      </c>
      <c r="H5761" s="230">
        <f>+G5761*F5761</f>
        <v>575</v>
      </c>
      <c r="M5761" s="228">
        <v>5.0000000000000001E-3</v>
      </c>
    </row>
    <row r="5762" spans="2:13" ht="18.75" customHeight="1" x14ac:dyDescent="0.25">
      <c r="B5762" s="550"/>
      <c r="C5762" s="227" t="s">
        <v>600</v>
      </c>
      <c r="D5762" s="550" t="s">
        <v>635</v>
      </c>
      <c r="E5762" s="224" t="s">
        <v>631</v>
      </c>
      <c r="F5762" s="228">
        <f t="shared" si="259"/>
        <v>5.0000000000000001E-3</v>
      </c>
      <c r="G5762" s="229">
        <f>G5736</f>
        <v>140000</v>
      </c>
      <c r="H5762" s="230">
        <f>+G5762*F5762</f>
        <v>700</v>
      </c>
      <c r="M5762" s="228">
        <v>5.0000000000000001E-3</v>
      </c>
    </row>
    <row r="5763" spans="2:13" ht="18.75" customHeight="1" x14ac:dyDescent="0.25">
      <c r="B5763" s="550"/>
      <c r="C5763" s="223"/>
      <c r="D5763" s="550"/>
      <c r="E5763" s="224"/>
      <c r="F5763" s="233" t="s">
        <v>636</v>
      </c>
      <c r="G5763" s="290"/>
      <c r="H5763" s="231">
        <f>SUM(H5759:H5762)</f>
        <v>19025</v>
      </c>
      <c r="M5763" s="233" t="s">
        <v>636</v>
      </c>
    </row>
    <row r="5764" spans="2:13" ht="18.75" customHeight="1" x14ac:dyDescent="0.25">
      <c r="B5764" s="550"/>
      <c r="C5764" s="223"/>
      <c r="D5764" s="550"/>
      <c r="E5764" s="224"/>
      <c r="F5764" s="233"/>
      <c r="G5764" s="290"/>
      <c r="H5764" s="231"/>
      <c r="M5764" s="233"/>
    </row>
    <row r="5765" spans="2:13" ht="18.75" customHeight="1" x14ac:dyDescent="0.25">
      <c r="B5765" s="550" t="s">
        <v>637</v>
      </c>
      <c r="C5765" s="223" t="s">
        <v>638</v>
      </c>
      <c r="D5765" s="550"/>
      <c r="E5765" s="224"/>
      <c r="F5765" s="225"/>
      <c r="G5765" s="290"/>
      <c r="H5765" s="226"/>
      <c r="M5765" s="225"/>
    </row>
    <row r="5766" spans="2:13" ht="18.75" customHeight="1" x14ac:dyDescent="0.25">
      <c r="B5766" s="550"/>
      <c r="C5766" s="223" t="s">
        <v>1099</v>
      </c>
      <c r="D5766" s="550"/>
      <c r="E5766" s="550" t="s">
        <v>1013</v>
      </c>
      <c r="F5766" s="405">
        <v>0.36399999999999999</v>
      </c>
      <c r="G5766" s="567">
        <f>Bahan!D544</f>
        <v>81000</v>
      </c>
      <c r="H5766" s="230">
        <f>+G5766*F5766</f>
        <v>29484</v>
      </c>
      <c r="M5766" s="405">
        <v>0.36399999999999999</v>
      </c>
    </row>
    <row r="5767" spans="2:13" ht="18.75" customHeight="1" x14ac:dyDescent="0.25">
      <c r="B5767" s="550"/>
      <c r="C5767" s="223" t="s">
        <v>1100</v>
      </c>
      <c r="D5767" s="550"/>
      <c r="E5767" s="550" t="s">
        <v>5</v>
      </c>
      <c r="F5767" s="405">
        <v>0.11</v>
      </c>
      <c r="G5767" s="567">
        <f>Bahan!D346</f>
        <v>28000</v>
      </c>
      <c r="H5767" s="230">
        <f>+G5767*F5767</f>
        <v>3080</v>
      </c>
      <c r="M5767" s="405">
        <v>0.11</v>
      </c>
    </row>
    <row r="5768" spans="2:13" ht="18.75" customHeight="1" x14ac:dyDescent="0.25">
      <c r="B5768" s="550"/>
      <c r="C5768" s="223"/>
      <c r="D5768" s="550"/>
      <c r="E5768" s="224"/>
      <c r="F5768" s="237" t="s">
        <v>643</v>
      </c>
      <c r="G5768" s="290"/>
      <c r="H5768" s="231">
        <f>SUM(H5766:H5767)</f>
        <v>32564</v>
      </c>
      <c r="M5768" s="237" t="s">
        <v>643</v>
      </c>
    </row>
    <row r="5769" spans="2:13" ht="18.75" customHeight="1" x14ac:dyDescent="0.25">
      <c r="B5769" s="550"/>
      <c r="C5769" s="223"/>
      <c r="D5769" s="550"/>
      <c r="E5769" s="224"/>
      <c r="F5769" s="225"/>
      <c r="G5769" s="290"/>
      <c r="H5769" s="226"/>
      <c r="M5769" s="225"/>
    </row>
    <row r="5770" spans="2:13" ht="18.75" customHeight="1" x14ac:dyDescent="0.25">
      <c r="B5770" s="550" t="s">
        <v>644</v>
      </c>
      <c r="C5770" s="223" t="s">
        <v>645</v>
      </c>
      <c r="D5770" s="550"/>
      <c r="E5770" s="224"/>
      <c r="F5770" s="225"/>
      <c r="G5770" s="290"/>
      <c r="H5770" s="235"/>
      <c r="M5770" s="225"/>
    </row>
    <row r="5771" spans="2:13" ht="18.75" customHeight="1" x14ac:dyDescent="0.25">
      <c r="B5771" s="236"/>
      <c r="C5771" s="232"/>
      <c r="D5771" s="550"/>
      <c r="E5771" s="224"/>
      <c r="F5771" s="237" t="s">
        <v>646</v>
      </c>
      <c r="G5771" s="290"/>
      <c r="H5771" s="230"/>
      <c r="M5771" s="237" t="s">
        <v>646</v>
      </c>
    </row>
    <row r="5772" spans="2:13" ht="18.75" customHeight="1" x14ac:dyDescent="0.25">
      <c r="B5772" s="236"/>
      <c r="C5772" s="562"/>
      <c r="D5772" s="563"/>
      <c r="E5772" s="564"/>
      <c r="F5772" s="565"/>
      <c r="G5772" s="566"/>
      <c r="H5772" s="226"/>
      <c r="M5772" s="565"/>
    </row>
    <row r="5773" spans="2:13" ht="18.75" customHeight="1" x14ac:dyDescent="0.25">
      <c r="B5773" s="354"/>
      <c r="C5773" s="362"/>
      <c r="D5773" s="239"/>
      <c r="E5773" s="240"/>
      <c r="F5773" s="241"/>
      <c r="G5773" s="293"/>
      <c r="H5773" s="355"/>
      <c r="M5773" s="241"/>
    </row>
    <row r="5774" spans="2:13" ht="18.75" customHeight="1" x14ac:dyDescent="0.25">
      <c r="B5774" s="356" t="s">
        <v>647</v>
      </c>
      <c r="C5774" s="363" t="s">
        <v>648</v>
      </c>
      <c r="D5774" s="435"/>
      <c r="E5774" s="92"/>
      <c r="F5774" s="183"/>
      <c r="G5774" s="295"/>
      <c r="H5774" s="357">
        <f>+H5771+H5768+H5763</f>
        <v>51589</v>
      </c>
      <c r="M5774" s="183"/>
    </row>
    <row r="5775" spans="2:13" ht="18.75" customHeight="1" x14ac:dyDescent="0.25">
      <c r="B5775" s="356" t="s">
        <v>649</v>
      </c>
      <c r="C5775" s="364" t="s">
        <v>650</v>
      </c>
      <c r="D5775" s="435"/>
      <c r="E5775" s="92"/>
      <c r="F5775" s="184" t="str">
        <f>$J$5</f>
        <v>8,0 % x D</v>
      </c>
      <c r="G5775" s="295"/>
      <c r="H5775" s="358">
        <f>+H5774*$K$5</f>
        <v>4127.12</v>
      </c>
      <c r="M5775" s="184" t="str">
        <f>$J$5</f>
        <v>8,0 % x D</v>
      </c>
    </row>
    <row r="5776" spans="2:13" ht="18.75" customHeight="1" x14ac:dyDescent="0.25">
      <c r="B5776" s="356" t="s">
        <v>651</v>
      </c>
      <c r="C5776" s="365" t="s">
        <v>652</v>
      </c>
      <c r="D5776" s="435"/>
      <c r="E5776" s="91"/>
      <c r="F5776" s="185"/>
      <c r="G5776" s="296"/>
      <c r="H5776" s="359">
        <f>ROUNDUP((H5775+H5774)/100,0)*100</f>
        <v>55800</v>
      </c>
      <c r="M5776" s="185"/>
    </row>
    <row r="5777" spans="2:13" ht="18.75" customHeight="1" x14ac:dyDescent="0.25">
      <c r="B5777" s="360"/>
      <c r="C5777" s="366"/>
      <c r="D5777" s="245"/>
      <c r="E5777" s="246"/>
      <c r="F5777" s="247"/>
      <c r="G5777" s="299"/>
      <c r="H5777" s="361"/>
      <c r="M5777" s="247"/>
    </row>
    <row r="5778" spans="2:13" ht="18.75" customHeight="1" x14ac:dyDescent="0.25">
      <c r="B5778" s="92"/>
      <c r="C5778" s="104"/>
      <c r="D5778" s="435"/>
      <c r="E5778" s="91"/>
      <c r="F5778" s="185"/>
      <c r="G5778" s="168"/>
      <c r="H5778" s="139"/>
      <c r="M5778" s="185"/>
    </row>
    <row r="5779" spans="2:13" ht="18.75" customHeight="1" x14ac:dyDescent="0.25">
      <c r="B5779" s="19">
        <f>B5754+1</f>
        <v>8</v>
      </c>
      <c r="C5779" s="93" t="s">
        <v>1101</v>
      </c>
      <c r="D5779" s="19"/>
      <c r="E5779" s="21"/>
      <c r="F5779" s="176"/>
      <c r="G5779" s="165"/>
      <c r="H5779" s="119"/>
      <c r="M5779" s="176"/>
    </row>
    <row r="5780" spans="2:13" ht="18.75" customHeight="1" x14ac:dyDescent="0.25">
      <c r="B5780" s="618" t="s">
        <v>620</v>
      </c>
      <c r="C5780" s="620" t="s">
        <v>621</v>
      </c>
      <c r="D5780" s="618" t="s">
        <v>622</v>
      </c>
      <c r="E5780" s="618" t="s">
        <v>2</v>
      </c>
      <c r="F5780" s="615" t="s">
        <v>623</v>
      </c>
      <c r="G5780" s="289" t="s">
        <v>624</v>
      </c>
      <c r="H5780" s="256" t="s">
        <v>625</v>
      </c>
      <c r="M5780" s="615" t="s">
        <v>623</v>
      </c>
    </row>
    <row r="5781" spans="2:13" ht="18.75" customHeight="1" x14ac:dyDescent="0.25">
      <c r="B5781" s="619"/>
      <c r="C5781" s="621"/>
      <c r="D5781" s="619"/>
      <c r="E5781" s="619"/>
      <c r="F5781" s="616"/>
      <c r="G5781" s="289" t="s">
        <v>626</v>
      </c>
      <c r="H5781" s="256" t="s">
        <v>626</v>
      </c>
      <c r="M5781" s="616"/>
    </row>
    <row r="5782" spans="2:13" ht="18.75" customHeight="1" x14ac:dyDescent="0.25">
      <c r="B5782" s="221"/>
      <c r="C5782" s="222"/>
      <c r="D5782" s="221"/>
      <c r="E5782" s="550"/>
      <c r="F5782" s="555"/>
      <c r="G5782" s="551"/>
      <c r="H5782" s="220"/>
      <c r="M5782" s="590"/>
    </row>
    <row r="5783" spans="2:13" ht="18.75" customHeight="1" x14ac:dyDescent="0.25">
      <c r="B5783" s="550" t="s">
        <v>627</v>
      </c>
      <c r="C5783" s="223" t="s">
        <v>628</v>
      </c>
      <c r="D5783" s="550"/>
      <c r="E5783" s="224"/>
      <c r="F5783" s="225"/>
      <c r="G5783" s="290"/>
      <c r="H5783" s="226"/>
      <c r="M5783" s="225"/>
    </row>
    <row r="5784" spans="2:13" ht="18.75" customHeight="1" x14ac:dyDescent="0.25">
      <c r="B5784" s="550"/>
      <c r="C5784" s="227" t="s">
        <v>629</v>
      </c>
      <c r="D5784" s="550" t="s">
        <v>630</v>
      </c>
      <c r="E5784" s="224" t="s">
        <v>631</v>
      </c>
      <c r="F5784" s="228">
        <f t="shared" ref="F5784:F5787" si="260">$K$8*M5784</f>
        <v>0.18</v>
      </c>
      <c r="G5784" s="229">
        <f>G5733</f>
        <v>95000</v>
      </c>
      <c r="H5784" s="230">
        <f>+G5784*F5784</f>
        <v>17100</v>
      </c>
      <c r="J5784" s="473"/>
      <c r="M5784" s="228">
        <v>0.18</v>
      </c>
    </row>
    <row r="5785" spans="2:13" ht="18.75" customHeight="1" x14ac:dyDescent="0.25">
      <c r="B5785" s="550"/>
      <c r="C5785" s="227" t="s">
        <v>1508</v>
      </c>
      <c r="D5785" s="550" t="s">
        <v>632</v>
      </c>
      <c r="E5785" s="224" t="s">
        <v>631</v>
      </c>
      <c r="F5785" s="228">
        <f t="shared" si="260"/>
        <v>0.32</v>
      </c>
      <c r="G5785" s="229">
        <f>G5734</f>
        <v>110000</v>
      </c>
      <c r="H5785" s="230">
        <f>+G5785*F5785</f>
        <v>35200</v>
      </c>
      <c r="J5785" s="473"/>
      <c r="M5785" s="228">
        <v>0.32</v>
      </c>
    </row>
    <row r="5786" spans="2:13" ht="18.75" customHeight="1" x14ac:dyDescent="0.25">
      <c r="B5786" s="550"/>
      <c r="C5786" s="227" t="s">
        <v>633</v>
      </c>
      <c r="D5786" s="550" t="s">
        <v>634</v>
      </c>
      <c r="E5786" s="224" t="s">
        <v>631</v>
      </c>
      <c r="F5786" s="228">
        <f t="shared" si="260"/>
        <v>3.2000000000000001E-2</v>
      </c>
      <c r="G5786" s="229">
        <f>G5735</f>
        <v>115000</v>
      </c>
      <c r="H5786" s="230">
        <f>+G5786*F5786</f>
        <v>3680</v>
      </c>
      <c r="J5786" s="473"/>
      <c r="M5786" s="228">
        <v>3.2000000000000001E-2</v>
      </c>
    </row>
    <row r="5787" spans="2:13" ht="18.75" customHeight="1" x14ac:dyDescent="0.25">
      <c r="B5787" s="550"/>
      <c r="C5787" s="227" t="s">
        <v>600</v>
      </c>
      <c r="D5787" s="550" t="s">
        <v>635</v>
      </c>
      <c r="E5787" s="224" t="s">
        <v>631</v>
      </c>
      <c r="F5787" s="228">
        <f t="shared" si="260"/>
        <v>8.9999999999999993E-3</v>
      </c>
      <c r="G5787" s="229">
        <f>G5736</f>
        <v>140000</v>
      </c>
      <c r="H5787" s="230">
        <f>+G5787*F5787</f>
        <v>1260</v>
      </c>
      <c r="J5787" s="473"/>
      <c r="M5787" s="228">
        <v>8.9999999999999993E-3</v>
      </c>
    </row>
    <row r="5788" spans="2:13" ht="18.75" customHeight="1" x14ac:dyDescent="0.25">
      <c r="B5788" s="550"/>
      <c r="C5788" s="223"/>
      <c r="D5788" s="550"/>
      <c r="E5788" s="224"/>
      <c r="F5788" s="233" t="s">
        <v>636</v>
      </c>
      <c r="G5788" s="290"/>
      <c r="H5788" s="231">
        <f>SUM(H5784:H5787)</f>
        <v>57240</v>
      </c>
      <c r="M5788" s="233" t="s">
        <v>636</v>
      </c>
    </row>
    <row r="5789" spans="2:13" ht="18.75" customHeight="1" x14ac:dyDescent="0.25">
      <c r="B5789" s="550" t="s">
        <v>637</v>
      </c>
      <c r="C5789" s="223" t="s">
        <v>638</v>
      </c>
      <c r="D5789" s="550"/>
      <c r="E5789" s="224"/>
      <c r="F5789" s="225"/>
      <c r="G5789" s="290"/>
      <c r="H5789" s="226"/>
      <c r="M5789" s="225"/>
    </row>
    <row r="5790" spans="2:13" ht="18.75" customHeight="1" x14ac:dyDescent="0.25">
      <c r="B5790" s="550"/>
      <c r="C5790" s="223" t="s">
        <v>1102</v>
      </c>
      <c r="D5790" s="550"/>
      <c r="E5790" s="550" t="s">
        <v>614</v>
      </c>
      <c r="F5790" s="405">
        <v>1</v>
      </c>
      <c r="G5790" s="567">
        <f>Bahan!D547</f>
        <v>70000</v>
      </c>
      <c r="H5790" s="230">
        <f>+G5790*F5790</f>
        <v>70000</v>
      </c>
      <c r="J5790" s="473"/>
      <c r="M5790" s="405">
        <v>1</v>
      </c>
    </row>
    <row r="5791" spans="2:13" ht="18.75" customHeight="1" x14ac:dyDescent="0.25">
      <c r="B5791" s="550"/>
      <c r="C5791" s="223" t="s">
        <v>1103</v>
      </c>
      <c r="D5791" s="550"/>
      <c r="E5791" s="550" t="s">
        <v>52</v>
      </c>
      <c r="F5791" s="405">
        <v>1.2E-2</v>
      </c>
      <c r="G5791" s="234">
        <f>G5742</f>
        <v>4230000</v>
      </c>
      <c r="H5791" s="230">
        <f>+G5791*F5791</f>
        <v>50760</v>
      </c>
      <c r="J5791" s="473"/>
      <c r="M5791" s="405">
        <v>1.2E-2</v>
      </c>
    </row>
    <row r="5792" spans="2:13" ht="18.75" customHeight="1" x14ac:dyDescent="0.25">
      <c r="B5792" s="550"/>
      <c r="C5792" s="223" t="s">
        <v>1104</v>
      </c>
      <c r="D5792" s="550"/>
      <c r="E5792" s="550" t="s">
        <v>62</v>
      </c>
      <c r="F5792" s="405">
        <v>7.4999999999999997E-2</v>
      </c>
      <c r="G5792" s="234">
        <f>G5741</f>
        <v>25000</v>
      </c>
      <c r="H5792" s="230">
        <f>+G5792*F5792</f>
        <v>1875</v>
      </c>
      <c r="J5792" s="473"/>
      <c r="M5792" s="405">
        <v>7.4999999999999997E-2</v>
      </c>
    </row>
    <row r="5793" spans="2:13" ht="18.75" customHeight="1" x14ac:dyDescent="0.25">
      <c r="B5793" s="550"/>
      <c r="C5793" s="223"/>
      <c r="D5793" s="550"/>
      <c r="E5793" s="224"/>
      <c r="F5793" s="237" t="s">
        <v>643</v>
      </c>
      <c r="G5793" s="290"/>
      <c r="H5793" s="231">
        <f>SUM(H5790:H5792)</f>
        <v>122635</v>
      </c>
      <c r="M5793" s="237" t="s">
        <v>643</v>
      </c>
    </row>
    <row r="5794" spans="2:13" ht="18.75" customHeight="1" x14ac:dyDescent="0.25">
      <c r="B5794" s="550"/>
      <c r="C5794" s="223"/>
      <c r="D5794" s="550"/>
      <c r="E5794" s="224"/>
      <c r="F5794" s="225"/>
      <c r="G5794" s="290"/>
      <c r="H5794" s="226"/>
      <c r="M5794" s="225"/>
    </row>
    <row r="5795" spans="2:13" ht="18.75" customHeight="1" x14ac:dyDescent="0.25">
      <c r="B5795" s="550" t="s">
        <v>644</v>
      </c>
      <c r="C5795" s="223" t="s">
        <v>645</v>
      </c>
      <c r="D5795" s="550"/>
      <c r="E5795" s="224"/>
      <c r="F5795" s="225"/>
      <c r="G5795" s="290"/>
      <c r="H5795" s="235"/>
      <c r="M5795" s="225"/>
    </row>
    <row r="5796" spans="2:13" ht="18.75" customHeight="1" x14ac:dyDescent="0.25">
      <c r="B5796" s="236"/>
      <c r="C5796" s="232"/>
      <c r="D5796" s="550"/>
      <c r="E5796" s="224"/>
      <c r="F5796" s="237" t="s">
        <v>646</v>
      </c>
      <c r="G5796" s="290"/>
      <c r="H5796" s="230"/>
      <c r="M5796" s="237" t="s">
        <v>646</v>
      </c>
    </row>
    <row r="5797" spans="2:13" ht="18.75" customHeight="1" x14ac:dyDescent="0.25">
      <c r="B5797" s="236"/>
      <c r="C5797" s="562"/>
      <c r="D5797" s="563"/>
      <c r="E5797" s="564"/>
      <c r="F5797" s="565"/>
      <c r="G5797" s="566"/>
      <c r="H5797" s="226"/>
      <c r="M5797" s="565"/>
    </row>
    <row r="5798" spans="2:13" ht="18.75" customHeight="1" x14ac:dyDescent="0.25">
      <c r="B5798" s="354"/>
      <c r="C5798" s="362"/>
      <c r="D5798" s="239"/>
      <c r="E5798" s="240"/>
      <c r="F5798" s="241"/>
      <c r="G5798" s="293"/>
      <c r="H5798" s="355"/>
      <c r="M5798" s="241"/>
    </row>
    <row r="5799" spans="2:13" ht="18.75" customHeight="1" x14ac:dyDescent="0.25">
      <c r="B5799" s="356" t="s">
        <v>649</v>
      </c>
      <c r="C5799" s="363" t="s">
        <v>648</v>
      </c>
      <c r="D5799" s="435"/>
      <c r="E5799" s="92"/>
      <c r="F5799" s="183"/>
      <c r="G5799" s="295"/>
      <c r="H5799" s="357">
        <f>H5788+H5793</f>
        <v>179875</v>
      </c>
      <c r="M5799" s="183"/>
    </row>
    <row r="5800" spans="2:13" ht="18.75" customHeight="1" x14ac:dyDescent="0.25">
      <c r="B5800" s="356" t="s">
        <v>649</v>
      </c>
      <c r="C5800" s="364" t="s">
        <v>650</v>
      </c>
      <c r="D5800" s="435"/>
      <c r="E5800" s="92"/>
      <c r="F5800" s="184" t="str">
        <f>$J$5</f>
        <v>8,0 % x D</v>
      </c>
      <c r="G5800" s="295"/>
      <c r="H5800" s="358">
        <f>+H5799*$K$5</f>
        <v>14390</v>
      </c>
      <c r="M5800" s="184" t="str">
        <f>$J$5</f>
        <v>8,0 % x D</v>
      </c>
    </row>
    <row r="5801" spans="2:13" ht="18.75" customHeight="1" x14ac:dyDescent="0.25">
      <c r="B5801" s="356" t="s">
        <v>651</v>
      </c>
      <c r="C5801" s="365" t="s">
        <v>652</v>
      </c>
      <c r="D5801" s="435"/>
      <c r="E5801" s="91"/>
      <c r="F5801" s="185"/>
      <c r="G5801" s="296"/>
      <c r="H5801" s="359">
        <f>ROUNDUP((H5800+H5799)/100,0)*100</f>
        <v>194300</v>
      </c>
      <c r="M5801" s="185"/>
    </row>
    <row r="5802" spans="2:13" ht="18.75" customHeight="1" x14ac:dyDescent="0.25">
      <c r="B5802" s="371"/>
      <c r="C5802" s="373"/>
      <c r="D5802" s="245"/>
      <c r="E5802" s="246"/>
      <c r="F5802" s="247"/>
      <c r="G5802" s="299"/>
      <c r="H5802" s="372"/>
      <c r="M5802" s="247"/>
    </row>
    <row r="5803" spans="2:13" ht="18.75" customHeight="1" x14ac:dyDescent="0.25">
      <c r="B5803" s="435"/>
      <c r="C5803" s="242"/>
      <c r="D5803" s="435"/>
      <c r="E5803" s="117"/>
      <c r="F5803" s="560"/>
      <c r="G5803" s="561"/>
      <c r="H5803" s="348"/>
      <c r="M5803" s="560"/>
    </row>
    <row r="5804" spans="2:13" ht="18.75" customHeight="1" x14ac:dyDescent="0.25">
      <c r="B5804" s="19">
        <f>+B5779+1</f>
        <v>9</v>
      </c>
      <c r="C5804" s="93" t="s">
        <v>1105</v>
      </c>
      <c r="D5804" s="19"/>
      <c r="E5804" s="21"/>
      <c r="F5804" s="176"/>
      <c r="G5804" s="165"/>
      <c r="H5804" s="119"/>
      <c r="M5804" s="176"/>
    </row>
    <row r="5805" spans="2:13" ht="18.75" customHeight="1" x14ac:dyDescent="0.25">
      <c r="B5805" s="618" t="s">
        <v>620</v>
      </c>
      <c r="C5805" s="620" t="s">
        <v>621</v>
      </c>
      <c r="D5805" s="618" t="s">
        <v>622</v>
      </c>
      <c r="E5805" s="618" t="s">
        <v>2</v>
      </c>
      <c r="F5805" s="615" t="s">
        <v>623</v>
      </c>
      <c r="G5805" s="289" t="s">
        <v>624</v>
      </c>
      <c r="H5805" s="256" t="s">
        <v>625</v>
      </c>
      <c r="M5805" s="615" t="s">
        <v>623</v>
      </c>
    </row>
    <row r="5806" spans="2:13" ht="18.75" customHeight="1" x14ac:dyDescent="0.25">
      <c r="B5806" s="619"/>
      <c r="C5806" s="621"/>
      <c r="D5806" s="619"/>
      <c r="E5806" s="619"/>
      <c r="F5806" s="616"/>
      <c r="G5806" s="289" t="s">
        <v>626</v>
      </c>
      <c r="H5806" s="256" t="s">
        <v>626</v>
      </c>
      <c r="M5806" s="616"/>
    </row>
    <row r="5807" spans="2:13" ht="18.75" customHeight="1" x14ac:dyDescent="0.25">
      <c r="B5807" s="221"/>
      <c r="C5807" s="222"/>
      <c r="D5807" s="221"/>
      <c r="E5807" s="550"/>
      <c r="F5807" s="555"/>
      <c r="G5807" s="551"/>
      <c r="H5807" s="220"/>
      <c r="M5807" s="590"/>
    </row>
    <row r="5808" spans="2:13" ht="18.75" customHeight="1" x14ac:dyDescent="0.25">
      <c r="B5808" s="550" t="s">
        <v>627</v>
      </c>
      <c r="C5808" s="223" t="s">
        <v>628</v>
      </c>
      <c r="D5808" s="550"/>
      <c r="E5808" s="224"/>
      <c r="F5808" s="225"/>
      <c r="G5808" s="290"/>
      <c r="H5808" s="226"/>
      <c r="M5808" s="225"/>
    </row>
    <row r="5809" spans="2:13" ht="18.75" customHeight="1" x14ac:dyDescent="0.25">
      <c r="B5809" s="550"/>
      <c r="C5809" s="227" t="s">
        <v>629</v>
      </c>
      <c r="D5809" s="550" t="s">
        <v>630</v>
      </c>
      <c r="E5809" s="224" t="s">
        <v>631</v>
      </c>
      <c r="F5809" s="228">
        <f t="shared" ref="F5809:F5812" si="261">$K$8*M5809</f>
        <v>0.8</v>
      </c>
      <c r="G5809" s="229">
        <f>G5784</f>
        <v>95000</v>
      </c>
      <c r="H5809" s="230">
        <f>+G5809*F5809</f>
        <v>76000</v>
      </c>
      <c r="M5809" s="228">
        <v>0.8</v>
      </c>
    </row>
    <row r="5810" spans="2:13" ht="18.75" customHeight="1" x14ac:dyDescent="0.25">
      <c r="B5810" s="550"/>
      <c r="C5810" s="227" t="s">
        <v>1508</v>
      </c>
      <c r="D5810" s="550" t="s">
        <v>632</v>
      </c>
      <c r="E5810" s="224" t="s">
        <v>631</v>
      </c>
      <c r="F5810" s="228">
        <f t="shared" si="261"/>
        <v>0.8</v>
      </c>
      <c r="G5810" s="229">
        <f>G5785</f>
        <v>110000</v>
      </c>
      <c r="H5810" s="230">
        <f>+G5810*F5810</f>
        <v>88000</v>
      </c>
      <c r="M5810" s="228">
        <v>0.8</v>
      </c>
    </row>
    <row r="5811" spans="2:13" ht="18.75" customHeight="1" x14ac:dyDescent="0.25">
      <c r="B5811" s="550"/>
      <c r="C5811" s="227" t="s">
        <v>633</v>
      </c>
      <c r="D5811" s="550" t="s">
        <v>634</v>
      </c>
      <c r="E5811" s="224" t="s">
        <v>631</v>
      </c>
      <c r="F5811" s="228">
        <f t="shared" si="261"/>
        <v>0.08</v>
      </c>
      <c r="G5811" s="229">
        <f>G5786</f>
        <v>115000</v>
      </c>
      <c r="H5811" s="230">
        <f>+G5811*F5811</f>
        <v>9200</v>
      </c>
      <c r="M5811" s="228">
        <v>0.08</v>
      </c>
    </row>
    <row r="5812" spans="2:13" ht="18.75" customHeight="1" x14ac:dyDescent="0.25">
      <c r="B5812" s="550"/>
      <c r="C5812" s="227" t="s">
        <v>600</v>
      </c>
      <c r="D5812" s="550" t="s">
        <v>635</v>
      </c>
      <c r="E5812" s="224" t="s">
        <v>631</v>
      </c>
      <c r="F5812" s="228">
        <f t="shared" si="261"/>
        <v>7.4999999999999997E-2</v>
      </c>
      <c r="G5812" s="229">
        <f>G5787</f>
        <v>140000</v>
      </c>
      <c r="H5812" s="230">
        <f>+G5812*F5812</f>
        <v>10500</v>
      </c>
      <c r="M5812" s="228">
        <v>7.4999999999999997E-2</v>
      </c>
    </row>
    <row r="5813" spans="2:13" ht="18.75" customHeight="1" x14ac:dyDescent="0.25">
      <c r="B5813" s="550"/>
      <c r="C5813" s="223"/>
      <c r="D5813" s="550"/>
      <c r="E5813" s="224"/>
      <c r="F5813" s="233" t="s">
        <v>636</v>
      </c>
      <c r="G5813" s="290"/>
      <c r="H5813" s="231">
        <f>SUM(H5809:H5812)</f>
        <v>183700</v>
      </c>
      <c r="M5813" s="233" t="s">
        <v>636</v>
      </c>
    </row>
    <row r="5814" spans="2:13" ht="18.75" customHeight="1" x14ac:dyDescent="0.25">
      <c r="B5814" s="550"/>
      <c r="C5814" s="223"/>
      <c r="D5814" s="550"/>
      <c r="E5814" s="224"/>
      <c r="F5814" s="233"/>
      <c r="G5814" s="290"/>
      <c r="H5814" s="231"/>
      <c r="M5814" s="233"/>
    </row>
    <row r="5815" spans="2:13" ht="18.75" customHeight="1" x14ac:dyDescent="0.25">
      <c r="B5815" s="550" t="s">
        <v>637</v>
      </c>
      <c r="C5815" s="223" t="s">
        <v>638</v>
      </c>
      <c r="D5815" s="550"/>
      <c r="E5815" s="224"/>
      <c r="F5815" s="225"/>
      <c r="G5815" s="290"/>
      <c r="H5815" s="226"/>
      <c r="M5815" s="225"/>
    </row>
    <row r="5816" spans="2:13" ht="18.75" customHeight="1" x14ac:dyDescent="0.25">
      <c r="B5816" s="550"/>
      <c r="C5816" s="223" t="s">
        <v>1106</v>
      </c>
      <c r="D5816" s="550"/>
      <c r="E5816" s="550" t="s">
        <v>1013</v>
      </c>
      <c r="F5816" s="405">
        <v>1.4999999999999999E-2</v>
      </c>
      <c r="G5816" s="567">
        <f>Bahan!D261</f>
        <v>7125000</v>
      </c>
      <c r="H5816" s="230">
        <f>+G5816*F5816</f>
        <v>106875</v>
      </c>
      <c r="M5816" s="405">
        <v>1.4999999999999999E-2</v>
      </c>
    </row>
    <row r="5817" spans="2:13" ht="18.75" customHeight="1" x14ac:dyDescent="0.25">
      <c r="B5817" s="550"/>
      <c r="C5817" s="223" t="s">
        <v>1088</v>
      </c>
      <c r="D5817" s="550"/>
      <c r="E5817" s="550" t="s">
        <v>5</v>
      </c>
      <c r="F5817" s="405">
        <v>0.01</v>
      </c>
      <c r="G5817" s="567">
        <f>G5741</f>
        <v>25000</v>
      </c>
      <c r="H5817" s="230">
        <f>+G5817*F5817</f>
        <v>250</v>
      </c>
      <c r="M5817" s="405">
        <v>0.01</v>
      </c>
    </row>
    <row r="5818" spans="2:13" ht="18.75" customHeight="1" x14ac:dyDescent="0.25">
      <c r="B5818" s="550"/>
      <c r="C5818" s="223"/>
      <c r="D5818" s="550"/>
      <c r="E5818" s="224"/>
      <c r="F5818" s="237" t="s">
        <v>643</v>
      </c>
      <c r="G5818" s="290"/>
      <c r="H5818" s="231">
        <f>SUM(H5816:H5817)</f>
        <v>107125</v>
      </c>
      <c r="M5818" s="237" t="s">
        <v>643</v>
      </c>
    </row>
    <row r="5819" spans="2:13" ht="18.75" customHeight="1" x14ac:dyDescent="0.25">
      <c r="B5819" s="550"/>
      <c r="C5819" s="223"/>
      <c r="D5819" s="550"/>
      <c r="E5819" s="224"/>
      <c r="F5819" s="225"/>
      <c r="G5819" s="290"/>
      <c r="H5819" s="226"/>
      <c r="M5819" s="225"/>
    </row>
    <row r="5820" spans="2:13" ht="18.75" customHeight="1" x14ac:dyDescent="0.25">
      <c r="B5820" s="550" t="s">
        <v>644</v>
      </c>
      <c r="C5820" s="223" t="s">
        <v>645</v>
      </c>
      <c r="D5820" s="550"/>
      <c r="E5820" s="224"/>
      <c r="F5820" s="225"/>
      <c r="G5820" s="290"/>
      <c r="H5820" s="235"/>
      <c r="M5820" s="225"/>
    </row>
    <row r="5821" spans="2:13" ht="18.75" customHeight="1" x14ac:dyDescent="0.25">
      <c r="B5821" s="236"/>
      <c r="C5821" s="232"/>
      <c r="D5821" s="550"/>
      <c r="E5821" s="224"/>
      <c r="F5821" s="237" t="s">
        <v>646</v>
      </c>
      <c r="G5821" s="290"/>
      <c r="H5821" s="230"/>
      <c r="M5821" s="237" t="s">
        <v>646</v>
      </c>
    </row>
    <row r="5822" spans="2:13" ht="18.75" customHeight="1" x14ac:dyDescent="0.25">
      <c r="B5822" s="236"/>
      <c r="C5822" s="562"/>
      <c r="D5822" s="563"/>
      <c r="E5822" s="564"/>
      <c r="F5822" s="565"/>
      <c r="G5822" s="566"/>
      <c r="H5822" s="226"/>
      <c r="M5822" s="565"/>
    </row>
    <row r="5823" spans="2:13" ht="18.75" customHeight="1" x14ac:dyDescent="0.25">
      <c r="B5823" s="354"/>
      <c r="C5823" s="362"/>
      <c r="D5823" s="239"/>
      <c r="E5823" s="240"/>
      <c r="F5823" s="241"/>
      <c r="G5823" s="293"/>
      <c r="H5823" s="355"/>
      <c r="M5823" s="241"/>
    </row>
    <row r="5824" spans="2:13" ht="18.75" customHeight="1" x14ac:dyDescent="0.25">
      <c r="B5824" s="356" t="s">
        <v>647</v>
      </c>
      <c r="C5824" s="363" t="s">
        <v>648</v>
      </c>
      <c r="D5824" s="435"/>
      <c r="E5824" s="92"/>
      <c r="F5824" s="183"/>
      <c r="G5824" s="295"/>
      <c r="H5824" s="357">
        <f>+H5821+H5818+H5813</f>
        <v>290825</v>
      </c>
      <c r="M5824" s="183"/>
    </row>
    <row r="5825" spans="2:13" ht="18.75" customHeight="1" x14ac:dyDescent="0.25">
      <c r="B5825" s="356" t="s">
        <v>649</v>
      </c>
      <c r="C5825" s="364" t="s">
        <v>650</v>
      </c>
      <c r="D5825" s="435"/>
      <c r="E5825" s="92"/>
      <c r="F5825" s="184" t="str">
        <f>$J$5</f>
        <v>8,0 % x D</v>
      </c>
      <c r="G5825" s="295"/>
      <c r="H5825" s="358">
        <f>+H5824*$K$5</f>
        <v>23266</v>
      </c>
      <c r="M5825" s="184" t="str">
        <f>$J$5</f>
        <v>8,0 % x D</v>
      </c>
    </row>
    <row r="5826" spans="2:13" ht="18.75" customHeight="1" x14ac:dyDescent="0.25">
      <c r="B5826" s="356" t="s">
        <v>651</v>
      </c>
      <c r="C5826" s="365" t="s">
        <v>652</v>
      </c>
      <c r="D5826" s="435"/>
      <c r="E5826" s="91"/>
      <c r="F5826" s="185"/>
      <c r="G5826" s="296"/>
      <c r="H5826" s="359">
        <f>ROUNDUP((H5825+H5824)/100,0)*100</f>
        <v>314100</v>
      </c>
      <c r="M5826" s="185"/>
    </row>
    <row r="5827" spans="2:13" ht="18.75" customHeight="1" x14ac:dyDescent="0.25">
      <c r="B5827" s="360"/>
      <c r="C5827" s="366"/>
      <c r="D5827" s="245"/>
      <c r="E5827" s="246"/>
      <c r="F5827" s="247"/>
      <c r="G5827" s="299"/>
      <c r="H5827" s="361"/>
      <c r="M5827" s="247"/>
    </row>
    <row r="5828" spans="2:13" ht="18.75" customHeight="1" x14ac:dyDescent="0.25">
      <c r="B5828" s="92"/>
      <c r="C5828" s="104"/>
      <c r="D5828" s="435"/>
      <c r="E5828" s="91"/>
      <c r="F5828" s="185"/>
      <c r="G5828" s="168"/>
      <c r="H5828" s="139"/>
      <c r="M5828" s="185"/>
    </row>
    <row r="5829" spans="2:13" ht="18.75" customHeight="1" x14ac:dyDescent="0.25">
      <c r="B5829" s="19">
        <f>B5804+1</f>
        <v>10</v>
      </c>
      <c r="C5829" s="93" t="s">
        <v>1107</v>
      </c>
      <c r="D5829" s="19"/>
      <c r="E5829" s="21"/>
      <c r="F5829" s="176"/>
      <c r="G5829" s="165"/>
      <c r="H5829" s="119"/>
      <c r="M5829" s="176"/>
    </row>
    <row r="5830" spans="2:13" ht="18.75" customHeight="1" x14ac:dyDescent="0.25">
      <c r="B5830" s="618" t="s">
        <v>620</v>
      </c>
      <c r="C5830" s="620" t="s">
        <v>621</v>
      </c>
      <c r="D5830" s="618" t="s">
        <v>622</v>
      </c>
      <c r="E5830" s="618" t="s">
        <v>2</v>
      </c>
      <c r="F5830" s="615" t="s">
        <v>623</v>
      </c>
      <c r="G5830" s="289" t="s">
        <v>624</v>
      </c>
      <c r="H5830" s="256" t="s">
        <v>625</v>
      </c>
      <c r="M5830" s="615" t="s">
        <v>623</v>
      </c>
    </row>
    <row r="5831" spans="2:13" ht="18.75" customHeight="1" x14ac:dyDescent="0.25">
      <c r="B5831" s="619"/>
      <c r="C5831" s="621"/>
      <c r="D5831" s="619"/>
      <c r="E5831" s="619"/>
      <c r="F5831" s="616"/>
      <c r="G5831" s="289" t="s">
        <v>626</v>
      </c>
      <c r="H5831" s="256" t="s">
        <v>626</v>
      </c>
      <c r="M5831" s="616"/>
    </row>
    <row r="5832" spans="2:13" ht="18.75" customHeight="1" x14ac:dyDescent="0.25">
      <c r="B5832" s="221"/>
      <c r="C5832" s="222"/>
      <c r="D5832" s="221"/>
      <c r="E5832" s="550"/>
      <c r="F5832" s="555"/>
      <c r="G5832" s="551"/>
      <c r="H5832" s="220"/>
      <c r="M5832" s="590"/>
    </row>
    <row r="5833" spans="2:13" ht="18.75" customHeight="1" x14ac:dyDescent="0.25">
      <c r="B5833" s="550" t="s">
        <v>627</v>
      </c>
      <c r="C5833" s="223" t="s">
        <v>628</v>
      </c>
      <c r="D5833" s="550"/>
      <c r="E5833" s="224"/>
      <c r="F5833" s="225"/>
      <c r="G5833" s="290"/>
      <c r="H5833" s="226"/>
      <c r="M5833" s="225"/>
    </row>
    <row r="5834" spans="2:13" ht="18.75" customHeight="1" x14ac:dyDescent="0.25">
      <c r="B5834" s="550"/>
      <c r="C5834" s="227" t="s">
        <v>629</v>
      </c>
      <c r="D5834" s="550" t="s">
        <v>630</v>
      </c>
      <c r="E5834" s="224" t="s">
        <v>631</v>
      </c>
      <c r="F5834" s="228">
        <f t="shared" ref="F5834:F5837" si="262">$K$8*M5834</f>
        <v>0.35</v>
      </c>
      <c r="G5834" s="229">
        <f>G5809</f>
        <v>95000</v>
      </c>
      <c r="H5834" s="230">
        <f>+G5834*F5834</f>
        <v>33250</v>
      </c>
      <c r="J5834" s="80"/>
      <c r="M5834" s="228">
        <v>0.35</v>
      </c>
    </row>
    <row r="5835" spans="2:13" ht="18.75" customHeight="1" x14ac:dyDescent="0.25">
      <c r="B5835" s="550"/>
      <c r="C5835" s="227" t="s">
        <v>1508</v>
      </c>
      <c r="D5835" s="550" t="s">
        <v>632</v>
      </c>
      <c r="E5835" s="224" t="s">
        <v>631</v>
      </c>
      <c r="F5835" s="228">
        <f t="shared" si="262"/>
        <v>0.35</v>
      </c>
      <c r="G5835" s="229">
        <f>G5810</f>
        <v>110000</v>
      </c>
      <c r="H5835" s="230">
        <f>+G5835*F5835</f>
        <v>38500</v>
      </c>
      <c r="J5835" s="474"/>
      <c r="M5835" s="228">
        <v>0.35</v>
      </c>
    </row>
    <row r="5836" spans="2:13" ht="18.75" customHeight="1" x14ac:dyDescent="0.25">
      <c r="B5836" s="550"/>
      <c r="C5836" s="227" t="s">
        <v>633</v>
      </c>
      <c r="D5836" s="550" t="s">
        <v>634</v>
      </c>
      <c r="E5836" s="224" t="s">
        <v>631</v>
      </c>
      <c r="F5836" s="228">
        <f t="shared" si="262"/>
        <v>3.5000000000000003E-2</v>
      </c>
      <c r="G5836" s="229">
        <f>G5811</f>
        <v>115000</v>
      </c>
      <c r="H5836" s="230">
        <f>+G5836*F5836</f>
        <v>4025.0000000000005</v>
      </c>
      <c r="J5836" s="474"/>
      <c r="M5836" s="228">
        <v>3.5000000000000003E-2</v>
      </c>
    </row>
    <row r="5837" spans="2:13" ht="18.75" customHeight="1" x14ac:dyDescent="0.25">
      <c r="B5837" s="550"/>
      <c r="C5837" s="227" t="s">
        <v>600</v>
      </c>
      <c r="D5837" s="550" t="s">
        <v>635</v>
      </c>
      <c r="E5837" s="224" t="s">
        <v>631</v>
      </c>
      <c r="F5837" s="228">
        <f t="shared" si="262"/>
        <v>1.7999999999999999E-2</v>
      </c>
      <c r="G5837" s="229">
        <f>G5812</f>
        <v>140000</v>
      </c>
      <c r="H5837" s="230">
        <f>+G5837*F5837</f>
        <v>2520</v>
      </c>
      <c r="J5837" s="474"/>
      <c r="M5837" s="228">
        <v>1.7999999999999999E-2</v>
      </c>
    </row>
    <row r="5838" spans="2:13" ht="18.75" customHeight="1" x14ac:dyDescent="0.25">
      <c r="B5838" s="550"/>
      <c r="C5838" s="223"/>
      <c r="D5838" s="550"/>
      <c r="E5838" s="224"/>
      <c r="F5838" s="233" t="s">
        <v>636</v>
      </c>
      <c r="G5838" s="290"/>
      <c r="H5838" s="231">
        <f>SUM(H5834:H5837)</f>
        <v>78295</v>
      </c>
      <c r="J5838" s="474"/>
      <c r="M5838" s="233" t="s">
        <v>636</v>
      </c>
    </row>
    <row r="5839" spans="2:13" ht="18.75" customHeight="1" x14ac:dyDescent="0.25">
      <c r="B5839" s="550"/>
      <c r="C5839" s="223"/>
      <c r="D5839" s="550"/>
      <c r="E5839" s="224"/>
      <c r="F5839" s="233"/>
      <c r="G5839" s="290"/>
      <c r="H5839" s="231"/>
      <c r="J5839" s="474"/>
      <c r="M5839" s="233"/>
    </row>
    <row r="5840" spans="2:13" ht="18.75" customHeight="1" x14ac:dyDescent="0.25">
      <c r="B5840" s="550" t="s">
        <v>637</v>
      </c>
      <c r="C5840" s="223" t="s">
        <v>638</v>
      </c>
      <c r="D5840" s="550"/>
      <c r="E5840" s="224"/>
      <c r="F5840" s="225"/>
      <c r="G5840" s="290"/>
      <c r="H5840" s="226"/>
      <c r="M5840" s="225"/>
    </row>
    <row r="5841" spans="2:13" ht="18.75" customHeight="1" x14ac:dyDescent="0.25">
      <c r="B5841" s="550"/>
      <c r="C5841" s="223" t="s">
        <v>1108</v>
      </c>
      <c r="D5841" s="550"/>
      <c r="E5841" s="550" t="s">
        <v>14</v>
      </c>
      <c r="F5841" s="405">
        <v>4</v>
      </c>
      <c r="G5841" s="567">
        <f>Bahan!D146/4</f>
        <v>11250</v>
      </c>
      <c r="H5841" s="230">
        <f>+G5841*F5841</f>
        <v>45000</v>
      </c>
      <c r="M5841" s="405">
        <v>4</v>
      </c>
    </row>
    <row r="5842" spans="2:13" ht="18.75" customHeight="1" x14ac:dyDescent="0.25">
      <c r="B5842" s="550"/>
      <c r="C5842" s="223" t="s">
        <v>1109</v>
      </c>
      <c r="D5842" s="550"/>
      <c r="E5842" s="550" t="s">
        <v>546</v>
      </c>
      <c r="F5842" s="405">
        <v>0.11</v>
      </c>
      <c r="G5842" s="567">
        <f>0.5*G5841</f>
        <v>5625</v>
      </c>
      <c r="H5842" s="230">
        <f>+G5842*F5842</f>
        <v>618.75</v>
      </c>
      <c r="M5842" s="405">
        <v>0.11</v>
      </c>
    </row>
    <row r="5843" spans="2:13" ht="18.75" customHeight="1" x14ac:dyDescent="0.25">
      <c r="B5843" s="550"/>
      <c r="C5843" s="223"/>
      <c r="D5843" s="550"/>
      <c r="E5843" s="224"/>
      <c r="F5843" s="237" t="s">
        <v>643</v>
      </c>
      <c r="G5843" s="290"/>
      <c r="H5843" s="231">
        <f>SUM(H5841:H5842)</f>
        <v>45618.75</v>
      </c>
      <c r="M5843" s="237" t="s">
        <v>643</v>
      </c>
    </row>
    <row r="5844" spans="2:13" ht="18.75" customHeight="1" x14ac:dyDescent="0.25">
      <c r="B5844" s="550"/>
      <c r="C5844" s="223"/>
      <c r="D5844" s="550"/>
      <c r="E5844" s="224"/>
      <c r="F5844" s="225"/>
      <c r="G5844" s="290"/>
      <c r="H5844" s="226"/>
      <c r="M5844" s="225"/>
    </row>
    <row r="5845" spans="2:13" ht="18.75" customHeight="1" x14ac:dyDescent="0.25">
      <c r="B5845" s="550" t="s">
        <v>644</v>
      </c>
      <c r="C5845" s="223" t="s">
        <v>645</v>
      </c>
      <c r="D5845" s="550"/>
      <c r="E5845" s="224"/>
      <c r="F5845" s="225"/>
      <c r="G5845" s="290"/>
      <c r="H5845" s="235"/>
      <c r="M5845" s="225"/>
    </row>
    <row r="5846" spans="2:13" ht="18.75" customHeight="1" x14ac:dyDescent="0.25">
      <c r="B5846" s="236"/>
      <c r="C5846" s="232"/>
      <c r="D5846" s="550"/>
      <c r="E5846" s="224"/>
      <c r="F5846" s="237" t="s">
        <v>646</v>
      </c>
      <c r="G5846" s="290"/>
      <c r="H5846" s="230"/>
      <c r="M5846" s="237" t="s">
        <v>646</v>
      </c>
    </row>
    <row r="5847" spans="2:13" ht="18.75" customHeight="1" x14ac:dyDescent="0.25">
      <c r="B5847" s="236"/>
      <c r="C5847" s="562"/>
      <c r="D5847" s="563"/>
      <c r="E5847" s="564"/>
      <c r="F5847" s="565"/>
      <c r="G5847" s="566"/>
      <c r="H5847" s="226"/>
      <c r="M5847" s="565"/>
    </row>
    <row r="5848" spans="2:13" ht="18.75" customHeight="1" x14ac:dyDescent="0.25">
      <c r="B5848" s="354"/>
      <c r="C5848" s="362"/>
      <c r="D5848" s="239"/>
      <c r="E5848" s="240"/>
      <c r="F5848" s="241"/>
      <c r="G5848" s="293"/>
      <c r="H5848" s="355"/>
      <c r="M5848" s="241"/>
    </row>
    <row r="5849" spans="2:13" ht="18.75" customHeight="1" x14ac:dyDescent="0.25">
      <c r="B5849" s="356" t="s">
        <v>649</v>
      </c>
      <c r="C5849" s="363" t="s">
        <v>648</v>
      </c>
      <c r="D5849" s="435"/>
      <c r="E5849" s="92"/>
      <c r="F5849" s="183"/>
      <c r="G5849" s="295"/>
      <c r="H5849" s="357">
        <f>H5838+H5843</f>
        <v>123913.75</v>
      </c>
      <c r="M5849" s="183"/>
    </row>
    <row r="5850" spans="2:13" ht="18.75" customHeight="1" x14ac:dyDescent="0.25">
      <c r="B5850" s="356" t="s">
        <v>649</v>
      </c>
      <c r="C5850" s="364" t="s">
        <v>650</v>
      </c>
      <c r="D5850" s="435"/>
      <c r="E5850" s="92"/>
      <c r="F5850" s="184" t="str">
        <f>$J$5</f>
        <v>8,0 % x D</v>
      </c>
      <c r="G5850" s="295"/>
      <c r="H5850" s="358">
        <f>+H5849*$K$5</f>
        <v>9913.1</v>
      </c>
      <c r="M5850" s="184" t="str">
        <f>$J$5</f>
        <v>8,0 % x D</v>
      </c>
    </row>
    <row r="5851" spans="2:13" ht="18.75" customHeight="1" x14ac:dyDescent="0.25">
      <c r="B5851" s="356" t="s">
        <v>651</v>
      </c>
      <c r="C5851" s="365" t="s">
        <v>652</v>
      </c>
      <c r="D5851" s="435"/>
      <c r="E5851" s="91"/>
      <c r="F5851" s="185"/>
      <c r="G5851" s="296"/>
      <c r="H5851" s="359">
        <f>ROUNDUP((H5850+H5849)/100,0)*100</f>
        <v>133900</v>
      </c>
      <c r="M5851" s="185"/>
    </row>
    <row r="5852" spans="2:13" ht="18.75" customHeight="1" x14ac:dyDescent="0.25">
      <c r="B5852" s="360"/>
      <c r="C5852" s="366"/>
      <c r="D5852" s="245"/>
      <c r="E5852" s="246"/>
      <c r="F5852" s="247"/>
      <c r="G5852" s="299"/>
      <c r="H5852" s="361"/>
      <c r="M5852" s="247"/>
    </row>
    <row r="5853" spans="2:13" ht="18.75" customHeight="1" x14ac:dyDescent="0.25">
      <c r="G5853" s="66"/>
      <c r="H5853" s="138"/>
    </row>
    <row r="5854" spans="2:13" ht="18.75" customHeight="1" x14ac:dyDescent="0.25">
      <c r="B5854" s="19">
        <f>B5829+1</f>
        <v>11</v>
      </c>
      <c r="C5854" s="93" t="s">
        <v>1110</v>
      </c>
      <c r="D5854" s="19"/>
      <c r="E5854" s="21"/>
      <c r="F5854" s="176"/>
      <c r="G5854" s="165"/>
      <c r="H5854" s="119"/>
      <c r="M5854" s="176"/>
    </row>
    <row r="5855" spans="2:13" ht="18.75" customHeight="1" x14ac:dyDescent="0.25">
      <c r="B5855" s="618" t="s">
        <v>620</v>
      </c>
      <c r="C5855" s="620" t="s">
        <v>621</v>
      </c>
      <c r="D5855" s="618" t="s">
        <v>622</v>
      </c>
      <c r="E5855" s="618" t="s">
        <v>2</v>
      </c>
      <c r="F5855" s="615" t="s">
        <v>623</v>
      </c>
      <c r="G5855" s="289" t="s">
        <v>624</v>
      </c>
      <c r="H5855" s="256" t="s">
        <v>625</v>
      </c>
      <c r="M5855" s="615" t="s">
        <v>623</v>
      </c>
    </row>
    <row r="5856" spans="2:13" ht="18.75" customHeight="1" x14ac:dyDescent="0.25">
      <c r="B5856" s="619"/>
      <c r="C5856" s="621"/>
      <c r="D5856" s="619"/>
      <c r="E5856" s="619"/>
      <c r="F5856" s="616"/>
      <c r="G5856" s="289" t="s">
        <v>626</v>
      </c>
      <c r="H5856" s="256" t="s">
        <v>626</v>
      </c>
      <c r="M5856" s="616"/>
    </row>
    <row r="5857" spans="2:13" ht="18.75" customHeight="1" x14ac:dyDescent="0.25">
      <c r="B5857" s="221"/>
      <c r="C5857" s="222"/>
      <c r="D5857" s="221"/>
      <c r="E5857" s="550"/>
      <c r="F5857" s="555"/>
      <c r="G5857" s="551"/>
      <c r="H5857" s="220"/>
      <c r="M5857" s="590"/>
    </row>
    <row r="5858" spans="2:13" ht="18.75" customHeight="1" x14ac:dyDescent="0.25">
      <c r="B5858" s="550" t="s">
        <v>627</v>
      </c>
      <c r="C5858" s="223" t="s">
        <v>628</v>
      </c>
      <c r="D5858" s="550"/>
      <c r="E5858" s="224"/>
      <c r="F5858" s="225"/>
      <c r="G5858" s="290"/>
      <c r="H5858" s="226"/>
      <c r="M5858" s="225"/>
    </row>
    <row r="5859" spans="2:13" ht="18.75" customHeight="1" x14ac:dyDescent="0.25">
      <c r="B5859" s="550"/>
      <c r="C5859" s="227" t="s">
        <v>629</v>
      </c>
      <c r="D5859" s="550" t="s">
        <v>630</v>
      </c>
      <c r="E5859" s="224" t="s">
        <v>631</v>
      </c>
      <c r="F5859" s="228">
        <f t="shared" ref="F5859:F5862" si="263">$K$8*M5859</f>
        <v>0.5</v>
      </c>
      <c r="G5859" s="229">
        <f>G5834</f>
        <v>95000</v>
      </c>
      <c r="H5859" s="230">
        <f>+G5859*F5859</f>
        <v>47500</v>
      </c>
      <c r="M5859" s="228">
        <v>0.5</v>
      </c>
    </row>
    <row r="5860" spans="2:13" ht="18.75" customHeight="1" x14ac:dyDescent="0.25">
      <c r="B5860" s="550"/>
      <c r="C5860" s="227" t="s">
        <v>1508</v>
      </c>
      <c r="D5860" s="550" t="s">
        <v>632</v>
      </c>
      <c r="E5860" s="224" t="s">
        <v>631</v>
      </c>
      <c r="F5860" s="228">
        <f t="shared" si="263"/>
        <v>0.5</v>
      </c>
      <c r="G5860" s="229">
        <f>G5835</f>
        <v>110000</v>
      </c>
      <c r="H5860" s="230">
        <f>+G5860*F5860</f>
        <v>55000</v>
      </c>
      <c r="M5860" s="228">
        <v>0.5</v>
      </c>
    </row>
    <row r="5861" spans="2:13" ht="18.75" customHeight="1" x14ac:dyDescent="0.25">
      <c r="B5861" s="550"/>
      <c r="C5861" s="227" t="s">
        <v>633</v>
      </c>
      <c r="D5861" s="550" t="s">
        <v>634</v>
      </c>
      <c r="E5861" s="224" t="s">
        <v>631</v>
      </c>
      <c r="F5861" s="228">
        <f t="shared" si="263"/>
        <v>7.4999999999999997E-2</v>
      </c>
      <c r="G5861" s="229">
        <f>G5836</f>
        <v>115000</v>
      </c>
      <c r="H5861" s="230">
        <f>+G5861*F5861</f>
        <v>8625</v>
      </c>
      <c r="M5861" s="228">
        <v>7.4999999999999997E-2</v>
      </c>
    </row>
    <row r="5862" spans="2:13" ht="18.75" customHeight="1" x14ac:dyDescent="0.25">
      <c r="B5862" s="550"/>
      <c r="C5862" s="227" t="s">
        <v>600</v>
      </c>
      <c r="D5862" s="550" t="s">
        <v>635</v>
      </c>
      <c r="E5862" s="224" t="s">
        <v>631</v>
      </c>
      <c r="F5862" s="228">
        <f t="shared" si="263"/>
        <v>2.5000000000000001E-2</v>
      </c>
      <c r="G5862" s="229">
        <f>G5837</f>
        <v>140000</v>
      </c>
      <c r="H5862" s="230">
        <f>+G5862*F5862</f>
        <v>3500</v>
      </c>
      <c r="M5862" s="228">
        <v>2.5000000000000001E-2</v>
      </c>
    </row>
    <row r="5863" spans="2:13" ht="18.75" customHeight="1" x14ac:dyDescent="0.25">
      <c r="B5863" s="550"/>
      <c r="C5863" s="223"/>
      <c r="D5863" s="550"/>
      <c r="E5863" s="224"/>
      <c r="F5863" s="233" t="s">
        <v>636</v>
      </c>
      <c r="G5863" s="290"/>
      <c r="H5863" s="231">
        <f>SUM(H5859:H5862)</f>
        <v>114625</v>
      </c>
      <c r="M5863" s="233" t="s">
        <v>636</v>
      </c>
    </row>
    <row r="5864" spans="2:13" ht="18.75" customHeight="1" x14ac:dyDescent="0.25">
      <c r="B5864" s="550"/>
      <c r="C5864" s="223"/>
      <c r="D5864" s="550"/>
      <c r="E5864" s="224"/>
      <c r="F5864" s="233"/>
      <c r="G5864" s="290"/>
      <c r="H5864" s="230"/>
      <c r="M5864" s="233"/>
    </row>
    <row r="5865" spans="2:13" ht="18.75" customHeight="1" x14ac:dyDescent="0.25">
      <c r="B5865" s="550" t="s">
        <v>637</v>
      </c>
      <c r="C5865" s="223" t="s">
        <v>638</v>
      </c>
      <c r="D5865" s="550"/>
      <c r="E5865" s="224"/>
      <c r="F5865" s="225"/>
      <c r="G5865" s="290"/>
      <c r="H5865" s="226"/>
      <c r="M5865" s="225"/>
    </row>
    <row r="5866" spans="2:13" ht="18.75" customHeight="1" x14ac:dyDescent="0.25">
      <c r="B5866" s="550"/>
      <c r="C5866" s="223" t="s">
        <v>1111</v>
      </c>
      <c r="D5866" s="550"/>
      <c r="E5866" s="550" t="s">
        <v>147</v>
      </c>
      <c r="F5866" s="405">
        <v>3.6</v>
      </c>
      <c r="G5866" s="418">
        <f>Bahan!D485</f>
        <v>18000</v>
      </c>
      <c r="H5866" s="230">
        <f>+G5866*F5866</f>
        <v>64800</v>
      </c>
      <c r="M5866" s="405">
        <v>3.6</v>
      </c>
    </row>
    <row r="5867" spans="2:13" ht="18.75" customHeight="1" x14ac:dyDescent="0.25">
      <c r="B5867" s="550"/>
      <c r="C5867" s="223" t="s">
        <v>144</v>
      </c>
      <c r="D5867" s="550"/>
      <c r="E5867" s="550" t="s">
        <v>5</v>
      </c>
      <c r="F5867" s="405">
        <v>0.15</v>
      </c>
      <c r="G5867" s="418">
        <f>Bahan!D156</f>
        <v>15000</v>
      </c>
      <c r="H5867" s="230">
        <f>+G5867*F5867</f>
        <v>2250</v>
      </c>
      <c r="M5867" s="405">
        <v>0.15</v>
      </c>
    </row>
    <row r="5868" spans="2:13" ht="18.75" customHeight="1" x14ac:dyDescent="0.25">
      <c r="B5868" s="550"/>
      <c r="C5868" s="223" t="s">
        <v>438</v>
      </c>
      <c r="D5868" s="550"/>
      <c r="E5868" s="550" t="s">
        <v>122</v>
      </c>
      <c r="F5868" s="405">
        <v>1.05</v>
      </c>
      <c r="G5868" s="418">
        <f>Bahan!D486</f>
        <v>15000</v>
      </c>
      <c r="H5868" s="230">
        <f>+G5868*F5868</f>
        <v>15750</v>
      </c>
      <c r="M5868" s="405">
        <v>1.05</v>
      </c>
    </row>
    <row r="5869" spans="2:13" ht="18.75" customHeight="1" x14ac:dyDescent="0.25">
      <c r="B5869" s="550"/>
      <c r="C5869" s="223" t="s">
        <v>1112</v>
      </c>
      <c r="D5869" s="550"/>
      <c r="E5869" s="550" t="s">
        <v>345</v>
      </c>
      <c r="F5869" s="405">
        <v>1.5</v>
      </c>
      <c r="G5869" s="418">
        <f>G5665</f>
        <v>57000</v>
      </c>
      <c r="H5869" s="230">
        <f>+G5869*F5869</f>
        <v>85500</v>
      </c>
      <c r="M5869" s="405">
        <v>1.5</v>
      </c>
    </row>
    <row r="5870" spans="2:13" ht="18.75" customHeight="1" x14ac:dyDescent="0.25">
      <c r="B5870" s="550"/>
      <c r="C5870" s="223"/>
      <c r="D5870" s="550"/>
      <c r="E5870" s="224"/>
      <c r="F5870" s="237" t="s">
        <v>643</v>
      </c>
      <c r="G5870" s="290"/>
      <c r="H5870" s="231">
        <f>SUM(H5866:H5866)</f>
        <v>64800</v>
      </c>
      <c r="M5870" s="237" t="s">
        <v>643</v>
      </c>
    </row>
    <row r="5871" spans="2:13" ht="18.75" customHeight="1" x14ac:dyDescent="0.25">
      <c r="B5871" s="550"/>
      <c r="C5871" s="223"/>
      <c r="D5871" s="550"/>
      <c r="E5871" s="224"/>
      <c r="F5871" s="225"/>
      <c r="G5871" s="290"/>
      <c r="H5871" s="226"/>
      <c r="M5871" s="225"/>
    </row>
    <row r="5872" spans="2:13" ht="18.75" customHeight="1" x14ac:dyDescent="0.25">
      <c r="B5872" s="550" t="s">
        <v>644</v>
      </c>
      <c r="C5872" s="223" t="s">
        <v>645</v>
      </c>
      <c r="D5872" s="550"/>
      <c r="E5872" s="224"/>
      <c r="F5872" s="225"/>
      <c r="G5872" s="290"/>
      <c r="H5872" s="235"/>
      <c r="M5872" s="225"/>
    </row>
    <row r="5873" spans="2:13" ht="18.75" customHeight="1" x14ac:dyDescent="0.25">
      <c r="B5873" s="236"/>
      <c r="C5873" s="232"/>
      <c r="D5873" s="550"/>
      <c r="E5873" s="224"/>
      <c r="F5873" s="237" t="s">
        <v>646</v>
      </c>
      <c r="G5873" s="290"/>
      <c r="H5873" s="230"/>
      <c r="M5873" s="237" t="s">
        <v>646</v>
      </c>
    </row>
    <row r="5874" spans="2:13" ht="18.75" customHeight="1" x14ac:dyDescent="0.25">
      <c r="B5874" s="236"/>
      <c r="C5874" s="562"/>
      <c r="D5874" s="563"/>
      <c r="E5874" s="564"/>
      <c r="F5874" s="565"/>
      <c r="G5874" s="566"/>
      <c r="H5874" s="226"/>
      <c r="M5874" s="565"/>
    </row>
    <row r="5875" spans="2:13" ht="18.75" customHeight="1" x14ac:dyDescent="0.25">
      <c r="B5875" s="354"/>
      <c r="C5875" s="362"/>
      <c r="D5875" s="239"/>
      <c r="E5875" s="240"/>
      <c r="F5875" s="241"/>
      <c r="G5875" s="293"/>
      <c r="H5875" s="355"/>
      <c r="M5875" s="241"/>
    </row>
    <row r="5876" spans="2:13" ht="18.75" customHeight="1" x14ac:dyDescent="0.25">
      <c r="B5876" s="356" t="s">
        <v>647</v>
      </c>
      <c r="C5876" s="363" t="s">
        <v>648</v>
      </c>
      <c r="D5876" s="435"/>
      <c r="E5876" s="92"/>
      <c r="F5876" s="183"/>
      <c r="G5876" s="295"/>
      <c r="H5876" s="357">
        <f>+H5873+H5870+H5863</f>
        <v>179425</v>
      </c>
      <c r="M5876" s="183"/>
    </row>
    <row r="5877" spans="2:13" ht="18.75" customHeight="1" x14ac:dyDescent="0.25">
      <c r="B5877" s="356" t="s">
        <v>649</v>
      </c>
      <c r="C5877" s="364" t="s">
        <v>650</v>
      </c>
      <c r="D5877" s="435"/>
      <c r="E5877" s="92"/>
      <c r="F5877" s="184" t="str">
        <f>$J$5</f>
        <v>8,0 % x D</v>
      </c>
      <c r="G5877" s="295"/>
      <c r="H5877" s="358">
        <f>+H5876*$K$5</f>
        <v>14354</v>
      </c>
      <c r="M5877" s="184" t="str">
        <f>$J$5</f>
        <v>8,0 % x D</v>
      </c>
    </row>
    <row r="5878" spans="2:13" ht="18.75" customHeight="1" x14ac:dyDescent="0.25">
      <c r="B5878" s="356" t="s">
        <v>651</v>
      </c>
      <c r="C5878" s="365" t="s">
        <v>652</v>
      </c>
      <c r="D5878" s="435"/>
      <c r="E5878" s="91"/>
      <c r="F5878" s="185"/>
      <c r="G5878" s="296"/>
      <c r="H5878" s="359">
        <f>ROUNDUP((H5877+H5876)/100,0)*100</f>
        <v>193800</v>
      </c>
      <c r="M5878" s="185"/>
    </row>
    <row r="5879" spans="2:13" ht="18.75" customHeight="1" x14ac:dyDescent="0.25">
      <c r="B5879" s="360"/>
      <c r="C5879" s="366"/>
      <c r="D5879" s="245"/>
      <c r="E5879" s="246"/>
      <c r="F5879" s="247"/>
      <c r="G5879" s="299"/>
      <c r="H5879" s="361"/>
      <c r="M5879" s="247"/>
    </row>
    <row r="5880" spans="2:13" ht="18.75" customHeight="1" x14ac:dyDescent="0.25">
      <c r="B5880" s="92"/>
      <c r="C5880" s="104"/>
      <c r="D5880" s="435"/>
      <c r="E5880" s="91"/>
      <c r="F5880" s="185"/>
      <c r="G5880" s="168"/>
      <c r="H5880" s="139"/>
      <c r="M5880" s="185"/>
    </row>
    <row r="5881" spans="2:13" ht="18.75" customHeight="1" x14ac:dyDescent="0.25">
      <c r="B5881" s="19" t="s">
        <v>1728</v>
      </c>
      <c r="C5881" s="93" t="s">
        <v>1808</v>
      </c>
      <c r="D5881" s="19"/>
      <c r="E5881" s="21"/>
      <c r="F5881" s="176"/>
      <c r="G5881" s="165"/>
      <c r="H5881" s="119"/>
      <c r="M5881" s="176"/>
    </row>
    <row r="5882" spans="2:13" ht="18.75" customHeight="1" x14ac:dyDescent="0.25">
      <c r="B5882" s="19" t="s">
        <v>1729</v>
      </c>
      <c r="C5882" s="93" t="s">
        <v>1809</v>
      </c>
      <c r="D5882" s="19"/>
      <c r="E5882" s="21"/>
      <c r="F5882" s="176"/>
      <c r="G5882" s="165"/>
      <c r="H5882" s="119"/>
      <c r="M5882" s="176"/>
    </row>
    <row r="5883" spans="2:13" ht="18.75" customHeight="1" x14ac:dyDescent="0.25">
      <c r="B5883" s="618" t="s">
        <v>620</v>
      </c>
      <c r="C5883" s="620" t="s">
        <v>621</v>
      </c>
      <c r="D5883" s="618" t="s">
        <v>622</v>
      </c>
      <c r="E5883" s="618" t="s">
        <v>2</v>
      </c>
      <c r="F5883" s="615" t="s">
        <v>623</v>
      </c>
      <c r="G5883" s="289" t="s">
        <v>624</v>
      </c>
      <c r="H5883" s="256" t="s">
        <v>625</v>
      </c>
      <c r="M5883" s="615" t="s">
        <v>623</v>
      </c>
    </row>
    <row r="5884" spans="2:13" ht="18.75" customHeight="1" x14ac:dyDescent="0.25">
      <c r="B5884" s="619"/>
      <c r="C5884" s="621"/>
      <c r="D5884" s="619"/>
      <c r="E5884" s="619"/>
      <c r="F5884" s="616"/>
      <c r="G5884" s="289" t="s">
        <v>626</v>
      </c>
      <c r="H5884" s="256" t="s">
        <v>626</v>
      </c>
      <c r="M5884" s="616"/>
    </row>
    <row r="5885" spans="2:13" ht="18.75" customHeight="1" x14ac:dyDescent="0.25">
      <c r="B5885" s="221"/>
      <c r="C5885" s="222"/>
      <c r="D5885" s="221"/>
      <c r="E5885" s="550"/>
      <c r="F5885" s="555"/>
      <c r="G5885" s="551"/>
      <c r="H5885" s="220"/>
      <c r="M5885" s="590"/>
    </row>
    <row r="5886" spans="2:13" ht="18.75" customHeight="1" x14ac:dyDescent="0.25">
      <c r="B5886" s="550" t="s">
        <v>627</v>
      </c>
      <c r="C5886" s="223" t="s">
        <v>628</v>
      </c>
      <c r="D5886" s="550"/>
      <c r="E5886" s="224"/>
      <c r="F5886" s="225"/>
      <c r="G5886" s="290"/>
      <c r="H5886" s="226"/>
      <c r="M5886" s="225"/>
    </row>
    <row r="5887" spans="2:13" ht="18.75" customHeight="1" x14ac:dyDescent="0.25">
      <c r="B5887" s="550"/>
      <c r="C5887" s="227" t="s">
        <v>629</v>
      </c>
      <c r="D5887" s="550" t="s">
        <v>630</v>
      </c>
      <c r="E5887" s="224" t="s">
        <v>631</v>
      </c>
      <c r="F5887" s="228">
        <f t="shared" ref="F5887:F5890" si="264">$K$8*M5887</f>
        <v>7.4999999999999997E-2</v>
      </c>
      <c r="G5887" s="229">
        <f>G5859</f>
        <v>95000</v>
      </c>
      <c r="H5887" s="230">
        <f>+G5887*F5887</f>
        <v>7125</v>
      </c>
      <c r="M5887" s="228">
        <v>7.4999999999999997E-2</v>
      </c>
    </row>
    <row r="5888" spans="2:13" ht="18.75" customHeight="1" x14ac:dyDescent="0.25">
      <c r="B5888" s="550"/>
      <c r="C5888" s="227" t="s">
        <v>1508</v>
      </c>
      <c r="D5888" s="550" t="s">
        <v>632</v>
      </c>
      <c r="E5888" s="224" t="s">
        <v>631</v>
      </c>
      <c r="F5888" s="228">
        <f t="shared" si="264"/>
        <v>7.4999999999999997E-2</v>
      </c>
      <c r="G5888" s="229">
        <f>G5860</f>
        <v>110000</v>
      </c>
      <c r="H5888" s="230">
        <f>+G5888*F5888</f>
        <v>8250</v>
      </c>
      <c r="M5888" s="228">
        <v>7.4999999999999997E-2</v>
      </c>
    </row>
    <row r="5889" spans="2:13" ht="18.75" customHeight="1" x14ac:dyDescent="0.25">
      <c r="B5889" s="550"/>
      <c r="C5889" s="227" t="s">
        <v>633</v>
      </c>
      <c r="D5889" s="550" t="s">
        <v>634</v>
      </c>
      <c r="E5889" s="224" t="s">
        <v>631</v>
      </c>
      <c r="F5889" s="228">
        <f t="shared" si="264"/>
        <v>5.0000000000000001E-3</v>
      </c>
      <c r="G5889" s="229">
        <f>G5861</f>
        <v>115000</v>
      </c>
      <c r="H5889" s="230">
        <f>+G5889*F5889</f>
        <v>575</v>
      </c>
      <c r="M5889" s="228">
        <v>5.0000000000000001E-3</v>
      </c>
    </row>
    <row r="5890" spans="2:13" ht="18.75" customHeight="1" x14ac:dyDescent="0.25">
      <c r="B5890" s="550"/>
      <c r="C5890" s="227" t="s">
        <v>600</v>
      </c>
      <c r="D5890" s="550" t="s">
        <v>635</v>
      </c>
      <c r="E5890" s="224" t="s">
        <v>631</v>
      </c>
      <c r="F5890" s="228">
        <f t="shared" si="264"/>
        <v>3.0000000000000001E-3</v>
      </c>
      <c r="G5890" s="229">
        <f>G5862</f>
        <v>140000</v>
      </c>
      <c r="H5890" s="230">
        <f>+G5890*F5890</f>
        <v>420</v>
      </c>
      <c r="M5890" s="228">
        <v>3.0000000000000001E-3</v>
      </c>
    </row>
    <row r="5891" spans="2:13" ht="18.75" customHeight="1" x14ac:dyDescent="0.25">
      <c r="B5891" s="550"/>
      <c r="C5891" s="223"/>
      <c r="D5891" s="550"/>
      <c r="E5891" s="224"/>
      <c r="F5891" s="233" t="s">
        <v>636</v>
      </c>
      <c r="G5891" s="290"/>
      <c r="H5891" s="231">
        <f>SUM(H5887:H5890)</f>
        <v>16370</v>
      </c>
      <c r="M5891" s="233" t="s">
        <v>636</v>
      </c>
    </row>
    <row r="5892" spans="2:13" ht="18.75" customHeight="1" x14ac:dyDescent="0.25">
      <c r="B5892" s="550"/>
      <c r="C5892" s="223"/>
      <c r="D5892" s="550"/>
      <c r="E5892" s="224"/>
      <c r="F5892" s="233"/>
      <c r="G5892" s="290"/>
      <c r="H5892" s="231"/>
      <c r="M5892" s="233"/>
    </row>
    <row r="5893" spans="2:13" ht="18.75" customHeight="1" x14ac:dyDescent="0.25">
      <c r="B5893" s="550" t="s">
        <v>637</v>
      </c>
      <c r="C5893" s="223" t="s">
        <v>638</v>
      </c>
      <c r="D5893" s="550"/>
      <c r="E5893" s="224"/>
      <c r="F5893" s="225"/>
      <c r="G5893" s="290"/>
      <c r="H5893" s="226"/>
      <c r="M5893" s="225"/>
    </row>
    <row r="5894" spans="2:13" ht="18.75" customHeight="1" x14ac:dyDescent="0.25">
      <c r="B5894" s="550"/>
      <c r="C5894" s="223" t="s">
        <v>1113</v>
      </c>
      <c r="D5894" s="550"/>
      <c r="E5894" s="550" t="s">
        <v>14</v>
      </c>
      <c r="F5894" s="405">
        <v>1.05</v>
      </c>
      <c r="G5894" s="418">
        <f>Bahan!D268/4</f>
        <v>9375</v>
      </c>
      <c r="H5894" s="230">
        <f>+G5894*F5894</f>
        <v>9843.75</v>
      </c>
      <c r="M5894" s="405">
        <v>1.05</v>
      </c>
    </row>
    <row r="5895" spans="2:13" ht="18.75" customHeight="1" x14ac:dyDescent="0.25">
      <c r="B5895" s="550"/>
      <c r="C5895" s="223" t="s">
        <v>1114</v>
      </c>
      <c r="D5895" s="550"/>
      <c r="E5895" s="550" t="s">
        <v>14</v>
      </c>
      <c r="F5895" s="405">
        <v>1.05</v>
      </c>
      <c r="G5895" s="418">
        <f>Bahan!D269/4</f>
        <v>6250</v>
      </c>
      <c r="H5895" s="230">
        <f>+G5895*F5895</f>
        <v>6562.5</v>
      </c>
      <c r="M5895" s="405">
        <v>1.05</v>
      </c>
    </row>
    <row r="5896" spans="2:13" ht="18.75" customHeight="1" x14ac:dyDescent="0.25">
      <c r="B5896" s="550"/>
      <c r="C5896" s="223" t="s">
        <v>786</v>
      </c>
      <c r="D5896" s="550"/>
      <c r="E5896" s="550" t="s">
        <v>5</v>
      </c>
      <c r="F5896" s="405">
        <v>0.01</v>
      </c>
      <c r="G5896" s="418">
        <f>Bahan!D337</f>
        <v>25000</v>
      </c>
      <c r="H5896" s="230">
        <f>+G5896*F5896</f>
        <v>250</v>
      </c>
      <c r="M5896" s="405">
        <v>0.01</v>
      </c>
    </row>
    <row r="5897" spans="2:13" ht="18.75" customHeight="1" x14ac:dyDescent="0.25">
      <c r="B5897" s="550"/>
      <c r="C5897" s="223"/>
      <c r="D5897" s="550"/>
      <c r="E5897" s="224"/>
      <c r="F5897" s="237" t="s">
        <v>643</v>
      </c>
      <c r="G5897" s="290"/>
      <c r="H5897" s="231">
        <f>H5894+H5896</f>
        <v>10093.75</v>
      </c>
      <c r="M5897" s="237" t="s">
        <v>643</v>
      </c>
    </row>
    <row r="5898" spans="2:13" ht="18.75" customHeight="1" x14ac:dyDescent="0.25">
      <c r="B5898" s="550"/>
      <c r="C5898" s="223"/>
      <c r="D5898" s="550"/>
      <c r="E5898" s="224"/>
      <c r="F5898" s="237" t="s">
        <v>643</v>
      </c>
      <c r="G5898" s="290"/>
      <c r="H5898" s="231">
        <f>H5895+H5896</f>
        <v>6812.5</v>
      </c>
      <c r="M5898" s="237" t="s">
        <v>643</v>
      </c>
    </row>
    <row r="5899" spans="2:13" ht="18.75" customHeight="1" x14ac:dyDescent="0.25">
      <c r="B5899" s="550"/>
      <c r="C5899" s="223"/>
      <c r="D5899" s="550"/>
      <c r="E5899" s="224"/>
      <c r="F5899" s="225"/>
      <c r="G5899" s="290"/>
      <c r="H5899" s="226"/>
      <c r="M5899" s="225"/>
    </row>
    <row r="5900" spans="2:13" ht="18.75" customHeight="1" x14ac:dyDescent="0.25">
      <c r="B5900" s="550" t="s">
        <v>644</v>
      </c>
      <c r="C5900" s="223" t="s">
        <v>645</v>
      </c>
      <c r="D5900" s="550"/>
      <c r="E5900" s="224"/>
      <c r="F5900" s="225"/>
      <c r="G5900" s="290"/>
      <c r="H5900" s="235"/>
      <c r="M5900" s="225"/>
    </row>
    <row r="5901" spans="2:13" ht="18.75" customHeight="1" x14ac:dyDescent="0.25">
      <c r="B5901" s="236"/>
      <c r="C5901" s="232"/>
      <c r="D5901" s="550"/>
      <c r="E5901" s="224"/>
      <c r="F5901" s="237" t="s">
        <v>646</v>
      </c>
      <c r="G5901" s="290"/>
      <c r="H5901" s="230"/>
      <c r="M5901" s="237" t="s">
        <v>646</v>
      </c>
    </row>
    <row r="5902" spans="2:13" ht="18.75" customHeight="1" x14ac:dyDescent="0.25">
      <c r="B5902" s="236"/>
      <c r="C5902" s="562"/>
      <c r="D5902" s="563"/>
      <c r="E5902" s="564"/>
      <c r="F5902" s="565"/>
      <c r="G5902" s="566"/>
      <c r="H5902" s="226"/>
      <c r="M5902" s="565"/>
    </row>
    <row r="5903" spans="2:13" ht="18.75" customHeight="1" x14ac:dyDescent="0.25">
      <c r="B5903" s="354"/>
      <c r="C5903" s="362"/>
      <c r="D5903" s="239"/>
      <c r="E5903" s="240"/>
      <c r="F5903" s="241"/>
      <c r="G5903" s="293"/>
      <c r="H5903" s="355"/>
      <c r="M5903" s="241"/>
    </row>
    <row r="5904" spans="2:13" ht="18.75" customHeight="1" x14ac:dyDescent="0.25">
      <c r="B5904" s="356" t="s">
        <v>647</v>
      </c>
      <c r="C5904" s="363" t="s">
        <v>648</v>
      </c>
      <c r="D5904" s="435"/>
      <c r="E5904" s="92"/>
      <c r="F5904" s="183"/>
      <c r="G5904" s="295"/>
      <c r="H5904" s="357">
        <f>H5891+H5897</f>
        <v>26463.75</v>
      </c>
      <c r="M5904" s="183"/>
    </row>
    <row r="5905" spans="2:13" ht="18.75" customHeight="1" x14ac:dyDescent="0.25">
      <c r="B5905" s="356" t="s">
        <v>649</v>
      </c>
      <c r="C5905" s="364" t="s">
        <v>650</v>
      </c>
      <c r="D5905" s="435"/>
      <c r="E5905" s="92"/>
      <c r="F5905" s="184" t="str">
        <f>$J$5</f>
        <v>8,0 % x D</v>
      </c>
      <c r="G5905" s="295"/>
      <c r="H5905" s="358">
        <f>+H5904*$K$5</f>
        <v>2117.1</v>
      </c>
      <c r="M5905" s="184" t="str">
        <f>$J$5</f>
        <v>8,0 % x D</v>
      </c>
    </row>
    <row r="5906" spans="2:13" ht="18.75" customHeight="1" x14ac:dyDescent="0.25">
      <c r="B5906" s="356" t="s">
        <v>827</v>
      </c>
      <c r="C5906" s="365" t="s">
        <v>1676</v>
      </c>
      <c r="D5906" s="435"/>
      <c r="E5906" s="91"/>
      <c r="F5906" s="185"/>
      <c r="G5906" s="296"/>
      <c r="H5906" s="359">
        <f>ROUNDUP((H5905+H5904)/100,0)*100</f>
        <v>28600</v>
      </c>
      <c r="M5906" s="185"/>
    </row>
    <row r="5907" spans="2:13" ht="18.75" customHeight="1" x14ac:dyDescent="0.25">
      <c r="B5907" s="356"/>
      <c r="C5907" s="363"/>
      <c r="D5907" s="435"/>
      <c r="E5907" s="92"/>
      <c r="F5907" s="183"/>
      <c r="G5907" s="295"/>
      <c r="H5907" s="357"/>
      <c r="M5907" s="183"/>
    </row>
    <row r="5908" spans="2:13" ht="18.75" customHeight="1" x14ac:dyDescent="0.25">
      <c r="B5908" s="356" t="s">
        <v>649</v>
      </c>
      <c r="C5908" s="363" t="s">
        <v>648</v>
      </c>
      <c r="D5908" s="435"/>
      <c r="E5908" s="92"/>
      <c r="F5908" s="183"/>
      <c r="G5908" s="295"/>
      <c r="H5908" s="357">
        <f>H5891+H5898</f>
        <v>23182.5</v>
      </c>
      <c r="M5908" s="183"/>
    </row>
    <row r="5909" spans="2:13" ht="18.75" customHeight="1" x14ac:dyDescent="0.25">
      <c r="B5909" s="356" t="s">
        <v>649</v>
      </c>
      <c r="C5909" s="364" t="s">
        <v>650</v>
      </c>
      <c r="D5909" s="435"/>
      <c r="E5909" s="92"/>
      <c r="F5909" s="184" t="str">
        <f>$J$5</f>
        <v>8,0 % x D</v>
      </c>
      <c r="G5909" s="295"/>
      <c r="H5909" s="358">
        <f>+H5908*$K$5</f>
        <v>1854.6000000000001</v>
      </c>
      <c r="M5909" s="184" t="str">
        <f>$J$5</f>
        <v>8,0 % x D</v>
      </c>
    </row>
    <row r="5910" spans="2:13" ht="18.75" customHeight="1" x14ac:dyDescent="0.25">
      <c r="B5910" s="356" t="s">
        <v>1055</v>
      </c>
      <c r="C5910" s="365" t="s">
        <v>1677</v>
      </c>
      <c r="D5910" s="435"/>
      <c r="E5910" s="91"/>
      <c r="F5910" s="185"/>
      <c r="G5910" s="296"/>
      <c r="H5910" s="359">
        <f>ROUNDUP((H5909+H5908)/100,0)*100</f>
        <v>25100</v>
      </c>
      <c r="M5910" s="185"/>
    </row>
    <row r="5911" spans="2:13" ht="18.75" customHeight="1" x14ac:dyDescent="0.25">
      <c r="B5911" s="360"/>
      <c r="C5911" s="366"/>
      <c r="D5911" s="245"/>
      <c r="E5911" s="246"/>
      <c r="F5911" s="247"/>
      <c r="G5911" s="299"/>
      <c r="H5911" s="361"/>
      <c r="M5911" s="247"/>
    </row>
    <row r="5912" spans="2:13" ht="18.75" customHeight="1" x14ac:dyDescent="0.25">
      <c r="G5912" s="66"/>
      <c r="H5912" s="138"/>
    </row>
    <row r="5913" spans="2:13" ht="18.75" customHeight="1" x14ac:dyDescent="0.25">
      <c r="B5913" s="19">
        <f>B5854+2</f>
        <v>13</v>
      </c>
      <c r="C5913" s="93" t="s">
        <v>1115</v>
      </c>
      <c r="D5913" s="19"/>
      <c r="E5913" s="21"/>
      <c r="F5913" s="176"/>
      <c r="G5913" s="165"/>
      <c r="H5913" s="119"/>
      <c r="M5913" s="176"/>
    </row>
    <row r="5914" spans="2:13" ht="18.75" customHeight="1" x14ac:dyDescent="0.25">
      <c r="B5914" s="618" t="s">
        <v>620</v>
      </c>
      <c r="C5914" s="620" t="s">
        <v>621</v>
      </c>
      <c r="D5914" s="618" t="s">
        <v>622</v>
      </c>
      <c r="E5914" s="618" t="s">
        <v>2</v>
      </c>
      <c r="F5914" s="615" t="s">
        <v>623</v>
      </c>
      <c r="G5914" s="289" t="s">
        <v>624</v>
      </c>
      <c r="H5914" s="256" t="s">
        <v>625</v>
      </c>
      <c r="M5914" s="615" t="s">
        <v>623</v>
      </c>
    </row>
    <row r="5915" spans="2:13" ht="18.75" customHeight="1" x14ac:dyDescent="0.25">
      <c r="B5915" s="619"/>
      <c r="C5915" s="621"/>
      <c r="D5915" s="619"/>
      <c r="E5915" s="619"/>
      <c r="F5915" s="616"/>
      <c r="G5915" s="289" t="s">
        <v>626</v>
      </c>
      <c r="H5915" s="256" t="s">
        <v>626</v>
      </c>
      <c r="M5915" s="616"/>
    </row>
    <row r="5916" spans="2:13" ht="18.75" customHeight="1" x14ac:dyDescent="0.25">
      <c r="B5916" s="221"/>
      <c r="C5916" s="222"/>
      <c r="D5916" s="221"/>
      <c r="E5916" s="550"/>
      <c r="F5916" s="555"/>
      <c r="G5916" s="551"/>
      <c r="H5916" s="220"/>
      <c r="M5916" s="590"/>
    </row>
    <row r="5917" spans="2:13" ht="18.75" customHeight="1" x14ac:dyDescent="0.25">
      <c r="B5917" s="550" t="s">
        <v>627</v>
      </c>
      <c r="C5917" s="223" t="s">
        <v>628</v>
      </c>
      <c r="D5917" s="550"/>
      <c r="E5917" s="224"/>
      <c r="F5917" s="225"/>
      <c r="G5917" s="290"/>
      <c r="H5917" s="226"/>
      <c r="M5917" s="225"/>
    </row>
    <row r="5918" spans="2:13" ht="18.75" customHeight="1" x14ac:dyDescent="0.25">
      <c r="B5918" s="550"/>
      <c r="C5918" s="227" t="s">
        <v>629</v>
      </c>
      <c r="D5918" s="550" t="s">
        <v>630</v>
      </c>
      <c r="E5918" s="224" t="s">
        <v>631</v>
      </c>
      <c r="F5918" s="228">
        <f t="shared" ref="F5918:F5921" si="265">$K$8*M5918</f>
        <v>0.18</v>
      </c>
      <c r="G5918" s="229">
        <f>+G5887</f>
        <v>95000</v>
      </c>
      <c r="H5918" s="230">
        <f>+G5918*F5918</f>
        <v>17100</v>
      </c>
      <c r="J5918" s="473"/>
      <c r="M5918" s="228">
        <v>0.18</v>
      </c>
    </row>
    <row r="5919" spans="2:13" ht="18.75" customHeight="1" x14ac:dyDescent="0.25">
      <c r="B5919" s="550"/>
      <c r="C5919" s="227" t="s">
        <v>1508</v>
      </c>
      <c r="D5919" s="550" t="s">
        <v>632</v>
      </c>
      <c r="E5919" s="224" t="s">
        <v>631</v>
      </c>
      <c r="F5919" s="228">
        <f t="shared" si="265"/>
        <v>0.32</v>
      </c>
      <c r="G5919" s="229">
        <f>+G5888</f>
        <v>110000</v>
      </c>
      <c r="H5919" s="230">
        <f>+G5919*F5919</f>
        <v>35200</v>
      </c>
      <c r="J5919" s="473"/>
      <c r="M5919" s="228">
        <v>0.32</v>
      </c>
    </row>
    <row r="5920" spans="2:13" ht="18.75" customHeight="1" x14ac:dyDescent="0.25">
      <c r="B5920" s="550"/>
      <c r="C5920" s="227" t="s">
        <v>633</v>
      </c>
      <c r="D5920" s="550" t="s">
        <v>634</v>
      </c>
      <c r="E5920" s="224" t="s">
        <v>631</v>
      </c>
      <c r="F5920" s="228">
        <f t="shared" si="265"/>
        <v>3.2000000000000001E-2</v>
      </c>
      <c r="G5920" s="229">
        <f>+G5889</f>
        <v>115000</v>
      </c>
      <c r="H5920" s="230">
        <f>+G5920*F5920</f>
        <v>3680</v>
      </c>
      <c r="J5920" s="473"/>
      <c r="M5920" s="228">
        <v>3.2000000000000001E-2</v>
      </c>
    </row>
    <row r="5921" spans="2:13" ht="18.75" customHeight="1" x14ac:dyDescent="0.25">
      <c r="B5921" s="550"/>
      <c r="C5921" s="227" t="s">
        <v>600</v>
      </c>
      <c r="D5921" s="550" t="s">
        <v>635</v>
      </c>
      <c r="E5921" s="224" t="s">
        <v>631</v>
      </c>
      <c r="F5921" s="228">
        <f t="shared" si="265"/>
        <v>8.9999999999999993E-3</v>
      </c>
      <c r="G5921" s="229">
        <f>+G5890</f>
        <v>140000</v>
      </c>
      <c r="H5921" s="230">
        <f>+G5921*F5921</f>
        <v>1260</v>
      </c>
      <c r="J5921" s="473"/>
      <c r="M5921" s="228">
        <v>8.9999999999999993E-3</v>
      </c>
    </row>
    <row r="5922" spans="2:13" ht="18.75" customHeight="1" x14ac:dyDescent="0.25">
      <c r="B5922" s="550"/>
      <c r="C5922" s="223"/>
      <c r="D5922" s="550"/>
      <c r="E5922" s="224"/>
      <c r="F5922" s="233" t="s">
        <v>636</v>
      </c>
      <c r="G5922" s="290"/>
      <c r="H5922" s="231">
        <f>SUM(H5918:H5921)</f>
        <v>57240</v>
      </c>
      <c r="M5922" s="233" t="s">
        <v>636</v>
      </c>
    </row>
    <row r="5923" spans="2:13" ht="18.75" customHeight="1" x14ac:dyDescent="0.25">
      <c r="B5923" s="550"/>
      <c r="C5923" s="223"/>
      <c r="D5923" s="550"/>
      <c r="E5923" s="224"/>
      <c r="F5923" s="233"/>
      <c r="G5923" s="290"/>
      <c r="H5923" s="231"/>
      <c r="M5923" s="233"/>
    </row>
    <row r="5924" spans="2:13" ht="18.75" customHeight="1" x14ac:dyDescent="0.25">
      <c r="B5924" s="550" t="s">
        <v>637</v>
      </c>
      <c r="C5924" s="223" t="s">
        <v>638</v>
      </c>
      <c r="D5924" s="550"/>
      <c r="E5924" s="224"/>
      <c r="F5924" s="225"/>
      <c r="G5924" s="290"/>
      <c r="H5924" s="226"/>
      <c r="M5924" s="225"/>
    </row>
    <row r="5925" spans="2:13" ht="18.75" customHeight="1" x14ac:dyDescent="0.25">
      <c r="B5925" s="550"/>
      <c r="C5925" s="223" t="s">
        <v>1116</v>
      </c>
      <c r="D5925" s="550"/>
      <c r="E5925" s="550" t="s">
        <v>52</v>
      </c>
      <c r="F5925" s="405">
        <v>0.12</v>
      </c>
      <c r="G5925" s="418">
        <f>Bahan!D258</f>
        <v>4230000</v>
      </c>
      <c r="H5925" s="230">
        <f>+G5925*F5925</f>
        <v>507600</v>
      </c>
      <c r="J5925" s="473" t="s">
        <v>1620</v>
      </c>
      <c r="M5925" s="405">
        <v>0.12</v>
      </c>
    </row>
    <row r="5926" spans="2:13" ht="18.75" customHeight="1" x14ac:dyDescent="0.25">
      <c r="B5926" s="550"/>
      <c r="C5926" s="223" t="s">
        <v>1117</v>
      </c>
      <c r="D5926" s="550"/>
      <c r="E5926" s="550" t="s">
        <v>58</v>
      </c>
      <c r="F5926" s="405">
        <v>1.1000000000000001</v>
      </c>
      <c r="G5926" s="418">
        <f>Bahan!D240</f>
        <v>50000</v>
      </c>
      <c r="H5926" s="230">
        <f>+F5926*G5926</f>
        <v>55000.000000000007</v>
      </c>
      <c r="J5926" s="473"/>
      <c r="M5926" s="405">
        <v>1.1000000000000001</v>
      </c>
    </row>
    <row r="5927" spans="2:13" ht="18.75" customHeight="1" x14ac:dyDescent="0.25">
      <c r="B5927" s="550"/>
      <c r="C5927" s="223" t="s">
        <v>1118</v>
      </c>
      <c r="D5927" s="550"/>
      <c r="E5927" s="550" t="s">
        <v>5</v>
      </c>
      <c r="F5927" s="405">
        <v>7.4999999999999997E-2</v>
      </c>
      <c r="G5927" s="234">
        <f>+G5896</f>
        <v>25000</v>
      </c>
      <c r="H5927" s="230">
        <f>+G5927*F5927</f>
        <v>1875</v>
      </c>
      <c r="J5927" s="473"/>
      <c r="M5927" s="405">
        <v>7.4999999999999997E-2</v>
      </c>
    </row>
    <row r="5928" spans="2:13" ht="18.75" customHeight="1" x14ac:dyDescent="0.25">
      <c r="B5928" s="550"/>
      <c r="C5928" s="223"/>
      <c r="D5928" s="550"/>
      <c r="E5928" s="224"/>
      <c r="F5928" s="237" t="s">
        <v>643</v>
      </c>
      <c r="G5928" s="290"/>
      <c r="H5928" s="231">
        <f>SUM(H5925:H5927)</f>
        <v>564475</v>
      </c>
      <c r="M5928" s="237" t="s">
        <v>643</v>
      </c>
    </row>
    <row r="5929" spans="2:13" ht="18.75" customHeight="1" x14ac:dyDescent="0.25">
      <c r="B5929" s="550"/>
      <c r="C5929" s="223"/>
      <c r="D5929" s="550"/>
      <c r="E5929" s="224"/>
      <c r="F5929" s="225"/>
      <c r="G5929" s="290"/>
      <c r="H5929" s="226"/>
      <c r="M5929" s="225"/>
    </row>
    <row r="5930" spans="2:13" ht="18.75" customHeight="1" x14ac:dyDescent="0.25">
      <c r="B5930" s="550" t="s">
        <v>644</v>
      </c>
      <c r="C5930" s="223" t="s">
        <v>645</v>
      </c>
      <c r="D5930" s="550"/>
      <c r="E5930" s="224"/>
      <c r="F5930" s="225"/>
      <c r="G5930" s="290"/>
      <c r="H5930" s="235"/>
      <c r="M5930" s="225"/>
    </row>
    <row r="5931" spans="2:13" ht="18.75" customHeight="1" x14ac:dyDescent="0.25">
      <c r="B5931" s="236"/>
      <c r="C5931" s="232"/>
      <c r="D5931" s="550"/>
      <c r="E5931" s="224"/>
      <c r="F5931" s="237" t="s">
        <v>646</v>
      </c>
      <c r="G5931" s="290"/>
      <c r="H5931" s="230"/>
      <c r="M5931" s="237" t="s">
        <v>646</v>
      </c>
    </row>
    <row r="5932" spans="2:13" ht="18.75" customHeight="1" x14ac:dyDescent="0.25">
      <c r="B5932" s="236"/>
      <c r="C5932" s="562"/>
      <c r="D5932" s="563"/>
      <c r="E5932" s="564"/>
      <c r="F5932" s="565"/>
      <c r="G5932" s="566"/>
      <c r="H5932" s="226"/>
      <c r="M5932" s="565"/>
    </row>
    <row r="5933" spans="2:13" ht="18.75" customHeight="1" x14ac:dyDescent="0.25">
      <c r="B5933" s="354"/>
      <c r="C5933" s="362"/>
      <c r="D5933" s="239"/>
      <c r="E5933" s="240"/>
      <c r="F5933" s="241"/>
      <c r="G5933" s="293"/>
      <c r="H5933" s="355"/>
      <c r="M5933" s="241"/>
    </row>
    <row r="5934" spans="2:13" ht="18.75" customHeight="1" x14ac:dyDescent="0.25">
      <c r="B5934" s="356" t="s">
        <v>647</v>
      </c>
      <c r="C5934" s="363" t="s">
        <v>648</v>
      </c>
      <c r="D5934" s="435"/>
      <c r="E5934" s="92"/>
      <c r="F5934" s="183"/>
      <c r="G5934" s="295"/>
      <c r="H5934" s="357">
        <f>H5922+H5928</f>
        <v>621715</v>
      </c>
      <c r="M5934" s="183"/>
    </row>
    <row r="5935" spans="2:13" ht="18.75" customHeight="1" x14ac:dyDescent="0.25">
      <c r="B5935" s="356" t="s">
        <v>649</v>
      </c>
      <c r="C5935" s="364" t="s">
        <v>650</v>
      </c>
      <c r="D5935" s="435"/>
      <c r="E5935" s="92"/>
      <c r="F5935" s="184" t="str">
        <f>$J$5</f>
        <v>8,0 % x D</v>
      </c>
      <c r="G5935" s="295"/>
      <c r="H5935" s="358">
        <f>+H5934*$K$5</f>
        <v>49737.200000000004</v>
      </c>
      <c r="M5935" s="184" t="str">
        <f>$J$5</f>
        <v>8,0 % x D</v>
      </c>
    </row>
    <row r="5936" spans="2:13" ht="18.75" customHeight="1" x14ac:dyDescent="0.25">
      <c r="B5936" s="356" t="s">
        <v>651</v>
      </c>
      <c r="C5936" s="365" t="s">
        <v>652</v>
      </c>
      <c r="D5936" s="435"/>
      <c r="E5936" s="91"/>
      <c r="F5936" s="185"/>
      <c r="G5936" s="296"/>
      <c r="H5936" s="359">
        <f>ROUNDUP((H5935+H5934)/100,0)*100</f>
        <v>671500</v>
      </c>
      <c r="M5936" s="185"/>
    </row>
    <row r="5937" spans="2:13" ht="18.75" customHeight="1" x14ac:dyDescent="0.25">
      <c r="B5937" s="371"/>
      <c r="C5937" s="373"/>
      <c r="D5937" s="245"/>
      <c r="E5937" s="246"/>
      <c r="F5937" s="247"/>
      <c r="G5937" s="299"/>
      <c r="H5937" s="372"/>
      <c r="M5937" s="247"/>
    </row>
    <row r="5938" spans="2:13" ht="18.75" customHeight="1" x14ac:dyDescent="0.25">
      <c r="B5938" s="435"/>
      <c r="C5938" s="111"/>
      <c r="E5938" s="21"/>
      <c r="F5938" s="176"/>
      <c r="G5938" s="168"/>
      <c r="H5938" s="211"/>
      <c r="M5938" s="176"/>
    </row>
    <row r="5939" spans="2:13" ht="18.75" customHeight="1" x14ac:dyDescent="0.25">
      <c r="B5939" s="19">
        <f>B5913+1</f>
        <v>14</v>
      </c>
      <c r="C5939" s="93" t="s">
        <v>1119</v>
      </c>
      <c r="D5939" s="19"/>
      <c r="E5939" s="21"/>
      <c r="F5939" s="176"/>
      <c r="G5939" s="165"/>
      <c r="H5939" s="119"/>
      <c r="M5939" s="176"/>
    </row>
    <row r="5940" spans="2:13" ht="18.75" customHeight="1" x14ac:dyDescent="0.25">
      <c r="B5940" s="618" t="s">
        <v>620</v>
      </c>
      <c r="C5940" s="620" t="s">
        <v>621</v>
      </c>
      <c r="D5940" s="618" t="s">
        <v>622</v>
      </c>
      <c r="E5940" s="618" t="s">
        <v>2</v>
      </c>
      <c r="F5940" s="615" t="s">
        <v>623</v>
      </c>
      <c r="G5940" s="289" t="s">
        <v>624</v>
      </c>
      <c r="H5940" s="256" t="s">
        <v>625</v>
      </c>
      <c r="M5940" s="615" t="s">
        <v>623</v>
      </c>
    </row>
    <row r="5941" spans="2:13" ht="18.75" customHeight="1" x14ac:dyDescent="0.25">
      <c r="B5941" s="619"/>
      <c r="C5941" s="621"/>
      <c r="D5941" s="619"/>
      <c r="E5941" s="619"/>
      <c r="F5941" s="616"/>
      <c r="G5941" s="289" t="s">
        <v>626</v>
      </c>
      <c r="H5941" s="256" t="s">
        <v>626</v>
      </c>
      <c r="M5941" s="616"/>
    </row>
    <row r="5942" spans="2:13" ht="18.75" customHeight="1" x14ac:dyDescent="0.25">
      <c r="B5942" s="221"/>
      <c r="C5942" s="222"/>
      <c r="D5942" s="221"/>
      <c r="E5942" s="550"/>
      <c r="F5942" s="555"/>
      <c r="G5942" s="551"/>
      <c r="H5942" s="220"/>
      <c r="M5942" s="590"/>
    </row>
    <row r="5943" spans="2:13" ht="18.75" customHeight="1" x14ac:dyDescent="0.25">
      <c r="B5943" s="550" t="s">
        <v>627</v>
      </c>
      <c r="C5943" s="223" t="s">
        <v>628</v>
      </c>
      <c r="D5943" s="550"/>
      <c r="E5943" s="224"/>
      <c r="F5943" s="225"/>
      <c r="G5943" s="290"/>
      <c r="H5943" s="226"/>
      <c r="M5943" s="225"/>
    </row>
    <row r="5944" spans="2:13" ht="18.75" customHeight="1" x14ac:dyDescent="0.25">
      <c r="B5944" s="550"/>
      <c r="C5944" s="227" t="s">
        <v>629</v>
      </c>
      <c r="D5944" s="550" t="s">
        <v>630</v>
      </c>
      <c r="E5944" s="224" t="s">
        <v>631</v>
      </c>
      <c r="F5944" s="228">
        <f t="shared" ref="F5944:F5947" si="266">$K$8*M5944</f>
        <v>0.1</v>
      </c>
      <c r="G5944" s="229">
        <f>G5918</f>
        <v>95000</v>
      </c>
      <c r="H5944" s="230">
        <f>+G5944*F5944</f>
        <v>9500</v>
      </c>
      <c r="M5944" s="228">
        <v>0.1</v>
      </c>
    </row>
    <row r="5945" spans="2:13" ht="18.75" customHeight="1" x14ac:dyDescent="0.25">
      <c r="B5945" s="550"/>
      <c r="C5945" s="227" t="s">
        <v>1508</v>
      </c>
      <c r="D5945" s="550" t="s">
        <v>632</v>
      </c>
      <c r="E5945" s="224" t="s">
        <v>631</v>
      </c>
      <c r="F5945" s="228">
        <f t="shared" si="266"/>
        <v>7.4999999999999997E-2</v>
      </c>
      <c r="G5945" s="229">
        <f>G5919</f>
        <v>110000</v>
      </c>
      <c r="H5945" s="230">
        <f>+G5945*F5945</f>
        <v>8250</v>
      </c>
      <c r="M5945" s="228">
        <v>7.4999999999999997E-2</v>
      </c>
    </row>
    <row r="5946" spans="2:13" ht="18.75" customHeight="1" x14ac:dyDescent="0.25">
      <c r="B5946" s="550"/>
      <c r="C5946" s="227" t="s">
        <v>633</v>
      </c>
      <c r="D5946" s="550" t="s">
        <v>634</v>
      </c>
      <c r="E5946" s="224" t="s">
        <v>631</v>
      </c>
      <c r="F5946" s="228">
        <f t="shared" si="266"/>
        <v>5.0000000000000001E-3</v>
      </c>
      <c r="G5946" s="229">
        <f>G5920</f>
        <v>115000</v>
      </c>
      <c r="H5946" s="230">
        <f>+G5946*F5946</f>
        <v>575</v>
      </c>
      <c r="M5946" s="228">
        <v>5.0000000000000001E-3</v>
      </c>
    </row>
    <row r="5947" spans="2:13" ht="18.75" customHeight="1" x14ac:dyDescent="0.25">
      <c r="B5947" s="550"/>
      <c r="C5947" s="227" t="s">
        <v>600</v>
      </c>
      <c r="D5947" s="550" t="s">
        <v>635</v>
      </c>
      <c r="E5947" s="224" t="s">
        <v>631</v>
      </c>
      <c r="F5947" s="228">
        <f t="shared" si="266"/>
        <v>5.0000000000000001E-3</v>
      </c>
      <c r="G5947" s="229">
        <f>G5921</f>
        <v>140000</v>
      </c>
      <c r="H5947" s="230">
        <f>+G5947*F5947</f>
        <v>700</v>
      </c>
      <c r="M5947" s="228">
        <v>5.0000000000000001E-3</v>
      </c>
    </row>
    <row r="5948" spans="2:13" ht="18.75" customHeight="1" x14ac:dyDescent="0.25">
      <c r="B5948" s="550"/>
      <c r="C5948" s="223"/>
      <c r="D5948" s="550"/>
      <c r="E5948" s="224"/>
      <c r="F5948" s="233" t="s">
        <v>636</v>
      </c>
      <c r="G5948" s="290"/>
      <c r="H5948" s="231">
        <f>SUM(H5944:H5947)</f>
        <v>19025</v>
      </c>
      <c r="M5948" s="233" t="s">
        <v>636</v>
      </c>
    </row>
    <row r="5949" spans="2:13" ht="18.75" customHeight="1" x14ac:dyDescent="0.25">
      <c r="B5949" s="550"/>
      <c r="C5949" s="223"/>
      <c r="D5949" s="550"/>
      <c r="E5949" s="224"/>
      <c r="F5949" s="233"/>
      <c r="G5949" s="290"/>
      <c r="H5949" s="231"/>
      <c r="M5949" s="233"/>
    </row>
    <row r="5950" spans="2:13" ht="18.75" customHeight="1" x14ac:dyDescent="0.25">
      <c r="B5950" s="550" t="s">
        <v>637</v>
      </c>
      <c r="C5950" s="223" t="s">
        <v>638</v>
      </c>
      <c r="D5950" s="550"/>
      <c r="E5950" s="224"/>
      <c r="F5950" s="225"/>
      <c r="G5950" s="290"/>
      <c r="H5950" s="226"/>
      <c r="M5950" s="225"/>
    </row>
    <row r="5951" spans="2:13" ht="18.75" customHeight="1" x14ac:dyDescent="0.25">
      <c r="B5951" s="550"/>
      <c r="C5951" s="223" t="s">
        <v>491</v>
      </c>
      <c r="D5951" s="550"/>
      <c r="E5951" s="550" t="s">
        <v>155</v>
      </c>
      <c r="F5951" s="405">
        <v>0.36399999999999999</v>
      </c>
      <c r="G5951" s="418">
        <f>Bahan!D545</f>
        <v>96000</v>
      </c>
      <c r="H5951" s="230">
        <f>+G5951*F5951</f>
        <v>34944</v>
      </c>
      <c r="M5951" s="405">
        <v>0.36399999999999999</v>
      </c>
    </row>
    <row r="5952" spans="2:13" ht="18.75" customHeight="1" x14ac:dyDescent="0.25">
      <c r="B5952" s="550"/>
      <c r="C5952" s="223" t="s">
        <v>1100</v>
      </c>
      <c r="D5952" s="550"/>
      <c r="E5952" s="550" t="s">
        <v>5</v>
      </c>
      <c r="F5952" s="405">
        <v>0.11</v>
      </c>
      <c r="G5952" s="234">
        <f>G5767</f>
        <v>28000</v>
      </c>
      <c r="H5952" s="230">
        <f>+G5952*F5952</f>
        <v>3080</v>
      </c>
      <c r="M5952" s="405">
        <v>0.11</v>
      </c>
    </row>
    <row r="5953" spans="1:13" ht="18.75" customHeight="1" x14ac:dyDescent="0.25">
      <c r="B5953" s="550"/>
      <c r="C5953" s="223"/>
      <c r="D5953" s="550"/>
      <c r="E5953" s="224"/>
      <c r="F5953" s="237" t="s">
        <v>643</v>
      </c>
      <c r="G5953" s="290"/>
      <c r="H5953" s="231">
        <f>SUM(H5951:H5952)</f>
        <v>38024</v>
      </c>
      <c r="M5953" s="237" t="s">
        <v>643</v>
      </c>
    </row>
    <row r="5954" spans="1:13" ht="18.75" customHeight="1" x14ac:dyDescent="0.25">
      <c r="B5954" s="550"/>
      <c r="C5954" s="223"/>
      <c r="D5954" s="550"/>
      <c r="E5954" s="224"/>
      <c r="F5954" s="225"/>
      <c r="G5954" s="290"/>
      <c r="H5954" s="226"/>
      <c r="M5954" s="225"/>
    </row>
    <row r="5955" spans="1:13" ht="18.75" customHeight="1" x14ac:dyDescent="0.25">
      <c r="B5955" s="550" t="s">
        <v>644</v>
      </c>
      <c r="C5955" s="223" t="s">
        <v>645</v>
      </c>
      <c r="D5955" s="550"/>
      <c r="E5955" s="224"/>
      <c r="F5955" s="225"/>
      <c r="G5955" s="290"/>
      <c r="H5955" s="235"/>
      <c r="M5955" s="225"/>
    </row>
    <row r="5956" spans="1:13" ht="18.75" customHeight="1" x14ac:dyDescent="0.25">
      <c r="B5956" s="236"/>
      <c r="C5956" s="232"/>
      <c r="D5956" s="550"/>
      <c r="E5956" s="224"/>
      <c r="F5956" s="237" t="s">
        <v>646</v>
      </c>
      <c r="G5956" s="290"/>
      <c r="H5956" s="230"/>
      <c r="M5956" s="237" t="s">
        <v>646</v>
      </c>
    </row>
    <row r="5957" spans="1:13" ht="18.75" customHeight="1" x14ac:dyDescent="0.25">
      <c r="B5957" s="236"/>
      <c r="C5957" s="562"/>
      <c r="D5957" s="563"/>
      <c r="E5957" s="564"/>
      <c r="F5957" s="565"/>
      <c r="G5957" s="566"/>
      <c r="H5957" s="226"/>
      <c r="M5957" s="565"/>
    </row>
    <row r="5958" spans="1:13" ht="18.75" customHeight="1" x14ac:dyDescent="0.25">
      <c r="B5958" s="354"/>
      <c r="C5958" s="362"/>
      <c r="D5958" s="239"/>
      <c r="E5958" s="266"/>
      <c r="F5958" s="241"/>
      <c r="G5958" s="370"/>
      <c r="H5958" s="369"/>
      <c r="M5958" s="241"/>
    </row>
    <row r="5959" spans="1:13" ht="18.75" customHeight="1" x14ac:dyDescent="0.25">
      <c r="B5959" s="356" t="s">
        <v>647</v>
      </c>
      <c r="C5959" s="363" t="s">
        <v>648</v>
      </c>
      <c r="D5959" s="435"/>
      <c r="E5959" s="92"/>
      <c r="F5959" s="183"/>
      <c r="G5959" s="295"/>
      <c r="H5959" s="357">
        <f>+H5956+H5953+H5948</f>
        <v>57049</v>
      </c>
      <c r="M5959" s="183"/>
    </row>
    <row r="5960" spans="1:13" ht="18.75" customHeight="1" x14ac:dyDescent="0.25">
      <c r="B5960" s="356" t="s">
        <v>649</v>
      </c>
      <c r="C5960" s="364" t="s">
        <v>650</v>
      </c>
      <c r="D5960" s="435"/>
      <c r="E5960" s="92"/>
      <c r="F5960" s="184" t="str">
        <f>$J$5</f>
        <v>8,0 % x D</v>
      </c>
      <c r="G5960" s="295"/>
      <c r="H5960" s="358">
        <f>+H5959*$K$5</f>
        <v>4563.92</v>
      </c>
      <c r="M5960" s="184" t="str">
        <f>$J$5</f>
        <v>8,0 % x D</v>
      </c>
    </row>
    <row r="5961" spans="1:13" ht="18.75" customHeight="1" x14ac:dyDescent="0.25">
      <c r="B5961" s="356" t="s">
        <v>651</v>
      </c>
      <c r="C5961" s="365" t="s">
        <v>652</v>
      </c>
      <c r="D5961" s="435"/>
      <c r="E5961" s="91"/>
      <c r="F5961" s="185"/>
      <c r="G5961" s="296"/>
      <c r="H5961" s="359">
        <f>ROUNDUP((H5960+H5959)/100,0)*100</f>
        <v>61700</v>
      </c>
      <c r="M5961" s="185"/>
    </row>
    <row r="5962" spans="1:13" ht="18.75" customHeight="1" x14ac:dyDescent="0.25">
      <c r="B5962" s="360"/>
      <c r="C5962" s="366"/>
      <c r="D5962" s="245"/>
      <c r="E5962" s="246"/>
      <c r="F5962" s="247"/>
      <c r="G5962" s="299"/>
      <c r="H5962" s="361"/>
      <c r="M5962" s="247"/>
    </row>
    <row r="5963" spans="1:13" ht="18.75" customHeight="1" x14ac:dyDescent="0.25">
      <c r="B5963" s="22"/>
      <c r="C5963" s="104"/>
      <c r="E5963" s="21"/>
      <c r="F5963" s="176"/>
      <c r="G5963" s="165"/>
      <c r="H5963" s="119"/>
      <c r="M5963" s="176"/>
    </row>
    <row r="5964" spans="1:13" ht="18.75" customHeight="1" x14ac:dyDescent="0.25">
      <c r="A5964" s="455" t="s">
        <v>1617</v>
      </c>
      <c r="B5964" s="456" t="s">
        <v>1121</v>
      </c>
      <c r="C5964" s="457"/>
      <c r="D5964" s="458"/>
      <c r="E5964" s="459"/>
      <c r="F5964" s="460"/>
      <c r="G5964" s="461"/>
      <c r="H5964" s="462"/>
      <c r="M5964" s="460"/>
    </row>
    <row r="5965" spans="1:13" ht="18.75" customHeight="1" x14ac:dyDescent="0.25">
      <c r="B5965" s="19"/>
      <c r="C5965" s="93"/>
      <c r="G5965" s="66"/>
      <c r="H5965" s="138"/>
    </row>
    <row r="5966" spans="1:13" ht="18.75" customHeight="1" x14ac:dyDescent="0.25">
      <c r="B5966" s="19">
        <v>1</v>
      </c>
      <c r="C5966" s="93" t="s">
        <v>1122</v>
      </c>
      <c r="D5966" s="19"/>
      <c r="E5966" s="21"/>
      <c r="F5966" s="176"/>
      <c r="G5966" s="165"/>
      <c r="H5966" s="119"/>
      <c r="M5966" s="176"/>
    </row>
    <row r="5967" spans="1:13" ht="18.75" customHeight="1" x14ac:dyDescent="0.25">
      <c r="B5967" s="618" t="s">
        <v>620</v>
      </c>
      <c r="C5967" s="620" t="s">
        <v>621</v>
      </c>
      <c r="D5967" s="618" t="s">
        <v>622</v>
      </c>
      <c r="E5967" s="618" t="s">
        <v>2</v>
      </c>
      <c r="F5967" s="615" t="s">
        <v>623</v>
      </c>
      <c r="G5967" s="289" t="s">
        <v>624</v>
      </c>
      <c r="H5967" s="256" t="s">
        <v>625</v>
      </c>
      <c r="M5967" s="615" t="s">
        <v>623</v>
      </c>
    </row>
    <row r="5968" spans="1:13" ht="18.75" customHeight="1" x14ac:dyDescent="0.25">
      <c r="B5968" s="619"/>
      <c r="C5968" s="621"/>
      <c r="D5968" s="619"/>
      <c r="E5968" s="619"/>
      <c r="F5968" s="616"/>
      <c r="G5968" s="289" t="s">
        <v>626</v>
      </c>
      <c r="H5968" s="256" t="s">
        <v>626</v>
      </c>
      <c r="M5968" s="616"/>
    </row>
    <row r="5969" spans="2:13" ht="18.75" customHeight="1" x14ac:dyDescent="0.25">
      <c r="B5969" s="221"/>
      <c r="C5969" s="222"/>
      <c r="D5969" s="221"/>
      <c r="E5969" s="550"/>
      <c r="F5969" s="555"/>
      <c r="G5969" s="551"/>
      <c r="H5969" s="220"/>
      <c r="M5969" s="590"/>
    </row>
    <row r="5970" spans="2:13" ht="18.75" customHeight="1" x14ac:dyDescent="0.25">
      <c r="B5970" s="550" t="s">
        <v>627</v>
      </c>
      <c r="C5970" s="223" t="s">
        <v>628</v>
      </c>
      <c r="D5970" s="550"/>
      <c r="E5970" s="224"/>
      <c r="F5970" s="225"/>
      <c r="G5970" s="290"/>
      <c r="H5970" s="226"/>
      <c r="M5970" s="225"/>
    </row>
    <row r="5971" spans="2:13" ht="18.75" customHeight="1" x14ac:dyDescent="0.25">
      <c r="B5971" s="550"/>
      <c r="C5971" s="227" t="s">
        <v>1678</v>
      </c>
      <c r="D5971" s="550" t="s">
        <v>630</v>
      </c>
      <c r="E5971" s="224" t="s">
        <v>631</v>
      </c>
      <c r="F5971" s="228">
        <f t="shared" ref="F5971:F5974" si="267">$K$8*M5971</f>
        <v>0.15</v>
      </c>
      <c r="G5971" s="229">
        <f>Upah!E17</f>
        <v>93000</v>
      </c>
      <c r="H5971" s="230">
        <f>+G5971*F5971</f>
        <v>13950</v>
      </c>
      <c r="J5971" s="473"/>
      <c r="M5971" s="228">
        <v>0.15</v>
      </c>
    </row>
    <row r="5972" spans="2:13" ht="18.75" customHeight="1" x14ac:dyDescent="0.25">
      <c r="B5972" s="550"/>
      <c r="C5972" s="227" t="s">
        <v>1508</v>
      </c>
      <c r="D5972" s="550" t="s">
        <v>634</v>
      </c>
      <c r="E5972" s="224" t="s">
        <v>631</v>
      </c>
      <c r="F5972" s="228">
        <f t="shared" si="267"/>
        <v>7.4999999999999997E-2</v>
      </c>
      <c r="G5972" s="229">
        <f>G5945</f>
        <v>110000</v>
      </c>
      <c r="H5972" s="230">
        <f>+G5972*F5972</f>
        <v>8250</v>
      </c>
      <c r="J5972" s="473"/>
      <c r="M5972" s="228">
        <v>7.4999999999999997E-2</v>
      </c>
    </row>
    <row r="5973" spans="2:13" ht="18.75" customHeight="1" x14ac:dyDescent="0.25">
      <c r="B5973" s="550"/>
      <c r="C5973" s="227" t="s">
        <v>633</v>
      </c>
      <c r="D5973" s="550" t="s">
        <v>1123</v>
      </c>
      <c r="E5973" s="224" t="s">
        <v>631</v>
      </c>
      <c r="F5973" s="228">
        <f t="shared" si="267"/>
        <v>7.4999999999999997E-2</v>
      </c>
      <c r="G5973" s="229">
        <f>G5946</f>
        <v>115000</v>
      </c>
      <c r="H5973" s="230">
        <f>+G5973*F5973</f>
        <v>8625</v>
      </c>
      <c r="J5973" s="473"/>
      <c r="M5973" s="228">
        <v>7.4999999999999997E-2</v>
      </c>
    </row>
    <row r="5974" spans="2:13" ht="18.75" customHeight="1" x14ac:dyDescent="0.25">
      <c r="B5974" s="550"/>
      <c r="C5974" s="227" t="s">
        <v>600</v>
      </c>
      <c r="D5974" s="550" t="s">
        <v>1124</v>
      </c>
      <c r="E5974" s="224" t="s">
        <v>631</v>
      </c>
      <c r="F5974" s="228">
        <f t="shared" si="267"/>
        <v>8.0000000000000002E-3</v>
      </c>
      <c r="G5974" s="229">
        <f>G5947</f>
        <v>140000</v>
      </c>
      <c r="H5974" s="230">
        <f>+G5974*F5974</f>
        <v>1120</v>
      </c>
      <c r="J5974" s="473"/>
      <c r="M5974" s="228">
        <v>8.0000000000000002E-3</v>
      </c>
    </row>
    <row r="5975" spans="2:13" ht="18.75" customHeight="1" x14ac:dyDescent="0.25">
      <c r="B5975" s="550"/>
      <c r="C5975" s="223"/>
      <c r="D5975" s="550"/>
      <c r="E5975" s="224"/>
      <c r="F5975" s="233" t="s">
        <v>636</v>
      </c>
      <c r="G5975" s="290"/>
      <c r="H5975" s="231">
        <f>SUM(H5971:H5974)</f>
        <v>31945</v>
      </c>
      <c r="M5975" s="233" t="s">
        <v>636</v>
      </c>
    </row>
    <row r="5976" spans="2:13" ht="18.75" customHeight="1" x14ac:dyDescent="0.25">
      <c r="B5976" s="550"/>
      <c r="C5976" s="223"/>
      <c r="D5976" s="550"/>
      <c r="E5976" s="224"/>
      <c r="F5976" s="233"/>
      <c r="G5976" s="290"/>
      <c r="H5976" s="230"/>
      <c r="M5976" s="233"/>
    </row>
    <row r="5977" spans="2:13" ht="18.75" customHeight="1" x14ac:dyDescent="0.25">
      <c r="B5977" s="550" t="s">
        <v>637</v>
      </c>
      <c r="C5977" s="223" t="s">
        <v>638</v>
      </c>
      <c r="D5977" s="550"/>
      <c r="E5977" s="224"/>
      <c r="F5977" s="225"/>
      <c r="G5977" s="290"/>
      <c r="H5977" s="226"/>
      <c r="M5977" s="225"/>
    </row>
    <row r="5978" spans="2:13" ht="18.75" customHeight="1" x14ac:dyDescent="0.25">
      <c r="B5978" s="550"/>
      <c r="C5978" s="223" t="s">
        <v>1125</v>
      </c>
      <c r="D5978" s="550"/>
      <c r="E5978" s="550" t="s">
        <v>16</v>
      </c>
      <c r="F5978" s="405">
        <v>25</v>
      </c>
      <c r="G5978" s="418">
        <f>Bahan!D429</f>
        <v>2000</v>
      </c>
      <c r="H5978" s="230">
        <f>+G5978*F5978</f>
        <v>50000</v>
      </c>
      <c r="M5978" s="405">
        <v>25</v>
      </c>
    </row>
    <row r="5979" spans="2:13" ht="18.75" customHeight="1" x14ac:dyDescent="0.25">
      <c r="B5979" s="550"/>
      <c r="C5979" s="223"/>
      <c r="D5979" s="550"/>
      <c r="E5979" s="224"/>
      <c r="F5979" s="237" t="s">
        <v>643</v>
      </c>
      <c r="G5979" s="290"/>
      <c r="H5979" s="231">
        <f>SUM(H5978:H5978)</f>
        <v>50000</v>
      </c>
      <c r="M5979" s="237" t="s">
        <v>643</v>
      </c>
    </row>
    <row r="5980" spans="2:13" ht="18.75" customHeight="1" x14ac:dyDescent="0.25">
      <c r="B5980" s="550"/>
      <c r="C5980" s="223"/>
      <c r="D5980" s="550"/>
      <c r="E5980" s="224"/>
      <c r="F5980" s="225"/>
      <c r="G5980" s="290"/>
      <c r="H5980" s="226"/>
      <c r="M5980" s="225"/>
    </row>
    <row r="5981" spans="2:13" ht="18.75" customHeight="1" x14ac:dyDescent="0.25">
      <c r="B5981" s="550" t="s">
        <v>644</v>
      </c>
      <c r="C5981" s="223" t="s">
        <v>645</v>
      </c>
      <c r="D5981" s="550"/>
      <c r="E5981" s="224"/>
      <c r="F5981" s="225"/>
      <c r="G5981" s="290"/>
      <c r="H5981" s="235"/>
      <c r="M5981" s="225"/>
    </row>
    <row r="5982" spans="2:13" ht="18.75" customHeight="1" x14ac:dyDescent="0.25">
      <c r="B5982" s="236"/>
      <c r="C5982" s="232"/>
      <c r="D5982" s="550"/>
      <c r="E5982" s="224"/>
      <c r="F5982" s="237" t="s">
        <v>646</v>
      </c>
      <c r="G5982" s="290"/>
      <c r="H5982" s="230"/>
      <c r="M5982" s="237" t="s">
        <v>646</v>
      </c>
    </row>
    <row r="5983" spans="2:13" ht="18.75" customHeight="1" x14ac:dyDescent="0.25">
      <c r="B5983" s="236"/>
      <c r="C5983" s="232"/>
      <c r="D5983" s="550"/>
      <c r="E5983" s="224"/>
      <c r="F5983" s="237"/>
      <c r="G5983" s="290"/>
      <c r="H5983" s="226"/>
      <c r="M5983" s="237"/>
    </row>
    <row r="5984" spans="2:13" ht="18.75" customHeight="1" x14ac:dyDescent="0.25">
      <c r="B5984" s="354"/>
      <c r="C5984" s="362"/>
      <c r="D5984" s="239"/>
      <c r="E5984" s="240"/>
      <c r="F5984" s="241"/>
      <c r="G5984" s="293"/>
      <c r="H5984" s="355"/>
      <c r="M5984" s="241"/>
    </row>
    <row r="5985" spans="2:13" ht="18.75" customHeight="1" x14ac:dyDescent="0.25">
      <c r="B5985" s="356" t="s">
        <v>647</v>
      </c>
      <c r="C5985" s="363" t="s">
        <v>648</v>
      </c>
      <c r="D5985" s="435"/>
      <c r="E5985" s="92"/>
      <c r="F5985" s="183"/>
      <c r="G5985" s="295"/>
      <c r="H5985" s="357">
        <f>+H5982+H5979+H5975</f>
        <v>81945</v>
      </c>
      <c r="M5985" s="183"/>
    </row>
    <row r="5986" spans="2:13" ht="18.75" customHeight="1" x14ac:dyDescent="0.25">
      <c r="B5986" s="356" t="s">
        <v>649</v>
      </c>
      <c r="C5986" s="364" t="s">
        <v>650</v>
      </c>
      <c r="D5986" s="435"/>
      <c r="E5986" s="92"/>
      <c r="F5986" s="184" t="str">
        <f>$J$5</f>
        <v>8,0 % x D</v>
      </c>
      <c r="G5986" s="295"/>
      <c r="H5986" s="358">
        <f>+H5985*$K$5</f>
        <v>6555.6</v>
      </c>
      <c r="M5986" s="184" t="str">
        <f>$J$5</f>
        <v>8,0 % x D</v>
      </c>
    </row>
    <row r="5987" spans="2:13" ht="18.75" customHeight="1" x14ac:dyDescent="0.25">
      <c r="B5987" s="356" t="s">
        <v>651</v>
      </c>
      <c r="C5987" s="365" t="s">
        <v>652</v>
      </c>
      <c r="D5987" s="435"/>
      <c r="E5987" s="91"/>
      <c r="F5987" s="185"/>
      <c r="G5987" s="296"/>
      <c r="H5987" s="359">
        <f>ROUNDUP((H5986+H5985)/100,0)*100</f>
        <v>88600</v>
      </c>
      <c r="M5987" s="185"/>
    </row>
    <row r="5988" spans="2:13" ht="18.75" customHeight="1" x14ac:dyDescent="0.25">
      <c r="B5988" s="371"/>
      <c r="C5988" s="373"/>
      <c r="D5988" s="245"/>
      <c r="E5988" s="246"/>
      <c r="F5988" s="247"/>
      <c r="G5988" s="299"/>
      <c r="H5988" s="372"/>
      <c r="M5988" s="247"/>
    </row>
    <row r="5989" spans="2:13" ht="18.75" customHeight="1" x14ac:dyDescent="0.25">
      <c r="B5989" s="435"/>
      <c r="C5989" s="111"/>
      <c r="E5989" s="21"/>
      <c r="F5989" s="176"/>
      <c r="G5989" s="168"/>
      <c r="H5989" s="211"/>
      <c r="M5989" s="176"/>
    </row>
    <row r="5990" spans="2:13" ht="18.75" customHeight="1" x14ac:dyDescent="0.25">
      <c r="B5990" s="19">
        <f>B5966+1</f>
        <v>2</v>
      </c>
      <c r="C5990" s="93" t="s">
        <v>1126</v>
      </c>
      <c r="D5990" s="19"/>
      <c r="E5990" s="21"/>
      <c r="F5990" s="176"/>
      <c r="G5990" s="165"/>
      <c r="H5990" s="119"/>
      <c r="M5990" s="176"/>
    </row>
    <row r="5991" spans="2:13" ht="18.75" customHeight="1" x14ac:dyDescent="0.25">
      <c r="B5991" s="618" t="s">
        <v>620</v>
      </c>
      <c r="C5991" s="620" t="s">
        <v>621</v>
      </c>
      <c r="D5991" s="618" t="s">
        <v>622</v>
      </c>
      <c r="E5991" s="618" t="s">
        <v>2</v>
      </c>
      <c r="F5991" s="615" t="s">
        <v>623</v>
      </c>
      <c r="G5991" s="289" t="s">
        <v>624</v>
      </c>
      <c r="H5991" s="256" t="s">
        <v>625</v>
      </c>
      <c r="M5991" s="615" t="s">
        <v>623</v>
      </c>
    </row>
    <row r="5992" spans="2:13" ht="18.75" customHeight="1" x14ac:dyDescent="0.25">
      <c r="B5992" s="619"/>
      <c r="C5992" s="621"/>
      <c r="D5992" s="619"/>
      <c r="E5992" s="619"/>
      <c r="F5992" s="616"/>
      <c r="G5992" s="289" t="s">
        <v>626</v>
      </c>
      <c r="H5992" s="256" t="s">
        <v>626</v>
      </c>
      <c r="M5992" s="616"/>
    </row>
    <row r="5993" spans="2:13" ht="18.75" customHeight="1" x14ac:dyDescent="0.25">
      <c r="B5993" s="221"/>
      <c r="C5993" s="222"/>
      <c r="D5993" s="221"/>
      <c r="E5993" s="550"/>
      <c r="F5993" s="555"/>
      <c r="G5993" s="551"/>
      <c r="H5993" s="220"/>
      <c r="M5993" s="590"/>
    </row>
    <row r="5994" spans="2:13" ht="18.75" customHeight="1" x14ac:dyDescent="0.25">
      <c r="B5994" s="550" t="s">
        <v>627</v>
      </c>
      <c r="C5994" s="223" t="s">
        <v>628</v>
      </c>
      <c r="D5994" s="550"/>
      <c r="E5994" s="224"/>
      <c r="F5994" s="225"/>
      <c r="G5994" s="290"/>
      <c r="H5994" s="226"/>
      <c r="M5994" s="225"/>
    </row>
    <row r="5995" spans="2:13" ht="18.75" customHeight="1" x14ac:dyDescent="0.25">
      <c r="B5995" s="550"/>
      <c r="C5995" s="227" t="s">
        <v>629</v>
      </c>
      <c r="D5995" s="550" t="s">
        <v>630</v>
      </c>
      <c r="E5995" s="224" t="s">
        <v>631</v>
      </c>
      <c r="F5995" s="228">
        <f t="shared" ref="F5995:F5998" si="268">$K$8*M5995</f>
        <v>0.15</v>
      </c>
      <c r="G5995" s="229">
        <f>G5944</f>
        <v>95000</v>
      </c>
      <c r="H5995" s="230">
        <f>+G5995*F5995</f>
        <v>14250</v>
      </c>
      <c r="M5995" s="228">
        <v>0.15</v>
      </c>
    </row>
    <row r="5996" spans="2:13" ht="18.75" customHeight="1" x14ac:dyDescent="0.25">
      <c r="B5996" s="550"/>
      <c r="C5996" s="227" t="s">
        <v>1508</v>
      </c>
      <c r="D5996" s="550" t="s">
        <v>634</v>
      </c>
      <c r="E5996" s="224" t="s">
        <v>631</v>
      </c>
      <c r="F5996" s="228">
        <f t="shared" si="268"/>
        <v>7.4999999999999997E-2</v>
      </c>
      <c r="G5996" s="229">
        <f>G5945</f>
        <v>110000</v>
      </c>
      <c r="H5996" s="230">
        <f>+G5996*F5996</f>
        <v>8250</v>
      </c>
      <c r="M5996" s="228">
        <v>7.4999999999999997E-2</v>
      </c>
    </row>
    <row r="5997" spans="2:13" ht="18.75" customHeight="1" x14ac:dyDescent="0.25">
      <c r="B5997" s="550"/>
      <c r="C5997" s="227" t="s">
        <v>633</v>
      </c>
      <c r="D5997" s="550" t="s">
        <v>1123</v>
      </c>
      <c r="E5997" s="224" t="s">
        <v>631</v>
      </c>
      <c r="F5997" s="228">
        <f t="shared" si="268"/>
        <v>8.0000000000000002E-3</v>
      </c>
      <c r="G5997" s="229">
        <f>G5946</f>
        <v>115000</v>
      </c>
      <c r="H5997" s="230">
        <f>+G5997*F5997</f>
        <v>920</v>
      </c>
      <c r="M5997" s="228">
        <v>8.0000000000000002E-3</v>
      </c>
    </row>
    <row r="5998" spans="2:13" ht="18.75" customHeight="1" x14ac:dyDescent="0.25">
      <c r="B5998" s="550"/>
      <c r="C5998" s="227" t="s">
        <v>600</v>
      </c>
      <c r="D5998" s="550" t="s">
        <v>1124</v>
      </c>
      <c r="E5998" s="224" t="s">
        <v>631</v>
      </c>
      <c r="F5998" s="228">
        <f t="shared" si="268"/>
        <v>8.0000000000000002E-3</v>
      </c>
      <c r="G5998" s="229">
        <f>G5947</f>
        <v>140000</v>
      </c>
      <c r="H5998" s="230">
        <f>+G5998*F5998</f>
        <v>1120</v>
      </c>
      <c r="M5998" s="228">
        <v>8.0000000000000002E-3</v>
      </c>
    </row>
    <row r="5999" spans="2:13" ht="18.75" customHeight="1" x14ac:dyDescent="0.25">
      <c r="B5999" s="550"/>
      <c r="C5999" s="223"/>
      <c r="D5999" s="550"/>
      <c r="E5999" s="224"/>
      <c r="F5999" s="233" t="s">
        <v>636</v>
      </c>
      <c r="G5999" s="290"/>
      <c r="H5999" s="231">
        <f>SUM(H5995:H5998)</f>
        <v>24540</v>
      </c>
      <c r="M5999" s="233" t="s">
        <v>636</v>
      </c>
    </row>
    <row r="6000" spans="2:13" ht="18.75" customHeight="1" x14ac:dyDescent="0.25">
      <c r="B6000" s="550"/>
      <c r="C6000" s="223"/>
      <c r="D6000" s="550"/>
      <c r="E6000" s="224"/>
      <c r="F6000" s="233"/>
      <c r="G6000" s="290"/>
      <c r="H6000" s="231"/>
      <c r="M6000" s="233"/>
    </row>
    <row r="6001" spans="2:13" ht="18.75" customHeight="1" x14ac:dyDescent="0.25">
      <c r="B6001" s="550" t="s">
        <v>637</v>
      </c>
      <c r="C6001" s="223" t="s">
        <v>638</v>
      </c>
      <c r="D6001" s="550"/>
      <c r="E6001" s="224"/>
      <c r="F6001" s="225"/>
      <c r="G6001" s="290"/>
      <c r="H6001" s="226"/>
      <c r="M6001" s="225"/>
    </row>
    <row r="6002" spans="2:13" ht="18.75" customHeight="1" x14ac:dyDescent="0.25">
      <c r="B6002" s="550"/>
      <c r="C6002" s="223" t="s">
        <v>1127</v>
      </c>
      <c r="D6002" s="550"/>
      <c r="E6002" s="550" t="s">
        <v>16</v>
      </c>
      <c r="F6002" s="405">
        <v>25</v>
      </c>
      <c r="G6002" s="418">
        <f>Bahan!D442</f>
        <v>8500</v>
      </c>
      <c r="H6002" s="230">
        <f>+G6002*F6002</f>
        <v>212500</v>
      </c>
      <c r="M6002" s="405">
        <v>25</v>
      </c>
    </row>
    <row r="6003" spans="2:13" ht="18.75" customHeight="1" x14ac:dyDescent="0.25">
      <c r="B6003" s="550"/>
      <c r="C6003" s="223"/>
      <c r="D6003" s="550"/>
      <c r="E6003" s="224"/>
      <c r="F6003" s="237" t="s">
        <v>643</v>
      </c>
      <c r="G6003" s="290"/>
      <c r="H6003" s="231">
        <f>SUM(H6002:H6002)</f>
        <v>212500</v>
      </c>
      <c r="M6003" s="237" t="s">
        <v>643</v>
      </c>
    </row>
    <row r="6004" spans="2:13" ht="18.75" customHeight="1" x14ac:dyDescent="0.25">
      <c r="B6004" s="550"/>
      <c r="C6004" s="223"/>
      <c r="D6004" s="550"/>
      <c r="E6004" s="224"/>
      <c r="F6004" s="225"/>
      <c r="G6004" s="290"/>
      <c r="H6004" s="226"/>
      <c r="M6004" s="225"/>
    </row>
    <row r="6005" spans="2:13" ht="18.75" customHeight="1" x14ac:dyDescent="0.25">
      <c r="B6005" s="550" t="s">
        <v>644</v>
      </c>
      <c r="C6005" s="223" t="s">
        <v>645</v>
      </c>
      <c r="D6005" s="550"/>
      <c r="E6005" s="224"/>
      <c r="F6005" s="225"/>
      <c r="G6005" s="290"/>
      <c r="H6005" s="235"/>
      <c r="M6005" s="225"/>
    </row>
    <row r="6006" spans="2:13" ht="18.75" customHeight="1" x14ac:dyDescent="0.25">
      <c r="B6006" s="236"/>
      <c r="C6006" s="232"/>
      <c r="D6006" s="550"/>
      <c r="E6006" s="224"/>
      <c r="F6006" s="237" t="s">
        <v>646</v>
      </c>
      <c r="G6006" s="290"/>
      <c r="H6006" s="230"/>
      <c r="M6006" s="237" t="s">
        <v>646</v>
      </c>
    </row>
    <row r="6007" spans="2:13" ht="18.75" customHeight="1" x14ac:dyDescent="0.25">
      <c r="B6007" s="236"/>
      <c r="C6007" s="232"/>
      <c r="D6007" s="550"/>
      <c r="E6007" s="224"/>
      <c r="F6007" s="237"/>
      <c r="G6007" s="290"/>
      <c r="H6007" s="226"/>
      <c r="M6007" s="237"/>
    </row>
    <row r="6008" spans="2:13" ht="18.75" customHeight="1" x14ac:dyDescent="0.25">
      <c r="B6008" s="354"/>
      <c r="C6008" s="362"/>
      <c r="D6008" s="239"/>
      <c r="E6008" s="240"/>
      <c r="F6008" s="241"/>
      <c r="G6008" s="293"/>
      <c r="H6008" s="355"/>
      <c r="M6008" s="241"/>
    </row>
    <row r="6009" spans="2:13" ht="18.75" customHeight="1" x14ac:dyDescent="0.25">
      <c r="B6009" s="356" t="s">
        <v>647</v>
      </c>
      <c r="C6009" s="363" t="s">
        <v>648</v>
      </c>
      <c r="D6009" s="435"/>
      <c r="E6009" s="92"/>
      <c r="F6009" s="183"/>
      <c r="G6009" s="295"/>
      <c r="H6009" s="357">
        <f>+H6006+H6003+H5999</f>
        <v>237040</v>
      </c>
      <c r="M6009" s="183"/>
    </row>
    <row r="6010" spans="2:13" ht="18.75" customHeight="1" x14ac:dyDescent="0.25">
      <c r="B6010" s="356" t="s">
        <v>649</v>
      </c>
      <c r="C6010" s="364" t="s">
        <v>650</v>
      </c>
      <c r="D6010" s="435"/>
      <c r="E6010" s="92"/>
      <c r="F6010" s="184" t="str">
        <f>$J$5</f>
        <v>8,0 % x D</v>
      </c>
      <c r="G6010" s="295"/>
      <c r="H6010" s="358">
        <f>+H6009*$K$5</f>
        <v>18963.2</v>
      </c>
      <c r="M6010" s="184" t="str">
        <f>$J$5</f>
        <v>8,0 % x D</v>
      </c>
    </row>
    <row r="6011" spans="2:13" ht="18.75" customHeight="1" x14ac:dyDescent="0.25">
      <c r="B6011" s="356" t="s">
        <v>651</v>
      </c>
      <c r="C6011" s="365" t="s">
        <v>652</v>
      </c>
      <c r="D6011" s="435"/>
      <c r="E6011" s="91"/>
      <c r="F6011" s="185"/>
      <c r="G6011" s="296"/>
      <c r="H6011" s="359">
        <f>ROUNDUP((H6010+H6009)/100,0)*100</f>
        <v>256100</v>
      </c>
      <c r="M6011" s="185"/>
    </row>
    <row r="6012" spans="2:13" ht="18.75" customHeight="1" x14ac:dyDescent="0.25">
      <c r="B6012" s="360"/>
      <c r="C6012" s="366"/>
      <c r="D6012" s="245"/>
      <c r="E6012" s="246"/>
      <c r="F6012" s="247"/>
      <c r="G6012" s="299"/>
      <c r="H6012" s="361"/>
      <c r="M6012" s="247"/>
    </row>
    <row r="6013" spans="2:13" ht="18.75" customHeight="1" x14ac:dyDescent="0.25">
      <c r="G6013" s="66"/>
      <c r="H6013" s="138"/>
    </row>
    <row r="6014" spans="2:13" ht="18.75" customHeight="1" x14ac:dyDescent="0.25">
      <c r="B6014" s="19">
        <f>B5990+1</f>
        <v>3</v>
      </c>
      <c r="C6014" s="93" t="s">
        <v>1128</v>
      </c>
      <c r="D6014" s="19"/>
      <c r="E6014" s="21"/>
      <c r="F6014" s="176"/>
      <c r="G6014" s="165"/>
      <c r="H6014" s="119"/>
      <c r="M6014" s="176"/>
    </row>
    <row r="6015" spans="2:13" ht="18.75" customHeight="1" x14ac:dyDescent="0.25">
      <c r="B6015" s="618" t="s">
        <v>620</v>
      </c>
      <c r="C6015" s="620" t="s">
        <v>621</v>
      </c>
      <c r="D6015" s="618" t="s">
        <v>622</v>
      </c>
      <c r="E6015" s="618" t="s">
        <v>2</v>
      </c>
      <c r="F6015" s="615" t="s">
        <v>623</v>
      </c>
      <c r="G6015" s="289" t="s">
        <v>624</v>
      </c>
      <c r="H6015" s="256" t="s">
        <v>625</v>
      </c>
      <c r="M6015" s="615" t="s">
        <v>623</v>
      </c>
    </row>
    <row r="6016" spans="2:13" ht="18.75" customHeight="1" x14ac:dyDescent="0.25">
      <c r="B6016" s="619"/>
      <c r="C6016" s="621"/>
      <c r="D6016" s="619"/>
      <c r="E6016" s="619"/>
      <c r="F6016" s="616"/>
      <c r="G6016" s="289" t="s">
        <v>626</v>
      </c>
      <c r="H6016" s="256" t="s">
        <v>626</v>
      </c>
      <c r="M6016" s="616"/>
    </row>
    <row r="6017" spans="2:13" ht="18.75" customHeight="1" x14ac:dyDescent="0.25">
      <c r="B6017" s="221"/>
      <c r="C6017" s="222"/>
      <c r="D6017" s="221"/>
      <c r="E6017" s="550"/>
      <c r="F6017" s="555"/>
      <c r="G6017" s="551"/>
      <c r="H6017" s="220"/>
      <c r="M6017" s="590"/>
    </row>
    <row r="6018" spans="2:13" ht="18.75" customHeight="1" x14ac:dyDescent="0.25">
      <c r="B6018" s="550" t="s">
        <v>627</v>
      </c>
      <c r="C6018" s="223" t="s">
        <v>628</v>
      </c>
      <c r="D6018" s="550"/>
      <c r="E6018" s="224"/>
      <c r="F6018" s="225"/>
      <c r="G6018" s="290"/>
      <c r="H6018" s="226"/>
      <c r="M6018" s="225"/>
    </row>
    <row r="6019" spans="2:13" ht="18.75" customHeight="1" x14ac:dyDescent="0.25">
      <c r="B6019" s="550"/>
      <c r="C6019" s="227" t="s">
        <v>629</v>
      </c>
      <c r="D6019" s="550" t="s">
        <v>630</v>
      </c>
      <c r="E6019" s="224" t="s">
        <v>631</v>
      </c>
      <c r="F6019" s="228">
        <f t="shared" ref="F6019:F6022" si="269">$K$8*M6019</f>
        <v>0.15</v>
      </c>
      <c r="G6019" s="229">
        <f>G5995</f>
        <v>95000</v>
      </c>
      <c r="H6019" s="230">
        <f>+G6019*F6019</f>
        <v>14250</v>
      </c>
      <c r="M6019" s="228">
        <v>0.15</v>
      </c>
    </row>
    <row r="6020" spans="2:13" ht="18.75" customHeight="1" x14ac:dyDescent="0.25">
      <c r="B6020" s="550"/>
      <c r="C6020" s="227" t="s">
        <v>1508</v>
      </c>
      <c r="D6020" s="550" t="s">
        <v>634</v>
      </c>
      <c r="E6020" s="224" t="s">
        <v>631</v>
      </c>
      <c r="F6020" s="228">
        <f t="shared" si="269"/>
        <v>7.4999999999999997E-2</v>
      </c>
      <c r="G6020" s="229">
        <f>G5996</f>
        <v>110000</v>
      </c>
      <c r="H6020" s="230">
        <f>+G6020*F6020</f>
        <v>8250</v>
      </c>
      <c r="M6020" s="228">
        <v>7.4999999999999997E-2</v>
      </c>
    </row>
    <row r="6021" spans="2:13" ht="18.75" customHeight="1" x14ac:dyDescent="0.25">
      <c r="B6021" s="550"/>
      <c r="C6021" s="227" t="s">
        <v>633</v>
      </c>
      <c r="D6021" s="550" t="s">
        <v>1123</v>
      </c>
      <c r="E6021" s="224" t="s">
        <v>631</v>
      </c>
      <c r="F6021" s="228">
        <f t="shared" si="269"/>
        <v>8.0000000000000002E-3</v>
      </c>
      <c r="G6021" s="229">
        <f>G5997</f>
        <v>115000</v>
      </c>
      <c r="H6021" s="230">
        <f>+G6021*F6021</f>
        <v>920</v>
      </c>
      <c r="M6021" s="228">
        <v>8.0000000000000002E-3</v>
      </c>
    </row>
    <row r="6022" spans="2:13" ht="18.75" customHeight="1" x14ac:dyDescent="0.25">
      <c r="B6022" s="550"/>
      <c r="C6022" s="227" t="s">
        <v>600</v>
      </c>
      <c r="D6022" s="550" t="s">
        <v>1124</v>
      </c>
      <c r="E6022" s="224" t="s">
        <v>631</v>
      </c>
      <c r="F6022" s="228">
        <f t="shared" si="269"/>
        <v>8.0000000000000002E-3</v>
      </c>
      <c r="G6022" s="229">
        <f>G5998</f>
        <v>140000</v>
      </c>
      <c r="H6022" s="230">
        <f>+G6022*F6022</f>
        <v>1120</v>
      </c>
      <c r="M6022" s="228">
        <v>8.0000000000000002E-3</v>
      </c>
    </row>
    <row r="6023" spans="2:13" ht="18.75" customHeight="1" x14ac:dyDescent="0.25">
      <c r="B6023" s="550"/>
      <c r="C6023" s="223"/>
      <c r="D6023" s="550"/>
      <c r="E6023" s="224"/>
      <c r="F6023" s="233" t="s">
        <v>636</v>
      </c>
      <c r="G6023" s="290"/>
      <c r="H6023" s="231">
        <f>SUM(H6019:H6022)</f>
        <v>24540</v>
      </c>
      <c r="M6023" s="233" t="s">
        <v>636</v>
      </c>
    </row>
    <row r="6024" spans="2:13" ht="18.75" customHeight="1" x14ac:dyDescent="0.25">
      <c r="B6024" s="550"/>
      <c r="C6024" s="223"/>
      <c r="D6024" s="550"/>
      <c r="E6024" s="224"/>
      <c r="F6024" s="233"/>
      <c r="G6024" s="290"/>
      <c r="H6024" s="231"/>
      <c r="M6024" s="233"/>
    </row>
    <row r="6025" spans="2:13" ht="18.75" customHeight="1" x14ac:dyDescent="0.25">
      <c r="B6025" s="550" t="s">
        <v>637</v>
      </c>
      <c r="C6025" s="223" t="s">
        <v>638</v>
      </c>
      <c r="D6025" s="550"/>
      <c r="E6025" s="224"/>
      <c r="F6025" s="225"/>
      <c r="G6025" s="290"/>
      <c r="H6025" s="226"/>
      <c r="M6025" s="225"/>
    </row>
    <row r="6026" spans="2:13" ht="18.75" customHeight="1" x14ac:dyDescent="0.25">
      <c r="B6026" s="550"/>
      <c r="C6026" s="223" t="s">
        <v>1129</v>
      </c>
      <c r="D6026" s="550"/>
      <c r="E6026" s="550" t="s">
        <v>16</v>
      </c>
      <c r="F6026" s="405">
        <v>25</v>
      </c>
      <c r="G6026" s="418">
        <f>Bahan!D457</f>
        <v>3350</v>
      </c>
      <c r="H6026" s="230">
        <f>+G6026*F6026</f>
        <v>83750</v>
      </c>
      <c r="M6026" s="405">
        <v>25</v>
      </c>
    </row>
    <row r="6027" spans="2:13" ht="18.75" customHeight="1" x14ac:dyDescent="0.25">
      <c r="B6027" s="550"/>
      <c r="C6027" s="223"/>
      <c r="D6027" s="550"/>
      <c r="E6027" s="224"/>
      <c r="F6027" s="237" t="s">
        <v>643</v>
      </c>
      <c r="G6027" s="290"/>
      <c r="H6027" s="231">
        <f>SUM(H6026:H6026)</f>
        <v>83750</v>
      </c>
      <c r="M6027" s="237" t="s">
        <v>643</v>
      </c>
    </row>
    <row r="6028" spans="2:13" ht="18.75" customHeight="1" x14ac:dyDescent="0.25">
      <c r="B6028" s="550"/>
      <c r="C6028" s="223"/>
      <c r="D6028" s="550"/>
      <c r="E6028" s="224"/>
      <c r="F6028" s="225"/>
      <c r="G6028" s="290"/>
      <c r="H6028" s="226"/>
      <c r="M6028" s="225"/>
    </row>
    <row r="6029" spans="2:13" ht="18.75" customHeight="1" x14ac:dyDescent="0.25">
      <c r="B6029" s="550" t="s">
        <v>644</v>
      </c>
      <c r="C6029" s="223" t="s">
        <v>645</v>
      </c>
      <c r="D6029" s="550"/>
      <c r="E6029" s="224"/>
      <c r="F6029" s="225"/>
      <c r="G6029" s="290"/>
      <c r="H6029" s="235"/>
      <c r="M6029" s="225"/>
    </row>
    <row r="6030" spans="2:13" ht="18.75" customHeight="1" x14ac:dyDescent="0.25">
      <c r="B6030" s="236"/>
      <c r="C6030" s="232"/>
      <c r="D6030" s="550"/>
      <c r="E6030" s="224"/>
      <c r="F6030" s="237" t="s">
        <v>646</v>
      </c>
      <c r="G6030" s="290"/>
      <c r="H6030" s="230"/>
      <c r="M6030" s="237" t="s">
        <v>646</v>
      </c>
    </row>
    <row r="6031" spans="2:13" ht="18.75" customHeight="1" x14ac:dyDescent="0.25">
      <c r="B6031" s="236"/>
      <c r="C6031" s="232"/>
      <c r="D6031" s="550"/>
      <c r="E6031" s="224"/>
      <c r="F6031" s="237"/>
      <c r="G6031" s="290"/>
      <c r="H6031" s="226"/>
      <c r="M6031" s="237"/>
    </row>
    <row r="6032" spans="2:13" ht="18.75" customHeight="1" x14ac:dyDescent="0.25">
      <c r="B6032" s="354"/>
      <c r="C6032" s="362"/>
      <c r="D6032" s="239"/>
      <c r="E6032" s="240"/>
      <c r="F6032" s="241"/>
      <c r="G6032" s="293"/>
      <c r="H6032" s="355"/>
      <c r="M6032" s="241"/>
    </row>
    <row r="6033" spans="2:13" ht="18.75" customHeight="1" x14ac:dyDescent="0.25">
      <c r="B6033" s="356" t="s">
        <v>647</v>
      </c>
      <c r="C6033" s="363" t="s">
        <v>648</v>
      </c>
      <c r="D6033" s="435"/>
      <c r="E6033" s="92"/>
      <c r="F6033" s="183"/>
      <c r="G6033" s="295"/>
      <c r="H6033" s="357">
        <f>+H6030+H6027+H6023</f>
        <v>108290</v>
      </c>
      <c r="M6033" s="183"/>
    </row>
    <row r="6034" spans="2:13" ht="18.75" customHeight="1" x14ac:dyDescent="0.25">
      <c r="B6034" s="356" t="s">
        <v>649</v>
      </c>
      <c r="C6034" s="364" t="s">
        <v>650</v>
      </c>
      <c r="D6034" s="435"/>
      <c r="E6034" s="92"/>
      <c r="F6034" s="184" t="str">
        <f>$J$5</f>
        <v>8,0 % x D</v>
      </c>
      <c r="G6034" s="295"/>
      <c r="H6034" s="358">
        <f>+H6033*$K$5</f>
        <v>8663.2000000000007</v>
      </c>
      <c r="M6034" s="184" t="str">
        <f>$J$5</f>
        <v>8,0 % x D</v>
      </c>
    </row>
    <row r="6035" spans="2:13" ht="18.75" customHeight="1" x14ac:dyDescent="0.25">
      <c r="B6035" s="356" t="s">
        <v>651</v>
      </c>
      <c r="C6035" s="365" t="s">
        <v>652</v>
      </c>
      <c r="D6035" s="435"/>
      <c r="E6035" s="91"/>
      <c r="F6035" s="185"/>
      <c r="G6035" s="296"/>
      <c r="H6035" s="359">
        <f>ROUNDUP((H6034+H6033)/100,0)*100</f>
        <v>117000</v>
      </c>
      <c r="M6035" s="185"/>
    </row>
    <row r="6036" spans="2:13" ht="18.75" customHeight="1" x14ac:dyDescent="0.25">
      <c r="B6036" s="360"/>
      <c r="C6036" s="366"/>
      <c r="D6036" s="245"/>
      <c r="E6036" s="246"/>
      <c r="F6036" s="247"/>
      <c r="G6036" s="299"/>
      <c r="H6036" s="361"/>
      <c r="M6036" s="247"/>
    </row>
    <row r="6037" spans="2:13" ht="18.75" customHeight="1" x14ac:dyDescent="0.25">
      <c r="B6037" s="92"/>
      <c r="C6037" s="104"/>
      <c r="D6037" s="435"/>
      <c r="E6037" s="91"/>
      <c r="F6037" s="185"/>
      <c r="G6037" s="168"/>
      <c r="H6037" s="139"/>
      <c r="M6037" s="185"/>
    </row>
    <row r="6038" spans="2:13" ht="18.75" customHeight="1" x14ac:dyDescent="0.25">
      <c r="B6038" s="19">
        <f>B6014+1</f>
        <v>4</v>
      </c>
      <c r="C6038" s="93" t="s">
        <v>1810</v>
      </c>
      <c r="D6038" s="19"/>
      <c r="E6038" s="21"/>
      <c r="F6038" s="176"/>
      <c r="G6038" s="165"/>
      <c r="H6038" s="119"/>
      <c r="M6038" s="176"/>
    </row>
    <row r="6039" spans="2:13" ht="18.75" customHeight="1" x14ac:dyDescent="0.25">
      <c r="B6039" s="618" t="s">
        <v>620</v>
      </c>
      <c r="C6039" s="620" t="s">
        <v>621</v>
      </c>
      <c r="D6039" s="618" t="s">
        <v>622</v>
      </c>
      <c r="E6039" s="618" t="s">
        <v>2</v>
      </c>
      <c r="F6039" s="615" t="s">
        <v>623</v>
      </c>
      <c r="G6039" s="289" t="s">
        <v>624</v>
      </c>
      <c r="H6039" s="256" t="s">
        <v>625</v>
      </c>
      <c r="M6039" s="615" t="s">
        <v>623</v>
      </c>
    </row>
    <row r="6040" spans="2:13" ht="18.75" customHeight="1" x14ac:dyDescent="0.25">
      <c r="B6040" s="619"/>
      <c r="C6040" s="621"/>
      <c r="D6040" s="619"/>
      <c r="E6040" s="619"/>
      <c r="F6040" s="616"/>
      <c r="G6040" s="289" t="s">
        <v>626</v>
      </c>
      <c r="H6040" s="256" t="s">
        <v>626</v>
      </c>
      <c r="M6040" s="616"/>
    </row>
    <row r="6041" spans="2:13" ht="18.75" customHeight="1" x14ac:dyDescent="0.25">
      <c r="B6041" s="221"/>
      <c r="C6041" s="222"/>
      <c r="D6041" s="221"/>
      <c r="E6041" s="550"/>
      <c r="F6041" s="555"/>
      <c r="G6041" s="551"/>
      <c r="H6041" s="220"/>
      <c r="M6041" s="590"/>
    </row>
    <row r="6042" spans="2:13" ht="18.75" customHeight="1" x14ac:dyDescent="0.25">
      <c r="B6042" s="550" t="s">
        <v>627</v>
      </c>
      <c r="C6042" s="223" t="s">
        <v>628</v>
      </c>
      <c r="D6042" s="550"/>
      <c r="E6042" s="224"/>
      <c r="F6042" s="225"/>
      <c r="G6042" s="290"/>
      <c r="H6042" s="226"/>
      <c r="M6042" s="225"/>
    </row>
    <row r="6043" spans="2:13" ht="18.75" customHeight="1" x14ac:dyDescent="0.25">
      <c r="B6043" s="550"/>
      <c r="C6043" s="227" t="s">
        <v>629</v>
      </c>
      <c r="D6043" s="550" t="s">
        <v>630</v>
      </c>
      <c r="E6043" s="224" t="s">
        <v>631</v>
      </c>
      <c r="F6043" s="228">
        <f t="shared" ref="F6043:F6046" si="270">$K$8*M6043</f>
        <v>0.4</v>
      </c>
      <c r="G6043" s="229">
        <f>G6019</f>
        <v>95000</v>
      </c>
      <c r="H6043" s="230">
        <f>+G6043*F6043</f>
        <v>38000</v>
      </c>
      <c r="M6043" s="228">
        <v>0.4</v>
      </c>
    </row>
    <row r="6044" spans="2:13" ht="18.75" customHeight="1" x14ac:dyDescent="0.25">
      <c r="B6044" s="550"/>
      <c r="C6044" s="227" t="s">
        <v>1508</v>
      </c>
      <c r="D6044" s="550" t="s">
        <v>634</v>
      </c>
      <c r="E6044" s="224" t="s">
        <v>631</v>
      </c>
      <c r="F6044" s="228">
        <f t="shared" si="270"/>
        <v>0.2</v>
      </c>
      <c r="G6044" s="229">
        <f>G6020</f>
        <v>110000</v>
      </c>
      <c r="H6044" s="230">
        <f>+G6044*F6044</f>
        <v>22000</v>
      </c>
      <c r="M6044" s="228">
        <v>0.2</v>
      </c>
    </row>
    <row r="6045" spans="2:13" ht="18.75" customHeight="1" x14ac:dyDescent="0.25">
      <c r="B6045" s="550"/>
      <c r="C6045" s="227" t="s">
        <v>633</v>
      </c>
      <c r="D6045" s="550" t="s">
        <v>1123</v>
      </c>
      <c r="E6045" s="224" t="s">
        <v>631</v>
      </c>
      <c r="F6045" s="228">
        <f t="shared" si="270"/>
        <v>0.02</v>
      </c>
      <c r="G6045" s="229">
        <f>G6021</f>
        <v>115000</v>
      </c>
      <c r="H6045" s="230">
        <f>+G6045*F6045</f>
        <v>2300</v>
      </c>
      <c r="M6045" s="228">
        <v>0.02</v>
      </c>
    </row>
    <row r="6046" spans="2:13" ht="18.75" customHeight="1" x14ac:dyDescent="0.25">
      <c r="B6046" s="550"/>
      <c r="C6046" s="227" t="s">
        <v>600</v>
      </c>
      <c r="D6046" s="550" t="s">
        <v>1124</v>
      </c>
      <c r="E6046" s="224" t="s">
        <v>631</v>
      </c>
      <c r="F6046" s="228">
        <f t="shared" si="270"/>
        <v>2E-3</v>
      </c>
      <c r="G6046" s="229">
        <f>G6022</f>
        <v>140000</v>
      </c>
      <c r="H6046" s="230">
        <f>+G6046*F6046</f>
        <v>280</v>
      </c>
      <c r="M6046" s="228">
        <v>2E-3</v>
      </c>
    </row>
    <row r="6047" spans="2:13" ht="18.75" customHeight="1" x14ac:dyDescent="0.25">
      <c r="B6047" s="550"/>
      <c r="C6047" s="223"/>
      <c r="D6047" s="550"/>
      <c r="E6047" s="224"/>
      <c r="F6047" s="233" t="s">
        <v>636</v>
      </c>
      <c r="G6047" s="290"/>
      <c r="H6047" s="231">
        <f>SUM(H6043:H6046)</f>
        <v>62580</v>
      </c>
      <c r="M6047" s="233" t="s">
        <v>636</v>
      </c>
    </row>
    <row r="6048" spans="2:13" ht="18.75" customHeight="1" x14ac:dyDescent="0.25">
      <c r="B6048" s="550" t="s">
        <v>637</v>
      </c>
      <c r="C6048" s="223" t="s">
        <v>638</v>
      </c>
      <c r="D6048" s="550"/>
      <c r="E6048" s="224"/>
      <c r="F6048" s="225"/>
      <c r="G6048" s="290"/>
      <c r="H6048" s="226"/>
      <c r="M6048" s="225"/>
    </row>
    <row r="6049" spans="2:13" ht="18.75" customHeight="1" x14ac:dyDescent="0.25">
      <c r="B6049" s="550"/>
      <c r="C6049" s="223" t="s">
        <v>1130</v>
      </c>
      <c r="D6049" s="550"/>
      <c r="E6049" s="550" t="s">
        <v>16</v>
      </c>
      <c r="F6049" s="405">
        <v>5</v>
      </c>
      <c r="G6049" s="418">
        <f>Bahan!D428</f>
        <v>6500</v>
      </c>
      <c r="H6049" s="230">
        <f>+G6049*F6049</f>
        <v>32500</v>
      </c>
      <c r="M6049" s="405">
        <v>5</v>
      </c>
    </row>
    <row r="6050" spans="2:13" ht="18.75" customHeight="1" x14ac:dyDescent="0.25">
      <c r="B6050" s="550"/>
      <c r="C6050" s="223" t="s">
        <v>708</v>
      </c>
      <c r="D6050" s="550"/>
      <c r="E6050" s="550" t="s">
        <v>5</v>
      </c>
      <c r="F6050" s="405">
        <v>8</v>
      </c>
      <c r="G6050" s="418">
        <f>G3758</f>
        <v>1700</v>
      </c>
      <c r="H6050" s="230">
        <f>+G6050*F6050</f>
        <v>13600</v>
      </c>
      <c r="M6050" s="405">
        <v>8</v>
      </c>
    </row>
    <row r="6051" spans="2:13" ht="18.75" customHeight="1" x14ac:dyDescent="0.25">
      <c r="B6051" s="550"/>
      <c r="C6051" s="223" t="s">
        <v>661</v>
      </c>
      <c r="D6051" s="550"/>
      <c r="E6051" s="550" t="s">
        <v>1013</v>
      </c>
      <c r="F6051" s="405">
        <v>3.2000000000000001E-2</v>
      </c>
      <c r="G6051" s="418">
        <f>G3759</f>
        <v>230000</v>
      </c>
      <c r="H6051" s="230">
        <f>+G6051*F6051</f>
        <v>7360</v>
      </c>
      <c r="M6051" s="405">
        <v>3.2000000000000001E-2</v>
      </c>
    </row>
    <row r="6052" spans="2:13" ht="18.75" customHeight="1" x14ac:dyDescent="0.25">
      <c r="B6052" s="550"/>
      <c r="C6052" s="223"/>
      <c r="D6052" s="550"/>
      <c r="E6052" s="224"/>
      <c r="F6052" s="237" t="s">
        <v>643</v>
      </c>
      <c r="G6052" s="290"/>
      <c r="H6052" s="231">
        <f>SUM(H6049:H6051)</f>
        <v>53460</v>
      </c>
      <c r="M6052" s="237" t="s">
        <v>643</v>
      </c>
    </row>
    <row r="6053" spans="2:13" ht="18.75" customHeight="1" x14ac:dyDescent="0.25">
      <c r="B6053" s="550"/>
      <c r="C6053" s="223"/>
      <c r="D6053" s="550"/>
      <c r="E6053" s="224"/>
      <c r="F6053" s="225"/>
      <c r="G6053" s="290"/>
      <c r="H6053" s="226"/>
      <c r="M6053" s="225"/>
    </row>
    <row r="6054" spans="2:13" ht="18.75" customHeight="1" x14ac:dyDescent="0.25">
      <c r="B6054" s="550" t="s">
        <v>644</v>
      </c>
      <c r="C6054" s="223" t="s">
        <v>645</v>
      </c>
      <c r="D6054" s="550"/>
      <c r="E6054" s="224"/>
      <c r="F6054" s="225"/>
      <c r="G6054" s="290"/>
      <c r="H6054" s="235"/>
      <c r="M6054" s="225"/>
    </row>
    <row r="6055" spans="2:13" ht="18.75" customHeight="1" x14ac:dyDescent="0.25">
      <c r="B6055" s="236"/>
      <c r="C6055" s="232"/>
      <c r="D6055" s="550"/>
      <c r="E6055" s="224"/>
      <c r="F6055" s="237" t="s">
        <v>646</v>
      </c>
      <c r="G6055" s="290"/>
      <c r="H6055" s="230"/>
      <c r="M6055" s="237" t="s">
        <v>646</v>
      </c>
    </row>
    <row r="6056" spans="2:13" ht="18.75" customHeight="1" x14ac:dyDescent="0.25">
      <c r="B6056" s="236"/>
      <c r="C6056" s="232"/>
      <c r="D6056" s="550"/>
      <c r="E6056" s="224"/>
      <c r="F6056" s="237"/>
      <c r="G6056" s="290"/>
      <c r="H6056" s="226"/>
      <c r="M6056" s="237"/>
    </row>
    <row r="6057" spans="2:13" ht="18.75" customHeight="1" x14ac:dyDescent="0.25">
      <c r="B6057" s="354"/>
      <c r="C6057" s="362"/>
      <c r="D6057" s="239"/>
      <c r="E6057" s="240"/>
      <c r="F6057" s="241"/>
      <c r="G6057" s="293"/>
      <c r="H6057" s="355"/>
      <c r="M6057" s="241"/>
    </row>
    <row r="6058" spans="2:13" ht="18.75" customHeight="1" x14ac:dyDescent="0.25">
      <c r="B6058" s="356" t="s">
        <v>647</v>
      </c>
      <c r="C6058" s="363" t="s">
        <v>648</v>
      </c>
      <c r="D6058" s="435"/>
      <c r="E6058" s="92"/>
      <c r="F6058" s="183"/>
      <c r="G6058" s="295"/>
      <c r="H6058" s="357">
        <f>+H6055+H6052+H6047</f>
        <v>116040</v>
      </c>
      <c r="M6058" s="183"/>
    </row>
    <row r="6059" spans="2:13" ht="18.75" customHeight="1" x14ac:dyDescent="0.25">
      <c r="B6059" s="356" t="s">
        <v>649</v>
      </c>
      <c r="C6059" s="364" t="s">
        <v>650</v>
      </c>
      <c r="D6059" s="435"/>
      <c r="E6059" s="92"/>
      <c r="F6059" s="184" t="str">
        <f>$J$5</f>
        <v>8,0 % x D</v>
      </c>
      <c r="G6059" s="295"/>
      <c r="H6059" s="358">
        <f>+H6058*$K$5</f>
        <v>9283.2000000000007</v>
      </c>
      <c r="M6059" s="184" t="str">
        <f>$J$5</f>
        <v>8,0 % x D</v>
      </c>
    </row>
    <row r="6060" spans="2:13" ht="18.75" customHeight="1" x14ac:dyDescent="0.25">
      <c r="B6060" s="356" t="s">
        <v>651</v>
      </c>
      <c r="C6060" s="365" t="s">
        <v>652</v>
      </c>
      <c r="D6060" s="435"/>
      <c r="E6060" s="91"/>
      <c r="F6060" s="185"/>
      <c r="G6060" s="296"/>
      <c r="H6060" s="359">
        <f>ROUNDUP((H6059+H6058)/100,0)*100</f>
        <v>125400</v>
      </c>
      <c r="M6060" s="185"/>
    </row>
    <row r="6061" spans="2:13" ht="18.75" customHeight="1" x14ac:dyDescent="0.25">
      <c r="B6061" s="360"/>
      <c r="C6061" s="366"/>
      <c r="D6061" s="245"/>
      <c r="E6061" s="246"/>
      <c r="F6061" s="247"/>
      <c r="G6061" s="299"/>
      <c r="H6061" s="361"/>
      <c r="M6061" s="247"/>
    </row>
    <row r="6062" spans="2:13" ht="18.75" customHeight="1" x14ac:dyDescent="0.25">
      <c r="G6062" s="66"/>
      <c r="H6062" s="138"/>
    </row>
    <row r="6063" spans="2:13" ht="18.75" customHeight="1" x14ac:dyDescent="0.25">
      <c r="B6063" s="19">
        <f>B6038+1</f>
        <v>5</v>
      </c>
      <c r="C6063" s="93" t="s">
        <v>1811</v>
      </c>
      <c r="D6063" s="19"/>
      <c r="E6063" s="21"/>
      <c r="F6063" s="176"/>
      <c r="G6063" s="165"/>
      <c r="H6063" s="119"/>
      <c r="M6063" s="176"/>
    </row>
    <row r="6064" spans="2:13" ht="18.75" customHeight="1" x14ac:dyDescent="0.25">
      <c r="B6064" s="618" t="s">
        <v>620</v>
      </c>
      <c r="C6064" s="620" t="s">
        <v>621</v>
      </c>
      <c r="D6064" s="618" t="s">
        <v>622</v>
      </c>
      <c r="E6064" s="618" t="s">
        <v>2</v>
      </c>
      <c r="F6064" s="615" t="s">
        <v>623</v>
      </c>
      <c r="G6064" s="289" t="s">
        <v>624</v>
      </c>
      <c r="H6064" s="256" t="s">
        <v>625</v>
      </c>
      <c r="M6064" s="615" t="s">
        <v>623</v>
      </c>
    </row>
    <row r="6065" spans="2:13" ht="18.75" customHeight="1" x14ac:dyDescent="0.25">
      <c r="B6065" s="619"/>
      <c r="C6065" s="621"/>
      <c r="D6065" s="619"/>
      <c r="E6065" s="619"/>
      <c r="F6065" s="616"/>
      <c r="G6065" s="289" t="s">
        <v>626</v>
      </c>
      <c r="H6065" s="256" t="s">
        <v>626</v>
      </c>
      <c r="M6065" s="616"/>
    </row>
    <row r="6066" spans="2:13" ht="18.75" customHeight="1" x14ac:dyDescent="0.25">
      <c r="B6066" s="221"/>
      <c r="C6066" s="222"/>
      <c r="D6066" s="221"/>
      <c r="E6066" s="550"/>
      <c r="F6066" s="555"/>
      <c r="G6066" s="551"/>
      <c r="H6066" s="220"/>
      <c r="M6066" s="590"/>
    </row>
    <row r="6067" spans="2:13" ht="18.75" customHeight="1" x14ac:dyDescent="0.25">
      <c r="B6067" s="550" t="s">
        <v>627</v>
      </c>
      <c r="C6067" s="223" t="s">
        <v>628</v>
      </c>
      <c r="D6067" s="550"/>
      <c r="E6067" s="224"/>
      <c r="F6067" s="225"/>
      <c r="G6067" s="290"/>
      <c r="H6067" s="226"/>
      <c r="M6067" s="225"/>
    </row>
    <row r="6068" spans="2:13" ht="18.75" customHeight="1" x14ac:dyDescent="0.25">
      <c r="B6068" s="550"/>
      <c r="C6068" s="227" t="s">
        <v>1131</v>
      </c>
      <c r="D6068" s="550" t="s">
        <v>630</v>
      </c>
      <c r="E6068" s="224" t="s">
        <v>631</v>
      </c>
      <c r="F6068" s="228">
        <f t="shared" ref="F6068:F6071" si="271">$K$8*M6068</f>
        <v>0.4</v>
      </c>
      <c r="G6068" s="229">
        <f>G6043</f>
        <v>95000</v>
      </c>
      <c r="H6068" s="230">
        <f>+G6068*F6068</f>
        <v>38000</v>
      </c>
      <c r="M6068" s="228">
        <v>0.4</v>
      </c>
    </row>
    <row r="6069" spans="2:13" ht="18.75" customHeight="1" x14ac:dyDescent="0.25">
      <c r="B6069" s="550"/>
      <c r="C6069" s="227" t="s">
        <v>1508</v>
      </c>
      <c r="D6069" s="550" t="s">
        <v>634</v>
      </c>
      <c r="E6069" s="224" t="s">
        <v>631</v>
      </c>
      <c r="F6069" s="228">
        <f t="shared" si="271"/>
        <v>0.2</v>
      </c>
      <c r="G6069" s="229">
        <f>G6044</f>
        <v>110000</v>
      </c>
      <c r="H6069" s="230">
        <f>+G6069*F6069</f>
        <v>22000</v>
      </c>
      <c r="M6069" s="228">
        <v>0.2</v>
      </c>
    </row>
    <row r="6070" spans="2:13" ht="18.75" customHeight="1" x14ac:dyDescent="0.25">
      <c r="B6070" s="550"/>
      <c r="C6070" s="227" t="s">
        <v>633</v>
      </c>
      <c r="D6070" s="550" t="s">
        <v>1123</v>
      </c>
      <c r="E6070" s="224" t="s">
        <v>631</v>
      </c>
      <c r="F6070" s="228">
        <f t="shared" si="271"/>
        <v>0.02</v>
      </c>
      <c r="G6070" s="229">
        <f>G6045</f>
        <v>115000</v>
      </c>
      <c r="H6070" s="230">
        <f>+G6070*F6070</f>
        <v>2300</v>
      </c>
      <c r="M6070" s="228">
        <v>0.02</v>
      </c>
    </row>
    <row r="6071" spans="2:13" ht="18.75" customHeight="1" x14ac:dyDescent="0.25">
      <c r="B6071" s="550"/>
      <c r="C6071" s="227" t="s">
        <v>600</v>
      </c>
      <c r="D6071" s="550" t="s">
        <v>1124</v>
      </c>
      <c r="E6071" s="224" t="s">
        <v>631</v>
      </c>
      <c r="F6071" s="228">
        <f t="shared" si="271"/>
        <v>2E-3</v>
      </c>
      <c r="G6071" s="229">
        <f>G6046</f>
        <v>140000</v>
      </c>
      <c r="H6071" s="230">
        <f>+G6071*F6071</f>
        <v>280</v>
      </c>
      <c r="M6071" s="228">
        <v>2E-3</v>
      </c>
    </row>
    <row r="6072" spans="2:13" ht="18.75" customHeight="1" x14ac:dyDescent="0.25">
      <c r="B6072" s="550"/>
      <c r="C6072" s="223"/>
      <c r="D6072" s="550"/>
      <c r="E6072" s="224"/>
      <c r="F6072" s="233" t="s">
        <v>636</v>
      </c>
      <c r="G6072" s="290"/>
      <c r="H6072" s="231">
        <f>SUM(H6068:H6071)</f>
        <v>62580</v>
      </c>
      <c r="M6072" s="233" t="s">
        <v>636</v>
      </c>
    </row>
    <row r="6073" spans="2:13" ht="18.75" customHeight="1" x14ac:dyDescent="0.25">
      <c r="B6073" s="550"/>
      <c r="C6073" s="223"/>
      <c r="D6073" s="550"/>
      <c r="E6073" s="224"/>
      <c r="F6073" s="233"/>
      <c r="G6073" s="290"/>
      <c r="H6073" s="231"/>
      <c r="M6073" s="233"/>
    </row>
    <row r="6074" spans="2:13" ht="18.75" customHeight="1" x14ac:dyDescent="0.25">
      <c r="B6074" s="550" t="s">
        <v>637</v>
      </c>
      <c r="C6074" s="223" t="s">
        <v>638</v>
      </c>
      <c r="D6074" s="550"/>
      <c r="E6074" s="224"/>
      <c r="F6074" s="225"/>
      <c r="G6074" s="290"/>
      <c r="H6074" s="226"/>
      <c r="M6074" s="225"/>
    </row>
    <row r="6075" spans="2:13" ht="18.75" customHeight="1" x14ac:dyDescent="0.25">
      <c r="B6075" s="550"/>
      <c r="C6075" s="223" t="s">
        <v>1132</v>
      </c>
      <c r="D6075" s="550"/>
      <c r="E6075" s="550" t="s">
        <v>16</v>
      </c>
      <c r="F6075" s="405">
        <v>5</v>
      </c>
      <c r="G6075" s="418">
        <f>Bahan!D419</f>
        <v>22000</v>
      </c>
      <c r="H6075" s="230">
        <f>+G6075*F6075</f>
        <v>110000</v>
      </c>
      <c r="M6075" s="405">
        <v>5</v>
      </c>
    </row>
    <row r="6076" spans="2:13" ht="18.75" customHeight="1" x14ac:dyDescent="0.25">
      <c r="B6076" s="550"/>
      <c r="C6076" s="223" t="s">
        <v>708</v>
      </c>
      <c r="D6076" s="550"/>
      <c r="E6076" s="550" t="s">
        <v>5</v>
      </c>
      <c r="F6076" s="405">
        <v>8</v>
      </c>
      <c r="G6076" s="418">
        <f>G6050</f>
        <v>1700</v>
      </c>
      <c r="H6076" s="230">
        <f>+G6076*F6076</f>
        <v>13600</v>
      </c>
      <c r="M6076" s="405">
        <v>8</v>
      </c>
    </row>
    <row r="6077" spans="2:13" ht="18.75" customHeight="1" x14ac:dyDescent="0.25">
      <c r="B6077" s="550"/>
      <c r="C6077" s="223" t="s">
        <v>661</v>
      </c>
      <c r="D6077" s="550"/>
      <c r="E6077" s="550" t="s">
        <v>1013</v>
      </c>
      <c r="F6077" s="405">
        <v>3.2000000000000001E-2</v>
      </c>
      <c r="G6077" s="234">
        <f>G6051</f>
        <v>230000</v>
      </c>
      <c r="H6077" s="230">
        <f>+G6077*F6077</f>
        <v>7360</v>
      </c>
      <c r="M6077" s="405">
        <v>3.2000000000000001E-2</v>
      </c>
    </row>
    <row r="6078" spans="2:13" ht="18.75" customHeight="1" x14ac:dyDescent="0.25">
      <c r="B6078" s="550"/>
      <c r="C6078" s="223"/>
      <c r="D6078" s="550"/>
      <c r="E6078" s="224"/>
      <c r="F6078" s="237" t="s">
        <v>643</v>
      </c>
      <c r="G6078" s="290"/>
      <c r="H6078" s="231">
        <f>H6075+H6076+H6077</f>
        <v>130960</v>
      </c>
      <c r="M6078" s="237" t="s">
        <v>643</v>
      </c>
    </row>
    <row r="6079" spans="2:13" ht="18.75" customHeight="1" x14ac:dyDescent="0.25">
      <c r="B6079" s="550"/>
      <c r="C6079" s="223"/>
      <c r="D6079" s="550"/>
      <c r="E6079" s="224"/>
      <c r="F6079" s="225"/>
      <c r="G6079" s="290"/>
      <c r="H6079" s="226"/>
      <c r="M6079" s="225"/>
    </row>
    <row r="6080" spans="2:13" ht="18.75" customHeight="1" x14ac:dyDescent="0.25">
      <c r="B6080" s="550" t="s">
        <v>644</v>
      </c>
      <c r="C6080" s="223" t="s">
        <v>645</v>
      </c>
      <c r="D6080" s="550"/>
      <c r="E6080" s="224"/>
      <c r="F6080" s="225"/>
      <c r="G6080" s="290"/>
      <c r="H6080" s="235"/>
      <c r="M6080" s="225"/>
    </row>
    <row r="6081" spans="2:13" ht="18.75" customHeight="1" x14ac:dyDescent="0.25">
      <c r="B6081" s="236"/>
      <c r="C6081" s="232"/>
      <c r="D6081" s="550"/>
      <c r="E6081" s="224"/>
      <c r="F6081" s="237" t="s">
        <v>646</v>
      </c>
      <c r="G6081" s="290"/>
      <c r="H6081" s="230"/>
      <c r="M6081" s="237" t="s">
        <v>646</v>
      </c>
    </row>
    <row r="6082" spans="2:13" ht="18.75" customHeight="1" x14ac:dyDescent="0.25">
      <c r="B6082" s="236"/>
      <c r="C6082" s="232"/>
      <c r="D6082" s="550"/>
      <c r="E6082" s="224"/>
      <c r="F6082" s="237"/>
      <c r="G6082" s="290"/>
      <c r="H6082" s="226"/>
      <c r="M6082" s="237"/>
    </row>
    <row r="6083" spans="2:13" ht="18.75" customHeight="1" x14ac:dyDescent="0.25">
      <c r="B6083" s="354"/>
      <c r="C6083" s="362"/>
      <c r="D6083" s="239"/>
      <c r="E6083" s="240"/>
      <c r="F6083" s="241"/>
      <c r="G6083" s="293"/>
      <c r="H6083" s="355"/>
      <c r="M6083" s="241"/>
    </row>
    <row r="6084" spans="2:13" ht="18.75" customHeight="1" x14ac:dyDescent="0.25">
      <c r="B6084" s="356" t="s">
        <v>647</v>
      </c>
      <c r="C6084" s="363" t="s">
        <v>648</v>
      </c>
      <c r="D6084" s="435"/>
      <c r="E6084" s="92"/>
      <c r="F6084" s="183"/>
      <c r="G6084" s="295"/>
      <c r="H6084" s="357">
        <f>+H6081+H6078+H6072</f>
        <v>193540</v>
      </c>
      <c r="M6084" s="183"/>
    </row>
    <row r="6085" spans="2:13" ht="18.75" customHeight="1" x14ac:dyDescent="0.25">
      <c r="B6085" s="356" t="s">
        <v>649</v>
      </c>
      <c r="C6085" s="364" t="s">
        <v>650</v>
      </c>
      <c r="D6085" s="435"/>
      <c r="E6085" s="92"/>
      <c r="F6085" s="184" t="str">
        <f>$J$5</f>
        <v>8,0 % x D</v>
      </c>
      <c r="G6085" s="295"/>
      <c r="H6085" s="358">
        <f>+H6084*$K$5</f>
        <v>15483.2</v>
      </c>
      <c r="M6085" s="184" t="str">
        <f>$J$5</f>
        <v>8,0 % x D</v>
      </c>
    </row>
    <row r="6086" spans="2:13" ht="18.75" customHeight="1" x14ac:dyDescent="0.25">
      <c r="B6086" s="356" t="s">
        <v>651</v>
      </c>
      <c r="C6086" s="365" t="s">
        <v>652</v>
      </c>
      <c r="D6086" s="435"/>
      <c r="E6086" s="91"/>
      <c r="F6086" s="185"/>
      <c r="G6086" s="296"/>
      <c r="H6086" s="359">
        <f>ROUNDUP((H6085+H6084)/100,0)*100</f>
        <v>209100</v>
      </c>
      <c r="M6086" s="185"/>
    </row>
    <row r="6087" spans="2:13" ht="18.75" customHeight="1" x14ac:dyDescent="0.25">
      <c r="B6087" s="360"/>
      <c r="C6087" s="366"/>
      <c r="D6087" s="245"/>
      <c r="E6087" s="246"/>
      <c r="F6087" s="247"/>
      <c r="G6087" s="299"/>
      <c r="H6087" s="361"/>
      <c r="M6087" s="247"/>
    </row>
    <row r="6088" spans="2:13" ht="18.75" customHeight="1" x14ac:dyDescent="0.25">
      <c r="B6088" s="92"/>
      <c r="C6088" s="104"/>
      <c r="D6088" s="435"/>
      <c r="E6088" s="91"/>
      <c r="F6088" s="185"/>
      <c r="G6088" s="168"/>
      <c r="H6088" s="139"/>
      <c r="M6088" s="185"/>
    </row>
    <row r="6089" spans="2:13" ht="18.75" customHeight="1" x14ac:dyDescent="0.25">
      <c r="B6089" s="19">
        <f>B6063+1</f>
        <v>6</v>
      </c>
      <c r="C6089" s="93" t="s">
        <v>1812</v>
      </c>
      <c r="D6089" s="19"/>
      <c r="E6089" s="21"/>
      <c r="F6089" s="176"/>
      <c r="G6089" s="165"/>
      <c r="H6089" s="119"/>
      <c r="M6089" s="176"/>
    </row>
    <row r="6090" spans="2:13" ht="18.75" customHeight="1" x14ac:dyDescent="0.25">
      <c r="B6090" s="618" t="s">
        <v>620</v>
      </c>
      <c r="C6090" s="620" t="s">
        <v>621</v>
      </c>
      <c r="D6090" s="618" t="s">
        <v>622</v>
      </c>
      <c r="E6090" s="618" t="s">
        <v>2</v>
      </c>
      <c r="F6090" s="615" t="s">
        <v>623</v>
      </c>
      <c r="G6090" s="289" t="s">
        <v>624</v>
      </c>
      <c r="H6090" s="256" t="s">
        <v>625</v>
      </c>
      <c r="M6090" s="615" t="s">
        <v>623</v>
      </c>
    </row>
    <row r="6091" spans="2:13" ht="18.75" customHeight="1" x14ac:dyDescent="0.25">
      <c r="B6091" s="619"/>
      <c r="C6091" s="621"/>
      <c r="D6091" s="619"/>
      <c r="E6091" s="619"/>
      <c r="F6091" s="616"/>
      <c r="G6091" s="289" t="s">
        <v>626</v>
      </c>
      <c r="H6091" s="256" t="s">
        <v>626</v>
      </c>
      <c r="M6091" s="616"/>
    </row>
    <row r="6092" spans="2:13" ht="18.75" customHeight="1" x14ac:dyDescent="0.25">
      <c r="B6092" s="221"/>
      <c r="C6092" s="222"/>
      <c r="D6092" s="221"/>
      <c r="E6092" s="550"/>
      <c r="F6092" s="555"/>
      <c r="G6092" s="551"/>
      <c r="H6092" s="220"/>
      <c r="M6092" s="590"/>
    </row>
    <row r="6093" spans="2:13" ht="18.75" customHeight="1" x14ac:dyDescent="0.25">
      <c r="B6093" s="550" t="s">
        <v>627</v>
      </c>
      <c r="C6093" s="223" t="s">
        <v>628</v>
      </c>
      <c r="D6093" s="550"/>
      <c r="E6093" s="224"/>
      <c r="F6093" s="225"/>
      <c r="G6093" s="290"/>
      <c r="H6093" s="226"/>
      <c r="M6093" s="225"/>
    </row>
    <row r="6094" spans="2:13" ht="18.75" customHeight="1" x14ac:dyDescent="0.25">
      <c r="B6094" s="550"/>
      <c r="C6094" s="227" t="s">
        <v>629</v>
      </c>
      <c r="D6094" s="550" t="s">
        <v>630</v>
      </c>
      <c r="E6094" s="224" t="s">
        <v>631</v>
      </c>
      <c r="F6094" s="228">
        <f t="shared" ref="F6094:F6097" si="272">$K$8*M6094</f>
        <v>0.4</v>
      </c>
      <c r="G6094" s="229">
        <f>G6068</f>
        <v>95000</v>
      </c>
      <c r="H6094" s="230">
        <f>+G6094*F6094</f>
        <v>38000</v>
      </c>
      <c r="M6094" s="228">
        <v>0.4</v>
      </c>
    </row>
    <row r="6095" spans="2:13" ht="18.75" customHeight="1" x14ac:dyDescent="0.25">
      <c r="B6095" s="550"/>
      <c r="C6095" s="227" t="s">
        <v>1508</v>
      </c>
      <c r="D6095" s="550" t="s">
        <v>634</v>
      </c>
      <c r="E6095" s="224" t="s">
        <v>631</v>
      </c>
      <c r="F6095" s="228">
        <f t="shared" si="272"/>
        <v>0.2</v>
      </c>
      <c r="G6095" s="229">
        <f>G6069</f>
        <v>110000</v>
      </c>
      <c r="H6095" s="230">
        <f>+G6095*F6095</f>
        <v>22000</v>
      </c>
      <c r="M6095" s="228">
        <v>0.2</v>
      </c>
    </row>
    <row r="6096" spans="2:13" ht="18.75" customHeight="1" x14ac:dyDescent="0.25">
      <c r="B6096" s="550"/>
      <c r="C6096" s="227" t="s">
        <v>633</v>
      </c>
      <c r="D6096" s="550" t="s">
        <v>1123</v>
      </c>
      <c r="E6096" s="224" t="s">
        <v>631</v>
      </c>
      <c r="F6096" s="228">
        <f t="shared" si="272"/>
        <v>0.02</v>
      </c>
      <c r="G6096" s="229">
        <f>G6070</f>
        <v>115000</v>
      </c>
      <c r="H6096" s="230">
        <f>+G6096*F6096</f>
        <v>2300</v>
      </c>
      <c r="M6096" s="228">
        <v>0.02</v>
      </c>
    </row>
    <row r="6097" spans="2:13" ht="18.75" customHeight="1" x14ac:dyDescent="0.25">
      <c r="B6097" s="550"/>
      <c r="C6097" s="227" t="s">
        <v>600</v>
      </c>
      <c r="D6097" s="550" t="s">
        <v>1124</v>
      </c>
      <c r="E6097" s="224" t="s">
        <v>631</v>
      </c>
      <c r="F6097" s="228">
        <f t="shared" si="272"/>
        <v>2E-3</v>
      </c>
      <c r="G6097" s="229">
        <f>G6071</f>
        <v>140000</v>
      </c>
      <c r="H6097" s="230">
        <f>+G6097*F6097</f>
        <v>280</v>
      </c>
      <c r="M6097" s="228">
        <v>2E-3</v>
      </c>
    </row>
    <row r="6098" spans="2:13" ht="18.75" customHeight="1" x14ac:dyDescent="0.25">
      <c r="B6098" s="550"/>
      <c r="C6098" s="223"/>
      <c r="D6098" s="550"/>
      <c r="E6098" s="224"/>
      <c r="F6098" s="233" t="s">
        <v>636</v>
      </c>
      <c r="G6098" s="290"/>
      <c r="H6098" s="231">
        <f>SUM(H6094:H6097)</f>
        <v>62580</v>
      </c>
      <c r="M6098" s="233" t="s">
        <v>636</v>
      </c>
    </row>
    <row r="6099" spans="2:13" ht="18.75" customHeight="1" x14ac:dyDescent="0.25">
      <c r="B6099" s="550"/>
      <c r="C6099" s="223"/>
      <c r="D6099" s="550"/>
      <c r="E6099" s="224"/>
      <c r="F6099" s="233"/>
      <c r="G6099" s="290"/>
      <c r="H6099" s="231"/>
      <c r="M6099" s="233"/>
    </row>
    <row r="6100" spans="2:13" ht="18.75" customHeight="1" x14ac:dyDescent="0.25">
      <c r="B6100" s="550" t="s">
        <v>637</v>
      </c>
      <c r="C6100" s="223" t="s">
        <v>638</v>
      </c>
      <c r="D6100" s="550"/>
      <c r="E6100" s="224"/>
      <c r="F6100" s="225"/>
      <c r="G6100" s="290"/>
      <c r="H6100" s="226"/>
      <c r="M6100" s="225"/>
    </row>
    <row r="6101" spans="2:13" ht="18.75" customHeight="1" x14ac:dyDescent="0.25">
      <c r="B6101" s="550"/>
      <c r="C6101" s="223" t="s">
        <v>1130</v>
      </c>
      <c r="D6101" s="550"/>
      <c r="E6101" s="550" t="s">
        <v>16</v>
      </c>
      <c r="F6101" s="405">
        <v>5</v>
      </c>
      <c r="G6101" s="418">
        <f>Bahan!D410</f>
        <v>3000</v>
      </c>
      <c r="H6101" s="230">
        <f>+G6101*F6101</f>
        <v>15000</v>
      </c>
      <c r="M6101" s="405">
        <v>5</v>
      </c>
    </row>
    <row r="6102" spans="2:13" ht="18.75" customHeight="1" x14ac:dyDescent="0.25">
      <c r="B6102" s="550"/>
      <c r="C6102" s="223" t="s">
        <v>708</v>
      </c>
      <c r="D6102" s="550"/>
      <c r="E6102" s="550" t="s">
        <v>5</v>
      </c>
      <c r="F6102" s="405">
        <v>8</v>
      </c>
      <c r="G6102" s="418">
        <f>G6076</f>
        <v>1700</v>
      </c>
      <c r="H6102" s="230">
        <f>+G6102*F6102</f>
        <v>13600</v>
      </c>
      <c r="M6102" s="405">
        <v>8</v>
      </c>
    </row>
    <row r="6103" spans="2:13" ht="18.75" customHeight="1" x14ac:dyDescent="0.25">
      <c r="B6103" s="550"/>
      <c r="C6103" s="223" t="s">
        <v>661</v>
      </c>
      <c r="D6103" s="550"/>
      <c r="E6103" s="550" t="s">
        <v>1013</v>
      </c>
      <c r="F6103" s="405">
        <v>3.2000000000000001E-2</v>
      </c>
      <c r="G6103" s="234">
        <f>G6077</f>
        <v>230000</v>
      </c>
      <c r="H6103" s="230">
        <f>+G6103*F6103</f>
        <v>7360</v>
      </c>
      <c r="M6103" s="405">
        <v>3.2000000000000001E-2</v>
      </c>
    </row>
    <row r="6104" spans="2:13" ht="18.75" customHeight="1" x14ac:dyDescent="0.25">
      <c r="B6104" s="550"/>
      <c r="C6104" s="223"/>
      <c r="D6104" s="550"/>
      <c r="E6104" s="224"/>
      <c r="F6104" s="237" t="s">
        <v>643</v>
      </c>
      <c r="G6104" s="290"/>
      <c r="H6104" s="231">
        <f>SUM(H6101:H6101)</f>
        <v>15000</v>
      </c>
      <c r="M6104" s="237" t="s">
        <v>643</v>
      </c>
    </row>
    <row r="6105" spans="2:13" ht="18.75" customHeight="1" x14ac:dyDescent="0.25">
      <c r="B6105" s="550"/>
      <c r="C6105" s="223"/>
      <c r="D6105" s="550"/>
      <c r="E6105" s="224"/>
      <c r="F6105" s="225"/>
      <c r="G6105" s="290"/>
      <c r="H6105" s="226"/>
      <c r="M6105" s="225"/>
    </row>
    <row r="6106" spans="2:13" ht="18.75" customHeight="1" x14ac:dyDescent="0.25">
      <c r="B6106" s="550" t="s">
        <v>644</v>
      </c>
      <c r="C6106" s="223" t="s">
        <v>645</v>
      </c>
      <c r="D6106" s="550"/>
      <c r="E6106" s="224"/>
      <c r="F6106" s="225"/>
      <c r="G6106" s="290"/>
      <c r="H6106" s="235"/>
      <c r="M6106" s="225"/>
    </row>
    <row r="6107" spans="2:13" ht="18.75" customHeight="1" x14ac:dyDescent="0.25">
      <c r="B6107" s="236"/>
      <c r="C6107" s="232"/>
      <c r="D6107" s="550"/>
      <c r="E6107" s="224"/>
      <c r="F6107" s="237" t="s">
        <v>646</v>
      </c>
      <c r="G6107" s="290"/>
      <c r="H6107" s="230"/>
      <c r="M6107" s="237" t="s">
        <v>646</v>
      </c>
    </row>
    <row r="6108" spans="2:13" ht="18.75" customHeight="1" x14ac:dyDescent="0.25">
      <c r="B6108" s="236"/>
      <c r="C6108" s="232"/>
      <c r="D6108" s="550"/>
      <c r="E6108" s="224"/>
      <c r="F6108" s="237"/>
      <c r="G6108" s="290"/>
      <c r="H6108" s="226"/>
      <c r="M6108" s="237"/>
    </row>
    <row r="6109" spans="2:13" ht="18.75" customHeight="1" x14ac:dyDescent="0.25">
      <c r="B6109" s="354"/>
      <c r="C6109" s="362"/>
      <c r="D6109" s="239"/>
      <c r="E6109" s="266"/>
      <c r="F6109" s="241"/>
      <c r="G6109" s="370"/>
      <c r="H6109" s="369"/>
      <c r="M6109" s="241"/>
    </row>
    <row r="6110" spans="2:13" ht="18.75" customHeight="1" x14ac:dyDescent="0.25">
      <c r="B6110" s="356" t="s">
        <v>647</v>
      </c>
      <c r="C6110" s="363" t="s">
        <v>648</v>
      </c>
      <c r="D6110" s="435"/>
      <c r="E6110" s="92"/>
      <c r="F6110" s="183"/>
      <c r="G6110" s="295"/>
      <c r="H6110" s="357">
        <f>+H6107+H6104+H6098</f>
        <v>77580</v>
      </c>
      <c r="M6110" s="183"/>
    </row>
    <row r="6111" spans="2:13" ht="18.75" customHeight="1" x14ac:dyDescent="0.25">
      <c r="B6111" s="356" t="s">
        <v>649</v>
      </c>
      <c r="C6111" s="364" t="s">
        <v>650</v>
      </c>
      <c r="D6111" s="435"/>
      <c r="E6111" s="92"/>
      <c r="F6111" s="184" t="str">
        <f>$J$5</f>
        <v>8,0 % x D</v>
      </c>
      <c r="G6111" s="295"/>
      <c r="H6111" s="358">
        <f>+H6110*$K$5</f>
        <v>6206.4000000000005</v>
      </c>
      <c r="M6111" s="184" t="str">
        <f>$J$5</f>
        <v>8,0 % x D</v>
      </c>
    </row>
    <row r="6112" spans="2:13" ht="18.75" customHeight="1" x14ac:dyDescent="0.25">
      <c r="B6112" s="356" t="s">
        <v>651</v>
      </c>
      <c r="C6112" s="365" t="s">
        <v>652</v>
      </c>
      <c r="D6112" s="435"/>
      <c r="E6112" s="91"/>
      <c r="F6112" s="185"/>
      <c r="G6112" s="296"/>
      <c r="H6112" s="359">
        <f>ROUNDUP((H6111+H6110)/100,0)*100</f>
        <v>83800</v>
      </c>
      <c r="M6112" s="185"/>
    </row>
    <row r="6113" spans="2:13" ht="18.75" customHeight="1" x14ac:dyDescent="0.25">
      <c r="B6113" s="360"/>
      <c r="C6113" s="366"/>
      <c r="D6113" s="245"/>
      <c r="E6113" s="246"/>
      <c r="F6113" s="247"/>
      <c r="G6113" s="299"/>
      <c r="H6113" s="361"/>
      <c r="M6113" s="247"/>
    </row>
    <row r="6114" spans="2:13" ht="18.75" customHeight="1" x14ac:dyDescent="0.25">
      <c r="B6114" s="22"/>
      <c r="C6114" s="104"/>
      <c r="E6114" s="21"/>
      <c r="F6114" s="176"/>
      <c r="G6114" s="165"/>
      <c r="H6114" s="119"/>
      <c r="M6114" s="176"/>
    </row>
    <row r="6115" spans="2:13" ht="18.75" customHeight="1" x14ac:dyDescent="0.25">
      <c r="B6115" s="19">
        <f>B6089+1</f>
        <v>7</v>
      </c>
      <c r="C6115" s="93" t="s">
        <v>1133</v>
      </c>
      <c r="D6115" s="19"/>
      <c r="E6115" s="21"/>
      <c r="F6115" s="176"/>
      <c r="G6115" s="165"/>
      <c r="H6115" s="119"/>
      <c r="M6115" s="176"/>
    </row>
    <row r="6116" spans="2:13" ht="18.75" customHeight="1" x14ac:dyDescent="0.25">
      <c r="B6116" s="618" t="s">
        <v>620</v>
      </c>
      <c r="C6116" s="620" t="s">
        <v>621</v>
      </c>
      <c r="D6116" s="618" t="s">
        <v>622</v>
      </c>
      <c r="E6116" s="618" t="s">
        <v>2</v>
      </c>
      <c r="F6116" s="615" t="s">
        <v>623</v>
      </c>
      <c r="G6116" s="289" t="s">
        <v>624</v>
      </c>
      <c r="H6116" s="256" t="s">
        <v>625</v>
      </c>
      <c r="M6116" s="615" t="s">
        <v>623</v>
      </c>
    </row>
    <row r="6117" spans="2:13" ht="18.75" customHeight="1" x14ac:dyDescent="0.25">
      <c r="B6117" s="619"/>
      <c r="C6117" s="621"/>
      <c r="D6117" s="619"/>
      <c r="E6117" s="619"/>
      <c r="F6117" s="616"/>
      <c r="G6117" s="289" t="s">
        <v>626</v>
      </c>
      <c r="H6117" s="256" t="s">
        <v>626</v>
      </c>
      <c r="M6117" s="616"/>
    </row>
    <row r="6118" spans="2:13" ht="18.75" customHeight="1" x14ac:dyDescent="0.25">
      <c r="B6118" s="221"/>
      <c r="C6118" s="222"/>
      <c r="D6118" s="221"/>
      <c r="E6118" s="550"/>
      <c r="F6118" s="555"/>
      <c r="G6118" s="551"/>
      <c r="H6118" s="220"/>
      <c r="M6118" s="590"/>
    </row>
    <row r="6119" spans="2:13" ht="18.75" customHeight="1" x14ac:dyDescent="0.25">
      <c r="B6119" s="550" t="s">
        <v>627</v>
      </c>
      <c r="C6119" s="223" t="s">
        <v>628</v>
      </c>
      <c r="D6119" s="550"/>
      <c r="E6119" s="224"/>
      <c r="F6119" s="225"/>
      <c r="G6119" s="290"/>
      <c r="H6119" s="226"/>
      <c r="M6119" s="225"/>
    </row>
    <row r="6120" spans="2:13" ht="18.75" customHeight="1" x14ac:dyDescent="0.25">
      <c r="B6120" s="550"/>
      <c r="C6120" s="227" t="s">
        <v>629</v>
      </c>
      <c r="D6120" s="550" t="s">
        <v>630</v>
      </c>
      <c r="E6120" s="224" t="s">
        <v>631</v>
      </c>
      <c r="F6120" s="228">
        <f t="shared" ref="F6120:F6123" si="273">$K$8*M6120</f>
        <v>0.14000000000000001</v>
      </c>
      <c r="G6120" s="229">
        <f>G6094</f>
        <v>95000</v>
      </c>
      <c r="H6120" s="230">
        <f>+G6120*F6120</f>
        <v>13300.000000000002</v>
      </c>
      <c r="M6120" s="228">
        <v>0.14000000000000001</v>
      </c>
    </row>
    <row r="6121" spans="2:13" ht="18.75" customHeight="1" x14ac:dyDescent="0.25">
      <c r="B6121" s="550"/>
      <c r="C6121" s="227" t="s">
        <v>1508</v>
      </c>
      <c r="D6121" s="550" t="s">
        <v>634</v>
      </c>
      <c r="E6121" s="224" t="s">
        <v>631</v>
      </c>
      <c r="F6121" s="228">
        <f t="shared" si="273"/>
        <v>7.5700000000000003E-2</v>
      </c>
      <c r="G6121" s="229">
        <f>G6095</f>
        <v>110000</v>
      </c>
      <c r="H6121" s="230">
        <f>+G6121*F6121</f>
        <v>8327</v>
      </c>
      <c r="M6121" s="228">
        <v>7.5700000000000003E-2</v>
      </c>
    </row>
    <row r="6122" spans="2:13" ht="18.75" customHeight="1" x14ac:dyDescent="0.25">
      <c r="B6122" s="550"/>
      <c r="C6122" s="227" t="s">
        <v>633</v>
      </c>
      <c r="D6122" s="550" t="s">
        <v>1123</v>
      </c>
      <c r="E6122" s="224" t="s">
        <v>631</v>
      </c>
      <c r="F6122" s="228">
        <f t="shared" si="273"/>
        <v>7.0000000000000001E-3</v>
      </c>
      <c r="G6122" s="229">
        <f>G6096</f>
        <v>115000</v>
      </c>
      <c r="H6122" s="230">
        <f>+G6122*F6122</f>
        <v>805</v>
      </c>
      <c r="M6122" s="228">
        <v>7.0000000000000001E-3</v>
      </c>
    </row>
    <row r="6123" spans="2:13" ht="18.75" customHeight="1" x14ac:dyDescent="0.25">
      <c r="B6123" s="550"/>
      <c r="C6123" s="227" t="s">
        <v>600</v>
      </c>
      <c r="D6123" s="550" t="s">
        <v>1124</v>
      </c>
      <c r="E6123" s="224" t="s">
        <v>631</v>
      </c>
      <c r="F6123" s="228">
        <f t="shared" si="273"/>
        <v>7.0000000000000001E-3</v>
      </c>
      <c r="G6123" s="229">
        <f>G6097</f>
        <v>140000</v>
      </c>
      <c r="H6123" s="230">
        <f>+G6123*F6123</f>
        <v>980</v>
      </c>
      <c r="M6123" s="228">
        <v>7.0000000000000001E-3</v>
      </c>
    </row>
    <row r="6124" spans="2:13" ht="18.75" customHeight="1" x14ac:dyDescent="0.25">
      <c r="B6124" s="550"/>
      <c r="C6124" s="223"/>
      <c r="D6124" s="550"/>
      <c r="E6124" s="224"/>
      <c r="F6124" s="233" t="s">
        <v>636</v>
      </c>
      <c r="G6124" s="290"/>
      <c r="H6124" s="231">
        <f>SUM(H6120:H6123)</f>
        <v>23412</v>
      </c>
      <c r="M6124" s="233" t="s">
        <v>636</v>
      </c>
    </row>
    <row r="6125" spans="2:13" ht="18.75" customHeight="1" x14ac:dyDescent="0.25">
      <c r="B6125" s="550"/>
      <c r="C6125" s="223"/>
      <c r="D6125" s="550"/>
      <c r="E6125" s="224"/>
      <c r="F6125" s="233"/>
      <c r="G6125" s="290"/>
      <c r="H6125" s="231"/>
      <c r="M6125" s="233"/>
    </row>
    <row r="6126" spans="2:13" ht="18.75" customHeight="1" x14ac:dyDescent="0.25">
      <c r="B6126" s="550" t="s">
        <v>637</v>
      </c>
      <c r="C6126" s="223" t="s">
        <v>638</v>
      </c>
      <c r="D6126" s="550"/>
      <c r="E6126" s="224"/>
      <c r="F6126" s="225"/>
      <c r="G6126" s="290"/>
      <c r="H6126" s="226"/>
      <c r="M6126" s="225"/>
    </row>
    <row r="6127" spans="2:13" ht="18.75" customHeight="1" x14ac:dyDescent="0.25">
      <c r="B6127" s="550"/>
      <c r="C6127" s="223" t="s">
        <v>1134</v>
      </c>
      <c r="D6127" s="550"/>
      <c r="E6127" s="550" t="s">
        <v>18</v>
      </c>
      <c r="F6127" s="405">
        <v>0.6</v>
      </c>
      <c r="G6127" s="418">
        <f>Bahan!D472</f>
        <v>41000</v>
      </c>
      <c r="H6127" s="230">
        <f>+G6127*F6127</f>
        <v>24600</v>
      </c>
      <c r="M6127" s="405">
        <v>0.6</v>
      </c>
    </row>
    <row r="6128" spans="2:13" ht="18.75" customHeight="1" x14ac:dyDescent="0.25">
      <c r="B6128" s="550"/>
      <c r="C6128" s="223" t="s">
        <v>1462</v>
      </c>
      <c r="D6128" s="550"/>
      <c r="E6128" s="550" t="s">
        <v>5</v>
      </c>
      <c r="F6128" s="405">
        <v>7.4999999999999997E-2</v>
      </c>
      <c r="G6128" s="418">
        <f>Bahan!D337</f>
        <v>25000</v>
      </c>
      <c r="H6128" s="230">
        <f>+G6128*F6128</f>
        <v>1875</v>
      </c>
      <c r="M6128" s="405">
        <v>7.4999999999999997E-2</v>
      </c>
    </row>
    <row r="6129" spans="2:13" ht="18.75" customHeight="1" x14ac:dyDescent="0.25">
      <c r="B6129" s="550"/>
      <c r="C6129" s="223"/>
      <c r="D6129" s="550"/>
      <c r="E6129" s="224"/>
      <c r="F6129" s="237" t="s">
        <v>643</v>
      </c>
      <c r="G6129" s="290"/>
      <c r="H6129" s="231">
        <f>SUM(H6127:H6127)</f>
        <v>24600</v>
      </c>
      <c r="M6129" s="237" t="s">
        <v>643</v>
      </c>
    </row>
    <row r="6130" spans="2:13" ht="18.75" customHeight="1" x14ac:dyDescent="0.25">
      <c r="B6130" s="550"/>
      <c r="C6130" s="223"/>
      <c r="D6130" s="550"/>
      <c r="E6130" s="224"/>
      <c r="F6130" s="225"/>
      <c r="G6130" s="290"/>
      <c r="H6130" s="226"/>
      <c r="M6130" s="225"/>
    </row>
    <row r="6131" spans="2:13" ht="18.75" customHeight="1" x14ac:dyDescent="0.25">
      <c r="B6131" s="550" t="s">
        <v>644</v>
      </c>
      <c r="C6131" s="223" t="s">
        <v>645</v>
      </c>
      <c r="D6131" s="550"/>
      <c r="E6131" s="224"/>
      <c r="F6131" s="225"/>
      <c r="G6131" s="290"/>
      <c r="H6131" s="235"/>
      <c r="M6131" s="225"/>
    </row>
    <row r="6132" spans="2:13" ht="18.75" customHeight="1" x14ac:dyDescent="0.25">
      <c r="B6132" s="236"/>
      <c r="C6132" s="232"/>
      <c r="D6132" s="550"/>
      <c r="E6132" s="224"/>
      <c r="F6132" s="237" t="s">
        <v>646</v>
      </c>
      <c r="G6132" s="290"/>
      <c r="H6132" s="230"/>
      <c r="M6132" s="237" t="s">
        <v>646</v>
      </c>
    </row>
    <row r="6133" spans="2:13" ht="18.75" customHeight="1" x14ac:dyDescent="0.25">
      <c r="B6133" s="236"/>
      <c r="C6133" s="232"/>
      <c r="D6133" s="550"/>
      <c r="E6133" s="224"/>
      <c r="F6133" s="237"/>
      <c r="G6133" s="290"/>
      <c r="H6133" s="226"/>
      <c r="M6133" s="237"/>
    </row>
    <row r="6134" spans="2:13" ht="18.75" customHeight="1" x14ac:dyDescent="0.25">
      <c r="B6134" s="354"/>
      <c r="C6134" s="362"/>
      <c r="D6134" s="239"/>
      <c r="E6134" s="266"/>
      <c r="F6134" s="241"/>
      <c r="G6134" s="370"/>
      <c r="H6134" s="369"/>
      <c r="M6134" s="241"/>
    </row>
    <row r="6135" spans="2:13" ht="18.75" customHeight="1" x14ac:dyDescent="0.25">
      <c r="B6135" s="356" t="s">
        <v>647</v>
      </c>
      <c r="C6135" s="363" t="s">
        <v>648</v>
      </c>
      <c r="D6135" s="435"/>
      <c r="E6135" s="92"/>
      <c r="F6135" s="183"/>
      <c r="G6135" s="295"/>
      <c r="H6135" s="357">
        <f>+H6132+H6129+H6124</f>
        <v>48012</v>
      </c>
      <c r="M6135" s="183"/>
    </row>
    <row r="6136" spans="2:13" ht="18.75" customHeight="1" x14ac:dyDescent="0.25">
      <c r="B6136" s="356" t="s">
        <v>649</v>
      </c>
      <c r="C6136" s="364" t="s">
        <v>650</v>
      </c>
      <c r="D6136" s="435"/>
      <c r="E6136" s="92"/>
      <c r="F6136" s="184" t="str">
        <f>$J$5</f>
        <v>8,0 % x D</v>
      </c>
      <c r="G6136" s="295"/>
      <c r="H6136" s="358">
        <f>+H6135*$K$5</f>
        <v>3840.96</v>
      </c>
      <c r="M6136" s="184" t="str">
        <f>$J$5</f>
        <v>8,0 % x D</v>
      </c>
    </row>
    <row r="6137" spans="2:13" ht="18.75" customHeight="1" x14ac:dyDescent="0.25">
      <c r="B6137" s="356" t="s">
        <v>651</v>
      </c>
      <c r="C6137" s="365" t="s">
        <v>652</v>
      </c>
      <c r="D6137" s="435"/>
      <c r="E6137" s="91"/>
      <c r="F6137" s="185"/>
      <c r="G6137" s="296"/>
      <c r="H6137" s="359">
        <f>ROUNDUP((H6136+H6135)/100,0)*100</f>
        <v>51900</v>
      </c>
      <c r="M6137" s="185"/>
    </row>
    <row r="6138" spans="2:13" ht="18.75" customHeight="1" x14ac:dyDescent="0.25">
      <c r="B6138" s="360"/>
      <c r="C6138" s="366"/>
      <c r="D6138" s="245"/>
      <c r="E6138" s="246"/>
      <c r="F6138" s="247"/>
      <c r="G6138" s="299"/>
      <c r="H6138" s="361"/>
      <c r="M6138" s="247"/>
    </row>
    <row r="6139" spans="2:13" ht="18.75" customHeight="1" x14ac:dyDescent="0.25">
      <c r="B6139" s="92"/>
      <c r="C6139" s="104"/>
      <c r="D6139" s="435"/>
      <c r="E6139" s="91"/>
      <c r="F6139" s="185"/>
      <c r="G6139" s="168"/>
      <c r="H6139" s="139"/>
      <c r="M6139" s="185"/>
    </row>
    <row r="6140" spans="2:13" ht="18.75" customHeight="1" x14ac:dyDescent="0.25">
      <c r="B6140" s="19">
        <f>B6115+1</f>
        <v>8</v>
      </c>
      <c r="C6140" s="93" t="s">
        <v>1135</v>
      </c>
      <c r="D6140" s="19"/>
      <c r="E6140" s="21"/>
      <c r="F6140" s="176"/>
      <c r="G6140" s="165"/>
      <c r="H6140" s="119"/>
      <c r="M6140" s="176"/>
    </row>
    <row r="6141" spans="2:13" ht="18.75" customHeight="1" x14ac:dyDescent="0.25">
      <c r="B6141" s="618" t="s">
        <v>620</v>
      </c>
      <c r="C6141" s="620" t="s">
        <v>621</v>
      </c>
      <c r="D6141" s="618" t="s">
        <v>622</v>
      </c>
      <c r="E6141" s="618" t="s">
        <v>2</v>
      </c>
      <c r="F6141" s="615" t="s">
        <v>623</v>
      </c>
      <c r="G6141" s="289" t="s">
        <v>624</v>
      </c>
      <c r="H6141" s="256" t="s">
        <v>625</v>
      </c>
      <c r="M6141" s="615" t="s">
        <v>623</v>
      </c>
    </row>
    <row r="6142" spans="2:13" ht="18.75" customHeight="1" x14ac:dyDescent="0.25">
      <c r="B6142" s="619"/>
      <c r="C6142" s="621"/>
      <c r="D6142" s="619"/>
      <c r="E6142" s="619"/>
      <c r="F6142" s="616"/>
      <c r="G6142" s="289" t="s">
        <v>626</v>
      </c>
      <c r="H6142" s="256" t="s">
        <v>626</v>
      </c>
      <c r="M6142" s="616"/>
    </row>
    <row r="6143" spans="2:13" ht="18.75" customHeight="1" x14ac:dyDescent="0.25">
      <c r="B6143" s="221"/>
      <c r="C6143" s="222"/>
      <c r="D6143" s="221"/>
      <c r="E6143" s="550"/>
      <c r="F6143" s="555"/>
      <c r="G6143" s="551"/>
      <c r="H6143" s="220"/>
      <c r="M6143" s="590"/>
    </row>
    <row r="6144" spans="2:13" ht="18.75" customHeight="1" x14ac:dyDescent="0.25">
      <c r="B6144" s="550" t="s">
        <v>627</v>
      </c>
      <c r="C6144" s="223" t="s">
        <v>628</v>
      </c>
      <c r="D6144" s="550"/>
      <c r="E6144" s="224"/>
      <c r="F6144" s="225"/>
      <c r="G6144" s="290"/>
      <c r="H6144" s="226"/>
      <c r="M6144" s="225"/>
    </row>
    <row r="6145" spans="2:13" ht="18.75" customHeight="1" x14ac:dyDescent="0.25">
      <c r="B6145" s="550"/>
      <c r="C6145" s="227" t="s">
        <v>629</v>
      </c>
      <c r="D6145" s="550" t="s">
        <v>630</v>
      </c>
      <c r="E6145" s="224" t="s">
        <v>631</v>
      </c>
      <c r="F6145" s="228">
        <f t="shared" ref="F6145:F6148" si="274">$K$8*M6145</f>
        <v>0.14000000000000001</v>
      </c>
      <c r="G6145" s="229">
        <f>G6120</f>
        <v>95000</v>
      </c>
      <c r="H6145" s="230">
        <f>+G6145*F6145</f>
        <v>13300.000000000002</v>
      </c>
      <c r="M6145" s="228">
        <v>0.14000000000000001</v>
      </c>
    </row>
    <row r="6146" spans="2:13" ht="18.75" customHeight="1" x14ac:dyDescent="0.25">
      <c r="B6146" s="550"/>
      <c r="C6146" s="227" t="s">
        <v>1508</v>
      </c>
      <c r="D6146" s="550" t="s">
        <v>634</v>
      </c>
      <c r="E6146" s="224" t="s">
        <v>631</v>
      </c>
      <c r="F6146" s="228">
        <f t="shared" si="274"/>
        <v>7.0000000000000007E-2</v>
      </c>
      <c r="G6146" s="229">
        <f>G6121</f>
        <v>110000</v>
      </c>
      <c r="H6146" s="230">
        <f>+G6146*F6146</f>
        <v>7700.0000000000009</v>
      </c>
      <c r="M6146" s="228">
        <v>7.0000000000000007E-2</v>
      </c>
    </row>
    <row r="6147" spans="2:13" ht="18.75" customHeight="1" x14ac:dyDescent="0.25">
      <c r="B6147" s="550"/>
      <c r="C6147" s="227" t="s">
        <v>633</v>
      </c>
      <c r="D6147" s="550" t="s">
        <v>1123</v>
      </c>
      <c r="E6147" s="224" t="s">
        <v>631</v>
      </c>
      <c r="F6147" s="228">
        <f t="shared" si="274"/>
        <v>7.0000000000000001E-3</v>
      </c>
      <c r="G6147" s="229">
        <f>G6122</f>
        <v>115000</v>
      </c>
      <c r="H6147" s="230">
        <f>+G6147*F6147</f>
        <v>805</v>
      </c>
      <c r="M6147" s="228">
        <v>7.0000000000000001E-3</v>
      </c>
    </row>
    <row r="6148" spans="2:13" ht="18.75" customHeight="1" x14ac:dyDescent="0.25">
      <c r="B6148" s="550"/>
      <c r="C6148" s="227" t="s">
        <v>600</v>
      </c>
      <c r="D6148" s="550" t="s">
        <v>1124</v>
      </c>
      <c r="E6148" s="224" t="s">
        <v>631</v>
      </c>
      <c r="F6148" s="228">
        <f t="shared" si="274"/>
        <v>7.0000000000000001E-3</v>
      </c>
      <c r="G6148" s="229">
        <f>G6123</f>
        <v>140000</v>
      </c>
      <c r="H6148" s="230">
        <f>+G6148*F6148</f>
        <v>980</v>
      </c>
      <c r="M6148" s="228">
        <v>7.0000000000000001E-3</v>
      </c>
    </row>
    <row r="6149" spans="2:13" ht="18.75" customHeight="1" x14ac:dyDescent="0.25">
      <c r="B6149" s="550"/>
      <c r="C6149" s="223"/>
      <c r="D6149" s="550"/>
      <c r="E6149" s="224"/>
      <c r="F6149" s="233" t="s">
        <v>636</v>
      </c>
      <c r="G6149" s="290"/>
      <c r="H6149" s="231">
        <f>SUM(H6145:H6148)</f>
        <v>22785.000000000004</v>
      </c>
      <c r="M6149" s="233" t="s">
        <v>636</v>
      </c>
    </row>
    <row r="6150" spans="2:13" ht="18.75" customHeight="1" x14ac:dyDescent="0.25">
      <c r="B6150" s="550"/>
      <c r="C6150" s="223"/>
      <c r="D6150" s="550"/>
      <c r="E6150" s="224"/>
      <c r="F6150" s="233"/>
      <c r="G6150" s="290"/>
      <c r="H6150" s="231"/>
      <c r="M6150" s="233"/>
    </row>
    <row r="6151" spans="2:13" ht="18.75" customHeight="1" x14ac:dyDescent="0.25">
      <c r="B6151" s="550" t="s">
        <v>637</v>
      </c>
      <c r="C6151" s="223" t="s">
        <v>638</v>
      </c>
      <c r="D6151" s="550"/>
      <c r="E6151" s="224"/>
      <c r="F6151" s="225"/>
      <c r="G6151" s="290"/>
      <c r="H6151" s="226"/>
      <c r="M6151" s="225"/>
    </row>
    <row r="6152" spans="2:13" ht="18.75" customHeight="1" x14ac:dyDescent="0.25">
      <c r="B6152" s="550"/>
      <c r="C6152" s="223" t="s">
        <v>1136</v>
      </c>
      <c r="D6152" s="550"/>
      <c r="E6152" s="550" t="s">
        <v>18</v>
      </c>
      <c r="F6152" s="405">
        <v>0.75</v>
      </c>
      <c r="G6152" s="567">
        <f>Bahan!D397</f>
        <v>41500</v>
      </c>
      <c r="H6152" s="230">
        <f>+G6152*F6152</f>
        <v>31125</v>
      </c>
      <c r="M6152" s="405">
        <v>0.75</v>
      </c>
    </row>
    <row r="6153" spans="2:13" ht="18.75" customHeight="1" x14ac:dyDescent="0.25">
      <c r="B6153" s="550"/>
      <c r="C6153" s="223" t="s">
        <v>1137</v>
      </c>
      <c r="D6153" s="550"/>
      <c r="E6153" s="550" t="s">
        <v>5</v>
      </c>
      <c r="F6153" s="405">
        <v>0.12</v>
      </c>
      <c r="G6153" s="567">
        <f>Bahan!D344</f>
        <v>40000</v>
      </c>
      <c r="H6153" s="230">
        <f>+G6153*F6153</f>
        <v>4800</v>
      </c>
      <c r="M6153" s="405">
        <v>0.12</v>
      </c>
    </row>
    <row r="6154" spans="2:13" ht="18.75" customHeight="1" x14ac:dyDescent="0.25">
      <c r="B6154" s="550"/>
      <c r="C6154" s="223"/>
      <c r="D6154" s="550"/>
      <c r="E6154" s="224"/>
      <c r="F6154" s="237" t="s">
        <v>643</v>
      </c>
      <c r="G6154" s="290"/>
      <c r="H6154" s="231">
        <f>SUM(H6152:H6152)</f>
        <v>31125</v>
      </c>
      <c r="M6154" s="237" t="s">
        <v>643</v>
      </c>
    </row>
    <row r="6155" spans="2:13" ht="18.75" customHeight="1" x14ac:dyDescent="0.25">
      <c r="B6155" s="550"/>
      <c r="C6155" s="223"/>
      <c r="D6155" s="550"/>
      <c r="E6155" s="224"/>
      <c r="F6155" s="225"/>
      <c r="G6155" s="290"/>
      <c r="H6155" s="226"/>
      <c r="M6155" s="225"/>
    </row>
    <row r="6156" spans="2:13" ht="18.75" customHeight="1" x14ac:dyDescent="0.25">
      <c r="B6156" s="550" t="s">
        <v>644</v>
      </c>
      <c r="C6156" s="223" t="s">
        <v>645</v>
      </c>
      <c r="D6156" s="550"/>
      <c r="E6156" s="224"/>
      <c r="F6156" s="225"/>
      <c r="G6156" s="290"/>
      <c r="H6156" s="235"/>
      <c r="M6156" s="225"/>
    </row>
    <row r="6157" spans="2:13" ht="18.75" customHeight="1" x14ac:dyDescent="0.25">
      <c r="B6157" s="236"/>
      <c r="C6157" s="232"/>
      <c r="D6157" s="550"/>
      <c r="E6157" s="224"/>
      <c r="F6157" s="237" t="s">
        <v>646</v>
      </c>
      <c r="G6157" s="290"/>
      <c r="H6157" s="230"/>
      <c r="M6157" s="237" t="s">
        <v>646</v>
      </c>
    </row>
    <row r="6158" spans="2:13" ht="18.75" customHeight="1" x14ac:dyDescent="0.25">
      <c r="B6158" s="236"/>
      <c r="C6158" s="232"/>
      <c r="D6158" s="550"/>
      <c r="E6158" s="224"/>
      <c r="F6158" s="237"/>
      <c r="G6158" s="290"/>
      <c r="H6158" s="226"/>
      <c r="M6158" s="237"/>
    </row>
    <row r="6159" spans="2:13" ht="18.75" customHeight="1" x14ac:dyDescent="0.25">
      <c r="B6159" s="354"/>
      <c r="C6159" s="362"/>
      <c r="D6159" s="239"/>
      <c r="E6159" s="240"/>
      <c r="F6159" s="241"/>
      <c r="G6159" s="293"/>
      <c r="H6159" s="355"/>
      <c r="M6159" s="241"/>
    </row>
    <row r="6160" spans="2:13" ht="18.75" customHeight="1" x14ac:dyDescent="0.25">
      <c r="B6160" s="356" t="s">
        <v>647</v>
      </c>
      <c r="C6160" s="363" t="s">
        <v>648</v>
      </c>
      <c r="D6160" s="435"/>
      <c r="E6160" s="92"/>
      <c r="F6160" s="183"/>
      <c r="G6160" s="295"/>
      <c r="H6160" s="357">
        <f>+H6157+H6154+H6149</f>
        <v>53910</v>
      </c>
      <c r="M6160" s="183"/>
    </row>
    <row r="6161" spans="2:13" ht="18.75" customHeight="1" x14ac:dyDescent="0.25">
      <c r="B6161" s="356" t="s">
        <v>649</v>
      </c>
      <c r="C6161" s="364" t="s">
        <v>650</v>
      </c>
      <c r="D6161" s="435"/>
      <c r="E6161" s="92"/>
      <c r="F6161" s="184" t="str">
        <f>$J$5</f>
        <v>8,0 % x D</v>
      </c>
      <c r="G6161" s="295"/>
      <c r="H6161" s="358">
        <f>+H6160*$K$5</f>
        <v>4312.8</v>
      </c>
      <c r="M6161" s="184" t="str">
        <f>$J$5</f>
        <v>8,0 % x D</v>
      </c>
    </row>
    <row r="6162" spans="2:13" ht="18.75" customHeight="1" x14ac:dyDescent="0.25">
      <c r="B6162" s="356" t="s">
        <v>651</v>
      </c>
      <c r="C6162" s="365" t="s">
        <v>652</v>
      </c>
      <c r="D6162" s="435"/>
      <c r="E6162" s="91"/>
      <c r="F6162" s="185"/>
      <c r="G6162" s="296"/>
      <c r="H6162" s="359">
        <f>ROUNDUP((H6161+H6160)/100,0)*100</f>
        <v>58300</v>
      </c>
      <c r="M6162" s="185"/>
    </row>
    <row r="6163" spans="2:13" ht="18.75" customHeight="1" x14ac:dyDescent="0.25">
      <c r="B6163" s="360"/>
      <c r="C6163" s="366"/>
      <c r="D6163" s="245"/>
      <c r="E6163" s="246"/>
      <c r="F6163" s="247"/>
      <c r="G6163" s="299"/>
      <c r="H6163" s="361"/>
      <c r="M6163" s="247"/>
    </row>
    <row r="6164" spans="2:13" ht="18.75" customHeight="1" x14ac:dyDescent="0.25">
      <c r="B6164" s="22"/>
      <c r="C6164" s="104"/>
      <c r="E6164" s="21"/>
      <c r="F6164" s="176"/>
      <c r="G6164" s="165"/>
      <c r="H6164" s="119"/>
      <c r="M6164" s="176"/>
    </row>
    <row r="6165" spans="2:13" ht="18.75" customHeight="1" x14ac:dyDescent="0.25">
      <c r="B6165" s="19">
        <f>B6140+1</f>
        <v>9</v>
      </c>
      <c r="C6165" s="93" t="s">
        <v>1813</v>
      </c>
      <c r="D6165" s="19"/>
      <c r="E6165" s="21"/>
      <c r="F6165" s="176"/>
      <c r="G6165" s="165"/>
      <c r="H6165" s="119"/>
      <c r="M6165" s="176"/>
    </row>
    <row r="6166" spans="2:13" ht="18.75" customHeight="1" x14ac:dyDescent="0.25">
      <c r="B6166" s="618" t="s">
        <v>620</v>
      </c>
      <c r="C6166" s="620" t="s">
        <v>621</v>
      </c>
      <c r="D6166" s="618" t="s">
        <v>622</v>
      </c>
      <c r="E6166" s="618" t="s">
        <v>2</v>
      </c>
      <c r="F6166" s="615" t="s">
        <v>623</v>
      </c>
      <c r="G6166" s="289" t="s">
        <v>624</v>
      </c>
      <c r="H6166" s="256" t="s">
        <v>625</v>
      </c>
      <c r="M6166" s="615" t="s">
        <v>623</v>
      </c>
    </row>
    <row r="6167" spans="2:13" ht="18.75" customHeight="1" x14ac:dyDescent="0.25">
      <c r="B6167" s="619"/>
      <c r="C6167" s="621"/>
      <c r="D6167" s="619"/>
      <c r="E6167" s="619"/>
      <c r="F6167" s="616"/>
      <c r="G6167" s="289" t="s">
        <v>626</v>
      </c>
      <c r="H6167" s="256" t="s">
        <v>626</v>
      </c>
      <c r="M6167" s="616"/>
    </row>
    <row r="6168" spans="2:13" ht="18.75" customHeight="1" x14ac:dyDescent="0.25">
      <c r="B6168" s="221"/>
      <c r="C6168" s="222"/>
      <c r="D6168" s="221"/>
      <c r="E6168" s="550"/>
      <c r="F6168" s="555"/>
      <c r="G6168" s="551"/>
      <c r="H6168" s="220"/>
      <c r="M6168" s="590"/>
    </row>
    <row r="6169" spans="2:13" ht="18.75" customHeight="1" x14ac:dyDescent="0.25">
      <c r="B6169" s="550" t="s">
        <v>627</v>
      </c>
      <c r="C6169" s="223" t="s">
        <v>628</v>
      </c>
      <c r="D6169" s="550"/>
      <c r="E6169" s="224"/>
      <c r="F6169" s="225"/>
      <c r="G6169" s="290"/>
      <c r="H6169" s="226"/>
      <c r="M6169" s="225"/>
    </row>
    <row r="6170" spans="2:13" ht="18.75" customHeight="1" x14ac:dyDescent="0.25">
      <c r="B6170" s="550"/>
      <c r="C6170" s="227" t="s">
        <v>629</v>
      </c>
      <c r="D6170" s="550" t="s">
        <v>630</v>
      </c>
      <c r="E6170" s="224" t="s">
        <v>631</v>
      </c>
      <c r="F6170" s="228">
        <f t="shared" ref="F6170:F6173" si="275">$K$8*M6170</f>
        <v>8.4000000000000005E-2</v>
      </c>
      <c r="G6170" s="229">
        <f>G6145</f>
        <v>95000</v>
      </c>
      <c r="H6170" s="230">
        <f>+G6170*F6170</f>
        <v>7980.0000000000009</v>
      </c>
      <c r="M6170" s="228">
        <v>8.4000000000000005E-2</v>
      </c>
    </row>
    <row r="6171" spans="2:13" ht="18.75" customHeight="1" x14ac:dyDescent="0.25">
      <c r="B6171" s="550"/>
      <c r="C6171" s="227" t="s">
        <v>1508</v>
      </c>
      <c r="D6171" s="550" t="s">
        <v>634</v>
      </c>
      <c r="E6171" s="224" t="s">
        <v>631</v>
      </c>
      <c r="F6171" s="228">
        <f t="shared" si="275"/>
        <v>0.125</v>
      </c>
      <c r="G6171" s="229">
        <f>G6146</f>
        <v>110000</v>
      </c>
      <c r="H6171" s="230">
        <f>+G6171*F6171</f>
        <v>13750</v>
      </c>
      <c r="M6171" s="228">
        <v>0.125</v>
      </c>
    </row>
    <row r="6172" spans="2:13" ht="18.75" customHeight="1" x14ac:dyDescent="0.25">
      <c r="B6172" s="550"/>
      <c r="C6172" s="227" t="s">
        <v>633</v>
      </c>
      <c r="D6172" s="550" t="s">
        <v>1123</v>
      </c>
      <c r="E6172" s="224" t="s">
        <v>631</v>
      </c>
      <c r="F6172" s="228">
        <f t="shared" si="275"/>
        <v>1.2999999999999999E-2</v>
      </c>
      <c r="G6172" s="229">
        <f>G6147</f>
        <v>115000</v>
      </c>
      <c r="H6172" s="230">
        <f>+G6172*F6172</f>
        <v>1495</v>
      </c>
      <c r="M6172" s="228">
        <v>1.2999999999999999E-2</v>
      </c>
    </row>
    <row r="6173" spans="2:13" ht="18.75" customHeight="1" x14ac:dyDescent="0.25">
      <c r="B6173" s="550"/>
      <c r="C6173" s="227" t="s">
        <v>600</v>
      </c>
      <c r="D6173" s="550" t="s">
        <v>1124</v>
      </c>
      <c r="E6173" s="224" t="s">
        <v>631</v>
      </c>
      <c r="F6173" s="228">
        <f t="shared" si="275"/>
        <v>4.0000000000000001E-3</v>
      </c>
      <c r="G6173" s="229">
        <f>G6148</f>
        <v>140000</v>
      </c>
      <c r="H6173" s="230">
        <f>+G6173*F6173</f>
        <v>560</v>
      </c>
      <c r="M6173" s="228">
        <v>4.0000000000000001E-3</v>
      </c>
    </row>
    <row r="6174" spans="2:13" ht="18.75" customHeight="1" x14ac:dyDescent="0.25">
      <c r="B6174" s="550"/>
      <c r="C6174" s="223"/>
      <c r="D6174" s="550"/>
      <c r="E6174" s="224"/>
      <c r="F6174" s="233" t="s">
        <v>636</v>
      </c>
      <c r="G6174" s="290"/>
      <c r="H6174" s="231">
        <f>SUM(H6170:H6173)</f>
        <v>23785</v>
      </c>
      <c r="M6174" s="233" t="s">
        <v>636</v>
      </c>
    </row>
    <row r="6175" spans="2:13" ht="18.75" customHeight="1" x14ac:dyDescent="0.25">
      <c r="B6175" s="550"/>
      <c r="C6175" s="223"/>
      <c r="D6175" s="550"/>
      <c r="E6175" s="224"/>
      <c r="F6175" s="233"/>
      <c r="G6175" s="290"/>
      <c r="H6175" s="230"/>
      <c r="M6175" s="233"/>
    </row>
    <row r="6176" spans="2:13" ht="18.75" customHeight="1" x14ac:dyDescent="0.25">
      <c r="B6176" s="550" t="s">
        <v>637</v>
      </c>
      <c r="C6176" s="223" t="s">
        <v>638</v>
      </c>
      <c r="D6176" s="550"/>
      <c r="E6176" s="224"/>
      <c r="F6176" s="225"/>
      <c r="G6176" s="290"/>
      <c r="H6176" s="226"/>
      <c r="M6176" s="225"/>
    </row>
    <row r="6177" spans="2:13" ht="18.75" customHeight="1" x14ac:dyDescent="0.25">
      <c r="B6177" s="550"/>
      <c r="C6177" s="223" t="s">
        <v>1138</v>
      </c>
      <c r="D6177" s="550"/>
      <c r="E6177" s="550" t="s">
        <v>18</v>
      </c>
      <c r="F6177" s="405">
        <v>1</v>
      </c>
      <c r="G6177" s="418">
        <f>Bahan!D493</f>
        <v>35000</v>
      </c>
      <c r="H6177" s="230">
        <f>+G6177*F6177</f>
        <v>35000</v>
      </c>
      <c r="M6177" s="405">
        <v>1</v>
      </c>
    </row>
    <row r="6178" spans="2:13" ht="18.75" customHeight="1" x14ac:dyDescent="0.25">
      <c r="B6178" s="550"/>
      <c r="C6178" s="223" t="s">
        <v>1100</v>
      </c>
      <c r="D6178" s="550"/>
      <c r="E6178" s="550" t="s">
        <v>16</v>
      </c>
      <c r="F6178" s="405">
        <v>6</v>
      </c>
      <c r="G6178" s="418">
        <f>Bahan!D346</f>
        <v>28000</v>
      </c>
      <c r="H6178" s="230">
        <f>+G6178*F6178</f>
        <v>168000</v>
      </c>
      <c r="M6178" s="405">
        <v>6</v>
      </c>
    </row>
    <row r="6179" spans="2:13" ht="18.75" customHeight="1" x14ac:dyDescent="0.25">
      <c r="B6179" s="550"/>
      <c r="C6179" s="223"/>
      <c r="D6179" s="550"/>
      <c r="E6179" s="224"/>
      <c r="F6179" s="237" t="s">
        <v>643</v>
      </c>
      <c r="G6179" s="290"/>
      <c r="H6179" s="231">
        <f>SUM(H6177:H6177)</f>
        <v>35000</v>
      </c>
      <c r="M6179" s="237" t="s">
        <v>643</v>
      </c>
    </row>
    <row r="6180" spans="2:13" ht="18.75" customHeight="1" x14ac:dyDescent="0.25">
      <c r="B6180" s="550"/>
      <c r="C6180" s="223"/>
      <c r="D6180" s="550"/>
      <c r="E6180" s="224"/>
      <c r="F6180" s="225"/>
      <c r="G6180" s="290"/>
      <c r="H6180" s="226"/>
      <c r="M6180" s="225"/>
    </row>
    <row r="6181" spans="2:13" ht="18.75" customHeight="1" x14ac:dyDescent="0.25">
      <c r="B6181" s="550" t="s">
        <v>644</v>
      </c>
      <c r="C6181" s="223" t="s">
        <v>645</v>
      </c>
      <c r="D6181" s="550"/>
      <c r="E6181" s="224"/>
      <c r="F6181" s="225"/>
      <c r="G6181" s="290"/>
      <c r="H6181" s="235"/>
      <c r="M6181" s="225"/>
    </row>
    <row r="6182" spans="2:13" ht="18.75" customHeight="1" x14ac:dyDescent="0.25">
      <c r="B6182" s="236"/>
      <c r="C6182" s="232"/>
      <c r="D6182" s="550"/>
      <c r="E6182" s="224"/>
      <c r="F6182" s="237" t="s">
        <v>646</v>
      </c>
      <c r="G6182" s="290"/>
      <c r="H6182" s="230"/>
      <c r="M6182" s="237" t="s">
        <v>646</v>
      </c>
    </row>
    <row r="6183" spans="2:13" ht="18.75" customHeight="1" x14ac:dyDescent="0.25">
      <c r="B6183" s="236"/>
      <c r="C6183" s="232"/>
      <c r="D6183" s="550"/>
      <c r="E6183" s="224"/>
      <c r="F6183" s="237"/>
      <c r="G6183" s="290"/>
      <c r="H6183" s="226"/>
      <c r="M6183" s="237"/>
    </row>
    <row r="6184" spans="2:13" ht="18.75" customHeight="1" x14ac:dyDescent="0.25">
      <c r="B6184" s="354"/>
      <c r="C6184" s="362"/>
      <c r="D6184" s="239"/>
      <c r="E6184" s="240"/>
      <c r="F6184" s="241"/>
      <c r="G6184" s="293"/>
      <c r="H6184" s="355"/>
      <c r="M6184" s="241"/>
    </row>
    <row r="6185" spans="2:13" ht="18.75" customHeight="1" x14ac:dyDescent="0.25">
      <c r="B6185" s="356" t="s">
        <v>647</v>
      </c>
      <c r="C6185" s="363" t="s">
        <v>648</v>
      </c>
      <c r="D6185" s="435"/>
      <c r="E6185" s="92"/>
      <c r="F6185" s="183"/>
      <c r="G6185" s="295"/>
      <c r="H6185" s="357">
        <f>+H6182+H6179+H6174</f>
        <v>58785</v>
      </c>
      <c r="M6185" s="183"/>
    </row>
    <row r="6186" spans="2:13" ht="18.75" customHeight="1" x14ac:dyDescent="0.25">
      <c r="B6186" s="356" t="s">
        <v>649</v>
      </c>
      <c r="C6186" s="364" t="s">
        <v>650</v>
      </c>
      <c r="D6186" s="435"/>
      <c r="E6186" s="92"/>
      <c r="F6186" s="184" t="str">
        <f>$J$5</f>
        <v>8,0 % x D</v>
      </c>
      <c r="G6186" s="295"/>
      <c r="H6186" s="358">
        <f>+H6185*$K$5</f>
        <v>4702.8</v>
      </c>
      <c r="M6186" s="184" t="str">
        <f>$J$5</f>
        <v>8,0 % x D</v>
      </c>
    </row>
    <row r="6187" spans="2:13" ht="18.75" customHeight="1" x14ac:dyDescent="0.25">
      <c r="B6187" s="356" t="s">
        <v>651</v>
      </c>
      <c r="C6187" s="365" t="s">
        <v>652</v>
      </c>
      <c r="D6187" s="435"/>
      <c r="E6187" s="91"/>
      <c r="F6187" s="185"/>
      <c r="G6187" s="296"/>
      <c r="H6187" s="359">
        <f>ROUNDUP((H6186+H6185)/100,0)*100</f>
        <v>63500</v>
      </c>
      <c r="M6187" s="185"/>
    </row>
    <row r="6188" spans="2:13" ht="18.75" customHeight="1" x14ac:dyDescent="0.25">
      <c r="B6188" s="360"/>
      <c r="C6188" s="366"/>
      <c r="D6188" s="245"/>
      <c r="E6188" s="246"/>
      <c r="F6188" s="247"/>
      <c r="G6188" s="299"/>
      <c r="H6188" s="361"/>
      <c r="M6188" s="247"/>
    </row>
    <row r="6189" spans="2:13" ht="18.75" customHeight="1" x14ac:dyDescent="0.25">
      <c r="B6189" s="92"/>
      <c r="C6189" s="104"/>
      <c r="D6189" s="435"/>
      <c r="E6189" s="91"/>
      <c r="F6189" s="185"/>
      <c r="G6189" s="168"/>
      <c r="H6189" s="139"/>
      <c r="M6189" s="185"/>
    </row>
    <row r="6190" spans="2:13" ht="18.75" customHeight="1" x14ac:dyDescent="0.25">
      <c r="B6190" s="19">
        <f>B6165+1</f>
        <v>10</v>
      </c>
      <c r="C6190" s="93" t="s">
        <v>1139</v>
      </c>
      <c r="D6190" s="19"/>
      <c r="E6190" s="21"/>
      <c r="F6190" s="176"/>
      <c r="G6190" s="165"/>
      <c r="H6190" s="119"/>
      <c r="M6190" s="176"/>
    </row>
    <row r="6191" spans="2:13" ht="18.75" customHeight="1" x14ac:dyDescent="0.25">
      <c r="B6191" s="618" t="s">
        <v>620</v>
      </c>
      <c r="C6191" s="620" t="s">
        <v>621</v>
      </c>
      <c r="D6191" s="618" t="s">
        <v>622</v>
      </c>
      <c r="E6191" s="618" t="s">
        <v>2</v>
      </c>
      <c r="F6191" s="615" t="s">
        <v>623</v>
      </c>
      <c r="G6191" s="289" t="s">
        <v>624</v>
      </c>
      <c r="H6191" s="256" t="s">
        <v>625</v>
      </c>
      <c r="M6191" s="615" t="s">
        <v>623</v>
      </c>
    </row>
    <row r="6192" spans="2:13" ht="18.75" customHeight="1" x14ac:dyDescent="0.25">
      <c r="B6192" s="619"/>
      <c r="C6192" s="621"/>
      <c r="D6192" s="619"/>
      <c r="E6192" s="619"/>
      <c r="F6192" s="616"/>
      <c r="G6192" s="289" t="s">
        <v>626</v>
      </c>
      <c r="H6192" s="256" t="s">
        <v>626</v>
      </c>
      <c r="M6192" s="616"/>
    </row>
    <row r="6193" spans="2:13" ht="18.75" customHeight="1" x14ac:dyDescent="0.25">
      <c r="B6193" s="221"/>
      <c r="C6193" s="222"/>
      <c r="D6193" s="221"/>
      <c r="E6193" s="550"/>
      <c r="F6193" s="555"/>
      <c r="G6193" s="551"/>
      <c r="H6193" s="220"/>
      <c r="M6193" s="590"/>
    </row>
    <row r="6194" spans="2:13" ht="18.75" customHeight="1" x14ac:dyDescent="0.25">
      <c r="B6194" s="550" t="s">
        <v>627</v>
      </c>
      <c r="C6194" s="223" t="s">
        <v>628</v>
      </c>
      <c r="D6194" s="550"/>
      <c r="E6194" s="224"/>
      <c r="F6194" s="225"/>
      <c r="G6194" s="290"/>
      <c r="H6194" s="226"/>
      <c r="M6194" s="225"/>
    </row>
    <row r="6195" spans="2:13" ht="18.75" customHeight="1" x14ac:dyDescent="0.25">
      <c r="B6195" s="550"/>
      <c r="C6195" s="227" t="s">
        <v>629</v>
      </c>
      <c r="D6195" s="550" t="s">
        <v>630</v>
      </c>
      <c r="E6195" s="224" t="s">
        <v>631</v>
      </c>
      <c r="F6195" s="228">
        <f t="shared" ref="F6195:F6198" si="276">$K$8*M6195</f>
        <v>8.4000000000000005E-2</v>
      </c>
      <c r="G6195" s="229">
        <f>G6170</f>
        <v>95000</v>
      </c>
      <c r="H6195" s="230">
        <f>+G6195*F6195</f>
        <v>7980.0000000000009</v>
      </c>
      <c r="M6195" s="228">
        <v>8.4000000000000005E-2</v>
      </c>
    </row>
    <row r="6196" spans="2:13" ht="18.75" customHeight="1" x14ac:dyDescent="0.25">
      <c r="B6196" s="550"/>
      <c r="C6196" s="227" t="s">
        <v>1508</v>
      </c>
      <c r="D6196" s="550" t="s">
        <v>634</v>
      </c>
      <c r="E6196" s="224" t="s">
        <v>631</v>
      </c>
      <c r="F6196" s="228">
        <f t="shared" si="276"/>
        <v>0.125</v>
      </c>
      <c r="G6196" s="229">
        <f>G6171</f>
        <v>110000</v>
      </c>
      <c r="H6196" s="230">
        <f>+G6196*F6196</f>
        <v>13750</v>
      </c>
      <c r="M6196" s="228">
        <v>0.125</v>
      </c>
    </row>
    <row r="6197" spans="2:13" ht="18.75" customHeight="1" x14ac:dyDescent="0.25">
      <c r="B6197" s="550"/>
      <c r="C6197" s="227" t="s">
        <v>633</v>
      </c>
      <c r="D6197" s="550" t="s">
        <v>1123</v>
      </c>
      <c r="E6197" s="224" t="s">
        <v>631</v>
      </c>
      <c r="F6197" s="228">
        <f t="shared" si="276"/>
        <v>1.2999999999999999E-2</v>
      </c>
      <c r="G6197" s="229">
        <f>G6172</f>
        <v>115000</v>
      </c>
      <c r="H6197" s="230">
        <f>+G6197*F6197</f>
        <v>1495</v>
      </c>
      <c r="M6197" s="228">
        <v>1.2999999999999999E-2</v>
      </c>
    </row>
    <row r="6198" spans="2:13" ht="18.75" customHeight="1" x14ac:dyDescent="0.25">
      <c r="B6198" s="550"/>
      <c r="C6198" s="227" t="s">
        <v>600</v>
      </c>
      <c r="D6198" s="550" t="s">
        <v>1124</v>
      </c>
      <c r="E6198" s="224" t="s">
        <v>631</v>
      </c>
      <c r="F6198" s="228">
        <f t="shared" si="276"/>
        <v>4.0000000000000001E-3</v>
      </c>
      <c r="G6198" s="229">
        <f>G6173</f>
        <v>140000</v>
      </c>
      <c r="H6198" s="230">
        <f>+G6198*F6198</f>
        <v>560</v>
      </c>
      <c r="M6198" s="228">
        <v>4.0000000000000001E-3</v>
      </c>
    </row>
    <row r="6199" spans="2:13" ht="18.75" customHeight="1" x14ac:dyDescent="0.25">
      <c r="B6199" s="550"/>
      <c r="C6199" s="223"/>
      <c r="D6199" s="550"/>
      <c r="E6199" s="224"/>
      <c r="F6199" s="233" t="s">
        <v>636</v>
      </c>
      <c r="G6199" s="290"/>
      <c r="H6199" s="231">
        <f>SUM(H6195:H6198)</f>
        <v>23785</v>
      </c>
      <c r="M6199" s="233" t="s">
        <v>636</v>
      </c>
    </row>
    <row r="6200" spans="2:13" ht="18.75" customHeight="1" x14ac:dyDescent="0.25">
      <c r="B6200" s="550"/>
      <c r="C6200" s="223"/>
      <c r="D6200" s="550"/>
      <c r="E6200" s="224"/>
      <c r="F6200" s="233"/>
      <c r="G6200" s="290"/>
      <c r="H6200" s="230"/>
      <c r="M6200" s="233"/>
    </row>
    <row r="6201" spans="2:13" ht="18.75" customHeight="1" x14ac:dyDescent="0.25">
      <c r="B6201" s="550" t="s">
        <v>637</v>
      </c>
      <c r="C6201" s="223" t="s">
        <v>638</v>
      </c>
      <c r="D6201" s="550"/>
      <c r="E6201" s="224"/>
      <c r="F6201" s="225"/>
      <c r="G6201" s="290"/>
      <c r="H6201" s="226"/>
      <c r="M6201" s="225"/>
    </row>
    <row r="6202" spans="2:13" ht="18.75" customHeight="1" x14ac:dyDescent="0.25">
      <c r="B6202" s="550"/>
      <c r="C6202" s="223" t="s">
        <v>1723</v>
      </c>
      <c r="D6202" s="550"/>
      <c r="E6202" s="550" t="s">
        <v>155</v>
      </c>
      <c r="F6202" s="405">
        <v>1.2</v>
      </c>
      <c r="G6202" s="418">
        <f>Bahan!D490</f>
        <v>65000</v>
      </c>
      <c r="H6202" s="230">
        <f>+G6202*F6202</f>
        <v>78000</v>
      </c>
      <c r="M6202" s="405">
        <v>1.2</v>
      </c>
    </row>
    <row r="6203" spans="2:13" ht="18.75" customHeight="1" x14ac:dyDescent="0.25">
      <c r="B6203" s="550"/>
      <c r="C6203" s="223" t="s">
        <v>295</v>
      </c>
      <c r="D6203" s="550"/>
      <c r="E6203" s="550" t="s">
        <v>16</v>
      </c>
      <c r="F6203" s="405">
        <v>6</v>
      </c>
      <c r="G6203" s="418">
        <f>Bahan!D345</f>
        <v>500</v>
      </c>
      <c r="H6203" s="230">
        <f>+G6203*F6203</f>
        <v>3000</v>
      </c>
      <c r="M6203" s="405">
        <v>6</v>
      </c>
    </row>
    <row r="6204" spans="2:13" ht="18.75" customHeight="1" x14ac:dyDescent="0.25">
      <c r="B6204" s="550"/>
      <c r="C6204" s="223"/>
      <c r="D6204" s="550"/>
      <c r="E6204" s="224"/>
      <c r="F6204" s="237" t="s">
        <v>643</v>
      </c>
      <c r="G6204" s="290"/>
      <c r="H6204" s="231">
        <f>SUM(H6202:H6203)</f>
        <v>81000</v>
      </c>
      <c r="M6204" s="237" t="s">
        <v>643</v>
      </c>
    </row>
    <row r="6205" spans="2:13" ht="18.75" customHeight="1" x14ac:dyDescent="0.25">
      <c r="B6205" s="550"/>
      <c r="C6205" s="223"/>
      <c r="D6205" s="550"/>
      <c r="E6205" s="224"/>
      <c r="F6205" s="225"/>
      <c r="G6205" s="290"/>
      <c r="H6205" s="226"/>
      <c r="M6205" s="225"/>
    </row>
    <row r="6206" spans="2:13" ht="18.75" customHeight="1" x14ac:dyDescent="0.25">
      <c r="B6206" s="550" t="s">
        <v>644</v>
      </c>
      <c r="C6206" s="223" t="s">
        <v>645</v>
      </c>
      <c r="D6206" s="550"/>
      <c r="E6206" s="224"/>
      <c r="F6206" s="225"/>
      <c r="G6206" s="290"/>
      <c r="H6206" s="235"/>
      <c r="M6206" s="225"/>
    </row>
    <row r="6207" spans="2:13" ht="18.75" customHeight="1" x14ac:dyDescent="0.25">
      <c r="B6207" s="236"/>
      <c r="C6207" s="232"/>
      <c r="D6207" s="550"/>
      <c r="E6207" s="224"/>
      <c r="F6207" s="237" t="s">
        <v>646</v>
      </c>
      <c r="G6207" s="290"/>
      <c r="H6207" s="230"/>
      <c r="M6207" s="237" t="s">
        <v>646</v>
      </c>
    </row>
    <row r="6208" spans="2:13" ht="18.75" customHeight="1" x14ac:dyDescent="0.25">
      <c r="B6208" s="236"/>
      <c r="C6208" s="232"/>
      <c r="D6208" s="550"/>
      <c r="E6208" s="224"/>
      <c r="F6208" s="237"/>
      <c r="G6208" s="290"/>
      <c r="H6208" s="226"/>
      <c r="M6208" s="237"/>
    </row>
    <row r="6209" spans="2:13" ht="18.75" customHeight="1" x14ac:dyDescent="0.25">
      <c r="B6209" s="354"/>
      <c r="C6209" s="362"/>
      <c r="D6209" s="239"/>
      <c r="E6209" s="240"/>
      <c r="F6209" s="241"/>
      <c r="G6209" s="293"/>
      <c r="H6209" s="355"/>
      <c r="M6209" s="241"/>
    </row>
    <row r="6210" spans="2:13" ht="18.75" customHeight="1" x14ac:dyDescent="0.25">
      <c r="B6210" s="356" t="s">
        <v>647</v>
      </c>
      <c r="C6210" s="363" t="s">
        <v>648</v>
      </c>
      <c r="D6210" s="435"/>
      <c r="E6210" s="92"/>
      <c r="F6210" s="183"/>
      <c r="G6210" s="295"/>
      <c r="H6210" s="357">
        <f>+H6207+H6204+H6199</f>
        <v>104785</v>
      </c>
      <c r="M6210" s="183"/>
    </row>
    <row r="6211" spans="2:13" ht="18.75" customHeight="1" x14ac:dyDescent="0.25">
      <c r="B6211" s="356" t="s">
        <v>649</v>
      </c>
      <c r="C6211" s="364" t="s">
        <v>650</v>
      </c>
      <c r="D6211" s="435"/>
      <c r="E6211" s="92"/>
      <c r="F6211" s="184" t="str">
        <f>$J$5</f>
        <v>8,0 % x D</v>
      </c>
      <c r="G6211" s="295"/>
      <c r="H6211" s="358">
        <f>+H6210*$K$5</f>
        <v>8382.7999999999993</v>
      </c>
      <c r="M6211" s="184" t="str">
        <f>$J$5</f>
        <v>8,0 % x D</v>
      </c>
    </row>
    <row r="6212" spans="2:13" ht="18.75" customHeight="1" x14ac:dyDescent="0.25">
      <c r="B6212" s="356" t="s">
        <v>651</v>
      </c>
      <c r="C6212" s="365" t="s">
        <v>652</v>
      </c>
      <c r="D6212" s="435"/>
      <c r="E6212" s="91"/>
      <c r="F6212" s="185"/>
      <c r="G6212" s="296"/>
      <c r="H6212" s="359">
        <f>ROUNDUP((H6211+H6210)/100,0)*100</f>
        <v>113200</v>
      </c>
      <c r="M6212" s="185"/>
    </row>
    <row r="6213" spans="2:13" ht="18.75" customHeight="1" x14ac:dyDescent="0.25">
      <c r="B6213" s="360"/>
      <c r="C6213" s="366"/>
      <c r="D6213" s="245"/>
      <c r="E6213" s="246"/>
      <c r="F6213" s="247"/>
      <c r="G6213" s="299"/>
      <c r="H6213" s="361"/>
      <c r="M6213" s="247"/>
    </row>
    <row r="6214" spans="2:13" ht="18.75" customHeight="1" x14ac:dyDescent="0.25">
      <c r="G6214" s="66"/>
      <c r="H6214" s="138"/>
    </row>
    <row r="6215" spans="2:13" ht="18.75" customHeight="1" x14ac:dyDescent="0.25">
      <c r="B6215" s="19">
        <f>B6190+1</f>
        <v>11</v>
      </c>
      <c r="C6215" s="93" t="s">
        <v>1814</v>
      </c>
      <c r="D6215" s="19"/>
      <c r="E6215" s="21"/>
      <c r="F6215" s="176"/>
      <c r="G6215" s="165"/>
      <c r="H6215" s="119"/>
      <c r="M6215" s="176"/>
    </row>
    <row r="6216" spans="2:13" ht="18.75" customHeight="1" x14ac:dyDescent="0.25">
      <c r="B6216" s="618" t="s">
        <v>620</v>
      </c>
      <c r="C6216" s="620" t="s">
        <v>621</v>
      </c>
      <c r="D6216" s="618" t="s">
        <v>622</v>
      </c>
      <c r="E6216" s="618" t="s">
        <v>2</v>
      </c>
      <c r="F6216" s="615" t="s">
        <v>623</v>
      </c>
      <c r="G6216" s="289" t="s">
        <v>624</v>
      </c>
      <c r="H6216" s="256" t="s">
        <v>625</v>
      </c>
      <c r="M6216" s="615" t="s">
        <v>623</v>
      </c>
    </row>
    <row r="6217" spans="2:13" ht="18.75" customHeight="1" x14ac:dyDescent="0.25">
      <c r="B6217" s="619"/>
      <c r="C6217" s="621"/>
      <c r="D6217" s="619"/>
      <c r="E6217" s="619"/>
      <c r="F6217" s="616"/>
      <c r="G6217" s="289" t="s">
        <v>626</v>
      </c>
      <c r="H6217" s="256" t="s">
        <v>626</v>
      </c>
      <c r="M6217" s="616"/>
    </row>
    <row r="6218" spans="2:13" ht="18.75" customHeight="1" x14ac:dyDescent="0.25">
      <c r="B6218" s="221"/>
      <c r="C6218" s="222"/>
      <c r="D6218" s="221"/>
      <c r="E6218" s="550"/>
      <c r="F6218" s="555"/>
      <c r="G6218" s="551"/>
      <c r="H6218" s="220"/>
      <c r="M6218" s="590"/>
    </row>
    <row r="6219" spans="2:13" ht="18.75" customHeight="1" x14ac:dyDescent="0.25">
      <c r="B6219" s="550" t="s">
        <v>627</v>
      </c>
      <c r="C6219" s="223" t="s">
        <v>628</v>
      </c>
      <c r="D6219" s="550"/>
      <c r="E6219" s="224"/>
      <c r="F6219" s="225"/>
      <c r="G6219" s="290"/>
      <c r="H6219" s="226"/>
      <c r="M6219" s="225"/>
    </row>
    <row r="6220" spans="2:13" ht="18.75" customHeight="1" x14ac:dyDescent="0.25">
      <c r="B6220" s="550"/>
      <c r="C6220" s="227" t="s">
        <v>629</v>
      </c>
      <c r="D6220" s="550" t="s">
        <v>630</v>
      </c>
      <c r="E6220" s="224" t="s">
        <v>631</v>
      </c>
      <c r="F6220" s="228">
        <f t="shared" ref="F6220:F6223" si="277">$K$8*M6220</f>
        <v>0.2</v>
      </c>
      <c r="G6220" s="229">
        <f>G6195</f>
        <v>95000</v>
      </c>
      <c r="H6220" s="230">
        <f>+G6220*F6220</f>
        <v>19000</v>
      </c>
      <c r="M6220" s="228">
        <v>0.2</v>
      </c>
    </row>
    <row r="6221" spans="2:13" ht="18.75" customHeight="1" x14ac:dyDescent="0.25">
      <c r="B6221" s="550"/>
      <c r="C6221" s="227" t="s">
        <v>1508</v>
      </c>
      <c r="D6221" s="550" t="s">
        <v>634</v>
      </c>
      <c r="E6221" s="224" t="s">
        <v>631</v>
      </c>
      <c r="F6221" s="228">
        <f t="shared" si="277"/>
        <v>0.1</v>
      </c>
      <c r="G6221" s="229">
        <f>G6196</f>
        <v>110000</v>
      </c>
      <c r="H6221" s="230">
        <f>+G6221*F6221</f>
        <v>11000</v>
      </c>
      <c r="M6221" s="228">
        <v>0.1</v>
      </c>
    </row>
    <row r="6222" spans="2:13" ht="18.75" customHeight="1" x14ac:dyDescent="0.25">
      <c r="B6222" s="550"/>
      <c r="C6222" s="227" t="s">
        <v>633</v>
      </c>
      <c r="D6222" s="550" t="s">
        <v>1123</v>
      </c>
      <c r="E6222" s="224" t="s">
        <v>631</v>
      </c>
      <c r="F6222" s="228">
        <f t="shared" si="277"/>
        <v>1E-3</v>
      </c>
      <c r="G6222" s="229">
        <f>G6197</f>
        <v>115000</v>
      </c>
      <c r="H6222" s="230">
        <f>+G6222*F6222</f>
        <v>115</v>
      </c>
      <c r="M6222" s="228">
        <v>1E-3</v>
      </c>
    </row>
    <row r="6223" spans="2:13" ht="18.75" customHeight="1" x14ac:dyDescent="0.25">
      <c r="B6223" s="550"/>
      <c r="C6223" s="227" t="s">
        <v>600</v>
      </c>
      <c r="D6223" s="550" t="s">
        <v>1124</v>
      </c>
      <c r="E6223" s="224" t="s">
        <v>631</v>
      </c>
      <c r="F6223" s="228">
        <f t="shared" si="277"/>
        <v>1E-3</v>
      </c>
      <c r="G6223" s="229">
        <f>G6198</f>
        <v>140000</v>
      </c>
      <c r="H6223" s="230">
        <f>+G6223*F6223</f>
        <v>140</v>
      </c>
      <c r="M6223" s="228">
        <v>1E-3</v>
      </c>
    </row>
    <row r="6224" spans="2:13" ht="18.75" customHeight="1" x14ac:dyDescent="0.25">
      <c r="B6224" s="550"/>
      <c r="C6224" s="223"/>
      <c r="D6224" s="550"/>
      <c r="E6224" s="224"/>
      <c r="F6224" s="233" t="s">
        <v>636</v>
      </c>
      <c r="G6224" s="290"/>
      <c r="H6224" s="231">
        <f>SUM(H6220:H6223)</f>
        <v>30255</v>
      </c>
      <c r="M6224" s="233" t="s">
        <v>636</v>
      </c>
    </row>
    <row r="6225" spans="2:13" ht="18.75" customHeight="1" x14ac:dyDescent="0.25">
      <c r="B6225" s="550"/>
      <c r="C6225" s="223"/>
      <c r="D6225" s="550"/>
      <c r="E6225" s="224"/>
      <c r="F6225" s="233"/>
      <c r="G6225" s="290"/>
      <c r="H6225" s="230"/>
      <c r="M6225" s="233"/>
    </row>
    <row r="6226" spans="2:13" ht="18.75" customHeight="1" x14ac:dyDescent="0.25">
      <c r="B6226" s="550" t="s">
        <v>637</v>
      </c>
      <c r="C6226" s="223" t="s">
        <v>638</v>
      </c>
      <c r="D6226" s="550"/>
      <c r="E6226" s="224"/>
      <c r="F6226" s="225"/>
      <c r="G6226" s="290"/>
      <c r="H6226" s="226"/>
      <c r="M6226" s="225"/>
    </row>
    <row r="6227" spans="2:13" ht="18.75" customHeight="1" x14ac:dyDescent="0.25">
      <c r="B6227" s="550"/>
      <c r="C6227" s="223" t="s">
        <v>1724</v>
      </c>
      <c r="D6227" s="550"/>
      <c r="E6227" s="550" t="s">
        <v>18</v>
      </c>
      <c r="F6227" s="405">
        <v>1.1000000000000001</v>
      </c>
      <c r="G6227" s="418">
        <f>Bahan!D461</f>
        <v>90000</v>
      </c>
      <c r="H6227" s="230">
        <f>+G6227*F6227</f>
        <v>99000.000000000015</v>
      </c>
      <c r="M6227" s="405">
        <v>1.1000000000000001</v>
      </c>
    </row>
    <row r="6228" spans="2:13" ht="18.75" customHeight="1" x14ac:dyDescent="0.25">
      <c r="B6228" s="550"/>
      <c r="C6228" s="223" t="s">
        <v>292</v>
      </c>
      <c r="D6228" s="550"/>
      <c r="E6228" s="550" t="s">
        <v>62</v>
      </c>
      <c r="F6228" s="405">
        <v>0.2</v>
      </c>
      <c r="G6228" s="418">
        <f>Bahan!D341</f>
        <v>25000</v>
      </c>
      <c r="H6228" s="230">
        <f>+G6228*F6228</f>
        <v>5000</v>
      </c>
      <c r="M6228" s="405">
        <v>0.2</v>
      </c>
    </row>
    <row r="6229" spans="2:13" ht="18.75" customHeight="1" x14ac:dyDescent="0.25">
      <c r="B6229" s="550"/>
      <c r="C6229" s="223"/>
      <c r="D6229" s="550"/>
      <c r="E6229" s="224"/>
      <c r="F6229" s="237" t="s">
        <v>643</v>
      </c>
      <c r="G6229" s="290"/>
      <c r="H6229" s="231">
        <f>SUM(H6227:H6227)</f>
        <v>99000.000000000015</v>
      </c>
      <c r="M6229" s="237" t="s">
        <v>643</v>
      </c>
    </row>
    <row r="6230" spans="2:13" ht="18.75" customHeight="1" x14ac:dyDescent="0.25">
      <c r="B6230" s="550"/>
      <c r="C6230" s="223"/>
      <c r="D6230" s="550"/>
      <c r="E6230" s="224"/>
      <c r="F6230" s="225"/>
      <c r="G6230" s="290"/>
      <c r="H6230" s="226"/>
      <c r="M6230" s="225"/>
    </row>
    <row r="6231" spans="2:13" ht="18.75" customHeight="1" x14ac:dyDescent="0.25">
      <c r="B6231" s="550" t="s">
        <v>644</v>
      </c>
      <c r="C6231" s="223" t="s">
        <v>645</v>
      </c>
      <c r="D6231" s="550"/>
      <c r="E6231" s="224"/>
      <c r="F6231" s="225"/>
      <c r="G6231" s="290"/>
      <c r="H6231" s="235"/>
      <c r="M6231" s="225"/>
    </row>
    <row r="6232" spans="2:13" ht="18.75" customHeight="1" x14ac:dyDescent="0.25">
      <c r="B6232" s="236"/>
      <c r="C6232" s="232"/>
      <c r="D6232" s="550"/>
      <c r="E6232" s="224"/>
      <c r="F6232" s="237" t="s">
        <v>646</v>
      </c>
      <c r="G6232" s="290"/>
      <c r="H6232" s="230"/>
      <c r="M6232" s="237" t="s">
        <v>646</v>
      </c>
    </row>
    <row r="6233" spans="2:13" ht="18.75" customHeight="1" x14ac:dyDescent="0.25">
      <c r="B6233" s="236"/>
      <c r="C6233" s="232"/>
      <c r="D6233" s="550"/>
      <c r="E6233" s="224"/>
      <c r="F6233" s="237"/>
      <c r="G6233" s="290"/>
      <c r="H6233" s="226"/>
      <c r="M6233" s="237"/>
    </row>
    <row r="6234" spans="2:13" ht="18.75" customHeight="1" x14ac:dyDescent="0.25">
      <c r="B6234" s="354"/>
      <c r="C6234" s="362"/>
      <c r="D6234" s="239"/>
      <c r="E6234" s="266"/>
      <c r="F6234" s="241"/>
      <c r="G6234" s="370"/>
      <c r="H6234" s="369"/>
      <c r="M6234" s="241"/>
    </row>
    <row r="6235" spans="2:13" ht="18.75" customHeight="1" x14ac:dyDescent="0.25">
      <c r="B6235" s="356" t="s">
        <v>647</v>
      </c>
      <c r="C6235" s="363" t="s">
        <v>648</v>
      </c>
      <c r="D6235" s="435"/>
      <c r="E6235" s="92"/>
      <c r="F6235" s="183"/>
      <c r="G6235" s="295"/>
      <c r="H6235" s="357">
        <f>+H6232+H6229+H6224</f>
        <v>129255.00000000001</v>
      </c>
      <c r="M6235" s="183"/>
    </row>
    <row r="6236" spans="2:13" ht="18.75" customHeight="1" x14ac:dyDescent="0.25">
      <c r="B6236" s="356" t="s">
        <v>649</v>
      </c>
      <c r="C6236" s="364" t="s">
        <v>650</v>
      </c>
      <c r="D6236" s="435"/>
      <c r="E6236" s="92"/>
      <c r="F6236" s="184" t="str">
        <f>$J$5</f>
        <v>8,0 % x D</v>
      </c>
      <c r="G6236" s="295"/>
      <c r="H6236" s="358">
        <f>+H6235*$K$5</f>
        <v>10340.400000000001</v>
      </c>
      <c r="M6236" s="184" t="str">
        <f>$J$5</f>
        <v>8,0 % x D</v>
      </c>
    </row>
    <row r="6237" spans="2:13" ht="18.75" customHeight="1" x14ac:dyDescent="0.25">
      <c r="B6237" s="356" t="s">
        <v>651</v>
      </c>
      <c r="C6237" s="365" t="s">
        <v>652</v>
      </c>
      <c r="D6237" s="435"/>
      <c r="E6237" s="91"/>
      <c r="F6237" s="185"/>
      <c r="G6237" s="296"/>
      <c r="H6237" s="359">
        <f>ROUNDUP((H6236+H6235)/100,0)*100</f>
        <v>139600</v>
      </c>
      <c r="M6237" s="185"/>
    </row>
    <row r="6238" spans="2:13" ht="18.75" customHeight="1" x14ac:dyDescent="0.25">
      <c r="B6238" s="360"/>
      <c r="C6238" s="366"/>
      <c r="D6238" s="245"/>
      <c r="E6238" s="246"/>
      <c r="F6238" s="247"/>
      <c r="G6238" s="299"/>
      <c r="H6238" s="361"/>
      <c r="M6238" s="247"/>
    </row>
    <row r="6239" spans="2:13" ht="18.75" customHeight="1" x14ac:dyDescent="0.25">
      <c r="B6239" s="92"/>
      <c r="C6239" s="104"/>
      <c r="D6239" s="435"/>
      <c r="E6239" s="91"/>
      <c r="F6239" s="185"/>
      <c r="G6239" s="168"/>
      <c r="H6239" s="139"/>
      <c r="M6239" s="185"/>
    </row>
    <row r="6240" spans="2:13" ht="18.75" customHeight="1" x14ac:dyDescent="0.25">
      <c r="B6240" s="19">
        <f>B6215+1</f>
        <v>12</v>
      </c>
      <c r="C6240" s="93" t="s">
        <v>1140</v>
      </c>
      <c r="D6240" s="19"/>
      <c r="E6240" s="21"/>
      <c r="F6240" s="176"/>
      <c r="G6240" s="165"/>
      <c r="H6240" s="119"/>
      <c r="M6240" s="176"/>
    </row>
    <row r="6241" spans="2:13" ht="18.75" customHeight="1" x14ac:dyDescent="0.25">
      <c r="B6241" s="618" t="s">
        <v>620</v>
      </c>
      <c r="C6241" s="620" t="s">
        <v>621</v>
      </c>
      <c r="D6241" s="618" t="s">
        <v>622</v>
      </c>
      <c r="E6241" s="618" t="s">
        <v>2</v>
      </c>
      <c r="F6241" s="615" t="s">
        <v>623</v>
      </c>
      <c r="G6241" s="289" t="s">
        <v>624</v>
      </c>
      <c r="H6241" s="256" t="s">
        <v>625</v>
      </c>
      <c r="M6241" s="615" t="s">
        <v>623</v>
      </c>
    </row>
    <row r="6242" spans="2:13" ht="18.75" customHeight="1" x14ac:dyDescent="0.25">
      <c r="B6242" s="619"/>
      <c r="C6242" s="621"/>
      <c r="D6242" s="619"/>
      <c r="E6242" s="619"/>
      <c r="F6242" s="616"/>
      <c r="G6242" s="289" t="s">
        <v>626</v>
      </c>
      <c r="H6242" s="256" t="s">
        <v>626</v>
      </c>
      <c r="M6242" s="616"/>
    </row>
    <row r="6243" spans="2:13" ht="18.75" customHeight="1" x14ac:dyDescent="0.25">
      <c r="B6243" s="221"/>
      <c r="C6243" s="222"/>
      <c r="D6243" s="221"/>
      <c r="E6243" s="550"/>
      <c r="F6243" s="555"/>
      <c r="G6243" s="551"/>
      <c r="H6243" s="220"/>
      <c r="M6243" s="590"/>
    </row>
    <row r="6244" spans="2:13" ht="18.75" customHeight="1" x14ac:dyDescent="0.25">
      <c r="B6244" s="550" t="s">
        <v>627</v>
      </c>
      <c r="C6244" s="223" t="s">
        <v>628</v>
      </c>
      <c r="D6244" s="550"/>
      <c r="E6244" s="224"/>
      <c r="F6244" s="225"/>
      <c r="G6244" s="290"/>
      <c r="H6244" s="226"/>
      <c r="M6244" s="225"/>
    </row>
    <row r="6245" spans="2:13" ht="18.75" customHeight="1" x14ac:dyDescent="0.25">
      <c r="B6245" s="550"/>
      <c r="C6245" s="227" t="s">
        <v>629</v>
      </c>
      <c r="D6245" s="550" t="s">
        <v>630</v>
      </c>
      <c r="E6245" s="224" t="s">
        <v>631</v>
      </c>
      <c r="F6245" s="228">
        <f t="shared" ref="F6245:F6248" si="278">$K$8*M6245</f>
        <v>0.16600000000000001</v>
      </c>
      <c r="G6245" s="229">
        <f>G6220</f>
        <v>95000</v>
      </c>
      <c r="H6245" s="230">
        <f>+G6245*F6245</f>
        <v>15770</v>
      </c>
      <c r="M6245" s="228">
        <v>0.16600000000000001</v>
      </c>
    </row>
    <row r="6246" spans="2:13" ht="18.75" customHeight="1" x14ac:dyDescent="0.25">
      <c r="B6246" s="550"/>
      <c r="C6246" s="227" t="s">
        <v>1508</v>
      </c>
      <c r="D6246" s="550" t="s">
        <v>634</v>
      </c>
      <c r="E6246" s="224" t="s">
        <v>631</v>
      </c>
      <c r="F6246" s="228">
        <f t="shared" si="278"/>
        <v>0.25</v>
      </c>
      <c r="G6246" s="229">
        <f>G6221</f>
        <v>110000</v>
      </c>
      <c r="H6246" s="230">
        <f>+G6246*F6246</f>
        <v>27500</v>
      </c>
      <c r="M6246" s="228">
        <v>0.25</v>
      </c>
    </row>
    <row r="6247" spans="2:13" ht="18.75" customHeight="1" x14ac:dyDescent="0.25">
      <c r="B6247" s="550"/>
      <c r="C6247" s="227" t="s">
        <v>633</v>
      </c>
      <c r="D6247" s="550" t="s">
        <v>1123</v>
      </c>
      <c r="E6247" s="224" t="s">
        <v>631</v>
      </c>
      <c r="F6247" s="228">
        <f t="shared" si="278"/>
        <v>2.5000000000000001E-2</v>
      </c>
      <c r="G6247" s="229">
        <f>G6222</f>
        <v>115000</v>
      </c>
      <c r="H6247" s="230">
        <f>+G6247*F6247</f>
        <v>2875</v>
      </c>
      <c r="M6247" s="228">
        <v>2.5000000000000001E-2</v>
      </c>
    </row>
    <row r="6248" spans="2:13" ht="18.75" customHeight="1" x14ac:dyDescent="0.25">
      <c r="B6248" s="550"/>
      <c r="C6248" s="227" t="s">
        <v>600</v>
      </c>
      <c r="D6248" s="550" t="s">
        <v>1124</v>
      </c>
      <c r="E6248" s="224" t="s">
        <v>631</v>
      </c>
      <c r="F6248" s="228">
        <f t="shared" si="278"/>
        <v>8.0000000000000002E-3</v>
      </c>
      <c r="G6248" s="229">
        <f>G6223</f>
        <v>140000</v>
      </c>
      <c r="H6248" s="230">
        <f>+G6248*F6248</f>
        <v>1120</v>
      </c>
      <c r="M6248" s="228">
        <v>8.0000000000000002E-3</v>
      </c>
    </row>
    <row r="6249" spans="2:13" ht="18.75" customHeight="1" x14ac:dyDescent="0.25">
      <c r="B6249" s="550"/>
      <c r="C6249" s="223"/>
      <c r="D6249" s="550"/>
      <c r="E6249" s="224"/>
      <c r="F6249" s="233" t="s">
        <v>636</v>
      </c>
      <c r="G6249" s="290"/>
      <c r="H6249" s="231">
        <f>SUM(H6245:H6248)</f>
        <v>47265</v>
      </c>
      <c r="M6249" s="233" t="s">
        <v>636</v>
      </c>
    </row>
    <row r="6250" spans="2:13" ht="18.75" customHeight="1" x14ac:dyDescent="0.25">
      <c r="B6250" s="550"/>
      <c r="C6250" s="223"/>
      <c r="D6250" s="550"/>
      <c r="E6250" s="224"/>
      <c r="F6250" s="233"/>
      <c r="G6250" s="290"/>
      <c r="H6250" s="230"/>
      <c r="M6250" s="233"/>
    </row>
    <row r="6251" spans="2:13" ht="18.75" customHeight="1" x14ac:dyDescent="0.25">
      <c r="B6251" s="550" t="s">
        <v>637</v>
      </c>
      <c r="C6251" s="223" t="s">
        <v>638</v>
      </c>
      <c r="D6251" s="550"/>
      <c r="E6251" s="224"/>
      <c r="F6251" s="225"/>
      <c r="G6251" s="290"/>
      <c r="H6251" s="226"/>
      <c r="M6251" s="225"/>
    </row>
    <row r="6252" spans="2:13" ht="18.75" customHeight="1" x14ac:dyDescent="0.25">
      <c r="B6252" s="550"/>
      <c r="C6252" s="223" t="s">
        <v>1141</v>
      </c>
      <c r="D6252" s="550"/>
      <c r="E6252" s="550" t="s">
        <v>16</v>
      </c>
      <c r="F6252" s="405">
        <v>30</v>
      </c>
      <c r="G6252" s="418">
        <f>Bahan!D495</f>
        <v>8000</v>
      </c>
      <c r="H6252" s="230">
        <f>+G6252*F6252</f>
        <v>240000</v>
      </c>
      <c r="M6252" s="405">
        <v>30</v>
      </c>
    </row>
    <row r="6253" spans="2:13" ht="18.75" customHeight="1" x14ac:dyDescent="0.25">
      <c r="B6253" s="550"/>
      <c r="C6253" s="223" t="s">
        <v>660</v>
      </c>
      <c r="D6253" s="550"/>
      <c r="E6253" s="550" t="s">
        <v>5</v>
      </c>
      <c r="F6253" s="405">
        <v>0.2</v>
      </c>
      <c r="G6253" s="418">
        <f>Bahan!D337</f>
        <v>25000</v>
      </c>
      <c r="H6253" s="230">
        <f>+G6253*F6253</f>
        <v>5000</v>
      </c>
      <c r="M6253" s="405">
        <v>0.2</v>
      </c>
    </row>
    <row r="6254" spans="2:13" ht="18.75" customHeight="1" x14ac:dyDescent="0.25">
      <c r="B6254" s="550"/>
      <c r="C6254" s="223"/>
      <c r="D6254" s="550"/>
      <c r="E6254" s="224"/>
      <c r="F6254" s="237" t="s">
        <v>643</v>
      </c>
      <c r="G6254" s="290"/>
      <c r="H6254" s="231">
        <f>SUM(H6252:H6253)</f>
        <v>245000</v>
      </c>
      <c r="M6254" s="237" t="s">
        <v>643</v>
      </c>
    </row>
    <row r="6255" spans="2:13" ht="18.75" customHeight="1" x14ac:dyDescent="0.25">
      <c r="B6255" s="550"/>
      <c r="C6255" s="223"/>
      <c r="D6255" s="550"/>
      <c r="E6255" s="224"/>
      <c r="F6255" s="225"/>
      <c r="G6255" s="290"/>
      <c r="H6255" s="226"/>
      <c r="M6255" s="225"/>
    </row>
    <row r="6256" spans="2:13" ht="18.75" customHeight="1" x14ac:dyDescent="0.25">
      <c r="B6256" s="550" t="s">
        <v>644</v>
      </c>
      <c r="C6256" s="223" t="s">
        <v>645</v>
      </c>
      <c r="D6256" s="550"/>
      <c r="E6256" s="224"/>
      <c r="F6256" s="225"/>
      <c r="G6256" s="290"/>
      <c r="H6256" s="235"/>
      <c r="M6256" s="225"/>
    </row>
    <row r="6257" spans="2:13" ht="18.75" customHeight="1" x14ac:dyDescent="0.25">
      <c r="B6257" s="236"/>
      <c r="C6257" s="232"/>
      <c r="D6257" s="550"/>
      <c r="E6257" s="224"/>
      <c r="F6257" s="237" t="s">
        <v>646</v>
      </c>
      <c r="G6257" s="290"/>
      <c r="H6257" s="230"/>
      <c r="M6257" s="237" t="s">
        <v>646</v>
      </c>
    </row>
    <row r="6258" spans="2:13" ht="18.75" customHeight="1" x14ac:dyDescent="0.25">
      <c r="B6258" s="236"/>
      <c r="C6258" s="232"/>
      <c r="D6258" s="550"/>
      <c r="E6258" s="224"/>
      <c r="F6258" s="237"/>
      <c r="G6258" s="290"/>
      <c r="H6258" s="226"/>
      <c r="M6258" s="237"/>
    </row>
    <row r="6259" spans="2:13" ht="18.75" customHeight="1" x14ac:dyDescent="0.25">
      <c r="B6259" s="354"/>
      <c r="C6259" s="362"/>
      <c r="D6259" s="239"/>
      <c r="E6259" s="240"/>
      <c r="F6259" s="241"/>
      <c r="G6259" s="293"/>
      <c r="H6259" s="355"/>
      <c r="M6259" s="241"/>
    </row>
    <row r="6260" spans="2:13" ht="18.75" customHeight="1" x14ac:dyDescent="0.25">
      <c r="B6260" s="356" t="s">
        <v>647</v>
      </c>
      <c r="C6260" s="363" t="s">
        <v>648</v>
      </c>
      <c r="D6260" s="435"/>
      <c r="E6260" s="92"/>
      <c r="F6260" s="183"/>
      <c r="G6260" s="295"/>
      <c r="H6260" s="357">
        <f>+H6257+H6254+H6249</f>
        <v>292265</v>
      </c>
      <c r="M6260" s="183"/>
    </row>
    <row r="6261" spans="2:13" ht="18.75" customHeight="1" x14ac:dyDescent="0.25">
      <c r="B6261" s="356" t="s">
        <v>649</v>
      </c>
      <c r="C6261" s="364" t="s">
        <v>650</v>
      </c>
      <c r="D6261" s="435"/>
      <c r="E6261" s="92"/>
      <c r="F6261" s="184" t="str">
        <f>$J$5</f>
        <v>8,0 % x D</v>
      </c>
      <c r="G6261" s="295"/>
      <c r="H6261" s="358">
        <f>+H6260*$K$5</f>
        <v>23381.200000000001</v>
      </c>
      <c r="M6261" s="184" t="str">
        <f>$J$5</f>
        <v>8,0 % x D</v>
      </c>
    </row>
    <row r="6262" spans="2:13" ht="18.75" customHeight="1" x14ac:dyDescent="0.25">
      <c r="B6262" s="356" t="s">
        <v>651</v>
      </c>
      <c r="C6262" s="365" t="s">
        <v>652</v>
      </c>
      <c r="D6262" s="435"/>
      <c r="E6262" s="91"/>
      <c r="F6262" s="185"/>
      <c r="G6262" s="296"/>
      <c r="H6262" s="359">
        <f>ROUNDUP((H6261+H6260)/100,0)*100</f>
        <v>315700</v>
      </c>
      <c r="M6262" s="185"/>
    </row>
    <row r="6263" spans="2:13" ht="18.75" customHeight="1" x14ac:dyDescent="0.25">
      <c r="B6263" s="360"/>
      <c r="C6263" s="366"/>
      <c r="D6263" s="245"/>
      <c r="E6263" s="246"/>
      <c r="F6263" s="247"/>
      <c r="G6263" s="299"/>
      <c r="H6263" s="361"/>
      <c r="M6263" s="247"/>
    </row>
    <row r="6264" spans="2:13" ht="18.75" customHeight="1" x14ac:dyDescent="0.25">
      <c r="B6264" s="239"/>
      <c r="C6264" s="238"/>
      <c r="D6264" s="239"/>
      <c r="E6264" s="572"/>
      <c r="F6264" s="573"/>
      <c r="G6264" s="574"/>
      <c r="H6264" s="575"/>
      <c r="M6264" s="573"/>
    </row>
    <row r="6265" spans="2:13" ht="18.75" customHeight="1" x14ac:dyDescent="0.25">
      <c r="B6265" s="330">
        <f>B6240+1</f>
        <v>13</v>
      </c>
      <c r="C6265" s="244" t="s">
        <v>1815</v>
      </c>
      <c r="D6265" s="330"/>
      <c r="E6265" s="246"/>
      <c r="F6265" s="247"/>
      <c r="G6265" s="298"/>
      <c r="H6265" s="576"/>
      <c r="M6265" s="247"/>
    </row>
    <row r="6266" spans="2:13" ht="18.75" customHeight="1" x14ac:dyDescent="0.25">
      <c r="B6266" s="618" t="s">
        <v>620</v>
      </c>
      <c r="C6266" s="620" t="s">
        <v>621</v>
      </c>
      <c r="D6266" s="618" t="s">
        <v>622</v>
      </c>
      <c r="E6266" s="618" t="s">
        <v>2</v>
      </c>
      <c r="F6266" s="615" t="s">
        <v>623</v>
      </c>
      <c r="G6266" s="289" t="s">
        <v>624</v>
      </c>
      <c r="H6266" s="256" t="s">
        <v>625</v>
      </c>
      <c r="M6266" s="615" t="s">
        <v>623</v>
      </c>
    </row>
    <row r="6267" spans="2:13" ht="18.75" customHeight="1" x14ac:dyDescent="0.25">
      <c r="B6267" s="619"/>
      <c r="C6267" s="621"/>
      <c r="D6267" s="619"/>
      <c r="E6267" s="619"/>
      <c r="F6267" s="616"/>
      <c r="G6267" s="289" t="s">
        <v>626</v>
      </c>
      <c r="H6267" s="256" t="s">
        <v>626</v>
      </c>
      <c r="M6267" s="616"/>
    </row>
    <row r="6268" spans="2:13" ht="18.75" customHeight="1" x14ac:dyDescent="0.25">
      <c r="B6268" s="221"/>
      <c r="C6268" s="222"/>
      <c r="D6268" s="221"/>
      <c r="E6268" s="550"/>
      <c r="F6268" s="555"/>
      <c r="G6268" s="551"/>
      <c r="H6268" s="220"/>
      <c r="M6268" s="590"/>
    </row>
    <row r="6269" spans="2:13" ht="18.75" customHeight="1" x14ac:dyDescent="0.25">
      <c r="B6269" s="550" t="s">
        <v>627</v>
      </c>
      <c r="C6269" s="223" t="s">
        <v>628</v>
      </c>
      <c r="D6269" s="550"/>
      <c r="E6269" s="224"/>
      <c r="F6269" s="225"/>
      <c r="G6269" s="290"/>
      <c r="H6269" s="226"/>
      <c r="M6269" s="225"/>
    </row>
    <row r="6270" spans="2:13" ht="18.75" customHeight="1" x14ac:dyDescent="0.25">
      <c r="B6270" s="550"/>
      <c r="C6270" s="227" t="s">
        <v>629</v>
      </c>
      <c r="D6270" s="550" t="s">
        <v>630</v>
      </c>
      <c r="E6270" s="224" t="s">
        <v>631</v>
      </c>
      <c r="F6270" s="228">
        <f t="shared" ref="F6270:F6273" si="279">$K$8*M6270</f>
        <v>0.4</v>
      </c>
      <c r="G6270" s="229">
        <f>G6245</f>
        <v>95000</v>
      </c>
      <c r="H6270" s="230">
        <f>+G6270*F6270</f>
        <v>38000</v>
      </c>
      <c r="M6270" s="228">
        <v>0.4</v>
      </c>
    </row>
    <row r="6271" spans="2:13" ht="18.75" customHeight="1" x14ac:dyDescent="0.25">
      <c r="B6271" s="550"/>
      <c r="C6271" s="227" t="s">
        <v>1508</v>
      </c>
      <c r="D6271" s="550" t="s">
        <v>634</v>
      </c>
      <c r="E6271" s="224" t="s">
        <v>631</v>
      </c>
      <c r="F6271" s="228">
        <f t="shared" si="279"/>
        <v>0.2</v>
      </c>
      <c r="G6271" s="229">
        <f>G6246</f>
        <v>110000</v>
      </c>
      <c r="H6271" s="230">
        <f>+G6271*F6271</f>
        <v>22000</v>
      </c>
      <c r="M6271" s="228">
        <v>0.2</v>
      </c>
    </row>
    <row r="6272" spans="2:13" ht="18.75" customHeight="1" x14ac:dyDescent="0.25">
      <c r="B6272" s="550"/>
      <c r="C6272" s="227" t="s">
        <v>633</v>
      </c>
      <c r="D6272" s="550" t="s">
        <v>1123</v>
      </c>
      <c r="E6272" s="224" t="s">
        <v>631</v>
      </c>
      <c r="F6272" s="228">
        <f t="shared" si="279"/>
        <v>0.02</v>
      </c>
      <c r="G6272" s="229">
        <f>G6247</f>
        <v>115000</v>
      </c>
      <c r="H6272" s="230">
        <f>+G6272*F6272</f>
        <v>2300</v>
      </c>
      <c r="M6272" s="228">
        <v>0.02</v>
      </c>
    </row>
    <row r="6273" spans="2:13" ht="18.75" customHeight="1" x14ac:dyDescent="0.25">
      <c r="B6273" s="550"/>
      <c r="C6273" s="227" t="s">
        <v>600</v>
      </c>
      <c r="D6273" s="550" t="s">
        <v>1124</v>
      </c>
      <c r="E6273" s="224" t="s">
        <v>631</v>
      </c>
      <c r="F6273" s="228">
        <f t="shared" si="279"/>
        <v>0.02</v>
      </c>
      <c r="G6273" s="229">
        <f>G6248</f>
        <v>140000</v>
      </c>
      <c r="H6273" s="230">
        <f>+G6273*F6273</f>
        <v>2800</v>
      </c>
      <c r="M6273" s="228">
        <v>0.02</v>
      </c>
    </row>
    <row r="6274" spans="2:13" ht="18.75" customHeight="1" x14ac:dyDescent="0.25">
      <c r="B6274" s="550"/>
      <c r="C6274" s="223"/>
      <c r="D6274" s="550"/>
      <c r="E6274" s="224"/>
      <c r="F6274" s="233" t="s">
        <v>636</v>
      </c>
      <c r="G6274" s="290"/>
      <c r="H6274" s="231">
        <f>SUM(H6270:H6273)</f>
        <v>65100</v>
      </c>
      <c r="M6274" s="233" t="s">
        <v>636</v>
      </c>
    </row>
    <row r="6275" spans="2:13" ht="18.75" customHeight="1" x14ac:dyDescent="0.25">
      <c r="B6275" s="550" t="s">
        <v>637</v>
      </c>
      <c r="C6275" s="223" t="s">
        <v>638</v>
      </c>
      <c r="D6275" s="550"/>
      <c r="E6275" s="224"/>
      <c r="F6275" s="225"/>
      <c r="G6275" s="290"/>
      <c r="H6275" s="226"/>
      <c r="M6275" s="225"/>
    </row>
    <row r="6276" spans="2:13" ht="18.75" customHeight="1" x14ac:dyDescent="0.25">
      <c r="B6276" s="550"/>
      <c r="C6276" s="223" t="s">
        <v>1142</v>
      </c>
      <c r="D6276" s="550"/>
      <c r="E6276" s="550" t="s">
        <v>16</v>
      </c>
      <c r="F6276" s="405">
        <v>3.5</v>
      </c>
      <c r="G6276" s="418">
        <f>Bahan!D462</f>
        <v>80000</v>
      </c>
      <c r="H6276" s="230">
        <f>+G6276*F6276</f>
        <v>280000</v>
      </c>
      <c r="M6276" s="405">
        <v>3.5</v>
      </c>
    </row>
    <row r="6277" spans="2:13" ht="18.75" customHeight="1" x14ac:dyDescent="0.25">
      <c r="B6277" s="550"/>
      <c r="C6277" s="223" t="s">
        <v>660</v>
      </c>
      <c r="D6277" s="550"/>
      <c r="E6277" s="550" t="s">
        <v>5</v>
      </c>
      <c r="F6277" s="405">
        <v>7.4999999999999997E-2</v>
      </c>
      <c r="G6277" s="418">
        <f>G6253</f>
        <v>25000</v>
      </c>
      <c r="H6277" s="230">
        <f>+G6277*F6277</f>
        <v>1875</v>
      </c>
      <c r="M6277" s="405">
        <v>7.4999999999999997E-2</v>
      </c>
    </row>
    <row r="6278" spans="2:13" ht="18.75" customHeight="1" x14ac:dyDescent="0.25">
      <c r="B6278" s="550"/>
      <c r="C6278" s="223" t="s">
        <v>1141</v>
      </c>
      <c r="D6278" s="550"/>
      <c r="E6278" s="550" t="s">
        <v>28</v>
      </c>
      <c r="F6278" s="405">
        <v>60</v>
      </c>
      <c r="G6278" s="418">
        <f>G6252</f>
        <v>8000</v>
      </c>
      <c r="H6278" s="230">
        <f>+G6278*F6278</f>
        <v>480000</v>
      </c>
      <c r="M6278" s="405">
        <v>60</v>
      </c>
    </row>
    <row r="6279" spans="2:13" ht="18.75" customHeight="1" x14ac:dyDescent="0.25">
      <c r="B6279" s="550"/>
      <c r="C6279" s="223" t="s">
        <v>660</v>
      </c>
      <c r="D6279" s="550"/>
      <c r="E6279" s="550" t="s">
        <v>62</v>
      </c>
      <c r="F6279" s="405">
        <v>0.2</v>
      </c>
      <c r="G6279" s="418">
        <f>G6277</f>
        <v>25000</v>
      </c>
      <c r="H6279" s="230">
        <f>+G6279*F6279</f>
        <v>5000</v>
      </c>
      <c r="M6279" s="405">
        <v>0.2</v>
      </c>
    </row>
    <row r="6280" spans="2:13" ht="18.75" customHeight="1" x14ac:dyDescent="0.25">
      <c r="B6280" s="550"/>
      <c r="C6280" s="223"/>
      <c r="D6280" s="550"/>
      <c r="E6280" s="224"/>
      <c r="F6280" s="237" t="s">
        <v>643</v>
      </c>
      <c r="G6280" s="290"/>
      <c r="H6280" s="231">
        <f>SUM(H6278:H6279)</f>
        <v>485000</v>
      </c>
      <c r="M6280" s="237" t="s">
        <v>643</v>
      </c>
    </row>
    <row r="6281" spans="2:13" ht="18.75" customHeight="1" x14ac:dyDescent="0.25">
      <c r="B6281" s="550"/>
      <c r="C6281" s="223"/>
      <c r="D6281" s="550"/>
      <c r="E6281" s="224"/>
      <c r="F6281" s="225"/>
      <c r="G6281" s="290"/>
      <c r="H6281" s="226"/>
      <c r="M6281" s="225"/>
    </row>
    <row r="6282" spans="2:13" ht="18.75" customHeight="1" x14ac:dyDescent="0.25">
      <c r="B6282" s="550"/>
      <c r="C6282" s="223"/>
      <c r="D6282" s="550"/>
      <c r="E6282" s="224"/>
      <c r="F6282" s="225"/>
      <c r="G6282" s="290"/>
      <c r="H6282" s="226"/>
      <c r="M6282" s="225"/>
    </row>
    <row r="6283" spans="2:13" ht="18.75" customHeight="1" x14ac:dyDescent="0.25">
      <c r="B6283" s="550" t="s">
        <v>644</v>
      </c>
      <c r="C6283" s="223" t="s">
        <v>645</v>
      </c>
      <c r="D6283" s="550"/>
      <c r="E6283" s="224"/>
      <c r="F6283" s="225"/>
      <c r="G6283" s="290"/>
      <c r="H6283" s="235"/>
      <c r="M6283" s="225"/>
    </row>
    <row r="6284" spans="2:13" ht="18.75" customHeight="1" x14ac:dyDescent="0.25">
      <c r="B6284" s="236"/>
      <c r="C6284" s="232"/>
      <c r="D6284" s="550"/>
      <c r="E6284" s="224"/>
      <c r="F6284" s="237" t="s">
        <v>646</v>
      </c>
      <c r="G6284" s="290"/>
      <c r="H6284" s="230"/>
      <c r="M6284" s="237" t="s">
        <v>646</v>
      </c>
    </row>
    <row r="6285" spans="2:13" ht="18.75" customHeight="1" x14ac:dyDescent="0.25">
      <c r="B6285" s="236"/>
      <c r="C6285" s="232"/>
      <c r="D6285" s="550"/>
      <c r="E6285" s="224"/>
      <c r="F6285" s="237"/>
      <c r="G6285" s="290"/>
      <c r="H6285" s="226"/>
      <c r="M6285" s="237"/>
    </row>
    <row r="6286" spans="2:13" ht="18.75" customHeight="1" x14ac:dyDescent="0.25">
      <c r="B6286" s="354"/>
      <c r="C6286" s="362"/>
      <c r="D6286" s="239"/>
      <c r="E6286" s="240"/>
      <c r="F6286" s="241"/>
      <c r="G6286" s="293"/>
      <c r="H6286" s="355"/>
      <c r="M6286" s="241"/>
    </row>
    <row r="6287" spans="2:13" ht="18.75" customHeight="1" x14ac:dyDescent="0.25">
      <c r="B6287" s="356" t="s">
        <v>647</v>
      </c>
      <c r="C6287" s="363" t="s">
        <v>648</v>
      </c>
      <c r="D6287" s="435"/>
      <c r="E6287" s="92"/>
      <c r="F6287" s="183"/>
      <c r="G6287" s="295"/>
      <c r="H6287" s="357">
        <f>H6249+H6280</f>
        <v>532265</v>
      </c>
      <c r="M6287" s="183"/>
    </row>
    <row r="6288" spans="2:13" ht="18.75" customHeight="1" x14ac:dyDescent="0.25">
      <c r="B6288" s="356" t="s">
        <v>649</v>
      </c>
      <c r="C6288" s="364" t="s">
        <v>650</v>
      </c>
      <c r="D6288" s="435"/>
      <c r="E6288" s="92"/>
      <c r="F6288" s="184" t="str">
        <f>$J$5</f>
        <v>8,0 % x D</v>
      </c>
      <c r="G6288" s="295"/>
      <c r="H6288" s="358">
        <f>+H6287*$K$5</f>
        <v>42581.200000000004</v>
      </c>
      <c r="M6288" s="184" t="str">
        <f>$J$5</f>
        <v>8,0 % x D</v>
      </c>
    </row>
    <row r="6289" spans="2:13" ht="18.75" customHeight="1" x14ac:dyDescent="0.25">
      <c r="B6289" s="356" t="s">
        <v>651</v>
      </c>
      <c r="C6289" s="365" t="s">
        <v>652</v>
      </c>
      <c r="D6289" s="435"/>
      <c r="E6289" s="91"/>
      <c r="F6289" s="185"/>
      <c r="G6289" s="296"/>
      <c r="H6289" s="359">
        <f>ROUNDUP((H6288+H6287)/100,0)*100</f>
        <v>574900</v>
      </c>
      <c r="M6289" s="185"/>
    </row>
    <row r="6290" spans="2:13" ht="18.75" customHeight="1" x14ac:dyDescent="0.25">
      <c r="B6290" s="360"/>
      <c r="C6290" s="366"/>
      <c r="D6290" s="245"/>
      <c r="E6290" s="246"/>
      <c r="F6290" s="247"/>
      <c r="G6290" s="299"/>
      <c r="H6290" s="361"/>
      <c r="M6290" s="247"/>
    </row>
    <row r="6291" spans="2:13" ht="18.75" customHeight="1" x14ac:dyDescent="0.25">
      <c r="B6291" s="22"/>
      <c r="C6291" s="104"/>
      <c r="E6291" s="21"/>
      <c r="F6291" s="176"/>
      <c r="G6291" s="165"/>
      <c r="H6291" s="119"/>
      <c r="M6291" s="176"/>
    </row>
    <row r="6292" spans="2:13" ht="18.75" customHeight="1" x14ac:dyDescent="0.25">
      <c r="B6292" s="19">
        <f>B6265+1</f>
        <v>14</v>
      </c>
      <c r="C6292" s="93" t="s">
        <v>1816</v>
      </c>
      <c r="D6292" s="19"/>
      <c r="E6292" s="21"/>
      <c r="F6292" s="176"/>
      <c r="G6292" s="165"/>
      <c r="H6292" s="119"/>
      <c r="M6292" s="176"/>
    </row>
    <row r="6293" spans="2:13" ht="18.75" customHeight="1" x14ac:dyDescent="0.25">
      <c r="B6293" s="618" t="s">
        <v>620</v>
      </c>
      <c r="C6293" s="620" t="s">
        <v>621</v>
      </c>
      <c r="D6293" s="618" t="s">
        <v>622</v>
      </c>
      <c r="E6293" s="618" t="s">
        <v>2</v>
      </c>
      <c r="F6293" s="615" t="s">
        <v>623</v>
      </c>
      <c r="G6293" s="289" t="s">
        <v>624</v>
      </c>
      <c r="H6293" s="256" t="s">
        <v>625</v>
      </c>
      <c r="M6293" s="615" t="s">
        <v>623</v>
      </c>
    </row>
    <row r="6294" spans="2:13" ht="18.75" customHeight="1" x14ac:dyDescent="0.25">
      <c r="B6294" s="619"/>
      <c r="C6294" s="621"/>
      <c r="D6294" s="619"/>
      <c r="E6294" s="619"/>
      <c r="F6294" s="616"/>
      <c r="G6294" s="289" t="s">
        <v>626</v>
      </c>
      <c r="H6294" s="256" t="s">
        <v>626</v>
      </c>
      <c r="M6294" s="616"/>
    </row>
    <row r="6295" spans="2:13" ht="18.75" customHeight="1" x14ac:dyDescent="0.25">
      <c r="B6295" s="221"/>
      <c r="C6295" s="222"/>
      <c r="D6295" s="221"/>
      <c r="E6295" s="550"/>
      <c r="F6295" s="555"/>
      <c r="G6295" s="551"/>
      <c r="H6295" s="220"/>
      <c r="M6295" s="590"/>
    </row>
    <row r="6296" spans="2:13" ht="18.75" customHeight="1" x14ac:dyDescent="0.25">
      <c r="B6296" s="550" t="s">
        <v>627</v>
      </c>
      <c r="C6296" s="223" t="s">
        <v>628</v>
      </c>
      <c r="D6296" s="550"/>
      <c r="E6296" s="224"/>
      <c r="F6296" s="225"/>
      <c r="G6296" s="290"/>
      <c r="H6296" s="226"/>
      <c r="M6296" s="225"/>
    </row>
    <row r="6297" spans="2:13" ht="18.75" customHeight="1" x14ac:dyDescent="0.25">
      <c r="B6297" s="550"/>
      <c r="C6297" s="227" t="s">
        <v>629</v>
      </c>
      <c r="D6297" s="550" t="s">
        <v>630</v>
      </c>
      <c r="E6297" s="224" t="s">
        <v>631</v>
      </c>
      <c r="F6297" s="228">
        <f t="shared" ref="F6297:F6300" si="280">$K$8*M6297</f>
        <v>0.125</v>
      </c>
      <c r="G6297" s="229">
        <f>G6245</f>
        <v>95000</v>
      </c>
      <c r="H6297" s="230">
        <f>+G6297*F6297</f>
        <v>11875</v>
      </c>
      <c r="M6297" s="228">
        <v>0.125</v>
      </c>
    </row>
    <row r="6298" spans="2:13" ht="18.75" customHeight="1" x14ac:dyDescent="0.25">
      <c r="B6298" s="550"/>
      <c r="C6298" s="227" t="s">
        <v>1508</v>
      </c>
      <c r="D6298" s="550" t="s">
        <v>634</v>
      </c>
      <c r="E6298" s="224" t="s">
        <v>631</v>
      </c>
      <c r="F6298" s="228">
        <f t="shared" si="280"/>
        <v>0.25</v>
      </c>
      <c r="G6298" s="229">
        <f>G6246</f>
        <v>110000</v>
      </c>
      <c r="H6298" s="230">
        <f>+G6298*F6298</f>
        <v>27500</v>
      </c>
      <c r="M6298" s="228">
        <v>0.25</v>
      </c>
    </row>
    <row r="6299" spans="2:13" ht="18.75" customHeight="1" x14ac:dyDescent="0.25">
      <c r="B6299" s="550"/>
      <c r="C6299" s="227" t="s">
        <v>633</v>
      </c>
      <c r="D6299" s="550" t="s">
        <v>1123</v>
      </c>
      <c r="E6299" s="224" t="s">
        <v>631</v>
      </c>
      <c r="F6299" s="228">
        <f t="shared" si="280"/>
        <v>2.5000000000000001E-2</v>
      </c>
      <c r="G6299" s="229">
        <f>G6247</f>
        <v>115000</v>
      </c>
      <c r="H6299" s="230">
        <f>+G6299*F6299</f>
        <v>2875</v>
      </c>
      <c r="M6299" s="228">
        <v>2.5000000000000001E-2</v>
      </c>
    </row>
    <row r="6300" spans="2:13" ht="18.75" customHeight="1" x14ac:dyDescent="0.25">
      <c r="B6300" s="550"/>
      <c r="C6300" s="227" t="s">
        <v>600</v>
      </c>
      <c r="D6300" s="550" t="s">
        <v>1124</v>
      </c>
      <c r="E6300" s="224" t="s">
        <v>631</v>
      </c>
      <c r="F6300" s="228">
        <f t="shared" si="280"/>
        <v>6.0000000000000001E-3</v>
      </c>
      <c r="G6300" s="229">
        <f>G6248</f>
        <v>140000</v>
      </c>
      <c r="H6300" s="230">
        <f>+G6300*F6300</f>
        <v>840</v>
      </c>
      <c r="M6300" s="228">
        <v>6.0000000000000001E-3</v>
      </c>
    </row>
    <row r="6301" spans="2:13" ht="18.75" customHeight="1" x14ac:dyDescent="0.25">
      <c r="B6301" s="550"/>
      <c r="C6301" s="223"/>
      <c r="D6301" s="550"/>
      <c r="E6301" s="224"/>
      <c r="F6301" s="233" t="s">
        <v>636</v>
      </c>
      <c r="G6301" s="290"/>
      <c r="H6301" s="231">
        <f>SUM(H6297:H6300)</f>
        <v>43090</v>
      </c>
      <c r="M6301" s="233" t="s">
        <v>636</v>
      </c>
    </row>
    <row r="6302" spans="2:13" ht="18.75" customHeight="1" x14ac:dyDescent="0.25">
      <c r="B6302" s="550" t="s">
        <v>637</v>
      </c>
      <c r="C6302" s="223" t="s">
        <v>638</v>
      </c>
      <c r="D6302" s="550"/>
      <c r="E6302" s="224"/>
      <c r="F6302" s="225"/>
      <c r="G6302" s="290"/>
      <c r="H6302" s="226"/>
      <c r="M6302" s="225"/>
    </row>
    <row r="6303" spans="2:13" ht="18.75" customHeight="1" x14ac:dyDescent="0.25">
      <c r="B6303" s="550"/>
      <c r="C6303" s="223" t="s">
        <v>1143</v>
      </c>
      <c r="D6303" s="550"/>
      <c r="E6303" s="550" t="s">
        <v>155</v>
      </c>
      <c r="F6303" s="228">
        <v>0.4</v>
      </c>
      <c r="G6303" s="418">
        <f>Bahan!D488</f>
        <v>90000</v>
      </c>
      <c r="H6303" s="569">
        <f>F6303*G6303</f>
        <v>36000</v>
      </c>
      <c r="M6303" s="228">
        <v>0.4</v>
      </c>
    </row>
    <row r="6304" spans="2:13" ht="18.75" customHeight="1" x14ac:dyDescent="0.25">
      <c r="B6304" s="550"/>
      <c r="C6304" s="223" t="s">
        <v>1144</v>
      </c>
      <c r="D6304" s="550"/>
      <c r="E6304" s="550" t="s">
        <v>62</v>
      </c>
      <c r="F6304" s="228">
        <v>7.4999999999999997E-2</v>
      </c>
      <c r="G6304" s="418">
        <f>G6279</f>
        <v>25000</v>
      </c>
      <c r="H6304" s="230">
        <f>+G6304*F6304</f>
        <v>1875</v>
      </c>
      <c r="M6304" s="228">
        <v>7.4999999999999997E-2</v>
      </c>
    </row>
    <row r="6305" spans="2:13" ht="18.75" customHeight="1" x14ac:dyDescent="0.25">
      <c r="B6305" s="550"/>
      <c r="C6305" s="223" t="s">
        <v>1145</v>
      </c>
      <c r="D6305" s="550"/>
      <c r="E6305" s="550" t="s">
        <v>8</v>
      </c>
      <c r="F6305" s="228">
        <v>4.0000000000000001E-3</v>
      </c>
      <c r="G6305" s="418">
        <f>Bahan!D252</f>
        <v>13850000</v>
      </c>
      <c r="H6305" s="230">
        <f>+G6305*F6305</f>
        <v>55400</v>
      </c>
      <c r="J6305" s="558" t="s">
        <v>1621</v>
      </c>
      <c r="M6305" s="228">
        <v>4.0000000000000001E-3</v>
      </c>
    </row>
    <row r="6306" spans="2:13" ht="18.75" customHeight="1" x14ac:dyDescent="0.25">
      <c r="B6306" s="550"/>
      <c r="C6306" s="223" t="s">
        <v>660</v>
      </c>
      <c r="D6306" s="550"/>
      <c r="E6306" s="550" t="s">
        <v>5</v>
      </c>
      <c r="F6306" s="228">
        <v>7.4999999999999997E-2</v>
      </c>
      <c r="G6306" s="234">
        <f>G6304</f>
        <v>25000</v>
      </c>
      <c r="H6306" s="230">
        <f>+G6306*F6306</f>
        <v>1875</v>
      </c>
      <c r="M6306" s="228">
        <v>7.4999999999999997E-2</v>
      </c>
    </row>
    <row r="6307" spans="2:13" ht="18.75" customHeight="1" x14ac:dyDescent="0.25">
      <c r="B6307" s="550"/>
      <c r="C6307" s="223"/>
      <c r="D6307" s="550"/>
      <c r="E6307" s="224"/>
      <c r="F6307" s="237" t="s">
        <v>643</v>
      </c>
      <c r="G6307" s="290"/>
      <c r="H6307" s="231">
        <f>SUM(H6303:H6306)</f>
        <v>95150</v>
      </c>
      <c r="M6307" s="237" t="s">
        <v>643</v>
      </c>
    </row>
    <row r="6308" spans="2:13" ht="18.75" customHeight="1" x14ac:dyDescent="0.25">
      <c r="B6308" s="550"/>
      <c r="C6308" s="223"/>
      <c r="D6308" s="550"/>
      <c r="E6308" s="224"/>
      <c r="F6308" s="225"/>
      <c r="G6308" s="290"/>
      <c r="H6308" s="570"/>
      <c r="M6308" s="225"/>
    </row>
    <row r="6309" spans="2:13" ht="18.75" customHeight="1" x14ac:dyDescent="0.25">
      <c r="B6309" s="550" t="s">
        <v>644</v>
      </c>
      <c r="C6309" s="223" t="s">
        <v>645</v>
      </c>
      <c r="D6309" s="550"/>
      <c r="E6309" s="224"/>
      <c r="F6309" s="225"/>
      <c r="G6309" s="290"/>
      <c r="H6309" s="235"/>
      <c r="M6309" s="225"/>
    </row>
    <row r="6310" spans="2:13" ht="18.75" customHeight="1" x14ac:dyDescent="0.25">
      <c r="B6310" s="236"/>
      <c r="C6310" s="232"/>
      <c r="D6310" s="550"/>
      <c r="E6310" s="224"/>
      <c r="F6310" s="237" t="s">
        <v>646</v>
      </c>
      <c r="G6310" s="290"/>
      <c r="H6310" s="230"/>
      <c r="M6310" s="237" t="s">
        <v>646</v>
      </c>
    </row>
    <row r="6311" spans="2:13" ht="18.75" customHeight="1" x14ac:dyDescent="0.25">
      <c r="B6311" s="236"/>
      <c r="C6311" s="232"/>
      <c r="D6311" s="550"/>
      <c r="E6311" s="224"/>
      <c r="F6311" s="237"/>
      <c r="G6311" s="290"/>
      <c r="H6311" s="226"/>
      <c r="M6311" s="237"/>
    </row>
    <row r="6312" spans="2:13" ht="18.75" customHeight="1" x14ac:dyDescent="0.25">
      <c r="B6312" s="354"/>
      <c r="C6312" s="362"/>
      <c r="D6312" s="239"/>
      <c r="E6312" s="266"/>
      <c r="F6312" s="241"/>
      <c r="G6312" s="370"/>
      <c r="H6312" s="369"/>
      <c r="M6312" s="241"/>
    </row>
    <row r="6313" spans="2:13" ht="18.75" customHeight="1" x14ac:dyDescent="0.25">
      <c r="B6313" s="356" t="s">
        <v>647</v>
      </c>
      <c r="C6313" s="363" t="s">
        <v>648</v>
      </c>
      <c r="D6313" s="435"/>
      <c r="E6313" s="92"/>
      <c r="F6313" s="183"/>
      <c r="G6313" s="295"/>
      <c r="H6313" s="357">
        <f>H6301+H6307</f>
        <v>138240</v>
      </c>
      <c r="M6313" s="183"/>
    </row>
    <row r="6314" spans="2:13" ht="18.75" customHeight="1" x14ac:dyDescent="0.25">
      <c r="B6314" s="356" t="s">
        <v>649</v>
      </c>
      <c r="C6314" s="364" t="s">
        <v>650</v>
      </c>
      <c r="D6314" s="435"/>
      <c r="E6314" s="92"/>
      <c r="F6314" s="184" t="str">
        <f>$J$5</f>
        <v>8,0 % x D</v>
      </c>
      <c r="G6314" s="295"/>
      <c r="H6314" s="358">
        <f>+H6313*$K$5</f>
        <v>11059.2</v>
      </c>
      <c r="M6314" s="184" t="str">
        <f>$J$5</f>
        <v>8,0 % x D</v>
      </c>
    </row>
    <row r="6315" spans="2:13" ht="18.75" customHeight="1" x14ac:dyDescent="0.25">
      <c r="B6315" s="356" t="s">
        <v>651</v>
      </c>
      <c r="C6315" s="365" t="s">
        <v>652</v>
      </c>
      <c r="D6315" s="435"/>
      <c r="E6315" s="91"/>
      <c r="F6315" s="185"/>
      <c r="G6315" s="296"/>
      <c r="H6315" s="359">
        <f>ROUNDUP((H6314+H6313)/100,0)*100</f>
        <v>149300</v>
      </c>
      <c r="M6315" s="185"/>
    </row>
    <row r="6316" spans="2:13" ht="18.75" customHeight="1" x14ac:dyDescent="0.25">
      <c r="B6316" s="360"/>
      <c r="C6316" s="366"/>
      <c r="D6316" s="245"/>
      <c r="E6316" s="246"/>
      <c r="F6316" s="247"/>
      <c r="G6316" s="299"/>
      <c r="H6316" s="361"/>
      <c r="M6316" s="247"/>
    </row>
    <row r="6317" spans="2:13" ht="18.75" customHeight="1" x14ac:dyDescent="0.25">
      <c r="B6317" s="92"/>
      <c r="C6317" s="104"/>
      <c r="D6317" s="435"/>
      <c r="E6317" s="91"/>
      <c r="F6317" s="185"/>
      <c r="G6317" s="168"/>
      <c r="H6317" s="139"/>
      <c r="M6317" s="185"/>
    </row>
    <row r="6318" spans="2:13" ht="18.75" customHeight="1" x14ac:dyDescent="0.25">
      <c r="B6318" s="19">
        <f>B6292+1</f>
        <v>15</v>
      </c>
      <c r="C6318" s="93" t="s">
        <v>1146</v>
      </c>
      <c r="D6318" s="19"/>
      <c r="E6318" s="21"/>
      <c r="F6318" s="176"/>
      <c r="G6318" s="165"/>
      <c r="H6318" s="119"/>
      <c r="M6318" s="176"/>
    </row>
    <row r="6319" spans="2:13" ht="18.75" customHeight="1" x14ac:dyDescent="0.25">
      <c r="B6319" s="618" t="s">
        <v>620</v>
      </c>
      <c r="C6319" s="620" t="s">
        <v>621</v>
      </c>
      <c r="D6319" s="618" t="s">
        <v>622</v>
      </c>
      <c r="E6319" s="618" t="s">
        <v>2</v>
      </c>
      <c r="F6319" s="615" t="s">
        <v>623</v>
      </c>
      <c r="G6319" s="289" t="s">
        <v>624</v>
      </c>
      <c r="H6319" s="256" t="s">
        <v>625</v>
      </c>
      <c r="M6319" s="615" t="s">
        <v>623</v>
      </c>
    </row>
    <row r="6320" spans="2:13" ht="18.75" customHeight="1" x14ac:dyDescent="0.25">
      <c r="B6320" s="619"/>
      <c r="C6320" s="621"/>
      <c r="D6320" s="619"/>
      <c r="E6320" s="619"/>
      <c r="F6320" s="616"/>
      <c r="G6320" s="289" t="s">
        <v>626</v>
      </c>
      <c r="H6320" s="256" t="s">
        <v>626</v>
      </c>
      <c r="M6320" s="616"/>
    </row>
    <row r="6321" spans="2:13" ht="18.75" customHeight="1" x14ac:dyDescent="0.25">
      <c r="B6321" s="221"/>
      <c r="C6321" s="222"/>
      <c r="D6321" s="221"/>
      <c r="E6321" s="550"/>
      <c r="F6321" s="555"/>
      <c r="G6321" s="551"/>
      <c r="H6321" s="220"/>
      <c r="M6321" s="590"/>
    </row>
    <row r="6322" spans="2:13" ht="18.75" customHeight="1" x14ac:dyDescent="0.25">
      <c r="B6322" s="550" t="s">
        <v>627</v>
      </c>
      <c r="C6322" s="223" t="s">
        <v>628</v>
      </c>
      <c r="D6322" s="550"/>
      <c r="E6322" s="224"/>
      <c r="F6322" s="225"/>
      <c r="G6322" s="290"/>
      <c r="H6322" s="226"/>
      <c r="M6322" s="225"/>
    </row>
    <row r="6323" spans="2:13" ht="18.75" customHeight="1" x14ac:dyDescent="0.25">
      <c r="B6323" s="550"/>
      <c r="C6323" s="227" t="s">
        <v>629</v>
      </c>
      <c r="D6323" s="550" t="s">
        <v>630</v>
      </c>
      <c r="E6323" s="224" t="s">
        <v>631</v>
      </c>
      <c r="F6323" s="228">
        <f t="shared" ref="F6323:F6326" si="281">$K$8*M6323</f>
        <v>0.25</v>
      </c>
      <c r="G6323" s="229">
        <f>G6297</f>
        <v>95000</v>
      </c>
      <c r="H6323" s="230">
        <f>+G6323*F6323</f>
        <v>23750</v>
      </c>
      <c r="M6323" s="228">
        <v>0.25</v>
      </c>
    </row>
    <row r="6324" spans="2:13" ht="18.75" customHeight="1" x14ac:dyDescent="0.25">
      <c r="B6324" s="550"/>
      <c r="C6324" s="227" t="s">
        <v>1508</v>
      </c>
      <c r="D6324" s="550" t="s">
        <v>634</v>
      </c>
      <c r="E6324" s="224" t="s">
        <v>631</v>
      </c>
      <c r="F6324" s="228">
        <f t="shared" si="281"/>
        <v>0.15</v>
      </c>
      <c r="G6324" s="229">
        <f>G6298</f>
        <v>110000</v>
      </c>
      <c r="H6324" s="230">
        <f>+G6324*F6324</f>
        <v>16500</v>
      </c>
      <c r="M6324" s="228">
        <v>0.15</v>
      </c>
    </row>
    <row r="6325" spans="2:13" ht="18.75" customHeight="1" x14ac:dyDescent="0.25">
      <c r="B6325" s="550"/>
      <c r="C6325" s="227" t="s">
        <v>633</v>
      </c>
      <c r="D6325" s="550" t="s">
        <v>1123</v>
      </c>
      <c r="E6325" s="224" t="s">
        <v>631</v>
      </c>
      <c r="F6325" s="228">
        <f t="shared" si="281"/>
        <v>1.4999999999999999E-2</v>
      </c>
      <c r="G6325" s="229">
        <f>G6299</f>
        <v>115000</v>
      </c>
      <c r="H6325" s="230">
        <f>+G6325*F6325</f>
        <v>1725</v>
      </c>
      <c r="M6325" s="228">
        <v>1.4999999999999999E-2</v>
      </c>
    </row>
    <row r="6326" spans="2:13" ht="18.75" customHeight="1" x14ac:dyDescent="0.25">
      <c r="B6326" s="550"/>
      <c r="C6326" s="227" t="s">
        <v>600</v>
      </c>
      <c r="D6326" s="550" t="s">
        <v>1124</v>
      </c>
      <c r="E6326" s="224" t="s">
        <v>631</v>
      </c>
      <c r="F6326" s="228">
        <f t="shared" si="281"/>
        <v>1.2999999999999999E-2</v>
      </c>
      <c r="G6326" s="229">
        <f>G6300</f>
        <v>140000</v>
      </c>
      <c r="H6326" s="230">
        <f>+G6326*F6326</f>
        <v>1820</v>
      </c>
      <c r="M6326" s="228">
        <v>1.2999999999999999E-2</v>
      </c>
    </row>
    <row r="6327" spans="2:13" ht="18.75" customHeight="1" x14ac:dyDescent="0.25">
      <c r="B6327" s="550"/>
      <c r="C6327" s="223"/>
      <c r="D6327" s="550"/>
      <c r="E6327" s="224"/>
      <c r="F6327" s="233" t="s">
        <v>636</v>
      </c>
      <c r="G6327" s="290"/>
      <c r="H6327" s="231">
        <f>SUM(H6323:H6326)</f>
        <v>43795</v>
      </c>
      <c r="M6327" s="233" t="s">
        <v>636</v>
      </c>
    </row>
    <row r="6328" spans="2:13" ht="18.75" customHeight="1" x14ac:dyDescent="0.25">
      <c r="B6328" s="550"/>
      <c r="C6328" s="223"/>
      <c r="D6328" s="550"/>
      <c r="E6328" s="224"/>
      <c r="F6328" s="233"/>
      <c r="G6328" s="290"/>
      <c r="H6328" s="231"/>
      <c r="M6328" s="233"/>
    </row>
    <row r="6329" spans="2:13" ht="18.75" customHeight="1" x14ac:dyDescent="0.25">
      <c r="B6329" s="550" t="s">
        <v>637</v>
      </c>
      <c r="C6329" s="223" t="s">
        <v>638</v>
      </c>
      <c r="D6329" s="550"/>
      <c r="E6329" s="224"/>
      <c r="F6329" s="225"/>
      <c r="G6329" s="290"/>
      <c r="H6329" s="226"/>
      <c r="M6329" s="225"/>
    </row>
    <row r="6330" spans="2:13" ht="18.75" customHeight="1" x14ac:dyDescent="0.25">
      <c r="B6330" s="550"/>
      <c r="C6330" s="223" t="s">
        <v>402</v>
      </c>
      <c r="D6330" s="550"/>
      <c r="E6330" s="550" t="s">
        <v>16</v>
      </c>
      <c r="F6330" s="405">
        <v>1.61</v>
      </c>
      <c r="G6330" s="418">
        <f>Bahan!D450</f>
        <v>95000</v>
      </c>
      <c r="H6330" s="230">
        <f>+G6330*F6330</f>
        <v>152950</v>
      </c>
      <c r="M6330" s="405">
        <v>1.61</v>
      </c>
    </row>
    <row r="6331" spans="2:13" ht="18.75" customHeight="1" x14ac:dyDescent="0.25">
      <c r="B6331" s="550"/>
      <c r="C6331" s="223" t="s">
        <v>660</v>
      </c>
      <c r="D6331" s="550"/>
      <c r="E6331" s="550" t="s">
        <v>5</v>
      </c>
      <c r="F6331" s="405">
        <v>7.4999999999999997E-2</v>
      </c>
      <c r="G6331" s="234">
        <f>G6306</f>
        <v>25000</v>
      </c>
      <c r="H6331" s="230">
        <f>+G6331*F6331</f>
        <v>1875</v>
      </c>
      <c r="L6331" s="66"/>
      <c r="M6331" s="405">
        <v>7.4999999999999997E-2</v>
      </c>
    </row>
    <row r="6332" spans="2:13" ht="18.75" customHeight="1" x14ac:dyDescent="0.25">
      <c r="B6332" s="550"/>
      <c r="C6332" s="223"/>
      <c r="D6332" s="550"/>
      <c r="E6332" s="224"/>
      <c r="F6332" s="237" t="s">
        <v>643</v>
      </c>
      <c r="G6332" s="290"/>
      <c r="H6332" s="231">
        <f>SUM(H6330:H6331)</f>
        <v>154825</v>
      </c>
      <c r="L6332" s="66"/>
      <c r="M6332" s="237" t="s">
        <v>643</v>
      </c>
    </row>
    <row r="6333" spans="2:13" ht="18.75" customHeight="1" x14ac:dyDescent="0.25">
      <c r="B6333" s="550"/>
      <c r="C6333" s="223"/>
      <c r="D6333" s="550"/>
      <c r="E6333" s="224"/>
      <c r="F6333" s="225"/>
      <c r="G6333" s="290"/>
      <c r="H6333" s="226"/>
      <c r="M6333" s="225"/>
    </row>
    <row r="6334" spans="2:13" ht="18.75" customHeight="1" x14ac:dyDescent="0.25">
      <c r="B6334" s="550" t="s">
        <v>644</v>
      </c>
      <c r="C6334" s="223" t="s">
        <v>645</v>
      </c>
      <c r="D6334" s="550"/>
      <c r="E6334" s="224"/>
      <c r="F6334" s="225"/>
      <c r="G6334" s="290"/>
      <c r="H6334" s="235"/>
      <c r="M6334" s="225"/>
    </row>
    <row r="6335" spans="2:13" ht="18.75" customHeight="1" x14ac:dyDescent="0.25">
      <c r="B6335" s="236"/>
      <c r="C6335" s="232"/>
      <c r="D6335" s="550"/>
      <c r="E6335" s="224"/>
      <c r="F6335" s="237" t="s">
        <v>646</v>
      </c>
      <c r="G6335" s="290"/>
      <c r="H6335" s="230"/>
      <c r="M6335" s="237" t="s">
        <v>646</v>
      </c>
    </row>
    <row r="6336" spans="2:13" ht="18.75" customHeight="1" x14ac:dyDescent="0.25">
      <c r="B6336" s="236"/>
      <c r="C6336" s="232"/>
      <c r="D6336" s="550"/>
      <c r="E6336" s="224"/>
      <c r="F6336" s="237"/>
      <c r="G6336" s="290"/>
      <c r="H6336" s="226"/>
      <c r="M6336" s="237"/>
    </row>
    <row r="6337" spans="2:13" ht="18.75" customHeight="1" x14ac:dyDescent="0.25">
      <c r="B6337" s="354"/>
      <c r="C6337" s="362"/>
      <c r="D6337" s="239"/>
      <c r="E6337" s="266"/>
      <c r="F6337" s="241"/>
      <c r="G6337" s="370"/>
      <c r="H6337" s="369"/>
      <c r="M6337" s="241"/>
    </row>
    <row r="6338" spans="2:13" ht="18.75" customHeight="1" x14ac:dyDescent="0.25">
      <c r="B6338" s="356" t="s">
        <v>647</v>
      </c>
      <c r="C6338" s="363" t="s">
        <v>648</v>
      </c>
      <c r="D6338" s="435"/>
      <c r="E6338" s="92"/>
      <c r="F6338" s="183"/>
      <c r="G6338" s="295"/>
      <c r="H6338" s="357">
        <f>+H6335+H6332+H6327</f>
        <v>198620</v>
      </c>
      <c r="M6338" s="183"/>
    </row>
    <row r="6339" spans="2:13" ht="18.75" customHeight="1" x14ac:dyDescent="0.25">
      <c r="B6339" s="356" t="s">
        <v>649</v>
      </c>
      <c r="C6339" s="364" t="s">
        <v>650</v>
      </c>
      <c r="D6339" s="435"/>
      <c r="E6339" s="92"/>
      <c r="F6339" s="184" t="str">
        <f>$J$5</f>
        <v>8,0 % x D</v>
      </c>
      <c r="G6339" s="295"/>
      <c r="H6339" s="358">
        <f>+H6338*$K$5</f>
        <v>15889.6</v>
      </c>
      <c r="M6339" s="184" t="str">
        <f>$J$5</f>
        <v>8,0 % x D</v>
      </c>
    </row>
    <row r="6340" spans="2:13" ht="18.75" customHeight="1" x14ac:dyDescent="0.25">
      <c r="B6340" s="356" t="s">
        <v>651</v>
      </c>
      <c r="C6340" s="365" t="s">
        <v>652</v>
      </c>
      <c r="D6340" s="435"/>
      <c r="E6340" s="91"/>
      <c r="F6340" s="185"/>
      <c r="G6340" s="296"/>
      <c r="H6340" s="359">
        <f>ROUNDUP((H6339+H6338)/100,0)*100</f>
        <v>214600</v>
      </c>
      <c r="M6340" s="185"/>
    </row>
    <row r="6341" spans="2:13" ht="18.75" customHeight="1" x14ac:dyDescent="0.25">
      <c r="B6341" s="360"/>
      <c r="C6341" s="366"/>
      <c r="D6341" s="245"/>
      <c r="E6341" s="246"/>
      <c r="F6341" s="247"/>
      <c r="G6341" s="299"/>
      <c r="H6341" s="361"/>
      <c r="M6341" s="247"/>
    </row>
    <row r="6342" spans="2:13" ht="18.75" customHeight="1" x14ac:dyDescent="0.25">
      <c r="B6342" s="22"/>
      <c r="C6342" s="104"/>
      <c r="E6342" s="21"/>
      <c r="F6342" s="176"/>
      <c r="G6342" s="165"/>
      <c r="H6342" s="119"/>
      <c r="M6342" s="176"/>
    </row>
    <row r="6343" spans="2:13" ht="18.75" customHeight="1" x14ac:dyDescent="0.25">
      <c r="B6343" s="19">
        <f>B6318+1</f>
        <v>16</v>
      </c>
      <c r="C6343" s="93" t="s">
        <v>1147</v>
      </c>
      <c r="D6343" s="19"/>
      <c r="E6343" s="21"/>
      <c r="F6343" s="176"/>
      <c r="G6343" s="165"/>
      <c r="H6343" s="119"/>
      <c r="M6343" s="176"/>
    </row>
    <row r="6344" spans="2:13" ht="18.75" customHeight="1" x14ac:dyDescent="0.25">
      <c r="B6344" s="618" t="s">
        <v>620</v>
      </c>
      <c r="C6344" s="620" t="s">
        <v>621</v>
      </c>
      <c r="D6344" s="618" t="s">
        <v>622</v>
      </c>
      <c r="E6344" s="618" t="s">
        <v>2</v>
      </c>
      <c r="F6344" s="615" t="s">
        <v>623</v>
      </c>
      <c r="G6344" s="289" t="s">
        <v>624</v>
      </c>
      <c r="H6344" s="256" t="s">
        <v>625</v>
      </c>
      <c r="M6344" s="615" t="s">
        <v>623</v>
      </c>
    </row>
    <row r="6345" spans="2:13" ht="18.75" customHeight="1" x14ac:dyDescent="0.25">
      <c r="B6345" s="619"/>
      <c r="C6345" s="621"/>
      <c r="D6345" s="619"/>
      <c r="E6345" s="619"/>
      <c r="F6345" s="616"/>
      <c r="G6345" s="289" t="s">
        <v>626</v>
      </c>
      <c r="H6345" s="256" t="s">
        <v>626</v>
      </c>
      <c r="M6345" s="616"/>
    </row>
    <row r="6346" spans="2:13" ht="18.75" customHeight="1" x14ac:dyDescent="0.25">
      <c r="B6346" s="221"/>
      <c r="C6346" s="222"/>
      <c r="D6346" s="221"/>
      <c r="E6346" s="550"/>
      <c r="F6346" s="555"/>
      <c r="G6346" s="551"/>
      <c r="H6346" s="220"/>
      <c r="M6346" s="590"/>
    </row>
    <row r="6347" spans="2:13" ht="18.75" customHeight="1" x14ac:dyDescent="0.25">
      <c r="B6347" s="550" t="s">
        <v>627</v>
      </c>
      <c r="C6347" s="223" t="s">
        <v>628</v>
      </c>
      <c r="D6347" s="550"/>
      <c r="E6347" s="224"/>
      <c r="F6347" s="225"/>
      <c r="G6347" s="290"/>
      <c r="H6347" s="226"/>
      <c r="M6347" s="225"/>
    </row>
    <row r="6348" spans="2:13" ht="18.75" customHeight="1" x14ac:dyDescent="0.25">
      <c r="B6348" s="550"/>
      <c r="C6348" s="227" t="s">
        <v>1678</v>
      </c>
      <c r="D6348" s="550" t="s">
        <v>630</v>
      </c>
      <c r="E6348" s="224" t="s">
        <v>631</v>
      </c>
      <c r="F6348" s="228">
        <f t="shared" ref="F6348:F6351" si="282">$K$8*M6348</f>
        <v>0.2</v>
      </c>
      <c r="G6348" s="229">
        <f>G6323</f>
        <v>95000</v>
      </c>
      <c r="H6348" s="230">
        <f>+G6348*F6348</f>
        <v>19000</v>
      </c>
      <c r="M6348" s="228">
        <v>0.2</v>
      </c>
    </row>
    <row r="6349" spans="2:13" ht="18.75" customHeight="1" x14ac:dyDescent="0.25">
      <c r="B6349" s="550"/>
      <c r="C6349" s="227" t="s">
        <v>1508</v>
      </c>
      <c r="D6349" s="550" t="s">
        <v>634</v>
      </c>
      <c r="E6349" s="224" t="s">
        <v>631</v>
      </c>
      <c r="F6349" s="228">
        <f t="shared" si="282"/>
        <v>0.1</v>
      </c>
      <c r="G6349" s="229">
        <f>G6324</f>
        <v>110000</v>
      </c>
      <c r="H6349" s="230">
        <f>+G6349*F6349</f>
        <v>11000</v>
      </c>
      <c r="M6349" s="228">
        <v>0.1</v>
      </c>
    </row>
    <row r="6350" spans="2:13" ht="18.75" customHeight="1" x14ac:dyDescent="0.25">
      <c r="B6350" s="550"/>
      <c r="C6350" s="227" t="s">
        <v>633</v>
      </c>
      <c r="D6350" s="550" t="s">
        <v>1123</v>
      </c>
      <c r="E6350" s="224" t="s">
        <v>631</v>
      </c>
      <c r="F6350" s="228">
        <f t="shared" si="282"/>
        <v>0.01</v>
      </c>
      <c r="G6350" s="229">
        <f>G6325</f>
        <v>115000</v>
      </c>
      <c r="H6350" s="230">
        <f>+G6350*F6350</f>
        <v>1150</v>
      </c>
      <c r="M6350" s="228">
        <v>0.01</v>
      </c>
    </row>
    <row r="6351" spans="2:13" ht="18.75" customHeight="1" x14ac:dyDescent="0.25">
      <c r="B6351" s="550"/>
      <c r="C6351" s="227" t="s">
        <v>600</v>
      </c>
      <c r="D6351" s="550" t="s">
        <v>1124</v>
      </c>
      <c r="E6351" s="224" t="s">
        <v>631</v>
      </c>
      <c r="F6351" s="228">
        <f t="shared" si="282"/>
        <v>0.01</v>
      </c>
      <c r="G6351" s="229">
        <f>G6326</f>
        <v>140000</v>
      </c>
      <c r="H6351" s="230">
        <f>+G6351*F6351</f>
        <v>1400</v>
      </c>
      <c r="M6351" s="228">
        <v>0.01</v>
      </c>
    </row>
    <row r="6352" spans="2:13" ht="18.75" customHeight="1" x14ac:dyDescent="0.25">
      <c r="B6352" s="550"/>
      <c r="C6352" s="223"/>
      <c r="D6352" s="550"/>
      <c r="E6352" s="224"/>
      <c r="F6352" s="233" t="s">
        <v>636</v>
      </c>
      <c r="G6352" s="290"/>
      <c r="H6352" s="231">
        <f>SUM(H6348:H6351)</f>
        <v>32550</v>
      </c>
      <c r="M6352" s="233" t="s">
        <v>636</v>
      </c>
    </row>
    <row r="6353" spans="2:13" ht="18.75" customHeight="1" x14ac:dyDescent="0.25">
      <c r="B6353" s="550"/>
      <c r="C6353" s="223"/>
      <c r="D6353" s="550"/>
      <c r="E6353" s="224"/>
      <c r="F6353" s="233"/>
      <c r="G6353" s="290"/>
      <c r="H6353" s="230"/>
      <c r="M6353" s="233"/>
    </row>
    <row r="6354" spans="2:13" ht="18.75" customHeight="1" x14ac:dyDescent="0.25">
      <c r="B6354" s="550" t="s">
        <v>637</v>
      </c>
      <c r="C6354" s="223" t="s">
        <v>638</v>
      </c>
      <c r="D6354" s="550"/>
      <c r="E6354" s="224"/>
      <c r="F6354" s="225"/>
      <c r="G6354" s="290"/>
      <c r="H6354" s="226"/>
      <c r="M6354" s="225"/>
    </row>
    <row r="6355" spans="2:13" ht="18.75" customHeight="1" x14ac:dyDescent="0.25">
      <c r="B6355" s="550"/>
      <c r="C6355" s="223" t="s">
        <v>385</v>
      </c>
      <c r="D6355" s="550"/>
      <c r="E6355" s="550" t="s">
        <v>28</v>
      </c>
      <c r="F6355" s="405">
        <v>11</v>
      </c>
      <c r="G6355" s="418">
        <f>Bahan!D434</f>
        <v>15000</v>
      </c>
      <c r="H6355" s="230">
        <f>+G6355*F6355</f>
        <v>165000</v>
      </c>
      <c r="M6355" s="405">
        <v>11</v>
      </c>
    </row>
    <row r="6356" spans="2:13" ht="18.75" customHeight="1" x14ac:dyDescent="0.25">
      <c r="B6356" s="550"/>
      <c r="C6356" s="223" t="s">
        <v>292</v>
      </c>
      <c r="D6356" s="550"/>
      <c r="E6356" s="550" t="s">
        <v>5</v>
      </c>
      <c r="F6356" s="405">
        <v>0.03</v>
      </c>
      <c r="G6356" s="418">
        <f>G6228</f>
        <v>25000</v>
      </c>
      <c r="H6356" s="230">
        <f>+G6356*F6356</f>
        <v>750</v>
      </c>
      <c r="M6356" s="405">
        <v>0.03</v>
      </c>
    </row>
    <row r="6357" spans="2:13" ht="18.75" customHeight="1" x14ac:dyDescent="0.25">
      <c r="B6357" s="550"/>
      <c r="C6357" s="223"/>
      <c r="D6357" s="550"/>
      <c r="E6357" s="224"/>
      <c r="F6357" s="237" t="s">
        <v>643</v>
      </c>
      <c r="G6357" s="290"/>
      <c r="H6357" s="231">
        <f>SUM(H6355:H6356)</f>
        <v>165750</v>
      </c>
      <c r="M6357" s="237" t="s">
        <v>643</v>
      </c>
    </row>
    <row r="6358" spans="2:13" ht="18.75" customHeight="1" x14ac:dyDescent="0.25">
      <c r="B6358" s="550"/>
      <c r="C6358" s="223"/>
      <c r="D6358" s="550"/>
      <c r="E6358" s="224"/>
      <c r="F6358" s="237"/>
      <c r="G6358" s="290"/>
      <c r="H6358" s="230"/>
      <c r="M6358" s="237"/>
    </row>
    <row r="6359" spans="2:13" ht="18.75" customHeight="1" x14ac:dyDescent="0.25">
      <c r="B6359" s="550" t="s">
        <v>644</v>
      </c>
      <c r="C6359" s="223" t="s">
        <v>645</v>
      </c>
      <c r="D6359" s="550"/>
      <c r="E6359" s="224"/>
      <c r="F6359" s="225"/>
      <c r="G6359" s="290"/>
      <c r="H6359" s="235"/>
      <c r="M6359" s="225"/>
    </row>
    <row r="6360" spans="2:13" ht="18.75" customHeight="1" x14ac:dyDescent="0.25">
      <c r="B6360" s="236"/>
      <c r="C6360" s="232"/>
      <c r="D6360" s="550"/>
      <c r="E6360" s="224"/>
      <c r="F6360" s="237" t="s">
        <v>646</v>
      </c>
      <c r="G6360" s="290"/>
      <c r="H6360" s="230"/>
      <c r="M6360" s="237" t="s">
        <v>646</v>
      </c>
    </row>
    <row r="6361" spans="2:13" ht="18.75" customHeight="1" x14ac:dyDescent="0.25">
      <c r="B6361" s="236"/>
      <c r="C6361" s="232"/>
      <c r="D6361" s="550"/>
      <c r="E6361" s="224"/>
      <c r="F6361" s="237"/>
      <c r="G6361" s="290"/>
      <c r="H6361" s="230"/>
      <c r="M6361" s="237"/>
    </row>
    <row r="6362" spans="2:13" ht="18.75" customHeight="1" x14ac:dyDescent="0.25">
      <c r="B6362" s="354"/>
      <c r="C6362" s="362"/>
      <c r="D6362" s="239"/>
      <c r="E6362" s="240"/>
      <c r="F6362" s="241"/>
      <c r="G6362" s="293"/>
      <c r="H6362" s="355"/>
      <c r="M6362" s="241"/>
    </row>
    <row r="6363" spans="2:13" ht="18.75" customHeight="1" x14ac:dyDescent="0.25">
      <c r="B6363" s="356" t="s">
        <v>647</v>
      </c>
      <c r="C6363" s="363" t="s">
        <v>648</v>
      </c>
      <c r="D6363" s="435"/>
      <c r="E6363" s="92"/>
      <c r="F6363" s="183"/>
      <c r="G6363" s="295"/>
      <c r="H6363" s="357">
        <f>+H6360+H6357+H6352</f>
        <v>198300</v>
      </c>
      <c r="M6363" s="183"/>
    </row>
    <row r="6364" spans="2:13" ht="18.75" customHeight="1" x14ac:dyDescent="0.25">
      <c r="B6364" s="356" t="s">
        <v>649</v>
      </c>
      <c r="C6364" s="364" t="s">
        <v>650</v>
      </c>
      <c r="D6364" s="435"/>
      <c r="E6364" s="92"/>
      <c r="F6364" s="184" t="str">
        <f>$J$5</f>
        <v>8,0 % x D</v>
      </c>
      <c r="G6364" s="295"/>
      <c r="H6364" s="358">
        <f>+H6363*$K$5</f>
        <v>15864</v>
      </c>
      <c r="M6364" s="184" t="str">
        <f>$J$5</f>
        <v>8,0 % x D</v>
      </c>
    </row>
    <row r="6365" spans="2:13" ht="18.75" customHeight="1" x14ac:dyDescent="0.25">
      <c r="B6365" s="356" t="s">
        <v>651</v>
      </c>
      <c r="C6365" s="365" t="s">
        <v>652</v>
      </c>
      <c r="D6365" s="435"/>
      <c r="E6365" s="91"/>
      <c r="F6365" s="185"/>
      <c r="G6365" s="296"/>
      <c r="H6365" s="359">
        <f>ROUNDUP((H6364+H6363)/100,0)*100</f>
        <v>214200</v>
      </c>
      <c r="M6365" s="185"/>
    </row>
    <row r="6366" spans="2:13" ht="18.75" customHeight="1" x14ac:dyDescent="0.25">
      <c r="B6366" s="371"/>
      <c r="C6366" s="373"/>
      <c r="D6366" s="245"/>
      <c r="E6366" s="246"/>
      <c r="F6366" s="247"/>
      <c r="G6366" s="299"/>
      <c r="H6366" s="372"/>
      <c r="M6366" s="247"/>
    </row>
    <row r="6367" spans="2:13" ht="18.75" customHeight="1" x14ac:dyDescent="0.25">
      <c r="B6367" s="92"/>
      <c r="C6367" s="104"/>
      <c r="D6367" s="435"/>
      <c r="E6367" s="91"/>
      <c r="F6367" s="185"/>
      <c r="G6367" s="168"/>
      <c r="H6367" s="139"/>
      <c r="M6367" s="185"/>
    </row>
    <row r="6368" spans="2:13" ht="18.75" customHeight="1" x14ac:dyDescent="0.25">
      <c r="B6368" s="19">
        <f>B6343+1</f>
        <v>17</v>
      </c>
      <c r="C6368" s="93" t="s">
        <v>1148</v>
      </c>
      <c r="D6368" s="19"/>
      <c r="E6368" s="21"/>
      <c r="F6368" s="176"/>
      <c r="G6368" s="165"/>
      <c r="H6368" s="119"/>
      <c r="M6368" s="176"/>
    </row>
    <row r="6369" spans="2:13" ht="18.75" customHeight="1" x14ac:dyDescent="0.25">
      <c r="B6369" s="618" t="s">
        <v>620</v>
      </c>
      <c r="C6369" s="620" t="s">
        <v>621</v>
      </c>
      <c r="D6369" s="618" t="s">
        <v>622</v>
      </c>
      <c r="E6369" s="618" t="s">
        <v>2</v>
      </c>
      <c r="F6369" s="615" t="s">
        <v>623</v>
      </c>
      <c r="G6369" s="289" t="s">
        <v>624</v>
      </c>
      <c r="H6369" s="256" t="s">
        <v>625</v>
      </c>
      <c r="M6369" s="615" t="s">
        <v>623</v>
      </c>
    </row>
    <row r="6370" spans="2:13" ht="18.75" customHeight="1" x14ac:dyDescent="0.25">
      <c r="B6370" s="619"/>
      <c r="C6370" s="621"/>
      <c r="D6370" s="619"/>
      <c r="E6370" s="619"/>
      <c r="F6370" s="616"/>
      <c r="G6370" s="289" t="s">
        <v>626</v>
      </c>
      <c r="H6370" s="256" t="s">
        <v>626</v>
      </c>
      <c r="M6370" s="616"/>
    </row>
    <row r="6371" spans="2:13" ht="18.75" customHeight="1" x14ac:dyDescent="0.25">
      <c r="B6371" s="221"/>
      <c r="C6371" s="222"/>
      <c r="D6371" s="221"/>
      <c r="E6371" s="550"/>
      <c r="F6371" s="555"/>
      <c r="G6371" s="551"/>
      <c r="H6371" s="220"/>
      <c r="M6371" s="590"/>
    </row>
    <row r="6372" spans="2:13" ht="18.75" customHeight="1" x14ac:dyDescent="0.25">
      <c r="B6372" s="550" t="s">
        <v>627</v>
      </c>
      <c r="C6372" s="223" t="s">
        <v>628</v>
      </c>
      <c r="D6372" s="550"/>
      <c r="E6372" s="224"/>
      <c r="F6372" s="225"/>
      <c r="G6372" s="290"/>
      <c r="H6372" s="226"/>
      <c r="M6372" s="225"/>
    </row>
    <row r="6373" spans="2:13" ht="18.75" customHeight="1" x14ac:dyDescent="0.25">
      <c r="B6373" s="550"/>
      <c r="C6373" s="227" t="s">
        <v>1678</v>
      </c>
      <c r="D6373" s="550" t="s">
        <v>630</v>
      </c>
      <c r="E6373" s="224" t="s">
        <v>631</v>
      </c>
      <c r="F6373" s="228">
        <f t="shared" ref="F6373:F6376" si="283">$K$8*M6373</f>
        <v>0.4</v>
      </c>
      <c r="G6373" s="229">
        <f>G6348</f>
        <v>95000</v>
      </c>
      <c r="H6373" s="230">
        <f>+G6373*F6373</f>
        <v>38000</v>
      </c>
      <c r="M6373" s="228">
        <v>0.4</v>
      </c>
    </row>
    <row r="6374" spans="2:13" ht="18.75" customHeight="1" x14ac:dyDescent="0.25">
      <c r="B6374" s="550"/>
      <c r="C6374" s="227" t="s">
        <v>1508</v>
      </c>
      <c r="D6374" s="550" t="s">
        <v>634</v>
      </c>
      <c r="E6374" s="224" t="s">
        <v>631</v>
      </c>
      <c r="F6374" s="228">
        <f t="shared" si="283"/>
        <v>0.2</v>
      </c>
      <c r="G6374" s="229">
        <f>G6349</f>
        <v>110000</v>
      </c>
      <c r="H6374" s="230">
        <f>+G6374*F6374</f>
        <v>22000</v>
      </c>
      <c r="M6374" s="228">
        <v>0.2</v>
      </c>
    </row>
    <row r="6375" spans="2:13" ht="18.75" customHeight="1" x14ac:dyDescent="0.25">
      <c r="B6375" s="550"/>
      <c r="C6375" s="227" t="s">
        <v>633</v>
      </c>
      <c r="D6375" s="550" t="s">
        <v>1123</v>
      </c>
      <c r="E6375" s="224" t="s">
        <v>631</v>
      </c>
      <c r="F6375" s="228">
        <f t="shared" si="283"/>
        <v>0.02</v>
      </c>
      <c r="G6375" s="229">
        <f>G6350</f>
        <v>115000</v>
      </c>
      <c r="H6375" s="230">
        <f>+G6375*F6375</f>
        <v>2300</v>
      </c>
      <c r="L6375" s="559"/>
      <c r="M6375" s="228">
        <v>0.02</v>
      </c>
    </row>
    <row r="6376" spans="2:13" ht="18.75" customHeight="1" x14ac:dyDescent="0.25">
      <c r="B6376" s="550"/>
      <c r="C6376" s="227" t="s">
        <v>600</v>
      </c>
      <c r="D6376" s="550" t="s">
        <v>1124</v>
      </c>
      <c r="E6376" s="224" t="s">
        <v>631</v>
      </c>
      <c r="F6376" s="228">
        <f t="shared" si="283"/>
        <v>0.02</v>
      </c>
      <c r="G6376" s="229">
        <f>G6351</f>
        <v>140000</v>
      </c>
      <c r="H6376" s="230">
        <f>+G6376*F6376</f>
        <v>2800</v>
      </c>
      <c r="M6376" s="228">
        <v>0.02</v>
      </c>
    </row>
    <row r="6377" spans="2:13" ht="18.75" customHeight="1" x14ac:dyDescent="0.25">
      <c r="B6377" s="550"/>
      <c r="C6377" s="223"/>
      <c r="D6377" s="550"/>
      <c r="E6377" s="224"/>
      <c r="F6377" s="233" t="s">
        <v>636</v>
      </c>
      <c r="G6377" s="290"/>
      <c r="H6377" s="231">
        <f>SUM(H6373:H6376)</f>
        <v>65100</v>
      </c>
      <c r="M6377" s="233" t="s">
        <v>636</v>
      </c>
    </row>
    <row r="6378" spans="2:13" ht="18.75" customHeight="1" x14ac:dyDescent="0.25">
      <c r="B6378" s="550" t="s">
        <v>637</v>
      </c>
      <c r="C6378" s="223" t="s">
        <v>638</v>
      </c>
      <c r="D6378" s="550"/>
      <c r="E6378" s="224"/>
      <c r="F6378" s="225"/>
      <c r="G6378" s="290"/>
      <c r="H6378" s="226"/>
      <c r="M6378" s="225"/>
    </row>
    <row r="6379" spans="2:13" ht="18.75" customHeight="1" x14ac:dyDescent="0.25">
      <c r="B6379" s="550"/>
      <c r="C6379" s="223" t="s">
        <v>365</v>
      </c>
      <c r="D6379" s="550"/>
      <c r="E6379" s="550" t="s">
        <v>28</v>
      </c>
      <c r="F6379" s="405">
        <v>11</v>
      </c>
      <c r="G6379" s="418">
        <f>Bahan!D415</f>
        <v>35000</v>
      </c>
      <c r="H6379" s="230">
        <f>+G6379*F6379</f>
        <v>385000</v>
      </c>
      <c r="M6379" s="405">
        <v>11</v>
      </c>
    </row>
    <row r="6380" spans="2:13" ht="18.75" customHeight="1" x14ac:dyDescent="0.25">
      <c r="B6380" s="550"/>
      <c r="C6380" s="223" t="str">
        <f>C6331</f>
        <v>Paku biasa</v>
      </c>
      <c r="D6380" s="550"/>
      <c r="E6380" s="550" t="s">
        <v>62</v>
      </c>
      <c r="F6380" s="405">
        <v>7.4999999999999997E-2</v>
      </c>
      <c r="G6380" s="418">
        <f>G6331</f>
        <v>25000</v>
      </c>
      <c r="H6380" s="230">
        <f>+G6380*F6380</f>
        <v>1875</v>
      </c>
      <c r="M6380" s="405">
        <v>7.4999999999999997E-2</v>
      </c>
    </row>
    <row r="6381" spans="2:13" ht="18.75" customHeight="1" x14ac:dyDescent="0.25">
      <c r="B6381" s="550"/>
      <c r="C6381" s="223" t="s">
        <v>1149</v>
      </c>
      <c r="D6381" s="550"/>
      <c r="E6381" s="550" t="s">
        <v>62</v>
      </c>
      <c r="F6381" s="405">
        <v>10.8</v>
      </c>
      <c r="G6381" s="418">
        <f>G6102</f>
        <v>1700</v>
      </c>
      <c r="H6381" s="230">
        <f>+G6381*F6381</f>
        <v>18360</v>
      </c>
      <c r="M6381" s="405">
        <v>10.8</v>
      </c>
    </row>
    <row r="6382" spans="2:13" ht="18.75" customHeight="1" x14ac:dyDescent="0.25">
      <c r="B6382" s="550"/>
      <c r="C6382" s="223" t="s">
        <v>661</v>
      </c>
      <c r="D6382" s="550"/>
      <c r="E6382" s="550" t="s">
        <v>52</v>
      </c>
      <c r="F6382" s="405">
        <v>3.2000000000000001E-2</v>
      </c>
      <c r="G6382" s="418">
        <f>G6103</f>
        <v>230000</v>
      </c>
      <c r="H6382" s="230">
        <f>+G6382*F6382</f>
        <v>7360</v>
      </c>
      <c r="M6382" s="405">
        <v>3.2000000000000001E-2</v>
      </c>
    </row>
    <row r="6383" spans="2:13" ht="18.75" customHeight="1" x14ac:dyDescent="0.25">
      <c r="B6383" s="550"/>
      <c r="C6383" s="223" t="s">
        <v>1018</v>
      </c>
      <c r="D6383" s="550"/>
      <c r="E6383" s="550" t="s">
        <v>5</v>
      </c>
      <c r="F6383" s="405">
        <v>1</v>
      </c>
      <c r="G6383" s="418">
        <f>Bahan!D581</f>
        <v>14500</v>
      </c>
      <c r="H6383" s="230">
        <f>+G6383*F6383</f>
        <v>14500</v>
      </c>
      <c r="M6383" s="405">
        <v>1</v>
      </c>
    </row>
    <row r="6384" spans="2:13" ht="18.75" customHeight="1" x14ac:dyDescent="0.25">
      <c r="B6384" s="550"/>
      <c r="C6384" s="223"/>
      <c r="D6384" s="550"/>
      <c r="E6384" s="224"/>
      <c r="F6384" s="237" t="s">
        <v>643</v>
      </c>
      <c r="G6384" s="290"/>
      <c r="H6384" s="231">
        <f>SUM(H6379:H6383)</f>
        <v>427095</v>
      </c>
      <c r="M6384" s="237" t="s">
        <v>643</v>
      </c>
    </row>
    <row r="6385" spans="2:13" ht="18.75" customHeight="1" x14ac:dyDescent="0.25">
      <c r="B6385" s="550"/>
      <c r="C6385" s="223"/>
      <c r="D6385" s="550"/>
      <c r="E6385" s="224"/>
      <c r="F6385" s="225"/>
      <c r="G6385" s="290"/>
      <c r="H6385" s="226"/>
      <c r="M6385" s="225"/>
    </row>
    <row r="6386" spans="2:13" ht="18.75" customHeight="1" x14ac:dyDescent="0.25">
      <c r="B6386" s="550" t="s">
        <v>644</v>
      </c>
      <c r="C6386" s="223" t="s">
        <v>645</v>
      </c>
      <c r="D6386" s="550"/>
      <c r="E6386" s="224"/>
      <c r="F6386" s="225"/>
      <c r="G6386" s="290"/>
      <c r="H6386" s="235"/>
      <c r="M6386" s="225"/>
    </row>
    <row r="6387" spans="2:13" ht="18.75" customHeight="1" x14ac:dyDescent="0.25">
      <c r="B6387" s="236"/>
      <c r="C6387" s="232"/>
      <c r="D6387" s="550"/>
      <c r="E6387" s="224"/>
      <c r="F6387" s="237" t="s">
        <v>646</v>
      </c>
      <c r="G6387" s="290"/>
      <c r="H6387" s="230"/>
      <c r="M6387" s="237" t="s">
        <v>646</v>
      </c>
    </row>
    <row r="6388" spans="2:13" ht="18.75" customHeight="1" x14ac:dyDescent="0.25">
      <c r="B6388" s="236"/>
      <c r="C6388" s="232"/>
      <c r="D6388" s="550"/>
      <c r="E6388" s="224"/>
      <c r="F6388" s="237"/>
      <c r="G6388" s="290"/>
      <c r="H6388" s="226"/>
      <c r="M6388" s="237"/>
    </row>
    <row r="6389" spans="2:13" ht="18.75" customHeight="1" x14ac:dyDescent="0.25">
      <c r="B6389" s="354"/>
      <c r="C6389" s="362"/>
      <c r="D6389" s="239"/>
      <c r="E6389" s="240"/>
      <c r="F6389" s="241"/>
      <c r="G6389" s="293"/>
      <c r="H6389" s="355"/>
      <c r="M6389" s="241"/>
    </row>
    <row r="6390" spans="2:13" ht="18.75" customHeight="1" x14ac:dyDescent="0.25">
      <c r="B6390" s="356" t="s">
        <v>647</v>
      </c>
      <c r="C6390" s="363" t="s">
        <v>648</v>
      </c>
      <c r="D6390" s="435"/>
      <c r="E6390" s="92"/>
      <c r="F6390" s="183"/>
      <c r="G6390" s="295"/>
      <c r="H6390" s="357">
        <f>+H6387+H6384+H6377</f>
        <v>492195</v>
      </c>
      <c r="M6390" s="183"/>
    </row>
    <row r="6391" spans="2:13" ht="18.75" customHeight="1" x14ac:dyDescent="0.25">
      <c r="B6391" s="356" t="s">
        <v>649</v>
      </c>
      <c r="C6391" s="364" t="s">
        <v>650</v>
      </c>
      <c r="D6391" s="435"/>
      <c r="E6391" s="92"/>
      <c r="F6391" s="184" t="str">
        <f>$J$5</f>
        <v>8,0 % x D</v>
      </c>
      <c r="G6391" s="295"/>
      <c r="H6391" s="358">
        <f>+H6390*$K$5</f>
        <v>39375.599999999999</v>
      </c>
      <c r="M6391" s="184" t="str">
        <f>$J$5</f>
        <v>8,0 % x D</v>
      </c>
    </row>
    <row r="6392" spans="2:13" ht="18.75" customHeight="1" x14ac:dyDescent="0.25">
      <c r="B6392" s="356" t="s">
        <v>651</v>
      </c>
      <c r="C6392" s="365" t="s">
        <v>652</v>
      </c>
      <c r="D6392" s="435"/>
      <c r="E6392" s="91"/>
      <c r="F6392" s="185"/>
      <c r="G6392" s="296"/>
      <c r="H6392" s="359">
        <f>ROUNDUP((H6391+H6390)/100,0)*100</f>
        <v>531600</v>
      </c>
      <c r="M6392" s="185"/>
    </row>
    <row r="6393" spans="2:13" ht="18.75" customHeight="1" x14ac:dyDescent="0.25">
      <c r="B6393" s="360"/>
      <c r="C6393" s="366"/>
      <c r="D6393" s="245"/>
      <c r="E6393" s="246"/>
      <c r="F6393" s="247"/>
      <c r="G6393" s="299"/>
      <c r="H6393" s="361"/>
      <c r="M6393" s="247"/>
    </row>
    <row r="6394" spans="2:13" ht="18.75" customHeight="1" x14ac:dyDescent="0.25">
      <c r="B6394" s="22"/>
      <c r="C6394" s="104"/>
      <c r="E6394" s="21"/>
      <c r="F6394" s="176"/>
      <c r="G6394" s="165"/>
      <c r="H6394" s="119"/>
      <c r="M6394" s="176"/>
    </row>
    <row r="6395" spans="2:13" ht="18.75" customHeight="1" x14ac:dyDescent="0.25">
      <c r="B6395" s="19">
        <f>B6368+1</f>
        <v>18</v>
      </c>
      <c r="C6395" s="93" t="s">
        <v>1817</v>
      </c>
      <c r="D6395" s="19"/>
      <c r="E6395" s="21"/>
      <c r="F6395" s="176"/>
      <c r="G6395" s="165"/>
      <c r="H6395" s="119"/>
      <c r="M6395" s="176"/>
    </row>
    <row r="6396" spans="2:13" ht="18.75" customHeight="1" x14ac:dyDescent="0.25">
      <c r="B6396" s="618" t="s">
        <v>620</v>
      </c>
      <c r="C6396" s="620" t="s">
        <v>621</v>
      </c>
      <c r="D6396" s="618" t="s">
        <v>622</v>
      </c>
      <c r="E6396" s="618" t="s">
        <v>2</v>
      </c>
      <c r="F6396" s="615" t="s">
        <v>623</v>
      </c>
      <c r="G6396" s="289" t="s">
        <v>624</v>
      </c>
      <c r="H6396" s="256" t="s">
        <v>625</v>
      </c>
      <c r="M6396" s="615" t="s">
        <v>623</v>
      </c>
    </row>
    <row r="6397" spans="2:13" ht="18.75" customHeight="1" x14ac:dyDescent="0.25">
      <c r="B6397" s="619"/>
      <c r="C6397" s="621"/>
      <c r="D6397" s="619"/>
      <c r="E6397" s="619"/>
      <c r="F6397" s="616"/>
      <c r="G6397" s="289" t="s">
        <v>626</v>
      </c>
      <c r="H6397" s="256" t="s">
        <v>626</v>
      </c>
      <c r="M6397" s="616"/>
    </row>
    <row r="6398" spans="2:13" ht="18.75" customHeight="1" x14ac:dyDescent="0.25">
      <c r="B6398" s="221"/>
      <c r="C6398" s="222"/>
      <c r="D6398" s="221"/>
      <c r="E6398" s="550"/>
      <c r="F6398" s="555"/>
      <c r="G6398" s="551"/>
      <c r="H6398" s="220"/>
      <c r="M6398" s="590"/>
    </row>
    <row r="6399" spans="2:13" ht="18.75" customHeight="1" x14ac:dyDescent="0.25">
      <c r="B6399" s="550" t="s">
        <v>627</v>
      </c>
      <c r="C6399" s="223" t="s">
        <v>628</v>
      </c>
      <c r="D6399" s="550"/>
      <c r="E6399" s="224"/>
      <c r="F6399" s="225"/>
      <c r="G6399" s="290"/>
      <c r="H6399" s="226"/>
      <c r="M6399" s="225"/>
    </row>
    <row r="6400" spans="2:13" ht="18.75" customHeight="1" x14ac:dyDescent="0.25">
      <c r="B6400" s="550"/>
      <c r="C6400" s="227" t="s">
        <v>629</v>
      </c>
      <c r="D6400" s="550" t="s">
        <v>630</v>
      </c>
      <c r="E6400" s="224" t="s">
        <v>631</v>
      </c>
      <c r="F6400" s="228">
        <f t="shared" ref="F6400:F6403" si="284">$K$8*M6400</f>
        <v>0.12</v>
      </c>
      <c r="G6400" s="229">
        <f>G6373</f>
        <v>95000</v>
      </c>
      <c r="H6400" s="230">
        <f>+G6400*F6400</f>
        <v>11400</v>
      </c>
      <c r="M6400" s="228">
        <v>0.12</v>
      </c>
    </row>
    <row r="6401" spans="2:13" ht="18.75" customHeight="1" x14ac:dyDescent="0.25">
      <c r="B6401" s="550"/>
      <c r="C6401" s="227" t="s">
        <v>1508</v>
      </c>
      <c r="D6401" s="550" t="s">
        <v>634</v>
      </c>
      <c r="E6401" s="224" t="s">
        <v>631</v>
      </c>
      <c r="F6401" s="228">
        <f t="shared" si="284"/>
        <v>7.4999999999999997E-2</v>
      </c>
      <c r="G6401" s="229">
        <f>G6374</f>
        <v>110000</v>
      </c>
      <c r="H6401" s="230">
        <f>+G6401*F6401</f>
        <v>8250</v>
      </c>
      <c r="M6401" s="228">
        <v>7.4999999999999997E-2</v>
      </c>
    </row>
    <row r="6402" spans="2:13" ht="18.75" customHeight="1" x14ac:dyDescent="0.25">
      <c r="B6402" s="550"/>
      <c r="C6402" s="227" t="s">
        <v>633</v>
      </c>
      <c r="D6402" s="550" t="s">
        <v>1123</v>
      </c>
      <c r="E6402" s="224" t="s">
        <v>631</v>
      </c>
      <c r="F6402" s="228">
        <f t="shared" si="284"/>
        <v>6.0000000000000001E-3</v>
      </c>
      <c r="G6402" s="229">
        <f>G6375</f>
        <v>115000</v>
      </c>
      <c r="H6402" s="230">
        <f>+G6402*F6402</f>
        <v>690</v>
      </c>
      <c r="M6402" s="228">
        <v>6.0000000000000001E-3</v>
      </c>
    </row>
    <row r="6403" spans="2:13" ht="18.75" customHeight="1" x14ac:dyDescent="0.25">
      <c r="B6403" s="550"/>
      <c r="C6403" s="227" t="s">
        <v>600</v>
      </c>
      <c r="D6403" s="550" t="s">
        <v>1124</v>
      </c>
      <c r="E6403" s="224" t="s">
        <v>631</v>
      </c>
      <c r="F6403" s="228">
        <f t="shared" si="284"/>
        <v>6.0000000000000001E-3</v>
      </c>
      <c r="G6403" s="229">
        <f>G6376</f>
        <v>140000</v>
      </c>
      <c r="H6403" s="230">
        <f>+G6403*F6403</f>
        <v>840</v>
      </c>
      <c r="M6403" s="228">
        <v>6.0000000000000001E-3</v>
      </c>
    </row>
    <row r="6404" spans="2:13" ht="18.75" customHeight="1" x14ac:dyDescent="0.25">
      <c r="B6404" s="550"/>
      <c r="C6404" s="223"/>
      <c r="D6404" s="550"/>
      <c r="E6404" s="224"/>
      <c r="F6404" s="233" t="s">
        <v>636</v>
      </c>
      <c r="G6404" s="290"/>
      <c r="H6404" s="231">
        <f>SUM(H6400:H6403)</f>
        <v>21180</v>
      </c>
      <c r="M6404" s="233" t="s">
        <v>636</v>
      </c>
    </row>
    <row r="6405" spans="2:13" ht="18.75" customHeight="1" x14ac:dyDescent="0.25">
      <c r="B6405" s="550"/>
      <c r="C6405" s="223"/>
      <c r="D6405" s="550"/>
      <c r="E6405" s="224"/>
      <c r="F6405" s="233"/>
      <c r="G6405" s="290"/>
      <c r="H6405" s="231"/>
      <c r="M6405" s="233"/>
    </row>
    <row r="6406" spans="2:13" ht="18.75" customHeight="1" x14ac:dyDescent="0.25">
      <c r="B6406" s="550" t="s">
        <v>637</v>
      </c>
      <c r="C6406" s="223" t="s">
        <v>638</v>
      </c>
      <c r="D6406" s="550"/>
      <c r="E6406" s="224"/>
      <c r="F6406" s="225"/>
      <c r="G6406" s="290"/>
      <c r="H6406" s="226"/>
      <c r="M6406" s="225"/>
    </row>
    <row r="6407" spans="2:13" ht="18.75" customHeight="1" x14ac:dyDescent="0.25">
      <c r="B6407" s="550"/>
      <c r="C6407" s="223" t="s">
        <v>1150</v>
      </c>
      <c r="D6407" s="550"/>
      <c r="E6407" s="550" t="s">
        <v>18</v>
      </c>
      <c r="F6407" s="405">
        <v>0.7</v>
      </c>
      <c r="G6407" s="418">
        <f>Bahan!D491</f>
        <v>85000</v>
      </c>
      <c r="H6407" s="230">
        <f>+G6407*F6407</f>
        <v>59499.999999999993</v>
      </c>
      <c r="M6407" s="405">
        <v>0.7</v>
      </c>
    </row>
    <row r="6408" spans="2:13" ht="18.75" customHeight="1" x14ac:dyDescent="0.25">
      <c r="B6408" s="550"/>
      <c r="C6408" s="223" t="s">
        <v>660</v>
      </c>
      <c r="D6408" s="550"/>
      <c r="E6408" s="550" t="s">
        <v>5</v>
      </c>
      <c r="F6408" s="405">
        <v>0.02</v>
      </c>
      <c r="G6408" s="418">
        <f>G6380</f>
        <v>25000</v>
      </c>
      <c r="H6408" s="230">
        <f>+G6408*F6408</f>
        <v>500</v>
      </c>
      <c r="M6408" s="405">
        <v>0.02</v>
      </c>
    </row>
    <row r="6409" spans="2:13" ht="18.75" customHeight="1" x14ac:dyDescent="0.25">
      <c r="B6409" s="550"/>
      <c r="C6409" s="223"/>
      <c r="D6409" s="550"/>
      <c r="E6409" s="224"/>
      <c r="F6409" s="237" t="s">
        <v>643</v>
      </c>
      <c r="G6409" s="290"/>
      <c r="H6409" s="231">
        <f>SUM(H6407:H6408)</f>
        <v>59999.999999999993</v>
      </c>
      <c r="M6409" s="237" t="s">
        <v>643</v>
      </c>
    </row>
    <row r="6410" spans="2:13" ht="18.75" customHeight="1" x14ac:dyDescent="0.25">
      <c r="B6410" s="550"/>
      <c r="C6410" s="223"/>
      <c r="D6410" s="550"/>
      <c r="E6410" s="224"/>
      <c r="F6410" s="225"/>
      <c r="G6410" s="290"/>
      <c r="H6410" s="226"/>
      <c r="M6410" s="225"/>
    </row>
    <row r="6411" spans="2:13" ht="18.75" customHeight="1" x14ac:dyDescent="0.25">
      <c r="B6411" s="550" t="s">
        <v>644</v>
      </c>
      <c r="C6411" s="223" t="s">
        <v>645</v>
      </c>
      <c r="D6411" s="550"/>
      <c r="E6411" s="224"/>
      <c r="F6411" s="225"/>
      <c r="G6411" s="290"/>
      <c r="H6411" s="235"/>
      <c r="M6411" s="225"/>
    </row>
    <row r="6412" spans="2:13" ht="18.75" customHeight="1" x14ac:dyDescent="0.25">
      <c r="B6412" s="236"/>
      <c r="C6412" s="232"/>
      <c r="D6412" s="550"/>
      <c r="E6412" s="224"/>
      <c r="F6412" s="237" t="s">
        <v>646</v>
      </c>
      <c r="G6412" s="290"/>
      <c r="H6412" s="230"/>
      <c r="M6412" s="237" t="s">
        <v>646</v>
      </c>
    </row>
    <row r="6413" spans="2:13" ht="18.75" customHeight="1" x14ac:dyDescent="0.25">
      <c r="B6413" s="236"/>
      <c r="C6413" s="232"/>
      <c r="D6413" s="550"/>
      <c r="E6413" s="224"/>
      <c r="F6413" s="237"/>
      <c r="G6413" s="290"/>
      <c r="H6413" s="226"/>
      <c r="M6413" s="237"/>
    </row>
    <row r="6414" spans="2:13" ht="18.75" customHeight="1" x14ac:dyDescent="0.25">
      <c r="B6414" s="354"/>
      <c r="C6414" s="362"/>
      <c r="D6414" s="239"/>
      <c r="E6414" s="266"/>
      <c r="F6414" s="241"/>
      <c r="G6414" s="370"/>
      <c r="H6414" s="369"/>
      <c r="M6414" s="241"/>
    </row>
    <row r="6415" spans="2:13" ht="18.75" customHeight="1" x14ac:dyDescent="0.25">
      <c r="B6415" s="356" t="s">
        <v>647</v>
      </c>
      <c r="C6415" s="363" t="s">
        <v>648</v>
      </c>
      <c r="D6415" s="435"/>
      <c r="E6415" s="92"/>
      <c r="F6415" s="183"/>
      <c r="G6415" s="295"/>
      <c r="H6415" s="357">
        <f>+H6412+H6409+H6404</f>
        <v>81180</v>
      </c>
      <c r="M6415" s="183"/>
    </row>
    <row r="6416" spans="2:13" ht="18.75" customHeight="1" x14ac:dyDescent="0.25">
      <c r="B6416" s="356" t="s">
        <v>649</v>
      </c>
      <c r="C6416" s="364" t="s">
        <v>650</v>
      </c>
      <c r="D6416" s="435"/>
      <c r="E6416" s="92"/>
      <c r="F6416" s="184" t="str">
        <f>$J$5</f>
        <v>8,0 % x D</v>
      </c>
      <c r="G6416" s="295"/>
      <c r="H6416" s="358">
        <f>+H6415*$K$5</f>
        <v>6494.4000000000005</v>
      </c>
      <c r="M6416" s="184" t="str">
        <f>$J$5</f>
        <v>8,0 % x D</v>
      </c>
    </row>
    <row r="6417" spans="2:13" ht="18.75" customHeight="1" x14ac:dyDescent="0.25">
      <c r="B6417" s="356" t="s">
        <v>651</v>
      </c>
      <c r="C6417" s="365" t="s">
        <v>652</v>
      </c>
      <c r="D6417" s="435"/>
      <c r="E6417" s="91"/>
      <c r="F6417" s="185"/>
      <c r="G6417" s="296"/>
      <c r="H6417" s="359">
        <f>ROUNDUP((H6416+H6415)/100,0)*100</f>
        <v>87700</v>
      </c>
      <c r="M6417" s="185"/>
    </row>
    <row r="6418" spans="2:13" ht="18.75" customHeight="1" x14ac:dyDescent="0.25">
      <c r="B6418" s="360"/>
      <c r="C6418" s="366"/>
      <c r="D6418" s="245"/>
      <c r="E6418" s="246"/>
      <c r="F6418" s="247"/>
      <c r="G6418" s="299"/>
      <c r="H6418" s="361"/>
      <c r="M6418" s="247"/>
    </row>
    <row r="6419" spans="2:13" ht="18.75" customHeight="1" x14ac:dyDescent="0.25">
      <c r="B6419" s="92"/>
      <c r="C6419" s="104"/>
      <c r="D6419" s="435"/>
      <c r="E6419" s="91"/>
      <c r="F6419" s="185"/>
      <c r="G6419" s="168"/>
      <c r="H6419" s="139"/>
      <c r="M6419" s="185"/>
    </row>
    <row r="6420" spans="2:13" ht="18.75" customHeight="1" x14ac:dyDescent="0.25">
      <c r="B6420" s="19">
        <f>B6395+1</f>
        <v>19</v>
      </c>
      <c r="C6420" s="93" t="s">
        <v>1818</v>
      </c>
      <c r="D6420" s="19"/>
      <c r="E6420" s="21"/>
      <c r="F6420" s="176"/>
      <c r="G6420" s="165"/>
      <c r="H6420" s="119"/>
      <c r="M6420" s="176"/>
    </row>
    <row r="6421" spans="2:13" ht="18.75" customHeight="1" x14ac:dyDescent="0.25">
      <c r="B6421" s="618" t="s">
        <v>620</v>
      </c>
      <c r="C6421" s="620" t="s">
        <v>621</v>
      </c>
      <c r="D6421" s="618" t="s">
        <v>622</v>
      </c>
      <c r="E6421" s="618" t="s">
        <v>2</v>
      </c>
      <c r="F6421" s="615" t="s">
        <v>623</v>
      </c>
      <c r="G6421" s="289" t="s">
        <v>624</v>
      </c>
      <c r="H6421" s="256" t="s">
        <v>625</v>
      </c>
      <c r="M6421" s="615" t="s">
        <v>623</v>
      </c>
    </row>
    <row r="6422" spans="2:13" ht="18.75" customHeight="1" x14ac:dyDescent="0.25">
      <c r="B6422" s="619"/>
      <c r="C6422" s="621"/>
      <c r="D6422" s="619"/>
      <c r="E6422" s="619"/>
      <c r="F6422" s="616"/>
      <c r="G6422" s="289" t="s">
        <v>626</v>
      </c>
      <c r="H6422" s="256" t="s">
        <v>626</v>
      </c>
      <c r="M6422" s="616"/>
    </row>
    <row r="6423" spans="2:13" ht="18.75" customHeight="1" x14ac:dyDescent="0.25">
      <c r="B6423" s="221"/>
      <c r="C6423" s="222"/>
      <c r="D6423" s="221"/>
      <c r="E6423" s="550"/>
      <c r="F6423" s="555"/>
      <c r="G6423" s="551"/>
      <c r="H6423" s="220"/>
      <c r="M6423" s="590"/>
    </row>
    <row r="6424" spans="2:13" ht="18.75" customHeight="1" x14ac:dyDescent="0.25">
      <c r="B6424" s="550" t="s">
        <v>627</v>
      </c>
      <c r="C6424" s="223" t="s">
        <v>628</v>
      </c>
      <c r="D6424" s="550"/>
      <c r="E6424" s="224"/>
      <c r="F6424" s="225"/>
      <c r="G6424" s="290"/>
      <c r="H6424" s="226"/>
      <c r="M6424" s="225"/>
    </row>
    <row r="6425" spans="2:13" ht="18.75" customHeight="1" x14ac:dyDescent="0.25">
      <c r="B6425" s="550"/>
      <c r="C6425" s="227" t="s">
        <v>629</v>
      </c>
      <c r="D6425" s="550" t="s">
        <v>630</v>
      </c>
      <c r="E6425" s="224" t="s">
        <v>631</v>
      </c>
      <c r="F6425" s="228">
        <f t="shared" ref="F6425:F6428" si="285">$K$8*M6425</f>
        <v>0.15</v>
      </c>
      <c r="G6425" s="229">
        <f>G6400</f>
        <v>95000</v>
      </c>
      <c r="H6425" s="230">
        <f>+G6425*F6425</f>
        <v>14250</v>
      </c>
      <c r="M6425" s="228">
        <v>0.15</v>
      </c>
    </row>
    <row r="6426" spans="2:13" ht="18.75" customHeight="1" x14ac:dyDescent="0.25">
      <c r="B6426" s="550"/>
      <c r="C6426" s="227" t="s">
        <v>1508</v>
      </c>
      <c r="D6426" s="550" t="s">
        <v>634</v>
      </c>
      <c r="E6426" s="224" t="s">
        <v>631</v>
      </c>
      <c r="F6426" s="228">
        <f t="shared" si="285"/>
        <v>7.0000000000000007E-2</v>
      </c>
      <c r="G6426" s="229">
        <f>G6401</f>
        <v>110000</v>
      </c>
      <c r="H6426" s="230">
        <f>+G6426*F6426</f>
        <v>7700.0000000000009</v>
      </c>
      <c r="M6426" s="228">
        <v>7.0000000000000007E-2</v>
      </c>
    </row>
    <row r="6427" spans="2:13" ht="18.75" customHeight="1" x14ac:dyDescent="0.25">
      <c r="B6427" s="550"/>
      <c r="C6427" s="227" t="s">
        <v>633</v>
      </c>
      <c r="D6427" s="550" t="s">
        <v>1123</v>
      </c>
      <c r="E6427" s="224" t="s">
        <v>631</v>
      </c>
      <c r="F6427" s="228">
        <f t="shared" si="285"/>
        <v>7.0000000000000001E-3</v>
      </c>
      <c r="G6427" s="229">
        <f>G6402</f>
        <v>115000</v>
      </c>
      <c r="H6427" s="230">
        <f>+G6427*F6427</f>
        <v>805</v>
      </c>
      <c r="M6427" s="228">
        <v>7.0000000000000001E-3</v>
      </c>
    </row>
    <row r="6428" spans="2:13" ht="18.75" customHeight="1" x14ac:dyDescent="0.25">
      <c r="B6428" s="550"/>
      <c r="C6428" s="227" t="s">
        <v>600</v>
      </c>
      <c r="D6428" s="550" t="s">
        <v>1124</v>
      </c>
      <c r="E6428" s="224" t="s">
        <v>631</v>
      </c>
      <c r="F6428" s="228">
        <f t="shared" si="285"/>
        <v>6.0000000000000001E-3</v>
      </c>
      <c r="G6428" s="229">
        <f>G6403</f>
        <v>140000</v>
      </c>
      <c r="H6428" s="230">
        <f>+G6428*F6428</f>
        <v>840</v>
      </c>
      <c r="M6428" s="228">
        <v>6.0000000000000001E-3</v>
      </c>
    </row>
    <row r="6429" spans="2:13" ht="18.75" customHeight="1" x14ac:dyDescent="0.25">
      <c r="B6429" s="550"/>
      <c r="C6429" s="223"/>
      <c r="D6429" s="550"/>
      <c r="E6429" s="224"/>
      <c r="F6429" s="233" t="s">
        <v>636</v>
      </c>
      <c r="G6429" s="290"/>
      <c r="H6429" s="231">
        <f>SUM(H6425:H6428)</f>
        <v>23595</v>
      </c>
      <c r="M6429" s="233" t="s">
        <v>636</v>
      </c>
    </row>
    <row r="6430" spans="2:13" ht="18.75" customHeight="1" x14ac:dyDescent="0.25">
      <c r="B6430" s="550" t="s">
        <v>637</v>
      </c>
      <c r="C6430" s="223" t="s">
        <v>638</v>
      </c>
      <c r="D6430" s="550"/>
      <c r="E6430" s="224"/>
      <c r="F6430" s="225"/>
      <c r="G6430" s="290"/>
      <c r="H6430" s="226"/>
      <c r="M6430" s="225"/>
    </row>
    <row r="6431" spans="2:13" ht="18.75" customHeight="1" x14ac:dyDescent="0.25">
      <c r="B6431" s="550"/>
      <c r="C6431" s="223" t="s">
        <v>1150</v>
      </c>
      <c r="D6431" s="550"/>
      <c r="E6431" s="550" t="s">
        <v>18</v>
      </c>
      <c r="F6431" s="405">
        <v>0.3</v>
      </c>
      <c r="G6431" s="410">
        <f>G6407</f>
        <v>85000</v>
      </c>
      <c r="H6431" s="230">
        <f>+G6431*F6431</f>
        <v>25500</v>
      </c>
      <c r="M6431" s="405">
        <v>0.3</v>
      </c>
    </row>
    <row r="6432" spans="2:13" ht="18.75" customHeight="1" x14ac:dyDescent="0.25">
      <c r="B6432" s="550"/>
      <c r="C6432" s="223" t="s">
        <v>660</v>
      </c>
      <c r="D6432" s="550"/>
      <c r="E6432" s="550" t="s">
        <v>5</v>
      </c>
      <c r="F6432" s="405">
        <v>7.4999999999999997E-2</v>
      </c>
      <c r="G6432" s="234">
        <f>G6408</f>
        <v>25000</v>
      </c>
      <c r="H6432" s="230">
        <f>+G6432*F6432</f>
        <v>1875</v>
      </c>
      <c r="M6432" s="405">
        <v>7.4999999999999997E-2</v>
      </c>
    </row>
    <row r="6433" spans="2:13" ht="18.75" customHeight="1" x14ac:dyDescent="0.25">
      <c r="B6433" s="550"/>
      <c r="C6433" s="223"/>
      <c r="D6433" s="550"/>
      <c r="E6433" s="224"/>
      <c r="F6433" s="237" t="s">
        <v>643</v>
      </c>
      <c r="G6433" s="290"/>
      <c r="H6433" s="231">
        <f>SUM(H6431:H6431)</f>
        <v>25500</v>
      </c>
      <c r="M6433" s="237" t="s">
        <v>643</v>
      </c>
    </row>
    <row r="6434" spans="2:13" ht="18.75" customHeight="1" x14ac:dyDescent="0.25">
      <c r="B6434" s="550"/>
      <c r="C6434" s="223"/>
      <c r="D6434" s="550"/>
      <c r="E6434" s="224"/>
      <c r="F6434" s="225"/>
      <c r="G6434" s="290"/>
      <c r="H6434" s="226"/>
      <c r="M6434" s="225"/>
    </row>
    <row r="6435" spans="2:13" ht="18.75" customHeight="1" x14ac:dyDescent="0.25">
      <c r="B6435" s="550" t="s">
        <v>644</v>
      </c>
      <c r="C6435" s="223" t="s">
        <v>645</v>
      </c>
      <c r="D6435" s="550"/>
      <c r="E6435" s="224"/>
      <c r="F6435" s="225"/>
      <c r="G6435" s="290"/>
      <c r="H6435" s="235"/>
      <c r="M6435" s="225"/>
    </row>
    <row r="6436" spans="2:13" ht="18.75" customHeight="1" x14ac:dyDescent="0.25">
      <c r="B6436" s="236"/>
      <c r="C6436" s="232"/>
      <c r="D6436" s="550"/>
      <c r="E6436" s="224"/>
      <c r="F6436" s="237" t="s">
        <v>646</v>
      </c>
      <c r="G6436" s="290"/>
      <c r="H6436" s="230"/>
      <c r="M6436" s="237" t="s">
        <v>646</v>
      </c>
    </row>
    <row r="6437" spans="2:13" ht="18.75" customHeight="1" x14ac:dyDescent="0.25">
      <c r="B6437" s="236"/>
      <c r="C6437" s="232"/>
      <c r="D6437" s="550"/>
      <c r="E6437" s="224"/>
      <c r="F6437" s="237"/>
      <c r="G6437" s="290"/>
      <c r="H6437" s="226"/>
      <c r="M6437" s="237"/>
    </row>
    <row r="6438" spans="2:13" ht="18.75" customHeight="1" x14ac:dyDescent="0.25">
      <c r="B6438" s="354"/>
      <c r="C6438" s="362"/>
      <c r="D6438" s="239"/>
      <c r="E6438" s="240"/>
      <c r="F6438" s="241"/>
      <c r="G6438" s="293"/>
      <c r="H6438" s="355"/>
      <c r="M6438" s="241"/>
    </row>
    <row r="6439" spans="2:13" ht="18.75" customHeight="1" x14ac:dyDescent="0.25">
      <c r="B6439" s="356" t="s">
        <v>647</v>
      </c>
      <c r="C6439" s="363" t="s">
        <v>648</v>
      </c>
      <c r="D6439" s="435"/>
      <c r="E6439" s="92"/>
      <c r="F6439" s="183"/>
      <c r="G6439" s="295"/>
      <c r="H6439" s="357">
        <f>+H6436+H6433+H6429</f>
        <v>49095</v>
      </c>
      <c r="M6439" s="183"/>
    </row>
    <row r="6440" spans="2:13" ht="18.75" customHeight="1" x14ac:dyDescent="0.25">
      <c r="B6440" s="356" t="s">
        <v>649</v>
      </c>
      <c r="C6440" s="364" t="s">
        <v>650</v>
      </c>
      <c r="D6440" s="435"/>
      <c r="E6440" s="92"/>
      <c r="F6440" s="184" t="str">
        <f>$J$5</f>
        <v>8,0 % x D</v>
      </c>
      <c r="G6440" s="295"/>
      <c r="H6440" s="358">
        <f>+H6439*$K$5</f>
        <v>3927.6</v>
      </c>
      <c r="M6440" s="184" t="str">
        <f>$J$5</f>
        <v>8,0 % x D</v>
      </c>
    </row>
    <row r="6441" spans="2:13" ht="18.75" customHeight="1" x14ac:dyDescent="0.25">
      <c r="B6441" s="356" t="s">
        <v>651</v>
      </c>
      <c r="C6441" s="365" t="s">
        <v>652</v>
      </c>
      <c r="D6441" s="435"/>
      <c r="E6441" s="91"/>
      <c r="F6441" s="185"/>
      <c r="G6441" s="296"/>
      <c r="H6441" s="359">
        <f>ROUNDUP((H6440+H6439)/100,0)*100</f>
        <v>53100</v>
      </c>
      <c r="M6441" s="185"/>
    </row>
    <row r="6442" spans="2:13" ht="18.75" customHeight="1" x14ac:dyDescent="0.25">
      <c r="B6442" s="360"/>
      <c r="C6442" s="366"/>
      <c r="D6442" s="245"/>
      <c r="E6442" s="246"/>
      <c r="F6442" s="247"/>
      <c r="G6442" s="299"/>
      <c r="H6442" s="361"/>
      <c r="M6442" s="247"/>
    </row>
    <row r="6443" spans="2:13" ht="18.75" customHeight="1" x14ac:dyDescent="0.25">
      <c r="G6443" s="66"/>
      <c r="H6443" s="138"/>
    </row>
    <row r="6444" spans="2:13" ht="18.75" customHeight="1" x14ac:dyDescent="0.25">
      <c r="B6444" s="19">
        <f>B6420+1</f>
        <v>20</v>
      </c>
      <c r="C6444" s="93" t="s">
        <v>1819</v>
      </c>
      <c r="D6444" s="19"/>
      <c r="E6444" s="21"/>
      <c r="F6444" s="176"/>
      <c r="G6444" s="165"/>
      <c r="H6444" s="119"/>
      <c r="M6444" s="176"/>
    </row>
    <row r="6445" spans="2:13" ht="18.75" customHeight="1" x14ac:dyDescent="0.25">
      <c r="B6445" s="618" t="s">
        <v>620</v>
      </c>
      <c r="C6445" s="620" t="s">
        <v>621</v>
      </c>
      <c r="D6445" s="618" t="s">
        <v>622</v>
      </c>
      <c r="E6445" s="618" t="s">
        <v>2</v>
      </c>
      <c r="F6445" s="615" t="s">
        <v>623</v>
      </c>
      <c r="G6445" s="289" t="s">
        <v>624</v>
      </c>
      <c r="H6445" s="256" t="s">
        <v>625</v>
      </c>
      <c r="M6445" s="615" t="s">
        <v>623</v>
      </c>
    </row>
    <row r="6446" spans="2:13" ht="18.75" customHeight="1" x14ac:dyDescent="0.25">
      <c r="B6446" s="619"/>
      <c r="C6446" s="621"/>
      <c r="D6446" s="619"/>
      <c r="E6446" s="619"/>
      <c r="F6446" s="616"/>
      <c r="G6446" s="289" t="s">
        <v>626</v>
      </c>
      <c r="H6446" s="256" t="s">
        <v>626</v>
      </c>
      <c r="M6446" s="616"/>
    </row>
    <row r="6447" spans="2:13" ht="18.75" customHeight="1" x14ac:dyDescent="0.25">
      <c r="B6447" s="221"/>
      <c r="C6447" s="222"/>
      <c r="D6447" s="221"/>
      <c r="E6447" s="550"/>
      <c r="F6447" s="555"/>
      <c r="G6447" s="551"/>
      <c r="H6447" s="220"/>
      <c r="M6447" s="590"/>
    </row>
    <row r="6448" spans="2:13" ht="18.75" customHeight="1" x14ac:dyDescent="0.25">
      <c r="B6448" s="550" t="s">
        <v>627</v>
      </c>
      <c r="C6448" s="223" t="s">
        <v>628</v>
      </c>
      <c r="D6448" s="550"/>
      <c r="E6448" s="224"/>
      <c r="F6448" s="225"/>
      <c r="G6448" s="290"/>
      <c r="H6448" s="226"/>
      <c r="M6448" s="225"/>
    </row>
    <row r="6449" spans="2:13" ht="18.75" customHeight="1" x14ac:dyDescent="0.25">
      <c r="B6449" s="550"/>
      <c r="C6449" s="227" t="s">
        <v>629</v>
      </c>
      <c r="D6449" s="550" t="s">
        <v>630</v>
      </c>
      <c r="E6449" s="224" t="s">
        <v>631</v>
      </c>
      <c r="F6449" s="228">
        <f t="shared" ref="F6449:F6452" si="286">$K$8*M6449</f>
        <v>0.15</v>
      </c>
      <c r="G6449" s="229">
        <f>G6425</f>
        <v>95000</v>
      </c>
      <c r="H6449" s="230">
        <f>+G6449*F6449</f>
        <v>14250</v>
      </c>
      <c r="M6449" s="228">
        <v>0.15</v>
      </c>
    </row>
    <row r="6450" spans="2:13" ht="18.75" customHeight="1" x14ac:dyDescent="0.25">
      <c r="B6450" s="550"/>
      <c r="C6450" s="227" t="s">
        <v>1508</v>
      </c>
      <c r="D6450" s="550" t="s">
        <v>634</v>
      </c>
      <c r="E6450" s="224" t="s">
        <v>631</v>
      </c>
      <c r="F6450" s="228">
        <f t="shared" si="286"/>
        <v>0.75</v>
      </c>
      <c r="G6450" s="229">
        <f>G6426</f>
        <v>110000</v>
      </c>
      <c r="H6450" s="230">
        <f>+G6450*F6450</f>
        <v>82500</v>
      </c>
      <c r="M6450" s="228">
        <v>0.75</v>
      </c>
    </row>
    <row r="6451" spans="2:13" ht="18.75" customHeight="1" x14ac:dyDescent="0.25">
      <c r="B6451" s="550"/>
      <c r="C6451" s="227" t="s">
        <v>633</v>
      </c>
      <c r="D6451" s="550" t="s">
        <v>1123</v>
      </c>
      <c r="E6451" s="224" t="s">
        <v>631</v>
      </c>
      <c r="F6451" s="228">
        <f t="shared" si="286"/>
        <v>0.08</v>
      </c>
      <c r="G6451" s="229">
        <f>G6427</f>
        <v>115000</v>
      </c>
      <c r="H6451" s="230">
        <f>+G6451*F6451</f>
        <v>9200</v>
      </c>
      <c r="M6451" s="228">
        <v>0.08</v>
      </c>
    </row>
    <row r="6452" spans="2:13" ht="18.75" customHeight="1" x14ac:dyDescent="0.25">
      <c r="B6452" s="550"/>
      <c r="C6452" s="227" t="s">
        <v>600</v>
      </c>
      <c r="D6452" s="550" t="s">
        <v>1124</v>
      </c>
      <c r="E6452" s="224" t="s">
        <v>631</v>
      </c>
      <c r="F6452" s="228">
        <f t="shared" si="286"/>
        <v>6.0000000000000001E-3</v>
      </c>
      <c r="G6452" s="229">
        <f>G6428</f>
        <v>140000</v>
      </c>
      <c r="H6452" s="230">
        <f>+G6452*F6452</f>
        <v>840</v>
      </c>
      <c r="M6452" s="228">
        <v>6.0000000000000001E-3</v>
      </c>
    </row>
    <row r="6453" spans="2:13" ht="18.75" customHeight="1" x14ac:dyDescent="0.25">
      <c r="B6453" s="550"/>
      <c r="C6453" s="223"/>
      <c r="D6453" s="550"/>
      <c r="E6453" s="224"/>
      <c r="F6453" s="233" t="s">
        <v>636</v>
      </c>
      <c r="G6453" s="290"/>
      <c r="H6453" s="231">
        <f>SUM(H6449:H6452)</f>
        <v>106790</v>
      </c>
      <c r="M6453" s="233" t="s">
        <v>636</v>
      </c>
    </row>
    <row r="6454" spans="2:13" ht="18.75" customHeight="1" x14ac:dyDescent="0.25">
      <c r="B6454" s="550" t="s">
        <v>637</v>
      </c>
      <c r="C6454" s="223" t="s">
        <v>638</v>
      </c>
      <c r="D6454" s="550"/>
      <c r="E6454" s="224"/>
      <c r="F6454" s="225"/>
      <c r="G6454" s="290"/>
      <c r="H6454" s="226"/>
      <c r="M6454" s="225"/>
    </row>
    <row r="6455" spans="2:13" ht="18.75" customHeight="1" x14ac:dyDescent="0.25">
      <c r="B6455" s="550"/>
      <c r="C6455" s="223" t="s">
        <v>1151</v>
      </c>
      <c r="D6455" s="550"/>
      <c r="E6455" s="550" t="s">
        <v>18</v>
      </c>
      <c r="F6455" s="405">
        <v>1.05</v>
      </c>
      <c r="G6455" s="418">
        <f>Bahan!D504</f>
        <v>78500</v>
      </c>
      <c r="H6455" s="230">
        <f>+G6455*F6455</f>
        <v>82425</v>
      </c>
      <c r="M6455" s="405">
        <v>1.05</v>
      </c>
    </row>
    <row r="6456" spans="2:13" ht="18.75" customHeight="1" x14ac:dyDescent="0.25">
      <c r="B6456" s="550"/>
      <c r="C6456" s="223" t="s">
        <v>1152</v>
      </c>
      <c r="D6456" s="550"/>
      <c r="E6456" s="550" t="s">
        <v>5</v>
      </c>
      <c r="F6456" s="405">
        <v>0.02</v>
      </c>
      <c r="G6456" s="418">
        <f>Bahan!D344</f>
        <v>40000</v>
      </c>
      <c r="H6456" s="230">
        <f>+G6456*F6456</f>
        <v>800</v>
      </c>
      <c r="M6456" s="405">
        <v>0.02</v>
      </c>
    </row>
    <row r="6457" spans="2:13" ht="18.75" customHeight="1" x14ac:dyDescent="0.25">
      <c r="B6457" s="550"/>
      <c r="C6457" s="223"/>
      <c r="D6457" s="550"/>
      <c r="E6457" s="224"/>
      <c r="F6457" s="237" t="s">
        <v>643</v>
      </c>
      <c r="G6457" s="290"/>
      <c r="H6457" s="231">
        <f>SUM(H6455:H6455)</f>
        <v>82425</v>
      </c>
      <c r="M6457" s="237" t="s">
        <v>643</v>
      </c>
    </row>
    <row r="6458" spans="2:13" ht="18.75" customHeight="1" x14ac:dyDescent="0.25">
      <c r="B6458" s="550"/>
      <c r="C6458" s="223"/>
      <c r="D6458" s="550"/>
      <c r="E6458" s="224"/>
      <c r="F6458" s="225"/>
      <c r="G6458" s="290"/>
      <c r="H6458" s="226"/>
      <c r="M6458" s="225"/>
    </row>
    <row r="6459" spans="2:13" ht="18.75" customHeight="1" x14ac:dyDescent="0.25">
      <c r="B6459" s="550" t="s">
        <v>644</v>
      </c>
      <c r="C6459" s="223" t="s">
        <v>645</v>
      </c>
      <c r="D6459" s="550"/>
      <c r="E6459" s="224"/>
      <c r="F6459" s="225"/>
      <c r="G6459" s="290"/>
      <c r="H6459" s="235"/>
      <c r="M6459" s="225"/>
    </row>
    <row r="6460" spans="2:13" ht="18.75" customHeight="1" x14ac:dyDescent="0.25">
      <c r="B6460" s="236"/>
      <c r="C6460" s="232"/>
      <c r="D6460" s="550"/>
      <c r="E6460" s="224"/>
      <c r="F6460" s="237" t="s">
        <v>646</v>
      </c>
      <c r="G6460" s="290"/>
      <c r="H6460" s="230"/>
      <c r="M6460" s="237" t="s">
        <v>646</v>
      </c>
    </row>
    <row r="6461" spans="2:13" ht="18.75" customHeight="1" x14ac:dyDescent="0.25">
      <c r="B6461" s="236"/>
      <c r="C6461" s="232"/>
      <c r="D6461" s="550"/>
      <c r="E6461" s="224"/>
      <c r="F6461" s="237"/>
      <c r="G6461" s="290"/>
      <c r="H6461" s="230"/>
      <c r="M6461" s="237"/>
    </row>
    <row r="6462" spans="2:13" ht="18.75" customHeight="1" x14ac:dyDescent="0.25">
      <c r="B6462" s="354"/>
      <c r="C6462" s="362"/>
      <c r="D6462" s="239"/>
      <c r="E6462" s="266"/>
      <c r="F6462" s="241"/>
      <c r="G6462" s="370"/>
      <c r="H6462" s="571"/>
      <c r="M6462" s="241"/>
    </row>
    <row r="6463" spans="2:13" ht="18.75" customHeight="1" x14ac:dyDescent="0.25">
      <c r="B6463" s="356" t="s">
        <v>647</v>
      </c>
      <c r="C6463" s="363" t="s">
        <v>648</v>
      </c>
      <c r="D6463" s="435"/>
      <c r="E6463" s="92"/>
      <c r="F6463" s="183"/>
      <c r="G6463" s="295"/>
      <c r="H6463" s="357">
        <f>+H6460+H6457+H6453</f>
        <v>189215</v>
      </c>
      <c r="M6463" s="183"/>
    </row>
    <row r="6464" spans="2:13" ht="18.75" customHeight="1" x14ac:dyDescent="0.25">
      <c r="B6464" s="356" t="s">
        <v>649</v>
      </c>
      <c r="C6464" s="364" t="s">
        <v>650</v>
      </c>
      <c r="D6464" s="435"/>
      <c r="E6464" s="92"/>
      <c r="F6464" s="184" t="str">
        <f>$J$5</f>
        <v>8,0 % x D</v>
      </c>
      <c r="G6464" s="295"/>
      <c r="H6464" s="358">
        <f>+H6463*$K$5</f>
        <v>15137.2</v>
      </c>
      <c r="M6464" s="184" t="str">
        <f>$J$5</f>
        <v>8,0 % x D</v>
      </c>
    </row>
    <row r="6465" spans="2:13" ht="18.75" customHeight="1" x14ac:dyDescent="0.25">
      <c r="B6465" s="356" t="s">
        <v>651</v>
      </c>
      <c r="C6465" s="365" t="s">
        <v>652</v>
      </c>
      <c r="D6465" s="435"/>
      <c r="E6465" s="91"/>
      <c r="F6465" s="185"/>
      <c r="G6465" s="296"/>
      <c r="H6465" s="359">
        <f>ROUNDUP((H6464+H6463)/100,0)*100</f>
        <v>204400</v>
      </c>
      <c r="M6465" s="185"/>
    </row>
    <row r="6466" spans="2:13" ht="18.75" customHeight="1" x14ac:dyDescent="0.25">
      <c r="B6466" s="360"/>
      <c r="C6466" s="366"/>
      <c r="D6466" s="245"/>
      <c r="E6466" s="246"/>
      <c r="F6466" s="247"/>
      <c r="G6466" s="299"/>
      <c r="H6466" s="361"/>
      <c r="M6466" s="247"/>
    </row>
    <row r="6467" spans="2:13" ht="18.75" customHeight="1" x14ac:dyDescent="0.25">
      <c r="B6467" s="92"/>
      <c r="C6467" s="104"/>
      <c r="D6467" s="435"/>
      <c r="E6467" s="91"/>
      <c r="F6467" s="185"/>
      <c r="G6467" s="168"/>
      <c r="H6467" s="139"/>
      <c r="M6467" s="185"/>
    </row>
    <row r="6468" spans="2:13" ht="18.75" customHeight="1" x14ac:dyDescent="0.25">
      <c r="B6468" s="19">
        <f>B6444+1</f>
        <v>21</v>
      </c>
      <c r="C6468" s="93" t="s">
        <v>1820</v>
      </c>
      <c r="D6468" s="19"/>
      <c r="E6468" s="21"/>
      <c r="F6468" s="176"/>
      <c r="G6468" s="165"/>
      <c r="H6468" s="119"/>
      <c r="M6468" s="176"/>
    </row>
    <row r="6469" spans="2:13" ht="18.75" customHeight="1" x14ac:dyDescent="0.25">
      <c r="B6469" s="618" t="s">
        <v>620</v>
      </c>
      <c r="C6469" s="620" t="s">
        <v>621</v>
      </c>
      <c r="D6469" s="618" t="s">
        <v>622</v>
      </c>
      <c r="E6469" s="618" t="s">
        <v>2</v>
      </c>
      <c r="F6469" s="615" t="s">
        <v>623</v>
      </c>
      <c r="G6469" s="289" t="s">
        <v>624</v>
      </c>
      <c r="H6469" s="256" t="s">
        <v>625</v>
      </c>
      <c r="M6469" s="615" t="s">
        <v>623</v>
      </c>
    </row>
    <row r="6470" spans="2:13" ht="18.75" customHeight="1" x14ac:dyDescent="0.25">
      <c r="B6470" s="619"/>
      <c r="C6470" s="621"/>
      <c r="D6470" s="619"/>
      <c r="E6470" s="619"/>
      <c r="F6470" s="616"/>
      <c r="G6470" s="289" t="s">
        <v>626</v>
      </c>
      <c r="H6470" s="256" t="s">
        <v>626</v>
      </c>
      <c r="M6470" s="616"/>
    </row>
    <row r="6471" spans="2:13" ht="18.75" customHeight="1" x14ac:dyDescent="0.25">
      <c r="B6471" s="221"/>
      <c r="C6471" s="222"/>
      <c r="D6471" s="221"/>
      <c r="E6471" s="550"/>
      <c r="F6471" s="555"/>
      <c r="G6471" s="551"/>
      <c r="H6471" s="220"/>
      <c r="M6471" s="590"/>
    </row>
    <row r="6472" spans="2:13" ht="18.75" customHeight="1" x14ac:dyDescent="0.25">
      <c r="B6472" s="550" t="s">
        <v>627</v>
      </c>
      <c r="C6472" s="223" t="s">
        <v>628</v>
      </c>
      <c r="D6472" s="550"/>
      <c r="E6472" s="224"/>
      <c r="F6472" s="225"/>
      <c r="G6472" s="290"/>
      <c r="H6472" s="226"/>
      <c r="M6472" s="225"/>
    </row>
    <row r="6473" spans="2:13" ht="18.75" customHeight="1" x14ac:dyDescent="0.25">
      <c r="B6473" s="550"/>
      <c r="C6473" s="227" t="s">
        <v>629</v>
      </c>
      <c r="D6473" s="550" t="s">
        <v>630</v>
      </c>
      <c r="E6473" s="224" t="s">
        <v>631</v>
      </c>
      <c r="F6473" s="228">
        <f t="shared" ref="F6473:F6476" si="287">$K$8*M6473</f>
        <v>0.3</v>
      </c>
      <c r="G6473" s="229">
        <f>G6449</f>
        <v>95000</v>
      </c>
      <c r="H6473" s="230">
        <f>+G6473*F6473</f>
        <v>28500</v>
      </c>
      <c r="M6473" s="228">
        <v>0.3</v>
      </c>
    </row>
    <row r="6474" spans="2:13" ht="18.75" customHeight="1" x14ac:dyDescent="0.25">
      <c r="B6474" s="550"/>
      <c r="C6474" s="227" t="s">
        <v>1508</v>
      </c>
      <c r="D6474" s="550" t="s">
        <v>634</v>
      </c>
      <c r="E6474" s="224" t="s">
        <v>631</v>
      </c>
      <c r="F6474" s="228">
        <f t="shared" si="287"/>
        <v>1</v>
      </c>
      <c r="G6474" s="229">
        <f>G6450</f>
        <v>110000</v>
      </c>
      <c r="H6474" s="230">
        <f>+G6474*F6474</f>
        <v>110000</v>
      </c>
      <c r="M6474" s="228">
        <v>1</v>
      </c>
    </row>
    <row r="6475" spans="2:13" ht="18.75" customHeight="1" x14ac:dyDescent="0.25">
      <c r="B6475" s="550"/>
      <c r="C6475" s="227" t="s">
        <v>633</v>
      </c>
      <c r="D6475" s="550" t="s">
        <v>1123</v>
      </c>
      <c r="E6475" s="224" t="s">
        <v>631</v>
      </c>
      <c r="F6475" s="228">
        <f t="shared" si="287"/>
        <v>0.01</v>
      </c>
      <c r="G6475" s="229">
        <f>G6451</f>
        <v>115000</v>
      </c>
      <c r="H6475" s="230">
        <f>+G6475*F6475</f>
        <v>1150</v>
      </c>
      <c r="M6475" s="228">
        <v>0.01</v>
      </c>
    </row>
    <row r="6476" spans="2:13" ht="18.75" customHeight="1" x14ac:dyDescent="0.25">
      <c r="B6476" s="550"/>
      <c r="C6476" s="227" t="s">
        <v>600</v>
      </c>
      <c r="D6476" s="550" t="s">
        <v>1124</v>
      </c>
      <c r="E6476" s="224" t="s">
        <v>631</v>
      </c>
      <c r="F6476" s="228">
        <f t="shared" si="287"/>
        <v>1E-3</v>
      </c>
      <c r="G6476" s="229">
        <f>G6452</f>
        <v>140000</v>
      </c>
      <c r="H6476" s="230">
        <f>+G6476*F6476</f>
        <v>140</v>
      </c>
      <c r="M6476" s="228">
        <v>1E-3</v>
      </c>
    </row>
    <row r="6477" spans="2:13" ht="18.75" customHeight="1" x14ac:dyDescent="0.25">
      <c r="B6477" s="550"/>
      <c r="C6477" s="223"/>
      <c r="D6477" s="550"/>
      <c r="E6477" s="224"/>
      <c r="F6477" s="233" t="s">
        <v>636</v>
      </c>
      <c r="G6477" s="290"/>
      <c r="H6477" s="231">
        <f>SUM(H6473:H6476)</f>
        <v>139790</v>
      </c>
      <c r="M6477" s="233" t="s">
        <v>636</v>
      </c>
    </row>
    <row r="6478" spans="2:13" ht="18.75" customHeight="1" x14ac:dyDescent="0.25">
      <c r="B6478" s="550" t="s">
        <v>637</v>
      </c>
      <c r="C6478" s="223" t="s">
        <v>638</v>
      </c>
      <c r="D6478" s="550"/>
      <c r="E6478" s="224"/>
      <c r="F6478" s="225"/>
      <c r="G6478" s="290"/>
      <c r="H6478" s="226"/>
      <c r="M6478" s="225"/>
    </row>
    <row r="6479" spans="2:13" ht="18.75" customHeight="1" x14ac:dyDescent="0.25">
      <c r="B6479" s="550"/>
      <c r="C6479" s="223" t="s">
        <v>1153</v>
      </c>
      <c r="D6479" s="550"/>
      <c r="E6479" s="550" t="s">
        <v>16</v>
      </c>
      <c r="F6479" s="405">
        <v>1.2</v>
      </c>
      <c r="G6479" s="418">
        <f>Bahan!D461</f>
        <v>90000</v>
      </c>
      <c r="H6479" s="230">
        <f>+G6479*F6479</f>
        <v>108000</v>
      </c>
      <c r="M6479" s="405">
        <v>1.2</v>
      </c>
    </row>
    <row r="6480" spans="2:13" ht="18.75" customHeight="1" x14ac:dyDescent="0.25">
      <c r="B6480" s="550"/>
      <c r="C6480" s="223" t="s">
        <v>1154</v>
      </c>
      <c r="D6480" s="550"/>
      <c r="E6480" s="550" t="s">
        <v>5</v>
      </c>
      <c r="F6480" s="405">
        <v>7.5499999999999998E-2</v>
      </c>
      <c r="G6480" s="234">
        <f>G6456</f>
        <v>40000</v>
      </c>
      <c r="H6480" s="230">
        <f>+G6480*F6480</f>
        <v>3020</v>
      </c>
      <c r="M6480" s="405">
        <v>7.5499999999999998E-2</v>
      </c>
    </row>
    <row r="6481" spans="2:13" ht="18.75" customHeight="1" x14ac:dyDescent="0.25">
      <c r="B6481" s="550"/>
      <c r="C6481" s="223"/>
      <c r="D6481" s="550"/>
      <c r="E6481" s="224"/>
      <c r="F6481" s="237" t="s">
        <v>643</v>
      </c>
      <c r="G6481" s="290"/>
      <c r="H6481" s="231">
        <f>SUM(H6479:H6479)</f>
        <v>108000</v>
      </c>
      <c r="M6481" s="237" t="s">
        <v>643</v>
      </c>
    </row>
    <row r="6482" spans="2:13" ht="18.75" customHeight="1" x14ac:dyDescent="0.25">
      <c r="B6482" s="550"/>
      <c r="C6482" s="223"/>
      <c r="D6482" s="550"/>
      <c r="E6482" s="224"/>
      <c r="F6482" s="225"/>
      <c r="G6482" s="290"/>
      <c r="H6482" s="226"/>
      <c r="M6482" s="225"/>
    </row>
    <row r="6483" spans="2:13" ht="18.75" customHeight="1" x14ac:dyDescent="0.25">
      <c r="B6483" s="550" t="s">
        <v>644</v>
      </c>
      <c r="C6483" s="223" t="s">
        <v>645</v>
      </c>
      <c r="D6483" s="550"/>
      <c r="E6483" s="224"/>
      <c r="F6483" s="225"/>
      <c r="G6483" s="290"/>
      <c r="H6483" s="235"/>
      <c r="M6483" s="225"/>
    </row>
    <row r="6484" spans="2:13" ht="18.75" customHeight="1" x14ac:dyDescent="0.25">
      <c r="B6484" s="236"/>
      <c r="C6484" s="232"/>
      <c r="D6484" s="550"/>
      <c r="E6484" s="224"/>
      <c r="F6484" s="237" t="s">
        <v>646</v>
      </c>
      <c r="G6484" s="290"/>
      <c r="H6484" s="230"/>
      <c r="M6484" s="237" t="s">
        <v>646</v>
      </c>
    </row>
    <row r="6485" spans="2:13" ht="18.75" customHeight="1" x14ac:dyDescent="0.25">
      <c r="B6485" s="236"/>
      <c r="C6485" s="232"/>
      <c r="D6485" s="550"/>
      <c r="E6485" s="224"/>
      <c r="F6485" s="237"/>
      <c r="G6485" s="290"/>
      <c r="H6485" s="226"/>
      <c r="M6485" s="237"/>
    </row>
    <row r="6486" spans="2:13" ht="18.75" customHeight="1" x14ac:dyDescent="0.25">
      <c r="B6486" s="354"/>
      <c r="C6486" s="362"/>
      <c r="D6486" s="239"/>
      <c r="E6486" s="266"/>
      <c r="F6486" s="241"/>
      <c r="G6486" s="370"/>
      <c r="H6486" s="369"/>
      <c r="M6486" s="241"/>
    </row>
    <row r="6487" spans="2:13" ht="18.75" customHeight="1" x14ac:dyDescent="0.25">
      <c r="B6487" s="356" t="s">
        <v>647</v>
      </c>
      <c r="C6487" s="363" t="s">
        <v>648</v>
      </c>
      <c r="D6487" s="435"/>
      <c r="E6487" s="92"/>
      <c r="F6487" s="183"/>
      <c r="G6487" s="295"/>
      <c r="H6487" s="357">
        <f>+H6484+H6481+H6477</f>
        <v>247790</v>
      </c>
      <c r="M6487" s="183"/>
    </row>
    <row r="6488" spans="2:13" ht="18.75" customHeight="1" x14ac:dyDescent="0.25">
      <c r="B6488" s="356" t="s">
        <v>649</v>
      </c>
      <c r="C6488" s="364" t="s">
        <v>650</v>
      </c>
      <c r="D6488" s="435"/>
      <c r="E6488" s="92"/>
      <c r="F6488" s="184" t="str">
        <f>$J$5</f>
        <v>8,0 % x D</v>
      </c>
      <c r="G6488" s="295"/>
      <c r="H6488" s="358">
        <f>+H6487*$K$5</f>
        <v>19823.2</v>
      </c>
      <c r="M6488" s="184" t="str">
        <f>$J$5</f>
        <v>8,0 % x D</v>
      </c>
    </row>
    <row r="6489" spans="2:13" ht="18.75" customHeight="1" x14ac:dyDescent="0.25">
      <c r="B6489" s="356" t="s">
        <v>651</v>
      </c>
      <c r="C6489" s="365" t="s">
        <v>652</v>
      </c>
      <c r="D6489" s="435"/>
      <c r="E6489" s="91"/>
      <c r="F6489" s="185"/>
      <c r="G6489" s="296"/>
      <c r="H6489" s="359">
        <f>ROUNDUP((H6488+H6487)/100,0)*100</f>
        <v>267700</v>
      </c>
      <c r="M6489" s="185"/>
    </row>
    <row r="6490" spans="2:13" ht="18.75" customHeight="1" x14ac:dyDescent="0.25">
      <c r="B6490" s="360"/>
      <c r="C6490" s="366"/>
      <c r="D6490" s="245"/>
      <c r="E6490" s="246"/>
      <c r="F6490" s="247"/>
      <c r="G6490" s="299"/>
      <c r="H6490" s="361"/>
      <c r="M6490" s="247"/>
    </row>
    <row r="6491" spans="2:13" ht="18.75" customHeight="1" x14ac:dyDescent="0.25">
      <c r="B6491" s="92"/>
      <c r="C6491" s="104"/>
      <c r="D6491" s="435"/>
      <c r="E6491" s="91"/>
      <c r="F6491" s="185"/>
      <c r="G6491" s="168"/>
      <c r="H6491" s="139"/>
      <c r="M6491" s="185"/>
    </row>
    <row r="6492" spans="2:13" ht="18.75" customHeight="1" x14ac:dyDescent="0.25">
      <c r="B6492" s="19">
        <f>B6468+1</f>
        <v>22</v>
      </c>
      <c r="C6492" s="93" t="s">
        <v>1155</v>
      </c>
      <c r="D6492" s="19"/>
      <c r="E6492" s="21"/>
      <c r="F6492" s="176"/>
      <c r="G6492" s="165"/>
      <c r="H6492" s="119"/>
      <c r="M6492" s="176"/>
    </row>
    <row r="6493" spans="2:13" ht="18.75" customHeight="1" x14ac:dyDescent="0.25">
      <c r="B6493" s="618" t="s">
        <v>620</v>
      </c>
      <c r="C6493" s="620" t="s">
        <v>621</v>
      </c>
      <c r="D6493" s="618" t="s">
        <v>622</v>
      </c>
      <c r="E6493" s="618" t="s">
        <v>2</v>
      </c>
      <c r="F6493" s="615" t="s">
        <v>623</v>
      </c>
      <c r="G6493" s="289" t="s">
        <v>624</v>
      </c>
      <c r="H6493" s="256" t="s">
        <v>625</v>
      </c>
      <c r="M6493" s="615" t="s">
        <v>623</v>
      </c>
    </row>
    <row r="6494" spans="2:13" ht="18.75" customHeight="1" x14ac:dyDescent="0.25">
      <c r="B6494" s="619"/>
      <c r="C6494" s="621"/>
      <c r="D6494" s="619"/>
      <c r="E6494" s="619"/>
      <c r="F6494" s="616"/>
      <c r="G6494" s="289" t="s">
        <v>626</v>
      </c>
      <c r="H6494" s="256" t="s">
        <v>626</v>
      </c>
      <c r="M6494" s="616"/>
    </row>
    <row r="6495" spans="2:13" ht="18.75" customHeight="1" x14ac:dyDescent="0.25">
      <c r="B6495" s="221"/>
      <c r="C6495" s="222"/>
      <c r="D6495" s="221"/>
      <c r="E6495" s="550"/>
      <c r="F6495" s="555"/>
      <c r="G6495" s="551"/>
      <c r="H6495" s="220"/>
      <c r="M6495" s="590"/>
    </row>
    <row r="6496" spans="2:13" ht="18.75" customHeight="1" x14ac:dyDescent="0.25">
      <c r="B6496" s="550" t="s">
        <v>627</v>
      </c>
      <c r="C6496" s="223" t="s">
        <v>628</v>
      </c>
      <c r="D6496" s="550"/>
      <c r="E6496" s="224"/>
      <c r="F6496" s="225"/>
      <c r="G6496" s="290"/>
      <c r="H6496" s="226"/>
      <c r="M6496" s="225"/>
    </row>
    <row r="6497" spans="2:13" ht="18.75" customHeight="1" x14ac:dyDescent="0.25">
      <c r="B6497" s="550"/>
      <c r="C6497" s="227" t="s">
        <v>629</v>
      </c>
      <c r="D6497" s="550" t="s">
        <v>630</v>
      </c>
      <c r="E6497" s="224" t="s">
        <v>631</v>
      </c>
      <c r="F6497" s="228">
        <f t="shared" ref="F6497:F6500" si="288">$K$8*M6497</f>
        <v>0.15</v>
      </c>
      <c r="G6497" s="229">
        <f>G6473</f>
        <v>95000</v>
      </c>
      <c r="H6497" s="230">
        <f>+G6497*F6497</f>
        <v>14250</v>
      </c>
      <c r="M6497" s="228">
        <v>0.15</v>
      </c>
    </row>
    <row r="6498" spans="2:13" ht="18.75" customHeight="1" x14ac:dyDescent="0.25">
      <c r="B6498" s="550"/>
      <c r="C6498" s="227" t="s">
        <v>1508</v>
      </c>
      <c r="D6498" s="550" t="s">
        <v>634</v>
      </c>
      <c r="E6498" s="224" t="s">
        <v>631</v>
      </c>
      <c r="F6498" s="228">
        <f t="shared" si="288"/>
        <v>7.4999999999999997E-2</v>
      </c>
      <c r="G6498" s="229">
        <f>G6474</f>
        <v>110000</v>
      </c>
      <c r="H6498" s="230">
        <f>+G6498*F6498</f>
        <v>8250</v>
      </c>
      <c r="M6498" s="228">
        <v>7.4999999999999997E-2</v>
      </c>
    </row>
    <row r="6499" spans="2:13" ht="18.75" customHeight="1" x14ac:dyDescent="0.25">
      <c r="B6499" s="550"/>
      <c r="C6499" s="227" t="s">
        <v>633</v>
      </c>
      <c r="D6499" s="550" t="s">
        <v>1123</v>
      </c>
      <c r="E6499" s="224" t="s">
        <v>631</v>
      </c>
      <c r="F6499" s="228">
        <f t="shared" si="288"/>
        <v>5.0000000000000001E-3</v>
      </c>
      <c r="G6499" s="229">
        <f>G6475</f>
        <v>115000</v>
      </c>
      <c r="H6499" s="230">
        <f>+G6499*F6499</f>
        <v>575</v>
      </c>
      <c r="M6499" s="228">
        <v>5.0000000000000001E-3</v>
      </c>
    </row>
    <row r="6500" spans="2:13" ht="18.75" customHeight="1" x14ac:dyDescent="0.25">
      <c r="B6500" s="550"/>
      <c r="C6500" s="227" t="s">
        <v>600</v>
      </c>
      <c r="D6500" s="550" t="s">
        <v>1124</v>
      </c>
      <c r="E6500" s="224" t="s">
        <v>631</v>
      </c>
      <c r="F6500" s="228">
        <f t="shared" si="288"/>
        <v>8.0000000000000002E-3</v>
      </c>
      <c r="G6500" s="229">
        <f>G6476</f>
        <v>140000</v>
      </c>
      <c r="H6500" s="230">
        <f>+G6500*F6500</f>
        <v>1120</v>
      </c>
      <c r="M6500" s="228">
        <v>8.0000000000000002E-3</v>
      </c>
    </row>
    <row r="6501" spans="2:13" ht="18.75" customHeight="1" x14ac:dyDescent="0.25">
      <c r="B6501" s="550"/>
      <c r="C6501" s="223"/>
      <c r="D6501" s="550"/>
      <c r="E6501" s="224"/>
      <c r="F6501" s="233" t="s">
        <v>636</v>
      </c>
      <c r="G6501" s="290"/>
      <c r="H6501" s="231">
        <f>SUM(H6497:H6500)</f>
        <v>24195</v>
      </c>
      <c r="M6501" s="233" t="s">
        <v>636</v>
      </c>
    </row>
    <row r="6502" spans="2:13" ht="18.75" customHeight="1" x14ac:dyDescent="0.25">
      <c r="B6502" s="550" t="s">
        <v>637</v>
      </c>
      <c r="C6502" s="223" t="s">
        <v>638</v>
      </c>
      <c r="D6502" s="550"/>
      <c r="E6502" s="224"/>
      <c r="F6502" s="225"/>
      <c r="G6502" s="290"/>
      <c r="H6502" s="226"/>
      <c r="M6502" s="225"/>
    </row>
    <row r="6503" spans="2:13" ht="18.75" customHeight="1" x14ac:dyDescent="0.25">
      <c r="B6503" s="550"/>
      <c r="C6503" s="223" t="s">
        <v>1156</v>
      </c>
      <c r="D6503" s="550"/>
      <c r="E6503" s="550" t="s">
        <v>1087</v>
      </c>
      <c r="F6503" s="405">
        <v>1.05</v>
      </c>
      <c r="G6503" s="418">
        <f>Bahan!D394</f>
        <v>25000</v>
      </c>
      <c r="H6503" s="230">
        <f>+G6503*F6503</f>
        <v>26250</v>
      </c>
      <c r="M6503" s="405">
        <v>1.05</v>
      </c>
    </row>
    <row r="6504" spans="2:13" ht="18.75" customHeight="1" x14ac:dyDescent="0.25">
      <c r="B6504" s="550"/>
      <c r="C6504" s="223"/>
      <c r="D6504" s="550"/>
      <c r="E6504" s="224"/>
      <c r="F6504" s="237" t="s">
        <v>643</v>
      </c>
      <c r="G6504" s="290"/>
      <c r="H6504" s="231">
        <f>SUM(H6503:H6503)</f>
        <v>26250</v>
      </c>
      <c r="M6504" s="237" t="s">
        <v>643</v>
      </c>
    </row>
    <row r="6505" spans="2:13" ht="18.75" customHeight="1" x14ac:dyDescent="0.25">
      <c r="B6505" s="550"/>
      <c r="C6505" s="223"/>
      <c r="D6505" s="550"/>
      <c r="E6505" s="224"/>
      <c r="F6505" s="225"/>
      <c r="G6505" s="290"/>
      <c r="H6505" s="226"/>
      <c r="M6505" s="225"/>
    </row>
    <row r="6506" spans="2:13" ht="18.75" customHeight="1" x14ac:dyDescent="0.25">
      <c r="B6506" s="550" t="s">
        <v>644</v>
      </c>
      <c r="C6506" s="223" t="s">
        <v>645</v>
      </c>
      <c r="D6506" s="550"/>
      <c r="E6506" s="224"/>
      <c r="F6506" s="225"/>
      <c r="G6506" s="290"/>
      <c r="H6506" s="235"/>
      <c r="M6506" s="225"/>
    </row>
    <row r="6507" spans="2:13" ht="18.75" customHeight="1" x14ac:dyDescent="0.25">
      <c r="B6507" s="236"/>
      <c r="C6507" s="232"/>
      <c r="D6507" s="550"/>
      <c r="E6507" s="224"/>
      <c r="F6507" s="237" t="s">
        <v>646</v>
      </c>
      <c r="G6507" s="290"/>
      <c r="H6507" s="230"/>
      <c r="M6507" s="237" t="s">
        <v>646</v>
      </c>
    </row>
    <row r="6508" spans="2:13" ht="18.75" customHeight="1" x14ac:dyDescent="0.25">
      <c r="B6508" s="236"/>
      <c r="C6508" s="232"/>
      <c r="D6508" s="550"/>
      <c r="E6508" s="224"/>
      <c r="F6508" s="237"/>
      <c r="G6508" s="290"/>
      <c r="H6508" s="226"/>
      <c r="M6508" s="237"/>
    </row>
    <row r="6509" spans="2:13" ht="18.75" customHeight="1" x14ac:dyDescent="0.25">
      <c r="B6509" s="354"/>
      <c r="C6509" s="362"/>
      <c r="D6509" s="239"/>
      <c r="E6509" s="266"/>
      <c r="F6509" s="241"/>
      <c r="G6509" s="370"/>
      <c r="H6509" s="369"/>
      <c r="M6509" s="241"/>
    </row>
    <row r="6510" spans="2:13" ht="18.75" customHeight="1" x14ac:dyDescent="0.25">
      <c r="B6510" s="356" t="s">
        <v>647</v>
      </c>
      <c r="C6510" s="363" t="s">
        <v>648</v>
      </c>
      <c r="D6510" s="435"/>
      <c r="E6510" s="92"/>
      <c r="F6510" s="183"/>
      <c r="G6510" s="295"/>
      <c r="H6510" s="357">
        <f>H6501+H6504</f>
        <v>50445</v>
      </c>
      <c r="M6510" s="183"/>
    </row>
    <row r="6511" spans="2:13" ht="18.75" customHeight="1" x14ac:dyDescent="0.25">
      <c r="B6511" s="356" t="s">
        <v>649</v>
      </c>
      <c r="C6511" s="364" t="s">
        <v>650</v>
      </c>
      <c r="D6511" s="435"/>
      <c r="E6511" s="92"/>
      <c r="F6511" s="184" t="str">
        <f>$J$5</f>
        <v>8,0 % x D</v>
      </c>
      <c r="G6511" s="295"/>
      <c r="H6511" s="358">
        <f>+H6510*$K$5</f>
        <v>4035.6</v>
      </c>
      <c r="M6511" s="184" t="str">
        <f>$J$5</f>
        <v>8,0 % x D</v>
      </c>
    </row>
    <row r="6512" spans="2:13" ht="18.75" customHeight="1" x14ac:dyDescent="0.25">
      <c r="B6512" s="356" t="s">
        <v>651</v>
      </c>
      <c r="C6512" s="365" t="s">
        <v>652</v>
      </c>
      <c r="D6512" s="435"/>
      <c r="E6512" s="91"/>
      <c r="F6512" s="185"/>
      <c r="G6512" s="296"/>
      <c r="H6512" s="359">
        <f>ROUNDUP((H6511+H6510)/100,0)*100</f>
        <v>54500</v>
      </c>
      <c r="M6512" s="185"/>
    </row>
    <row r="6513" spans="1:13" ht="18.75" customHeight="1" x14ac:dyDescent="0.25">
      <c r="B6513" s="360"/>
      <c r="C6513" s="366"/>
      <c r="D6513" s="245"/>
      <c r="E6513" s="246"/>
      <c r="F6513" s="247"/>
      <c r="G6513" s="299"/>
      <c r="H6513" s="361"/>
      <c r="M6513" s="247"/>
    </row>
    <row r="6514" spans="1:13" ht="18.75" customHeight="1" x14ac:dyDescent="0.25">
      <c r="B6514" s="22"/>
      <c r="C6514" s="104"/>
      <c r="E6514" s="21"/>
      <c r="F6514" s="176"/>
      <c r="G6514" s="165"/>
      <c r="H6514" s="119"/>
      <c r="M6514" s="176"/>
    </row>
    <row r="6515" spans="1:13" ht="18.75" customHeight="1" x14ac:dyDescent="0.25">
      <c r="A6515" s="388" t="s">
        <v>1120</v>
      </c>
      <c r="B6515" s="389" t="s">
        <v>1157</v>
      </c>
      <c r="C6515" s="390"/>
      <c r="D6515" s="391"/>
      <c r="E6515" s="392"/>
      <c r="F6515" s="393"/>
      <c r="G6515" s="452"/>
      <c r="H6515" s="394"/>
      <c r="M6515" s="393"/>
    </row>
    <row r="6516" spans="1:13" ht="18.75" customHeight="1" x14ac:dyDescent="0.25">
      <c r="G6516" s="66"/>
      <c r="H6516" s="138"/>
    </row>
    <row r="6517" spans="1:13" ht="18.75" customHeight="1" x14ac:dyDescent="0.25">
      <c r="B6517" s="19">
        <v>1</v>
      </c>
      <c r="C6517" s="93" t="s">
        <v>1158</v>
      </c>
      <c r="D6517" s="19"/>
      <c r="E6517" s="21"/>
      <c r="F6517" s="176"/>
      <c r="G6517" s="165"/>
      <c r="H6517" s="119"/>
      <c r="M6517" s="176"/>
    </row>
    <row r="6518" spans="1:13" ht="18.75" customHeight="1" x14ac:dyDescent="0.25">
      <c r="B6518" s="618" t="s">
        <v>620</v>
      </c>
      <c r="C6518" s="620" t="s">
        <v>621</v>
      </c>
      <c r="D6518" s="618" t="s">
        <v>622</v>
      </c>
      <c r="E6518" s="618" t="s">
        <v>2</v>
      </c>
      <c r="F6518" s="615" t="s">
        <v>623</v>
      </c>
      <c r="G6518" s="289" t="s">
        <v>624</v>
      </c>
      <c r="H6518" s="256" t="s">
        <v>625</v>
      </c>
      <c r="M6518" s="615" t="s">
        <v>623</v>
      </c>
    </row>
    <row r="6519" spans="1:13" ht="18.75" customHeight="1" x14ac:dyDescent="0.25">
      <c r="B6519" s="619"/>
      <c r="C6519" s="621"/>
      <c r="D6519" s="619"/>
      <c r="E6519" s="619"/>
      <c r="F6519" s="616"/>
      <c r="G6519" s="289" t="s">
        <v>626</v>
      </c>
      <c r="H6519" s="256" t="s">
        <v>626</v>
      </c>
      <c r="M6519" s="616"/>
    </row>
    <row r="6520" spans="1:13" ht="18.75" customHeight="1" x14ac:dyDescent="0.25">
      <c r="B6520" s="23"/>
      <c r="C6520" s="95"/>
      <c r="D6520" s="24"/>
      <c r="E6520" s="25"/>
      <c r="F6520" s="177"/>
      <c r="G6520" s="166"/>
      <c r="H6520" s="120"/>
      <c r="M6520" s="177"/>
    </row>
    <row r="6521" spans="1:13" ht="18.75" customHeight="1" x14ac:dyDescent="0.25">
      <c r="B6521" s="26" t="s">
        <v>627</v>
      </c>
      <c r="C6521" s="89" t="s">
        <v>628</v>
      </c>
      <c r="D6521" s="27"/>
      <c r="E6521" s="28"/>
      <c r="F6521" s="178"/>
      <c r="G6521" s="72"/>
      <c r="H6521" s="121"/>
      <c r="M6521" s="178"/>
    </row>
    <row r="6522" spans="1:13" ht="18.75" customHeight="1" x14ac:dyDescent="0.25">
      <c r="B6522" s="26"/>
      <c r="C6522" s="96" t="s">
        <v>629</v>
      </c>
      <c r="D6522" s="27" t="s">
        <v>630</v>
      </c>
      <c r="E6522" s="28" t="s">
        <v>631</v>
      </c>
      <c r="F6522" s="228">
        <f t="shared" ref="F6522:F6525" si="289">$K$8*M6522</f>
        <v>7</v>
      </c>
      <c r="G6522" s="29">
        <f>G6497</f>
        <v>95000</v>
      </c>
      <c r="H6522" s="122">
        <f>+G6522*F6522</f>
        <v>665000</v>
      </c>
      <c r="M6522" s="61">
        <v>7</v>
      </c>
    </row>
    <row r="6523" spans="1:13" ht="18.75" customHeight="1" x14ac:dyDescent="0.25">
      <c r="B6523" s="26"/>
      <c r="C6523" s="96" t="s">
        <v>1508</v>
      </c>
      <c r="D6523" s="27" t="s">
        <v>634</v>
      </c>
      <c r="E6523" s="28" t="s">
        <v>631</v>
      </c>
      <c r="F6523" s="228">
        <f t="shared" si="289"/>
        <v>21</v>
      </c>
      <c r="G6523" s="29">
        <f>G6498</f>
        <v>110000</v>
      </c>
      <c r="H6523" s="122">
        <f>+G6523*F6523</f>
        <v>2310000</v>
      </c>
      <c r="M6523" s="61">
        <v>21</v>
      </c>
    </row>
    <row r="6524" spans="1:13" ht="18.75" customHeight="1" x14ac:dyDescent="0.25">
      <c r="B6524" s="26"/>
      <c r="C6524" s="96" t="s">
        <v>633</v>
      </c>
      <c r="D6524" s="27" t="s">
        <v>634</v>
      </c>
      <c r="E6524" s="28" t="s">
        <v>631</v>
      </c>
      <c r="F6524" s="228">
        <f t="shared" si="289"/>
        <v>2.1</v>
      </c>
      <c r="G6524" s="29">
        <f>G6499</f>
        <v>115000</v>
      </c>
      <c r="H6524" s="122">
        <f>+G6524*F6524</f>
        <v>241500</v>
      </c>
      <c r="M6524" s="61">
        <v>2.1</v>
      </c>
    </row>
    <row r="6525" spans="1:13" ht="18.75" customHeight="1" x14ac:dyDescent="0.25">
      <c r="B6525" s="26"/>
      <c r="C6525" s="96" t="s">
        <v>600</v>
      </c>
      <c r="D6525" s="27" t="s">
        <v>635</v>
      </c>
      <c r="E6525" s="36" t="s">
        <v>631</v>
      </c>
      <c r="F6525" s="228">
        <f t="shared" si="289"/>
        <v>0.35</v>
      </c>
      <c r="G6525" s="29">
        <f>G6500</f>
        <v>140000</v>
      </c>
      <c r="H6525" s="123">
        <f>+G6525*F6525</f>
        <v>49000</v>
      </c>
      <c r="M6525" s="193">
        <v>0.35</v>
      </c>
    </row>
    <row r="6526" spans="1:13" ht="18.75" customHeight="1" x14ac:dyDescent="0.25">
      <c r="B6526" s="26"/>
      <c r="C6526" s="89"/>
      <c r="D6526" s="63"/>
      <c r="E6526" s="30"/>
      <c r="F6526" s="192" t="s">
        <v>636</v>
      </c>
      <c r="G6526" s="310"/>
      <c r="H6526" s="124">
        <f>SUM(H6522:H6525)</f>
        <v>3265500</v>
      </c>
      <c r="M6526" s="192" t="s">
        <v>636</v>
      </c>
    </row>
    <row r="6527" spans="1:13" ht="18.75" customHeight="1" x14ac:dyDescent="0.25">
      <c r="B6527" s="26"/>
      <c r="C6527" s="89"/>
      <c r="D6527" s="58"/>
      <c r="E6527" s="62"/>
      <c r="F6527" s="52"/>
      <c r="G6527" s="76"/>
      <c r="H6527" s="132"/>
      <c r="M6527" s="52"/>
    </row>
    <row r="6528" spans="1:13" ht="18.75" customHeight="1" x14ac:dyDescent="0.25">
      <c r="B6528" s="26" t="s">
        <v>637</v>
      </c>
      <c r="C6528" s="89" t="s">
        <v>638</v>
      </c>
      <c r="D6528" s="64"/>
      <c r="E6528" s="31"/>
      <c r="F6528" s="180"/>
      <c r="G6528" s="75"/>
      <c r="H6528" s="125"/>
      <c r="M6528" s="180"/>
    </row>
    <row r="6529" spans="2:13" ht="18.75" customHeight="1" x14ac:dyDescent="0.25">
      <c r="B6529" s="26"/>
      <c r="C6529" s="89" t="s">
        <v>1159</v>
      </c>
      <c r="D6529" s="64"/>
      <c r="E6529" s="64" t="s">
        <v>8</v>
      </c>
      <c r="F6529" s="205">
        <v>1.1000000000000001</v>
      </c>
      <c r="G6529" s="75">
        <f>Bahan!D248</f>
        <v>12850000</v>
      </c>
      <c r="H6529" s="122">
        <f>+G6529*F6529</f>
        <v>14135000.000000002</v>
      </c>
      <c r="J6529" s="558" t="s">
        <v>222</v>
      </c>
      <c r="M6529" s="205">
        <v>1.1000000000000001</v>
      </c>
    </row>
    <row r="6530" spans="2:13" ht="18.75" customHeight="1" x14ac:dyDescent="0.25">
      <c r="B6530" s="26"/>
      <c r="C6530" s="89" t="s">
        <v>1160</v>
      </c>
      <c r="D6530" s="64"/>
      <c r="E6530" s="64" t="s">
        <v>5</v>
      </c>
      <c r="F6530" s="205">
        <v>1.25</v>
      </c>
      <c r="G6530" s="75">
        <f>G6432</f>
        <v>25000</v>
      </c>
      <c r="H6530" s="122">
        <f>+G6530*F6530</f>
        <v>31250</v>
      </c>
      <c r="M6530" s="205">
        <v>1.25</v>
      </c>
    </row>
    <row r="6531" spans="2:13" ht="18.75" customHeight="1" x14ac:dyDescent="0.25">
      <c r="B6531" s="26"/>
      <c r="C6531" s="89" t="s">
        <v>1161</v>
      </c>
      <c r="D6531" s="58"/>
      <c r="E6531" s="58" t="s">
        <v>5</v>
      </c>
      <c r="F6531" s="206">
        <v>1</v>
      </c>
      <c r="G6531" s="75">
        <f>Bahan!D198</f>
        <v>15000</v>
      </c>
      <c r="H6531" s="122">
        <f>+G6531*F6531</f>
        <v>15000</v>
      </c>
      <c r="M6531" s="206">
        <v>1</v>
      </c>
    </row>
    <row r="6532" spans="2:13" ht="18.75" customHeight="1" x14ac:dyDescent="0.25">
      <c r="B6532" s="26"/>
      <c r="C6532" s="89"/>
      <c r="D6532" s="63"/>
      <c r="E6532" s="30"/>
      <c r="F6532" s="179" t="s">
        <v>643</v>
      </c>
      <c r="G6532" s="310"/>
      <c r="H6532" s="124">
        <f>SUM(H6529:H6531)</f>
        <v>14181250.000000002</v>
      </c>
      <c r="M6532" s="179" t="s">
        <v>643</v>
      </c>
    </row>
    <row r="6533" spans="2:13" ht="18.75" customHeight="1" x14ac:dyDescent="0.25">
      <c r="B6533" s="26"/>
      <c r="C6533" s="89"/>
      <c r="D6533" s="64"/>
      <c r="E6533" s="31"/>
      <c r="F6533" s="180"/>
      <c r="G6533" s="75"/>
      <c r="H6533" s="125"/>
      <c r="M6533" s="180"/>
    </row>
    <row r="6534" spans="2:13" ht="18.75" customHeight="1" x14ac:dyDescent="0.25">
      <c r="B6534" s="26" t="s">
        <v>644</v>
      </c>
      <c r="C6534" s="89" t="s">
        <v>645</v>
      </c>
      <c r="D6534" s="56"/>
      <c r="E6534" s="36"/>
      <c r="F6534" s="194"/>
      <c r="G6534" s="88"/>
      <c r="H6534" s="127"/>
      <c r="M6534" s="194"/>
    </row>
    <row r="6535" spans="2:13" ht="18.75" customHeight="1" x14ac:dyDescent="0.25">
      <c r="B6535" s="35"/>
      <c r="C6535" s="97"/>
      <c r="D6535" s="63"/>
      <c r="E6535" s="30"/>
      <c r="F6535" s="179" t="s">
        <v>646</v>
      </c>
      <c r="G6535" s="310"/>
      <c r="H6535" s="128"/>
      <c r="M6535" s="179" t="s">
        <v>646</v>
      </c>
    </row>
    <row r="6536" spans="2:13" ht="18.75" customHeight="1" x14ac:dyDescent="0.25">
      <c r="B6536" s="37"/>
      <c r="C6536" s="98"/>
      <c r="D6536" s="411"/>
      <c r="E6536" s="42"/>
      <c r="F6536" s="181"/>
      <c r="G6536" s="311"/>
      <c r="H6536" s="129"/>
      <c r="M6536" s="181"/>
    </row>
    <row r="6537" spans="2:13" ht="18.75" customHeight="1" x14ac:dyDescent="0.25">
      <c r="B6537" s="50"/>
      <c r="C6537" s="100"/>
      <c r="E6537" s="21"/>
      <c r="F6537" s="189"/>
      <c r="G6537" s="90"/>
      <c r="H6537" s="137"/>
      <c r="M6537" s="189"/>
    </row>
    <row r="6538" spans="2:13" ht="18.75" customHeight="1" x14ac:dyDescent="0.25">
      <c r="B6538" s="46" t="s">
        <v>647</v>
      </c>
      <c r="C6538" s="101" t="s">
        <v>648</v>
      </c>
      <c r="E6538" s="22"/>
      <c r="F6538" s="189"/>
      <c r="G6538" s="308"/>
      <c r="H6538" s="131">
        <f>+H6535+H6532+H6526</f>
        <v>17446750</v>
      </c>
      <c r="M6538" s="189"/>
    </row>
    <row r="6539" spans="2:13" ht="18.75" customHeight="1" x14ac:dyDescent="0.25">
      <c r="B6539" s="356" t="s">
        <v>649</v>
      </c>
      <c r="C6539" s="364" t="s">
        <v>650</v>
      </c>
      <c r="D6539" s="435"/>
      <c r="E6539" s="92"/>
      <c r="F6539" s="184" t="str">
        <f>$J$5</f>
        <v>8,0 % x D</v>
      </c>
      <c r="G6539" s="295"/>
      <c r="H6539" s="358">
        <f>+H6538*$K$5</f>
        <v>1395740</v>
      </c>
      <c r="M6539" s="184" t="str">
        <f>$J$5</f>
        <v>8,0 % x D</v>
      </c>
    </row>
    <row r="6540" spans="2:13" ht="18.75" customHeight="1" x14ac:dyDescent="0.25">
      <c r="B6540" s="356" t="s">
        <v>651</v>
      </c>
      <c r="C6540" s="365" t="s">
        <v>652</v>
      </c>
      <c r="D6540" s="435"/>
      <c r="E6540" s="91"/>
      <c r="F6540" s="185"/>
      <c r="G6540" s="296"/>
      <c r="H6540" s="359">
        <f>ROUNDUP((H6539+H6538)/100,0)*100</f>
        <v>18842500</v>
      </c>
      <c r="M6540" s="185"/>
    </row>
    <row r="6541" spans="2:13" ht="18.75" customHeight="1" thickBot="1" x14ac:dyDescent="0.3">
      <c r="B6541" s="47"/>
      <c r="C6541" s="103"/>
      <c r="D6541" s="48"/>
      <c r="E6541" s="49"/>
      <c r="F6541" s="186"/>
      <c r="G6541" s="309"/>
      <c r="H6541" s="136"/>
      <c r="M6541" s="186"/>
    </row>
    <row r="6542" spans="2:13" ht="18.75" customHeight="1" x14ac:dyDescent="0.25">
      <c r="B6542" s="92"/>
      <c r="C6542" s="104"/>
      <c r="D6542" s="435"/>
      <c r="E6542" s="91"/>
      <c r="F6542" s="185"/>
      <c r="G6542" s="168"/>
      <c r="H6542" s="139"/>
      <c r="M6542" s="185"/>
    </row>
    <row r="6543" spans="2:13" ht="18.75" customHeight="1" x14ac:dyDescent="0.25">
      <c r="B6543" s="19">
        <v>2</v>
      </c>
      <c r="C6543" s="93" t="s">
        <v>1162</v>
      </c>
      <c r="D6543" s="19"/>
      <c r="E6543" s="21"/>
      <c r="F6543" s="176"/>
      <c r="G6543" s="165"/>
      <c r="H6543" s="119"/>
      <c r="M6543" s="176"/>
    </row>
    <row r="6544" spans="2:13" ht="18.75" customHeight="1" x14ac:dyDescent="0.25">
      <c r="B6544" s="618" t="s">
        <v>620</v>
      </c>
      <c r="C6544" s="620" t="s">
        <v>621</v>
      </c>
      <c r="D6544" s="618" t="s">
        <v>622</v>
      </c>
      <c r="E6544" s="618" t="s">
        <v>2</v>
      </c>
      <c r="F6544" s="615" t="s">
        <v>623</v>
      </c>
      <c r="G6544" s="289" t="s">
        <v>624</v>
      </c>
      <c r="H6544" s="256" t="s">
        <v>625</v>
      </c>
      <c r="M6544" s="615" t="s">
        <v>623</v>
      </c>
    </row>
    <row r="6545" spans="2:13" ht="18.75" customHeight="1" x14ac:dyDescent="0.25">
      <c r="B6545" s="619"/>
      <c r="C6545" s="621"/>
      <c r="D6545" s="619"/>
      <c r="E6545" s="619"/>
      <c r="F6545" s="616"/>
      <c r="G6545" s="289" t="s">
        <v>626</v>
      </c>
      <c r="H6545" s="256" t="s">
        <v>626</v>
      </c>
      <c r="M6545" s="616"/>
    </row>
    <row r="6546" spans="2:13" ht="18.75" customHeight="1" x14ac:dyDescent="0.25">
      <c r="B6546" s="23"/>
      <c r="C6546" s="95"/>
      <c r="D6546" s="24"/>
      <c r="E6546" s="25"/>
      <c r="F6546" s="177"/>
      <c r="G6546" s="166"/>
      <c r="H6546" s="120"/>
      <c r="M6546" s="177"/>
    </row>
    <row r="6547" spans="2:13" ht="18.75" customHeight="1" x14ac:dyDescent="0.25">
      <c r="B6547" s="26" t="s">
        <v>627</v>
      </c>
      <c r="C6547" s="89" t="s">
        <v>628</v>
      </c>
      <c r="D6547" s="27"/>
      <c r="E6547" s="28"/>
      <c r="F6547" s="178"/>
      <c r="G6547" s="72"/>
      <c r="H6547" s="121"/>
      <c r="M6547" s="178"/>
    </row>
    <row r="6548" spans="2:13" ht="18.75" customHeight="1" x14ac:dyDescent="0.25">
      <c r="B6548" s="26"/>
      <c r="C6548" s="96" t="s">
        <v>629</v>
      </c>
      <c r="D6548" s="27" t="s">
        <v>630</v>
      </c>
      <c r="E6548" s="28" t="s">
        <v>631</v>
      </c>
      <c r="F6548" s="228">
        <f t="shared" ref="F6548:F6551" si="290">$K$8*M6548</f>
        <v>6</v>
      </c>
      <c r="G6548" s="29">
        <f>G6522</f>
        <v>95000</v>
      </c>
      <c r="H6548" s="122">
        <f>+G6548*F6548</f>
        <v>570000</v>
      </c>
      <c r="M6548" s="61">
        <v>6</v>
      </c>
    </row>
    <row r="6549" spans="2:13" ht="18.75" customHeight="1" x14ac:dyDescent="0.25">
      <c r="B6549" s="26"/>
      <c r="C6549" s="96" t="s">
        <v>1508</v>
      </c>
      <c r="D6549" s="27" t="s">
        <v>634</v>
      </c>
      <c r="E6549" s="28" t="s">
        <v>631</v>
      </c>
      <c r="F6549" s="228">
        <f t="shared" si="290"/>
        <v>18</v>
      </c>
      <c r="G6549" s="29">
        <f>G6523</f>
        <v>110000</v>
      </c>
      <c r="H6549" s="122">
        <f>+G6549*F6549</f>
        <v>1980000</v>
      </c>
      <c r="M6549" s="61">
        <v>18</v>
      </c>
    </row>
    <row r="6550" spans="2:13" ht="18.75" customHeight="1" x14ac:dyDescent="0.25">
      <c r="B6550" s="26"/>
      <c r="C6550" s="96" t="s">
        <v>633</v>
      </c>
      <c r="D6550" s="27" t="s">
        <v>634</v>
      </c>
      <c r="E6550" s="28" t="s">
        <v>631</v>
      </c>
      <c r="F6550" s="228">
        <f t="shared" si="290"/>
        <v>1.8</v>
      </c>
      <c r="G6550" s="29">
        <f>G6524</f>
        <v>115000</v>
      </c>
      <c r="H6550" s="122">
        <f>+G6550*F6550</f>
        <v>207000</v>
      </c>
      <c r="M6550" s="61">
        <v>1.8</v>
      </c>
    </row>
    <row r="6551" spans="2:13" ht="18.75" customHeight="1" x14ac:dyDescent="0.25">
      <c r="B6551" s="26"/>
      <c r="C6551" s="96" t="s">
        <v>600</v>
      </c>
      <c r="D6551" s="27" t="s">
        <v>635</v>
      </c>
      <c r="E6551" s="36" t="s">
        <v>631</v>
      </c>
      <c r="F6551" s="228">
        <f t="shared" si="290"/>
        <v>0.3</v>
      </c>
      <c r="G6551" s="29">
        <f>G6525</f>
        <v>140000</v>
      </c>
      <c r="H6551" s="123">
        <f>+G6551*F6551</f>
        <v>42000</v>
      </c>
      <c r="M6551" s="193">
        <v>0.3</v>
      </c>
    </row>
    <row r="6552" spans="2:13" ht="18.75" customHeight="1" x14ac:dyDescent="0.25">
      <c r="B6552" s="26"/>
      <c r="C6552" s="89"/>
      <c r="D6552" s="63"/>
      <c r="E6552" s="30"/>
      <c r="F6552" s="192" t="s">
        <v>636</v>
      </c>
      <c r="G6552" s="310"/>
      <c r="H6552" s="124">
        <f>SUM(H6548:H6551)</f>
        <v>2799000</v>
      </c>
      <c r="M6552" s="192" t="s">
        <v>636</v>
      </c>
    </row>
    <row r="6553" spans="2:13" ht="18.75" customHeight="1" x14ac:dyDescent="0.25">
      <c r="B6553" s="26"/>
      <c r="C6553" s="89"/>
      <c r="D6553" s="58"/>
      <c r="E6553" s="62"/>
      <c r="F6553" s="52"/>
      <c r="G6553" s="76"/>
      <c r="H6553" s="132"/>
      <c r="M6553" s="52"/>
    </row>
    <row r="6554" spans="2:13" ht="18.75" customHeight="1" x14ac:dyDescent="0.25">
      <c r="B6554" s="26" t="s">
        <v>637</v>
      </c>
      <c r="C6554" s="89" t="s">
        <v>638</v>
      </c>
      <c r="D6554" s="64"/>
      <c r="E6554" s="31"/>
      <c r="F6554" s="180"/>
      <c r="G6554" s="75"/>
      <c r="H6554" s="125"/>
      <c r="M6554" s="180"/>
    </row>
    <row r="6555" spans="2:13" ht="18.75" customHeight="1" x14ac:dyDescent="0.25">
      <c r="B6555" s="26"/>
      <c r="C6555" s="89" t="s">
        <v>1159</v>
      </c>
      <c r="D6555" s="64"/>
      <c r="E6555" s="64" t="s">
        <v>8</v>
      </c>
      <c r="F6555" s="205">
        <v>1.2</v>
      </c>
      <c r="G6555" s="75">
        <f>Bahan!D253</f>
        <v>9350000</v>
      </c>
      <c r="H6555" s="122">
        <f>+G6555*F6555</f>
        <v>11220000</v>
      </c>
      <c r="J6555" s="558" t="s">
        <v>228</v>
      </c>
      <c r="M6555" s="205">
        <v>1.2</v>
      </c>
    </row>
    <row r="6556" spans="2:13" ht="18.75" customHeight="1" x14ac:dyDescent="0.25">
      <c r="B6556" s="26"/>
      <c r="C6556" s="89" t="s">
        <v>1160</v>
      </c>
      <c r="D6556" s="64"/>
      <c r="E6556" s="64" t="s">
        <v>5</v>
      </c>
      <c r="F6556" s="205">
        <v>1.25</v>
      </c>
      <c r="G6556" s="34">
        <f>+G6530</f>
        <v>25000</v>
      </c>
      <c r="H6556" s="122">
        <f>+G6556*F6556</f>
        <v>31250</v>
      </c>
      <c r="M6556" s="205">
        <v>1.25</v>
      </c>
    </row>
    <row r="6557" spans="2:13" ht="18.75" customHeight="1" x14ac:dyDescent="0.25">
      <c r="B6557" s="26"/>
      <c r="C6557" s="89" t="s">
        <v>1161</v>
      </c>
      <c r="D6557" s="58"/>
      <c r="E6557" s="58" t="s">
        <v>5</v>
      </c>
      <c r="F6557" s="206">
        <v>1</v>
      </c>
      <c r="G6557" s="76">
        <f>+G6531</f>
        <v>15000</v>
      </c>
      <c r="H6557" s="132">
        <f>+F6557*G6557</f>
        <v>15000</v>
      </c>
      <c r="M6557" s="206">
        <v>1</v>
      </c>
    </row>
    <row r="6558" spans="2:13" ht="18.75" customHeight="1" x14ac:dyDescent="0.25">
      <c r="B6558" s="26"/>
      <c r="C6558" s="89"/>
      <c r="D6558" s="63"/>
      <c r="E6558" s="30"/>
      <c r="F6558" s="179" t="s">
        <v>643</v>
      </c>
      <c r="G6558" s="310"/>
      <c r="H6558" s="124">
        <f>SUM(H6555:H6557)</f>
        <v>11266250</v>
      </c>
      <c r="M6558" s="179" t="s">
        <v>643</v>
      </c>
    </row>
    <row r="6559" spans="2:13" ht="18.75" customHeight="1" x14ac:dyDescent="0.25">
      <c r="B6559" s="26"/>
      <c r="C6559" s="89"/>
      <c r="D6559" s="64"/>
      <c r="E6559" s="31"/>
      <c r="F6559" s="180"/>
      <c r="G6559" s="75"/>
      <c r="H6559" s="125"/>
      <c r="M6559" s="180"/>
    </row>
    <row r="6560" spans="2:13" ht="18.75" customHeight="1" x14ac:dyDescent="0.25">
      <c r="B6560" s="26" t="s">
        <v>644</v>
      </c>
      <c r="C6560" s="89" t="s">
        <v>645</v>
      </c>
      <c r="D6560" s="56"/>
      <c r="E6560" s="36"/>
      <c r="F6560" s="194"/>
      <c r="G6560" s="88"/>
      <c r="H6560" s="127"/>
      <c r="M6560" s="194"/>
    </row>
    <row r="6561" spans="2:13" ht="18.75" customHeight="1" x14ac:dyDescent="0.25">
      <c r="B6561" s="35"/>
      <c r="C6561" s="97"/>
      <c r="D6561" s="63"/>
      <c r="E6561" s="30"/>
      <c r="F6561" s="179" t="s">
        <v>646</v>
      </c>
      <c r="G6561" s="310"/>
      <c r="H6561" s="128"/>
      <c r="M6561" s="179" t="s">
        <v>646</v>
      </c>
    </row>
    <row r="6562" spans="2:13" ht="18.75" customHeight="1" x14ac:dyDescent="0.25">
      <c r="B6562" s="37"/>
      <c r="C6562" s="98"/>
      <c r="D6562" s="411"/>
      <c r="E6562" s="42"/>
      <c r="F6562" s="181"/>
      <c r="G6562" s="311"/>
      <c r="H6562" s="129"/>
      <c r="M6562" s="181"/>
    </row>
    <row r="6563" spans="2:13" ht="18.75" customHeight="1" x14ac:dyDescent="0.25">
      <c r="B6563" s="50"/>
      <c r="C6563" s="100"/>
      <c r="D6563" s="81"/>
      <c r="E6563" s="21"/>
      <c r="F6563" s="189"/>
      <c r="G6563" s="312"/>
      <c r="H6563" s="160"/>
      <c r="M6563" s="189"/>
    </row>
    <row r="6564" spans="2:13" ht="18.75" customHeight="1" x14ac:dyDescent="0.25">
      <c r="B6564" s="46" t="s">
        <v>647</v>
      </c>
      <c r="C6564" s="101" t="s">
        <v>648</v>
      </c>
      <c r="D6564" s="82"/>
      <c r="E6564" s="22"/>
      <c r="F6564" s="189"/>
      <c r="G6564" s="308"/>
      <c r="H6564" s="150">
        <f>+H6561+H6558+H6552</f>
        <v>14065250</v>
      </c>
      <c r="M6564" s="189"/>
    </row>
    <row r="6565" spans="2:13" ht="18.75" customHeight="1" x14ac:dyDescent="0.25">
      <c r="B6565" s="356" t="s">
        <v>649</v>
      </c>
      <c r="C6565" s="364" t="s">
        <v>650</v>
      </c>
      <c r="D6565" s="435"/>
      <c r="E6565" s="92"/>
      <c r="F6565" s="184" t="str">
        <f>$J$5</f>
        <v>8,0 % x D</v>
      </c>
      <c r="G6565" s="295"/>
      <c r="H6565" s="358">
        <f>+H6564*$K$5</f>
        <v>1125220</v>
      </c>
      <c r="M6565" s="184" t="str">
        <f>$J$5</f>
        <v>8,0 % x D</v>
      </c>
    </row>
    <row r="6566" spans="2:13" ht="18.75" customHeight="1" x14ac:dyDescent="0.25">
      <c r="B6566" s="356" t="s">
        <v>651</v>
      </c>
      <c r="C6566" s="365" t="s">
        <v>652</v>
      </c>
      <c r="D6566" s="435"/>
      <c r="E6566" s="91"/>
      <c r="F6566" s="185"/>
      <c r="G6566" s="296"/>
      <c r="H6566" s="359">
        <f>ROUNDUP((H6565+H6564)/100,0)*100</f>
        <v>15190500</v>
      </c>
      <c r="M6566" s="185"/>
    </row>
    <row r="6567" spans="2:13" ht="18.75" customHeight="1" thickBot="1" x14ac:dyDescent="0.3">
      <c r="B6567" s="47"/>
      <c r="C6567" s="103"/>
      <c r="D6567" s="83"/>
      <c r="E6567" s="49"/>
      <c r="F6567" s="186"/>
      <c r="G6567" s="309"/>
      <c r="H6567" s="153"/>
      <c r="M6567" s="186"/>
    </row>
    <row r="6568" spans="2:13" ht="18.75" customHeight="1" x14ac:dyDescent="0.25">
      <c r="B6568" s="22"/>
      <c r="C6568" s="104"/>
      <c r="E6568" s="21"/>
      <c r="F6568" s="176"/>
      <c r="G6568" s="165"/>
      <c r="H6568" s="119"/>
      <c r="M6568" s="176"/>
    </row>
    <row r="6569" spans="2:13" ht="18.75" customHeight="1" x14ac:dyDescent="0.25">
      <c r="B6569" s="19">
        <v>3</v>
      </c>
      <c r="C6569" s="93" t="s">
        <v>1163</v>
      </c>
      <c r="D6569" s="19"/>
      <c r="E6569" s="21"/>
      <c r="F6569" s="176"/>
      <c r="G6569" s="165"/>
      <c r="H6569" s="119"/>
      <c r="M6569" s="176"/>
    </row>
    <row r="6570" spans="2:13" ht="18.75" customHeight="1" x14ac:dyDescent="0.25">
      <c r="B6570" s="618" t="s">
        <v>620</v>
      </c>
      <c r="C6570" s="620" t="s">
        <v>621</v>
      </c>
      <c r="D6570" s="618" t="s">
        <v>622</v>
      </c>
      <c r="E6570" s="618" t="s">
        <v>2</v>
      </c>
      <c r="F6570" s="615" t="s">
        <v>623</v>
      </c>
      <c r="G6570" s="289" t="s">
        <v>624</v>
      </c>
      <c r="H6570" s="256" t="s">
        <v>625</v>
      </c>
      <c r="M6570" s="615" t="s">
        <v>623</v>
      </c>
    </row>
    <row r="6571" spans="2:13" ht="18.75" customHeight="1" x14ac:dyDescent="0.25">
      <c r="B6571" s="619"/>
      <c r="C6571" s="621"/>
      <c r="D6571" s="619"/>
      <c r="E6571" s="619"/>
      <c r="F6571" s="616"/>
      <c r="G6571" s="289" t="s">
        <v>626</v>
      </c>
      <c r="H6571" s="256" t="s">
        <v>626</v>
      </c>
      <c r="M6571" s="616"/>
    </row>
    <row r="6572" spans="2:13" ht="18.75" customHeight="1" x14ac:dyDescent="0.25">
      <c r="B6572" s="23"/>
      <c r="C6572" s="95"/>
      <c r="D6572" s="24"/>
      <c r="E6572" s="25"/>
      <c r="F6572" s="177"/>
      <c r="G6572" s="166"/>
      <c r="H6572" s="120"/>
      <c r="M6572" s="177"/>
    </row>
    <row r="6573" spans="2:13" ht="18.75" customHeight="1" x14ac:dyDescent="0.25">
      <c r="B6573" s="26" t="s">
        <v>627</v>
      </c>
      <c r="C6573" s="89" t="s">
        <v>628</v>
      </c>
      <c r="D6573" s="27"/>
      <c r="E6573" s="28"/>
      <c r="F6573" s="178"/>
      <c r="G6573" s="72"/>
      <c r="H6573" s="121"/>
      <c r="M6573" s="178"/>
    </row>
    <row r="6574" spans="2:13" ht="18.75" customHeight="1" x14ac:dyDescent="0.25">
      <c r="B6574" s="26"/>
      <c r="C6574" s="96" t="s">
        <v>629</v>
      </c>
      <c r="D6574" s="27" t="s">
        <v>630</v>
      </c>
      <c r="E6574" s="28" t="s">
        <v>631</v>
      </c>
      <c r="F6574" s="228">
        <f t="shared" ref="F6574:F6577" si="291">$K$8*M6574</f>
        <v>0.35</v>
      </c>
      <c r="G6574" s="29">
        <f>G6548</f>
        <v>95000</v>
      </c>
      <c r="H6574" s="122">
        <f>+G6574*F6574</f>
        <v>33250</v>
      </c>
      <c r="M6574" s="61">
        <v>0.35</v>
      </c>
    </row>
    <row r="6575" spans="2:13" ht="18.75" customHeight="1" x14ac:dyDescent="0.25">
      <c r="B6575" s="26"/>
      <c r="C6575" s="96" t="s">
        <v>1508</v>
      </c>
      <c r="D6575" s="27" t="s">
        <v>634</v>
      </c>
      <c r="E6575" s="28" t="s">
        <v>631</v>
      </c>
      <c r="F6575" s="228">
        <f t="shared" si="291"/>
        <v>1.05</v>
      </c>
      <c r="G6575" s="29">
        <f>G6549</f>
        <v>110000</v>
      </c>
      <c r="H6575" s="122">
        <f>+G6575*F6575</f>
        <v>115500</v>
      </c>
      <c r="M6575" s="61">
        <v>1.05</v>
      </c>
    </row>
    <row r="6576" spans="2:13" ht="18.75" customHeight="1" x14ac:dyDescent="0.25">
      <c r="B6576" s="26"/>
      <c r="C6576" s="96" t="s">
        <v>633</v>
      </c>
      <c r="D6576" s="27" t="s">
        <v>634</v>
      </c>
      <c r="E6576" s="28" t="s">
        <v>631</v>
      </c>
      <c r="F6576" s="228">
        <f t="shared" si="291"/>
        <v>0.105</v>
      </c>
      <c r="G6576" s="29">
        <f>G6550</f>
        <v>115000</v>
      </c>
      <c r="H6576" s="122">
        <f>+G6576*F6576</f>
        <v>12075</v>
      </c>
      <c r="M6576" s="61">
        <v>0.105</v>
      </c>
    </row>
    <row r="6577" spans="2:13" ht="18.75" customHeight="1" x14ac:dyDescent="0.25">
      <c r="B6577" s="26"/>
      <c r="C6577" s="96" t="s">
        <v>600</v>
      </c>
      <c r="D6577" s="27" t="s">
        <v>635</v>
      </c>
      <c r="E6577" s="36" t="s">
        <v>631</v>
      </c>
      <c r="F6577" s="228">
        <f t="shared" si="291"/>
        <v>1.7999999999999999E-2</v>
      </c>
      <c r="G6577" s="29">
        <f>G6551</f>
        <v>140000</v>
      </c>
      <c r="H6577" s="123">
        <f>+G6577*F6577</f>
        <v>2520</v>
      </c>
      <c r="M6577" s="193">
        <v>1.7999999999999999E-2</v>
      </c>
    </row>
    <row r="6578" spans="2:13" ht="18.75" customHeight="1" x14ac:dyDescent="0.25">
      <c r="B6578" s="26"/>
      <c r="C6578" s="89"/>
      <c r="D6578" s="63"/>
      <c r="E6578" s="30"/>
      <c r="F6578" s="192" t="s">
        <v>636</v>
      </c>
      <c r="G6578" s="310"/>
      <c r="H6578" s="124">
        <f>SUM(H6574:H6577)</f>
        <v>163345</v>
      </c>
      <c r="M6578" s="192" t="s">
        <v>636</v>
      </c>
    </row>
    <row r="6579" spans="2:13" ht="18.75" customHeight="1" x14ac:dyDescent="0.25">
      <c r="B6579" s="26"/>
      <c r="C6579" s="89"/>
      <c r="D6579" s="58"/>
      <c r="E6579" s="62"/>
      <c r="F6579" s="52"/>
      <c r="G6579" s="76"/>
      <c r="H6579" s="140"/>
      <c r="M6579" s="52"/>
    </row>
    <row r="6580" spans="2:13" ht="18.75" customHeight="1" x14ac:dyDescent="0.25">
      <c r="B6580" s="26" t="s">
        <v>637</v>
      </c>
      <c r="C6580" s="89" t="s">
        <v>638</v>
      </c>
      <c r="D6580" s="64"/>
      <c r="E6580" s="31"/>
      <c r="F6580" s="180"/>
      <c r="G6580" s="75"/>
      <c r="H6580" s="125"/>
      <c r="M6580" s="180"/>
    </row>
    <row r="6581" spans="2:13" ht="18.75" customHeight="1" x14ac:dyDescent="0.25">
      <c r="B6581" s="26"/>
      <c r="C6581" s="89" t="s">
        <v>1164</v>
      </c>
      <c r="D6581" s="64"/>
      <c r="E6581" s="64" t="s">
        <v>1013</v>
      </c>
      <c r="F6581" s="205">
        <v>7.4999999999999997E-2</v>
      </c>
      <c r="G6581" s="34">
        <f>Bahan!D256</f>
        <v>9850000</v>
      </c>
      <c r="H6581" s="122">
        <f>+G6581*F6581</f>
        <v>738750</v>
      </c>
      <c r="J6581" s="558" t="s">
        <v>231</v>
      </c>
      <c r="M6581" s="205">
        <v>7.4999999999999997E-2</v>
      </c>
    </row>
    <row r="6582" spans="2:13" ht="18.75" customHeight="1" x14ac:dyDescent="0.25">
      <c r="B6582" s="26"/>
      <c r="C6582" s="89" t="s">
        <v>1165</v>
      </c>
      <c r="D6582" s="64"/>
      <c r="E6582" s="64" t="s">
        <v>5</v>
      </c>
      <c r="F6582" s="205">
        <v>7.4999999999999997E-2</v>
      </c>
      <c r="G6582" s="34">
        <f>+G6556</f>
        <v>25000</v>
      </c>
      <c r="H6582" s="122">
        <f>+G6582*F6582</f>
        <v>1875</v>
      </c>
      <c r="M6582" s="205">
        <v>7.4999999999999997E-2</v>
      </c>
    </row>
    <row r="6583" spans="2:13" ht="18.75" customHeight="1" x14ac:dyDescent="0.25">
      <c r="B6583" s="26"/>
      <c r="C6583" s="89"/>
      <c r="D6583" s="63"/>
      <c r="E6583" s="30"/>
      <c r="F6583" s="179" t="s">
        <v>643</v>
      </c>
      <c r="G6583" s="310"/>
      <c r="H6583" s="124">
        <f>SUM(H6581:H6582)</f>
        <v>740625</v>
      </c>
      <c r="M6583" s="179" t="s">
        <v>643</v>
      </c>
    </row>
    <row r="6584" spans="2:13" ht="18.75" customHeight="1" x14ac:dyDescent="0.25">
      <c r="B6584" s="26"/>
      <c r="C6584" s="89"/>
      <c r="D6584" s="64"/>
      <c r="E6584" s="31"/>
      <c r="F6584" s="180"/>
      <c r="G6584" s="75"/>
      <c r="H6584" s="125"/>
      <c r="M6584" s="180"/>
    </row>
    <row r="6585" spans="2:13" ht="18.75" customHeight="1" x14ac:dyDescent="0.25">
      <c r="B6585" s="26" t="s">
        <v>644</v>
      </c>
      <c r="C6585" s="89" t="s">
        <v>645</v>
      </c>
      <c r="D6585" s="56"/>
      <c r="E6585" s="36"/>
      <c r="F6585" s="194"/>
      <c r="G6585" s="88"/>
      <c r="H6585" s="127"/>
      <c r="M6585" s="194"/>
    </row>
    <row r="6586" spans="2:13" ht="18.75" customHeight="1" x14ac:dyDescent="0.25">
      <c r="B6586" s="35"/>
      <c r="C6586" s="97"/>
      <c r="D6586" s="63"/>
      <c r="E6586" s="30"/>
      <c r="F6586" s="179" t="s">
        <v>646</v>
      </c>
      <c r="G6586" s="310"/>
      <c r="H6586" s="128"/>
      <c r="M6586" s="179" t="s">
        <v>646</v>
      </c>
    </row>
    <row r="6587" spans="2:13" ht="18.75" customHeight="1" x14ac:dyDescent="0.25">
      <c r="B6587" s="37"/>
      <c r="C6587" s="98"/>
      <c r="D6587" s="411"/>
      <c r="E6587" s="42"/>
      <c r="F6587" s="181"/>
      <c r="G6587" s="311"/>
      <c r="H6587" s="129"/>
      <c r="M6587" s="181"/>
    </row>
    <row r="6588" spans="2:13" ht="18.75" customHeight="1" x14ac:dyDescent="0.25">
      <c r="B6588" s="50"/>
      <c r="C6588" s="100"/>
      <c r="E6588" s="21"/>
      <c r="F6588" s="189"/>
      <c r="G6588" s="90"/>
      <c r="H6588" s="137"/>
      <c r="M6588" s="189"/>
    </row>
    <row r="6589" spans="2:13" ht="18.75" customHeight="1" x14ac:dyDescent="0.25">
      <c r="B6589" s="46" t="s">
        <v>647</v>
      </c>
      <c r="C6589" s="101" t="s">
        <v>648</v>
      </c>
      <c r="E6589" s="22"/>
      <c r="F6589" s="189"/>
      <c r="G6589" s="308"/>
      <c r="H6589" s="131">
        <f>+H6586+H6583+H6578</f>
        <v>903970</v>
      </c>
      <c r="M6589" s="189"/>
    </row>
    <row r="6590" spans="2:13" ht="18.75" customHeight="1" x14ac:dyDescent="0.25">
      <c r="B6590" s="356" t="s">
        <v>649</v>
      </c>
      <c r="C6590" s="364" t="s">
        <v>650</v>
      </c>
      <c r="D6590" s="435"/>
      <c r="E6590" s="92"/>
      <c r="F6590" s="184" t="str">
        <f>$J$5</f>
        <v>8,0 % x D</v>
      </c>
      <c r="G6590" s="295"/>
      <c r="H6590" s="358">
        <f>+H6589*$K$5</f>
        <v>72317.600000000006</v>
      </c>
      <c r="M6590" s="184" t="str">
        <f>$J$5</f>
        <v>8,0 % x D</v>
      </c>
    </row>
    <row r="6591" spans="2:13" ht="18.75" customHeight="1" x14ac:dyDescent="0.25">
      <c r="B6591" s="356" t="s">
        <v>651</v>
      </c>
      <c r="C6591" s="365" t="s">
        <v>652</v>
      </c>
      <c r="D6591" s="435"/>
      <c r="E6591" s="91"/>
      <c r="F6591" s="185"/>
      <c r="G6591" s="296"/>
      <c r="H6591" s="359">
        <f>ROUNDUP((H6590+H6589)/100,0)*100</f>
        <v>976300</v>
      </c>
      <c r="M6591" s="185"/>
    </row>
    <row r="6592" spans="2:13" ht="18.75" customHeight="1" thickBot="1" x14ac:dyDescent="0.3">
      <c r="B6592" s="47"/>
      <c r="C6592" s="103"/>
      <c r="D6592" s="48"/>
      <c r="E6592" s="49"/>
      <c r="F6592" s="186"/>
      <c r="G6592" s="309"/>
      <c r="H6592" s="136"/>
      <c r="M6592" s="186"/>
    </row>
    <row r="6593" spans="2:13" ht="18.75" customHeight="1" x14ac:dyDescent="0.25">
      <c r="B6593" s="92"/>
      <c r="C6593" s="104"/>
      <c r="D6593" s="435"/>
      <c r="E6593" s="91"/>
      <c r="F6593" s="185"/>
      <c r="G6593" s="168"/>
      <c r="H6593" s="139"/>
      <c r="M6593" s="185"/>
    </row>
    <row r="6594" spans="2:13" ht="18.75" customHeight="1" x14ac:dyDescent="0.25">
      <c r="B6594" s="19">
        <v>4</v>
      </c>
      <c r="C6594" s="93" t="s">
        <v>1166</v>
      </c>
      <c r="D6594" s="19"/>
      <c r="E6594" s="21"/>
      <c r="F6594" s="176"/>
      <c r="G6594" s="165"/>
      <c r="H6594" s="119"/>
      <c r="M6594" s="176"/>
    </row>
    <row r="6595" spans="2:13" ht="18.75" customHeight="1" x14ac:dyDescent="0.25">
      <c r="B6595" s="618" t="s">
        <v>620</v>
      </c>
      <c r="C6595" s="620" t="s">
        <v>621</v>
      </c>
      <c r="D6595" s="618" t="s">
        <v>622</v>
      </c>
      <c r="E6595" s="618" t="s">
        <v>2</v>
      </c>
      <c r="F6595" s="615" t="s">
        <v>623</v>
      </c>
      <c r="G6595" s="289" t="s">
        <v>624</v>
      </c>
      <c r="H6595" s="256" t="s">
        <v>625</v>
      </c>
      <c r="M6595" s="615" t="s">
        <v>623</v>
      </c>
    </row>
    <row r="6596" spans="2:13" ht="18.75" customHeight="1" x14ac:dyDescent="0.25">
      <c r="B6596" s="619"/>
      <c r="C6596" s="621"/>
      <c r="D6596" s="619"/>
      <c r="E6596" s="619"/>
      <c r="F6596" s="616"/>
      <c r="G6596" s="289" t="s">
        <v>626</v>
      </c>
      <c r="H6596" s="256" t="s">
        <v>626</v>
      </c>
      <c r="M6596" s="616"/>
    </row>
    <row r="6597" spans="2:13" ht="18.75" customHeight="1" x14ac:dyDescent="0.25">
      <c r="B6597" s="23"/>
      <c r="C6597" s="95"/>
      <c r="D6597" s="24"/>
      <c r="E6597" s="25"/>
      <c r="F6597" s="177"/>
      <c r="G6597" s="166"/>
      <c r="H6597" s="120"/>
      <c r="M6597" s="177"/>
    </row>
    <row r="6598" spans="2:13" ht="18.75" customHeight="1" x14ac:dyDescent="0.25">
      <c r="B6598" s="26" t="s">
        <v>627</v>
      </c>
      <c r="C6598" s="89" t="s">
        <v>628</v>
      </c>
      <c r="D6598" s="27"/>
      <c r="E6598" s="28"/>
      <c r="F6598" s="178"/>
      <c r="G6598" s="72"/>
      <c r="H6598" s="121"/>
      <c r="M6598" s="178"/>
    </row>
    <row r="6599" spans="2:13" ht="18.75" customHeight="1" x14ac:dyDescent="0.25">
      <c r="B6599" s="26"/>
      <c r="C6599" s="96" t="s">
        <v>629</v>
      </c>
      <c r="D6599" s="27" t="s">
        <v>630</v>
      </c>
      <c r="E6599" s="28" t="s">
        <v>631</v>
      </c>
      <c r="F6599" s="228">
        <f t="shared" ref="F6599:F6602" si="292">$K$8*M6599</f>
        <v>0.08</v>
      </c>
      <c r="G6599" s="29">
        <f>G6548</f>
        <v>95000</v>
      </c>
      <c r="H6599" s="122">
        <f>+G6599*F6599</f>
        <v>7600</v>
      </c>
      <c r="J6599" s="473"/>
      <c r="M6599" s="61">
        <v>0.08</v>
      </c>
    </row>
    <row r="6600" spans="2:13" ht="18.75" customHeight="1" x14ac:dyDescent="0.25">
      <c r="B6600" s="26"/>
      <c r="C6600" s="96" t="s">
        <v>1508</v>
      </c>
      <c r="D6600" s="27" t="s">
        <v>634</v>
      </c>
      <c r="E6600" s="28" t="s">
        <v>631</v>
      </c>
      <c r="F6600" s="228">
        <f t="shared" si="292"/>
        <v>0.8</v>
      </c>
      <c r="G6600" s="29">
        <f t="shared" ref="G6600:G6602" si="293">G6549</f>
        <v>110000</v>
      </c>
      <c r="H6600" s="122">
        <f>+G6600*F6600</f>
        <v>88000</v>
      </c>
      <c r="J6600" s="473"/>
      <c r="M6600" s="61">
        <v>0.8</v>
      </c>
    </row>
    <row r="6601" spans="2:13" ht="18.75" customHeight="1" x14ac:dyDescent="0.25">
      <c r="B6601" s="26"/>
      <c r="C6601" s="96" t="s">
        <v>633</v>
      </c>
      <c r="D6601" s="27" t="s">
        <v>634</v>
      </c>
      <c r="E6601" s="28" t="s">
        <v>631</v>
      </c>
      <c r="F6601" s="228">
        <f t="shared" si="292"/>
        <v>0.28000000000000003</v>
      </c>
      <c r="G6601" s="29">
        <f t="shared" si="293"/>
        <v>115000</v>
      </c>
      <c r="H6601" s="122">
        <f>+G6601*F6601</f>
        <v>32200.000000000004</v>
      </c>
      <c r="J6601" s="473"/>
      <c r="M6601" s="61">
        <v>0.28000000000000003</v>
      </c>
    </row>
    <row r="6602" spans="2:13" ht="18.75" customHeight="1" x14ac:dyDescent="0.25">
      <c r="B6602" s="26"/>
      <c r="C6602" s="96" t="s">
        <v>600</v>
      </c>
      <c r="D6602" s="27" t="s">
        <v>635</v>
      </c>
      <c r="E6602" s="36" t="s">
        <v>631</v>
      </c>
      <c r="F6602" s="228">
        <f t="shared" si="292"/>
        <v>0.18</v>
      </c>
      <c r="G6602" s="29">
        <f t="shared" si="293"/>
        <v>140000</v>
      </c>
      <c r="H6602" s="123">
        <f>+G6602*F6602</f>
        <v>25200</v>
      </c>
      <c r="J6602" s="473"/>
      <c r="M6602" s="193">
        <v>0.18</v>
      </c>
    </row>
    <row r="6603" spans="2:13" ht="18.75" customHeight="1" x14ac:dyDescent="0.25">
      <c r="B6603" s="26"/>
      <c r="C6603" s="89"/>
      <c r="D6603" s="63"/>
      <c r="E6603" s="30"/>
      <c r="F6603" s="192" t="s">
        <v>636</v>
      </c>
      <c r="G6603" s="310"/>
      <c r="H6603" s="124">
        <f>SUM(H6599:H6602)</f>
        <v>153000</v>
      </c>
      <c r="M6603" s="192" t="s">
        <v>636</v>
      </c>
    </row>
    <row r="6604" spans="2:13" ht="18.75" customHeight="1" x14ac:dyDescent="0.25">
      <c r="B6604" s="26"/>
      <c r="C6604" s="89"/>
      <c r="D6604" s="58"/>
      <c r="E6604" s="62"/>
      <c r="F6604" s="52"/>
      <c r="G6604" s="76"/>
      <c r="H6604" s="140"/>
      <c r="M6604" s="52"/>
    </row>
    <row r="6605" spans="2:13" ht="18.75" customHeight="1" x14ac:dyDescent="0.25">
      <c r="B6605" s="26" t="s">
        <v>637</v>
      </c>
      <c r="C6605" s="89" t="s">
        <v>638</v>
      </c>
      <c r="D6605" s="64"/>
      <c r="E6605" s="31"/>
      <c r="F6605" s="180"/>
      <c r="G6605" s="75"/>
      <c r="H6605" s="125"/>
      <c r="M6605" s="180"/>
    </row>
    <row r="6606" spans="2:13" ht="18.75" customHeight="1" x14ac:dyDescent="0.25">
      <c r="B6606" s="26"/>
      <c r="C6606" s="89" t="s">
        <v>1167</v>
      </c>
      <c r="D6606" s="64"/>
      <c r="E6606" s="64" t="s">
        <v>1013</v>
      </c>
      <c r="F6606" s="205">
        <v>3.3000000000000002E-2</v>
      </c>
      <c r="G6606" s="34">
        <f>Bahan!D252</f>
        <v>13850000</v>
      </c>
      <c r="H6606" s="122">
        <f>+G6606*F6606</f>
        <v>457050</v>
      </c>
      <c r="J6606" s="558" t="s">
        <v>231</v>
      </c>
      <c r="M6606" s="205">
        <v>3.3000000000000002E-2</v>
      </c>
    </row>
    <row r="6607" spans="2:13" ht="18.75" customHeight="1" x14ac:dyDescent="0.25">
      <c r="B6607" s="26"/>
      <c r="C6607" s="89" t="s">
        <v>1165</v>
      </c>
      <c r="D6607" s="64"/>
      <c r="E6607" s="64" t="s">
        <v>5</v>
      </c>
      <c r="F6607" s="205">
        <v>0.1</v>
      </c>
      <c r="G6607" s="34">
        <f>+G6582</f>
        <v>25000</v>
      </c>
      <c r="H6607" s="122">
        <f>+G6607*F6607</f>
        <v>2500</v>
      </c>
      <c r="J6607" s="473"/>
      <c r="M6607" s="205">
        <v>0.1</v>
      </c>
    </row>
    <row r="6608" spans="2:13" ht="18.75" customHeight="1" x14ac:dyDescent="0.25">
      <c r="B6608" s="26"/>
      <c r="C6608" s="89"/>
      <c r="D6608" s="63"/>
      <c r="E6608" s="30"/>
      <c r="F6608" s="179" t="s">
        <v>643</v>
      </c>
      <c r="G6608" s="310"/>
      <c r="H6608" s="124">
        <f>SUM(H6606:H6607)</f>
        <v>459550</v>
      </c>
      <c r="M6608" s="179" t="s">
        <v>643</v>
      </c>
    </row>
    <row r="6609" spans="2:16" ht="18.75" customHeight="1" x14ac:dyDescent="0.25">
      <c r="B6609" s="26"/>
      <c r="C6609" s="89"/>
      <c r="D6609" s="64"/>
      <c r="E6609" s="31"/>
      <c r="F6609" s="180"/>
      <c r="G6609" s="75"/>
      <c r="H6609" s="125"/>
      <c r="M6609" s="180"/>
    </row>
    <row r="6610" spans="2:16" ht="18.75" customHeight="1" x14ac:dyDescent="0.25">
      <c r="B6610" s="26" t="s">
        <v>644</v>
      </c>
      <c r="C6610" s="89" t="s">
        <v>645</v>
      </c>
      <c r="D6610" s="56"/>
      <c r="E6610" s="36"/>
      <c r="F6610" s="194"/>
      <c r="G6610" s="88"/>
      <c r="H6610" s="127"/>
      <c r="M6610" s="194"/>
    </row>
    <row r="6611" spans="2:16" ht="18.75" customHeight="1" x14ac:dyDescent="0.25">
      <c r="B6611" s="35"/>
      <c r="C6611" s="97"/>
      <c r="D6611" s="63"/>
      <c r="E6611" s="30"/>
      <c r="F6611" s="179" t="s">
        <v>646</v>
      </c>
      <c r="G6611" s="310"/>
      <c r="H6611" s="128"/>
      <c r="M6611" s="179" t="s">
        <v>646</v>
      </c>
    </row>
    <row r="6612" spans="2:16" ht="18.75" customHeight="1" x14ac:dyDescent="0.25">
      <c r="B6612" s="37"/>
      <c r="C6612" s="98"/>
      <c r="D6612" s="411"/>
      <c r="E6612" s="42"/>
      <c r="F6612" s="181"/>
      <c r="G6612" s="311"/>
      <c r="H6612" s="129"/>
      <c r="M6612" s="181"/>
    </row>
    <row r="6613" spans="2:16" ht="18.75" customHeight="1" x14ac:dyDescent="0.25">
      <c r="B6613" s="50"/>
      <c r="C6613" s="100"/>
      <c r="E6613" s="21"/>
      <c r="F6613" s="189"/>
      <c r="G6613" s="90"/>
      <c r="H6613" s="137"/>
      <c r="M6613" s="189"/>
    </row>
    <row r="6614" spans="2:16" ht="18.75" customHeight="1" x14ac:dyDescent="0.25">
      <c r="B6614" s="46" t="s">
        <v>647</v>
      </c>
      <c r="C6614" s="101" t="s">
        <v>648</v>
      </c>
      <c r="E6614" s="22"/>
      <c r="F6614" s="189"/>
      <c r="G6614" s="308"/>
      <c r="H6614" s="131">
        <f>+H6611+H6608+H6603</f>
        <v>612550</v>
      </c>
      <c r="M6614" s="189"/>
    </row>
    <row r="6615" spans="2:16" ht="18.75" customHeight="1" x14ac:dyDescent="0.25">
      <c r="B6615" s="356" t="s">
        <v>649</v>
      </c>
      <c r="C6615" s="364" t="s">
        <v>650</v>
      </c>
      <c r="D6615" s="435"/>
      <c r="E6615" s="92"/>
      <c r="F6615" s="184" t="str">
        <f>$J$5</f>
        <v>8,0 % x D</v>
      </c>
      <c r="G6615" s="295"/>
      <c r="H6615" s="358">
        <f>+H6614*$K$5</f>
        <v>49004</v>
      </c>
      <c r="M6615" s="184" t="str">
        <f>$J$5</f>
        <v>8,0 % x D</v>
      </c>
    </row>
    <row r="6616" spans="2:16" ht="18.75" customHeight="1" x14ac:dyDescent="0.25">
      <c r="B6616" s="356" t="s">
        <v>651</v>
      </c>
      <c r="C6616" s="365" t="s">
        <v>652</v>
      </c>
      <c r="D6616" s="435"/>
      <c r="E6616" s="91"/>
      <c r="F6616" s="185"/>
      <c r="G6616" s="296"/>
      <c r="H6616" s="359">
        <f>ROUNDUP((H6615+H6614)/100,0)*100</f>
        <v>661600</v>
      </c>
      <c r="M6616" s="185"/>
    </row>
    <row r="6617" spans="2:16" ht="18.75" customHeight="1" x14ac:dyDescent="0.25">
      <c r="B6617" s="46"/>
      <c r="C6617" s="102"/>
      <c r="E6617" s="21"/>
      <c r="F6617" s="176"/>
      <c r="G6617" s="90"/>
      <c r="H6617" s="133"/>
      <c r="M6617" s="176"/>
    </row>
    <row r="6618" spans="2:16" ht="18.75" customHeight="1" x14ac:dyDescent="0.25">
      <c r="B6618" s="22"/>
      <c r="C6618" s="112"/>
      <c r="D6618" s="70"/>
      <c r="E6618" s="70"/>
      <c r="F6618" s="202"/>
      <c r="G6618" s="173"/>
      <c r="H6618" s="119"/>
      <c r="M6618" s="202"/>
    </row>
    <row r="6619" spans="2:16" ht="18.75" customHeight="1" x14ac:dyDescent="0.25">
      <c r="B6619" s="19">
        <f>B6594+1</f>
        <v>5</v>
      </c>
      <c r="C6619" s="93" t="s">
        <v>1838</v>
      </c>
      <c r="D6619" s="19"/>
      <c r="E6619" s="21"/>
      <c r="F6619" s="176"/>
      <c r="G6619" s="165"/>
      <c r="H6619" s="119"/>
      <c r="M6619" s="176"/>
    </row>
    <row r="6620" spans="2:16" ht="18.75" customHeight="1" x14ac:dyDescent="0.25">
      <c r="B6620" s="618" t="s">
        <v>620</v>
      </c>
      <c r="C6620" s="620" t="s">
        <v>621</v>
      </c>
      <c r="D6620" s="618" t="s">
        <v>622</v>
      </c>
      <c r="E6620" s="618" t="s">
        <v>2</v>
      </c>
      <c r="F6620" s="615" t="s">
        <v>623</v>
      </c>
      <c r="G6620" s="289" t="s">
        <v>624</v>
      </c>
      <c r="H6620" s="256" t="s">
        <v>625</v>
      </c>
      <c r="K6620" s="68"/>
      <c r="L6620" s="68"/>
      <c r="M6620" s="615" t="s">
        <v>623</v>
      </c>
      <c r="N6620" s="419"/>
      <c r="O6620" s="419"/>
      <c r="P6620" s="419"/>
    </row>
    <row r="6621" spans="2:16" ht="18.75" customHeight="1" x14ac:dyDescent="0.25">
      <c r="B6621" s="619"/>
      <c r="C6621" s="621"/>
      <c r="D6621" s="619"/>
      <c r="E6621" s="619"/>
      <c r="F6621" s="616"/>
      <c r="G6621" s="289" t="s">
        <v>626</v>
      </c>
      <c r="H6621" s="256" t="s">
        <v>626</v>
      </c>
      <c r="K6621" s="420"/>
      <c r="M6621" s="616"/>
      <c r="N6621" s="419"/>
      <c r="O6621" s="419"/>
      <c r="P6621" s="419">
        <f>N6621</f>
        <v>0</v>
      </c>
    </row>
    <row r="6622" spans="2:16" ht="18.75" customHeight="1" x14ac:dyDescent="0.25">
      <c r="B6622" s="23"/>
      <c r="C6622" s="95"/>
      <c r="D6622" s="24"/>
      <c r="E6622" s="25"/>
      <c r="F6622" s="177"/>
      <c r="G6622" s="166"/>
      <c r="H6622" s="120"/>
      <c r="K6622" s="421"/>
      <c r="L6622" s="416"/>
      <c r="M6622" s="177"/>
      <c r="N6622" s="422"/>
      <c r="O6622" s="422"/>
      <c r="P6622" s="422">
        <f>N6622</f>
        <v>0</v>
      </c>
    </row>
    <row r="6623" spans="2:16" ht="18.75" customHeight="1" x14ac:dyDescent="0.25">
      <c r="B6623" s="26" t="s">
        <v>627</v>
      </c>
      <c r="C6623" s="89" t="s">
        <v>628</v>
      </c>
      <c r="D6623" s="27"/>
      <c r="E6623" s="28"/>
      <c r="F6623" s="178"/>
      <c r="G6623" s="72"/>
      <c r="H6623" s="121"/>
      <c r="K6623" s="421"/>
      <c r="L6623" s="416"/>
      <c r="M6623" s="178"/>
      <c r="N6623" s="422"/>
      <c r="O6623" s="422"/>
      <c r="P6623" s="422">
        <f>N6623</f>
        <v>0</v>
      </c>
    </row>
    <row r="6624" spans="2:16" ht="18.75" customHeight="1" x14ac:dyDescent="0.25">
      <c r="B6624" s="26"/>
      <c r="C6624" s="96" t="s">
        <v>629</v>
      </c>
      <c r="D6624" s="27" t="s">
        <v>630</v>
      </c>
      <c r="E6624" s="28" t="s">
        <v>631</v>
      </c>
      <c r="F6624" s="228">
        <f t="shared" ref="F6624:F6627" si="294">$K$8*M6624</f>
        <v>0.18</v>
      </c>
      <c r="G6624" s="29">
        <f>G6599</f>
        <v>95000</v>
      </c>
      <c r="H6624" s="122">
        <f>+G6624*F6624</f>
        <v>17100</v>
      </c>
      <c r="K6624" s="421"/>
      <c r="L6624" s="416"/>
      <c r="M6624" s="61">
        <v>0.18</v>
      </c>
      <c r="N6624" s="422"/>
      <c r="O6624" s="422"/>
      <c r="P6624" s="422">
        <f>O6624</f>
        <v>0</v>
      </c>
    </row>
    <row r="6625" spans="2:16" ht="18.75" customHeight="1" x14ac:dyDescent="0.25">
      <c r="B6625" s="26"/>
      <c r="C6625" s="96" t="s">
        <v>1508</v>
      </c>
      <c r="D6625" s="27" t="s">
        <v>634</v>
      </c>
      <c r="E6625" s="28" t="s">
        <v>631</v>
      </c>
      <c r="F6625" s="228">
        <f t="shared" si="294"/>
        <v>0.6</v>
      </c>
      <c r="G6625" s="29">
        <f t="shared" ref="G6625:G6627" si="295">G6600</f>
        <v>110000</v>
      </c>
      <c r="H6625" s="122">
        <f>+G6625*F6625</f>
        <v>66000</v>
      </c>
      <c r="K6625" s="421"/>
      <c r="L6625" s="416"/>
      <c r="M6625" s="61">
        <v>0.6</v>
      </c>
      <c r="N6625" s="422"/>
      <c r="O6625" s="422"/>
      <c r="P6625" s="422">
        <f>O6625</f>
        <v>0</v>
      </c>
    </row>
    <row r="6626" spans="2:16" ht="18.75" customHeight="1" x14ac:dyDescent="0.25">
      <c r="B6626" s="26"/>
      <c r="C6626" s="96" t="s">
        <v>633</v>
      </c>
      <c r="D6626" s="27" t="s">
        <v>634</v>
      </c>
      <c r="E6626" s="28" t="s">
        <v>631</v>
      </c>
      <c r="F6626" s="228">
        <f t="shared" si="294"/>
        <v>7.4999999999999997E-2</v>
      </c>
      <c r="G6626" s="29">
        <f t="shared" si="295"/>
        <v>115000</v>
      </c>
      <c r="H6626" s="122">
        <f>+G6626*F6626</f>
        <v>8625</v>
      </c>
      <c r="K6626" s="421"/>
      <c r="L6626" s="416"/>
      <c r="M6626" s="61">
        <v>7.4999999999999997E-2</v>
      </c>
      <c r="N6626" s="422"/>
      <c r="O6626" s="422"/>
      <c r="P6626" s="422">
        <f>O6626</f>
        <v>0</v>
      </c>
    </row>
    <row r="6627" spans="2:16" ht="18.75" customHeight="1" x14ac:dyDescent="0.25">
      <c r="B6627" s="26"/>
      <c r="C6627" s="96" t="s">
        <v>600</v>
      </c>
      <c r="D6627" s="27" t="s">
        <v>635</v>
      </c>
      <c r="E6627" s="36" t="s">
        <v>631</v>
      </c>
      <c r="F6627" s="228">
        <f t="shared" si="294"/>
        <v>0.12</v>
      </c>
      <c r="G6627" s="29">
        <f t="shared" si="295"/>
        <v>140000</v>
      </c>
      <c r="H6627" s="123">
        <f>+G6627*F6627</f>
        <v>16800</v>
      </c>
      <c r="K6627" s="421"/>
      <c r="L6627" s="416"/>
      <c r="M6627" s="193">
        <v>0.12</v>
      </c>
      <c r="N6627" s="422"/>
      <c r="O6627" s="422"/>
      <c r="P6627" s="422">
        <f>O6627</f>
        <v>0</v>
      </c>
    </row>
    <row r="6628" spans="2:16" ht="18.75" customHeight="1" x14ac:dyDescent="0.25">
      <c r="B6628" s="26"/>
      <c r="C6628" s="89"/>
      <c r="D6628" s="63"/>
      <c r="E6628" s="30"/>
      <c r="F6628" s="192" t="s">
        <v>636</v>
      </c>
      <c r="G6628" s="310"/>
      <c r="H6628" s="124">
        <f>SUM(H6624:H6627)</f>
        <v>108525</v>
      </c>
      <c r="K6628" s="68"/>
      <c r="L6628" s="68"/>
      <c r="M6628" s="192" t="s">
        <v>636</v>
      </c>
      <c r="N6628" s="419"/>
      <c r="O6628" s="419"/>
      <c r="P6628" s="419">
        <f>SUM(P6621:P6627)</f>
        <v>0</v>
      </c>
    </row>
    <row r="6629" spans="2:16" ht="18.75" customHeight="1" x14ac:dyDescent="0.25">
      <c r="B6629" s="26"/>
      <c r="C6629" s="89"/>
      <c r="D6629" s="58"/>
      <c r="E6629" s="62"/>
      <c r="F6629" s="52"/>
      <c r="G6629" s="76"/>
      <c r="H6629" s="140"/>
      <c r="K6629" s="68"/>
      <c r="L6629" s="68"/>
      <c r="M6629" s="52"/>
      <c r="N6629" s="419"/>
      <c r="O6629" s="419"/>
      <c r="P6629" s="419"/>
    </row>
    <row r="6630" spans="2:16" ht="18.75" customHeight="1" x14ac:dyDescent="0.25">
      <c r="B6630" s="26" t="s">
        <v>637</v>
      </c>
      <c r="C6630" s="89" t="s">
        <v>638</v>
      </c>
      <c r="D6630" s="64"/>
      <c r="E6630" s="31"/>
      <c r="F6630" s="180"/>
      <c r="G6630" s="75"/>
      <c r="H6630" s="125"/>
      <c r="M6630" s="180"/>
    </row>
    <row r="6631" spans="2:16" ht="18.75" customHeight="1" x14ac:dyDescent="0.25">
      <c r="B6631" s="26"/>
      <c r="C6631" s="89" t="s">
        <v>1168</v>
      </c>
      <c r="D6631" s="64"/>
      <c r="E6631" s="64" t="s">
        <v>129</v>
      </c>
      <c r="F6631" s="205">
        <v>4</v>
      </c>
      <c r="G6631" s="34">
        <f>Bahan!D268</f>
        <v>37500</v>
      </c>
      <c r="H6631" s="122">
        <f>+G6631*F6631</f>
        <v>150000</v>
      </c>
      <c r="M6631" s="205">
        <v>4</v>
      </c>
    </row>
    <row r="6632" spans="2:16" ht="18.75" customHeight="1" x14ac:dyDescent="0.25">
      <c r="B6632" s="26"/>
      <c r="C6632" s="89" t="s">
        <v>246</v>
      </c>
      <c r="D6632" s="64"/>
      <c r="E6632" s="64" t="s">
        <v>28</v>
      </c>
      <c r="F6632" s="205">
        <v>12</v>
      </c>
      <c r="G6632" s="34">
        <f>Bahan!D271</f>
        <v>10000</v>
      </c>
      <c r="H6632" s="122">
        <f>+G6632*F6632</f>
        <v>120000</v>
      </c>
      <c r="M6632" s="205">
        <v>12</v>
      </c>
    </row>
    <row r="6633" spans="2:16" ht="18.75" customHeight="1" x14ac:dyDescent="0.25">
      <c r="B6633" s="26"/>
      <c r="C6633" s="89" t="s">
        <v>1169</v>
      </c>
      <c r="D6633" s="64"/>
      <c r="E6633" s="64" t="s">
        <v>5</v>
      </c>
      <c r="F6633" s="205">
        <v>0.1</v>
      </c>
      <c r="G6633" s="34">
        <f>Bahan!D340</f>
        <v>30000</v>
      </c>
      <c r="H6633" s="122">
        <f>+G6633*F6633</f>
        <v>3000</v>
      </c>
      <c r="M6633" s="205">
        <v>0.1</v>
      </c>
    </row>
    <row r="6634" spans="2:16" ht="18.75" customHeight="1" x14ac:dyDescent="0.25">
      <c r="B6634" s="26"/>
      <c r="C6634" s="89"/>
      <c r="D6634" s="63"/>
      <c r="E6634" s="30"/>
      <c r="F6634" s="179" t="s">
        <v>643</v>
      </c>
      <c r="G6634" s="310"/>
      <c r="H6634" s="124">
        <f>SUM(H6631:H6633)</f>
        <v>273000</v>
      </c>
      <c r="M6634" s="179" t="s">
        <v>643</v>
      </c>
    </row>
    <row r="6635" spans="2:16" ht="18.75" customHeight="1" x14ac:dyDescent="0.25">
      <c r="B6635" s="26"/>
      <c r="C6635" s="89"/>
      <c r="D6635" s="58"/>
      <c r="E6635" s="62"/>
      <c r="F6635" s="200"/>
      <c r="G6635" s="76"/>
      <c r="H6635" s="137"/>
      <c r="M6635" s="200"/>
    </row>
    <row r="6636" spans="2:16" ht="18.75" customHeight="1" x14ac:dyDescent="0.25">
      <c r="B6636" s="26" t="s">
        <v>644</v>
      </c>
      <c r="C6636" s="89" t="s">
        <v>645</v>
      </c>
      <c r="D6636" s="56"/>
      <c r="E6636" s="36"/>
      <c r="F6636" s="194"/>
      <c r="G6636" s="88"/>
      <c r="H6636" s="127"/>
      <c r="M6636" s="194"/>
    </row>
    <row r="6637" spans="2:16" ht="18.75" customHeight="1" x14ac:dyDescent="0.25">
      <c r="B6637" s="35"/>
      <c r="C6637" s="97"/>
      <c r="D6637" s="63"/>
      <c r="E6637" s="30"/>
      <c r="F6637" s="179" t="s">
        <v>646</v>
      </c>
      <c r="G6637" s="310"/>
      <c r="H6637" s="128"/>
      <c r="M6637" s="179" t="s">
        <v>646</v>
      </c>
    </row>
    <row r="6638" spans="2:16" ht="18.75" customHeight="1" x14ac:dyDescent="0.25">
      <c r="B6638" s="37"/>
      <c r="C6638" s="98"/>
      <c r="D6638" s="411"/>
      <c r="E6638" s="42"/>
      <c r="F6638" s="181"/>
      <c r="G6638" s="311"/>
      <c r="H6638" s="129"/>
      <c r="M6638" s="181"/>
    </row>
    <row r="6639" spans="2:16" ht="18.75" customHeight="1" x14ac:dyDescent="0.25">
      <c r="B6639" s="50"/>
      <c r="C6639" s="100"/>
      <c r="E6639" s="21"/>
      <c r="F6639" s="189"/>
      <c r="G6639" s="90"/>
      <c r="H6639" s="137"/>
      <c r="M6639" s="189"/>
    </row>
    <row r="6640" spans="2:16" ht="18.75" customHeight="1" x14ac:dyDescent="0.25">
      <c r="B6640" s="46" t="s">
        <v>647</v>
      </c>
      <c r="C6640" s="101" t="s">
        <v>648</v>
      </c>
      <c r="E6640" s="22"/>
      <c r="F6640" s="189"/>
      <c r="G6640" s="308"/>
      <c r="H6640" s="131">
        <f>+H6637+H6634+H6628</f>
        <v>381525</v>
      </c>
      <c r="M6640" s="189"/>
    </row>
    <row r="6641" spans="2:13" ht="18.75" customHeight="1" x14ac:dyDescent="0.25">
      <c r="B6641" s="356" t="s">
        <v>649</v>
      </c>
      <c r="C6641" s="364" t="s">
        <v>650</v>
      </c>
      <c r="D6641" s="435"/>
      <c r="E6641" s="92"/>
      <c r="F6641" s="184" t="str">
        <f>$J$5</f>
        <v>8,0 % x D</v>
      </c>
      <c r="G6641" s="295"/>
      <c r="H6641" s="358">
        <f>+H6640*$K$5</f>
        <v>30522</v>
      </c>
      <c r="M6641" s="184" t="str">
        <f>$J$5</f>
        <v>8,0 % x D</v>
      </c>
    </row>
    <row r="6642" spans="2:13" ht="18.75" customHeight="1" x14ac:dyDescent="0.25">
      <c r="B6642" s="356" t="s">
        <v>651</v>
      </c>
      <c r="C6642" s="365" t="s">
        <v>652</v>
      </c>
      <c r="D6642" s="435"/>
      <c r="E6642" s="91"/>
      <c r="F6642" s="185"/>
      <c r="G6642" s="296"/>
      <c r="H6642" s="359">
        <f>ROUNDUP((H6641+H6640)/100,0)*100</f>
        <v>412100</v>
      </c>
      <c r="M6642" s="185"/>
    </row>
    <row r="6643" spans="2:13" ht="18.75" customHeight="1" x14ac:dyDescent="0.25">
      <c r="B6643" s="46"/>
      <c r="C6643" s="102"/>
      <c r="E6643" s="21"/>
      <c r="F6643" s="176"/>
      <c r="G6643" s="90"/>
      <c r="H6643" s="133"/>
      <c r="M6643" s="176"/>
    </row>
    <row r="6644" spans="2:13" ht="18.75" customHeight="1" x14ac:dyDescent="0.25">
      <c r="B6644" s="435"/>
      <c r="C6644" s="111"/>
      <c r="E6644" s="21"/>
      <c r="F6644" s="176"/>
      <c r="G6644" s="168"/>
      <c r="H6644" s="211"/>
      <c r="M6644" s="176"/>
    </row>
    <row r="6645" spans="2:13" ht="18.75" customHeight="1" x14ac:dyDescent="0.25">
      <c r="B6645" s="19">
        <f>B6619+1</f>
        <v>6</v>
      </c>
      <c r="C6645" s="93" t="s">
        <v>1170</v>
      </c>
      <c r="D6645" s="19"/>
      <c r="E6645" s="21"/>
      <c r="F6645" s="176"/>
      <c r="G6645" s="165"/>
      <c r="H6645" s="119"/>
      <c r="M6645" s="176"/>
    </row>
    <row r="6646" spans="2:13" ht="18.75" customHeight="1" x14ac:dyDescent="0.25">
      <c r="B6646" s="618" t="s">
        <v>620</v>
      </c>
      <c r="C6646" s="620" t="s">
        <v>621</v>
      </c>
      <c r="D6646" s="618" t="s">
        <v>622</v>
      </c>
      <c r="E6646" s="618" t="s">
        <v>2</v>
      </c>
      <c r="F6646" s="615" t="s">
        <v>623</v>
      </c>
      <c r="G6646" s="289" t="s">
        <v>624</v>
      </c>
      <c r="H6646" s="256" t="s">
        <v>625</v>
      </c>
      <c r="M6646" s="615" t="s">
        <v>623</v>
      </c>
    </row>
    <row r="6647" spans="2:13" ht="18.75" customHeight="1" x14ac:dyDescent="0.25">
      <c r="B6647" s="619"/>
      <c r="C6647" s="621"/>
      <c r="D6647" s="619"/>
      <c r="E6647" s="619"/>
      <c r="F6647" s="616"/>
      <c r="G6647" s="289" t="s">
        <v>626</v>
      </c>
      <c r="H6647" s="256" t="s">
        <v>626</v>
      </c>
      <c r="M6647" s="616"/>
    </row>
    <row r="6648" spans="2:13" ht="18.75" customHeight="1" x14ac:dyDescent="0.25">
      <c r="B6648" s="23"/>
      <c r="C6648" s="95"/>
      <c r="D6648" s="24"/>
      <c r="E6648" s="25"/>
      <c r="F6648" s="177"/>
      <c r="G6648" s="166"/>
      <c r="H6648" s="120"/>
      <c r="M6648" s="177"/>
    </row>
    <row r="6649" spans="2:13" ht="18.75" customHeight="1" x14ac:dyDescent="0.25">
      <c r="B6649" s="26" t="s">
        <v>627</v>
      </c>
      <c r="C6649" s="89" t="s">
        <v>628</v>
      </c>
      <c r="D6649" s="27"/>
      <c r="E6649" s="28"/>
      <c r="F6649" s="178"/>
      <c r="G6649" s="72"/>
      <c r="H6649" s="121"/>
      <c r="M6649" s="178"/>
    </row>
    <row r="6650" spans="2:13" ht="18.75" customHeight="1" x14ac:dyDescent="0.25">
      <c r="B6650" s="26"/>
      <c r="C6650" s="96" t="s">
        <v>629</v>
      </c>
      <c r="D6650" s="27" t="s">
        <v>630</v>
      </c>
      <c r="E6650" s="28" t="s">
        <v>631</v>
      </c>
      <c r="F6650" s="228">
        <f t="shared" ref="F6650:F6653" si="296">$K$8*M6650</f>
        <v>1</v>
      </c>
      <c r="G6650" s="29">
        <f>G6599</f>
        <v>95000</v>
      </c>
      <c r="H6650" s="122">
        <f>+G6650*F6650</f>
        <v>95000</v>
      </c>
      <c r="M6650" s="61">
        <v>1</v>
      </c>
    </row>
    <row r="6651" spans="2:13" ht="18.75" customHeight="1" x14ac:dyDescent="0.25">
      <c r="B6651" s="26"/>
      <c r="C6651" s="96" t="s">
        <v>1508</v>
      </c>
      <c r="D6651" s="27" t="s">
        <v>634</v>
      </c>
      <c r="E6651" s="28" t="s">
        <v>631</v>
      </c>
      <c r="F6651" s="228">
        <f t="shared" si="296"/>
        <v>3</v>
      </c>
      <c r="G6651" s="29">
        <f t="shared" ref="G6651:G6653" si="297">G6600</f>
        <v>110000</v>
      </c>
      <c r="H6651" s="122">
        <f>+G6651*F6651</f>
        <v>330000</v>
      </c>
      <c r="M6651" s="61">
        <v>3</v>
      </c>
    </row>
    <row r="6652" spans="2:13" ht="18.75" customHeight="1" x14ac:dyDescent="0.25">
      <c r="B6652" s="26"/>
      <c r="C6652" s="96" t="s">
        <v>633</v>
      </c>
      <c r="D6652" s="27" t="s">
        <v>634</v>
      </c>
      <c r="E6652" s="28" t="s">
        <v>631</v>
      </c>
      <c r="F6652" s="228">
        <f t="shared" si="296"/>
        <v>0.3</v>
      </c>
      <c r="G6652" s="29">
        <f t="shared" si="297"/>
        <v>115000</v>
      </c>
      <c r="H6652" s="122">
        <f>+G6652*F6652</f>
        <v>34500</v>
      </c>
      <c r="M6652" s="61">
        <v>0.3</v>
      </c>
    </row>
    <row r="6653" spans="2:13" ht="18.75" customHeight="1" x14ac:dyDescent="0.25">
      <c r="B6653" s="26"/>
      <c r="C6653" s="96" t="s">
        <v>600</v>
      </c>
      <c r="D6653" s="27" t="s">
        <v>635</v>
      </c>
      <c r="E6653" s="36" t="s">
        <v>631</v>
      </c>
      <c r="F6653" s="228">
        <f t="shared" si="296"/>
        <v>7.4999999999999997E-2</v>
      </c>
      <c r="G6653" s="29">
        <f t="shared" si="297"/>
        <v>140000</v>
      </c>
      <c r="H6653" s="123">
        <f>+G6653*F6653</f>
        <v>10500</v>
      </c>
      <c r="M6653" s="193">
        <v>7.4999999999999997E-2</v>
      </c>
    </row>
    <row r="6654" spans="2:13" ht="18.75" customHeight="1" x14ac:dyDescent="0.25">
      <c r="B6654" s="26"/>
      <c r="C6654" s="89"/>
      <c r="D6654" s="63"/>
      <c r="E6654" s="30"/>
      <c r="F6654" s="192" t="s">
        <v>636</v>
      </c>
      <c r="G6654" s="310"/>
      <c r="H6654" s="124">
        <f>SUM(H6650:H6653)</f>
        <v>470000</v>
      </c>
      <c r="M6654" s="192" t="s">
        <v>636</v>
      </c>
    </row>
    <row r="6655" spans="2:13" ht="18.75" customHeight="1" x14ac:dyDescent="0.25">
      <c r="B6655" s="26"/>
      <c r="C6655" s="89"/>
      <c r="D6655" s="58"/>
      <c r="E6655" s="62"/>
      <c r="F6655" s="52"/>
      <c r="G6655" s="76"/>
      <c r="H6655" s="140"/>
      <c r="M6655" s="52"/>
    </row>
    <row r="6656" spans="2:13" ht="18.75" customHeight="1" x14ac:dyDescent="0.25">
      <c r="B6656" s="26" t="s">
        <v>637</v>
      </c>
      <c r="C6656" s="89" t="s">
        <v>638</v>
      </c>
      <c r="D6656" s="64"/>
      <c r="E6656" s="31"/>
      <c r="F6656" s="180"/>
      <c r="G6656" s="75"/>
      <c r="H6656" s="125"/>
      <c r="M6656" s="180"/>
    </row>
    <row r="6657" spans="2:13" ht="18.75" customHeight="1" x14ac:dyDescent="0.25">
      <c r="B6657" s="26"/>
      <c r="C6657" s="89" t="s">
        <v>1171</v>
      </c>
      <c r="D6657" s="64"/>
      <c r="E6657" s="64" t="s">
        <v>1013</v>
      </c>
      <c r="F6657" s="205">
        <v>7.4999999999999997E-2</v>
      </c>
      <c r="G6657" s="34">
        <f>Bahan!D252</f>
        <v>13850000</v>
      </c>
      <c r="H6657" s="122">
        <f>+G6657*F6657</f>
        <v>1038750</v>
      </c>
      <c r="J6657" s="558" t="s">
        <v>227</v>
      </c>
      <c r="M6657" s="205">
        <v>7.4999999999999997E-2</v>
      </c>
    </row>
    <row r="6658" spans="2:13" ht="18.75" customHeight="1" x14ac:dyDescent="0.25">
      <c r="B6658" s="26"/>
      <c r="C6658" s="89" t="s">
        <v>1161</v>
      </c>
      <c r="D6658" s="64"/>
      <c r="E6658" s="64" t="s">
        <v>5</v>
      </c>
      <c r="F6658" s="205">
        <v>0.5</v>
      </c>
      <c r="G6658" s="75">
        <f>+G6557</f>
        <v>15000</v>
      </c>
      <c r="H6658" s="122">
        <f>+G6658*F6658</f>
        <v>7500</v>
      </c>
      <c r="M6658" s="205">
        <v>0.5</v>
      </c>
    </row>
    <row r="6659" spans="2:13" ht="18.75" customHeight="1" x14ac:dyDescent="0.25">
      <c r="B6659" s="26"/>
      <c r="C6659" s="89"/>
      <c r="D6659" s="63"/>
      <c r="E6659" s="30"/>
      <c r="F6659" s="179" t="s">
        <v>643</v>
      </c>
      <c r="G6659" s="310"/>
      <c r="H6659" s="124">
        <f>SUM(H6657:H6658)</f>
        <v>1046250</v>
      </c>
      <c r="M6659" s="179" t="s">
        <v>643</v>
      </c>
    </row>
    <row r="6660" spans="2:13" ht="18.75" customHeight="1" x14ac:dyDescent="0.25">
      <c r="B6660" s="26"/>
      <c r="C6660" s="89"/>
      <c r="D6660" s="64"/>
      <c r="E6660" s="31"/>
      <c r="F6660" s="180"/>
      <c r="G6660" s="75"/>
      <c r="H6660" s="125"/>
      <c r="M6660" s="180"/>
    </row>
    <row r="6661" spans="2:13" ht="18.75" customHeight="1" x14ac:dyDescent="0.25">
      <c r="B6661" s="26" t="s">
        <v>644</v>
      </c>
      <c r="C6661" s="89" t="s">
        <v>645</v>
      </c>
      <c r="D6661" s="56"/>
      <c r="E6661" s="36"/>
      <c r="F6661" s="194"/>
      <c r="G6661" s="88"/>
      <c r="H6661" s="127"/>
      <c r="M6661" s="194"/>
    </row>
    <row r="6662" spans="2:13" ht="18.75" customHeight="1" x14ac:dyDescent="0.25">
      <c r="B6662" s="35"/>
      <c r="C6662" s="97"/>
      <c r="D6662" s="63"/>
      <c r="E6662" s="30"/>
      <c r="F6662" s="179" t="s">
        <v>646</v>
      </c>
      <c r="G6662" s="310"/>
      <c r="H6662" s="128"/>
      <c r="M6662" s="179" t="s">
        <v>646</v>
      </c>
    </row>
    <row r="6663" spans="2:13" ht="18.75" customHeight="1" x14ac:dyDescent="0.25">
      <c r="B6663" s="37"/>
      <c r="C6663" s="98"/>
      <c r="D6663" s="411"/>
      <c r="E6663" s="42"/>
      <c r="F6663" s="181"/>
      <c r="G6663" s="311"/>
      <c r="H6663" s="129"/>
      <c r="M6663" s="181"/>
    </row>
    <row r="6664" spans="2:13" ht="18.75" customHeight="1" x14ac:dyDescent="0.25">
      <c r="B6664" s="50"/>
      <c r="C6664" s="100"/>
      <c r="E6664" s="21"/>
      <c r="F6664" s="189"/>
      <c r="G6664" s="90"/>
      <c r="H6664" s="137"/>
      <c r="M6664" s="189"/>
    </row>
    <row r="6665" spans="2:13" ht="18.75" customHeight="1" x14ac:dyDescent="0.25">
      <c r="B6665" s="46" t="s">
        <v>647</v>
      </c>
      <c r="C6665" s="101" t="s">
        <v>648</v>
      </c>
      <c r="E6665" s="22"/>
      <c r="F6665" s="189"/>
      <c r="G6665" s="308"/>
      <c r="H6665" s="131">
        <f>+H6662+H6659+H6654</f>
        <v>1516250</v>
      </c>
      <c r="M6665" s="189"/>
    </row>
    <row r="6666" spans="2:13" ht="18.75" customHeight="1" x14ac:dyDescent="0.25">
      <c r="B6666" s="356" t="s">
        <v>649</v>
      </c>
      <c r="C6666" s="364" t="s">
        <v>650</v>
      </c>
      <c r="D6666" s="435"/>
      <c r="E6666" s="92"/>
      <c r="F6666" s="184" t="str">
        <f>$J$5</f>
        <v>8,0 % x D</v>
      </c>
      <c r="G6666" s="295"/>
      <c r="H6666" s="358">
        <f>+H6665*$K$5</f>
        <v>121300</v>
      </c>
      <c r="M6666" s="184" t="str">
        <f>$J$5</f>
        <v>8,0 % x D</v>
      </c>
    </row>
    <row r="6667" spans="2:13" ht="18.75" customHeight="1" x14ac:dyDescent="0.25">
      <c r="B6667" s="356" t="s">
        <v>651</v>
      </c>
      <c r="C6667" s="365" t="s">
        <v>652</v>
      </c>
      <c r="D6667" s="435"/>
      <c r="E6667" s="91"/>
      <c r="F6667" s="185"/>
      <c r="G6667" s="296"/>
      <c r="H6667" s="359">
        <f>ROUNDUP((H6666+H6665)/100,0)*100</f>
        <v>1637600</v>
      </c>
      <c r="M6667" s="185"/>
    </row>
    <row r="6668" spans="2:13" ht="18.75" customHeight="1" thickBot="1" x14ac:dyDescent="0.3">
      <c r="B6668" s="47"/>
      <c r="C6668" s="103"/>
      <c r="D6668" s="48"/>
      <c r="E6668" s="49"/>
      <c r="F6668" s="186"/>
      <c r="G6668" s="309"/>
      <c r="H6668" s="136"/>
      <c r="M6668" s="186"/>
    </row>
    <row r="6669" spans="2:13" ht="18.75" customHeight="1" x14ac:dyDescent="0.25">
      <c r="B6669" s="22"/>
      <c r="C6669" s="104"/>
      <c r="E6669" s="21"/>
      <c r="F6669" s="176"/>
      <c r="G6669" s="165"/>
      <c r="H6669" s="119"/>
      <c r="M6669" s="176"/>
    </row>
    <row r="6670" spans="2:13" ht="18.75" customHeight="1" x14ac:dyDescent="0.25">
      <c r="B6670" s="19">
        <f>B6645+1</f>
        <v>7</v>
      </c>
      <c r="C6670" s="93" t="s">
        <v>1172</v>
      </c>
      <c r="D6670" s="19"/>
      <c r="E6670" s="21"/>
      <c r="F6670" s="176"/>
      <c r="G6670" s="165"/>
      <c r="H6670" s="119"/>
      <c r="M6670" s="176"/>
    </row>
    <row r="6671" spans="2:13" ht="18.75" customHeight="1" x14ac:dyDescent="0.25">
      <c r="B6671" s="618" t="s">
        <v>620</v>
      </c>
      <c r="C6671" s="620" t="s">
        <v>621</v>
      </c>
      <c r="D6671" s="618" t="s">
        <v>622</v>
      </c>
      <c r="E6671" s="618" t="s">
        <v>2</v>
      </c>
      <c r="F6671" s="615" t="s">
        <v>623</v>
      </c>
      <c r="G6671" s="289" t="s">
        <v>624</v>
      </c>
      <c r="H6671" s="256" t="s">
        <v>625</v>
      </c>
      <c r="M6671" s="615" t="s">
        <v>623</v>
      </c>
    </row>
    <row r="6672" spans="2:13" ht="18.75" customHeight="1" x14ac:dyDescent="0.25">
      <c r="B6672" s="619"/>
      <c r="C6672" s="621"/>
      <c r="D6672" s="619"/>
      <c r="E6672" s="619"/>
      <c r="F6672" s="616"/>
      <c r="G6672" s="289" t="s">
        <v>626</v>
      </c>
      <c r="H6672" s="256" t="s">
        <v>626</v>
      </c>
      <c r="M6672" s="616"/>
    </row>
    <row r="6673" spans="2:13" ht="18.75" customHeight="1" x14ac:dyDescent="0.25">
      <c r="B6673" s="23"/>
      <c r="C6673" s="95"/>
      <c r="D6673" s="24"/>
      <c r="E6673" s="25"/>
      <c r="F6673" s="177"/>
      <c r="G6673" s="166"/>
      <c r="H6673" s="120"/>
      <c r="M6673" s="177"/>
    </row>
    <row r="6674" spans="2:13" ht="18.75" customHeight="1" x14ac:dyDescent="0.25">
      <c r="B6674" s="26" t="s">
        <v>627</v>
      </c>
      <c r="C6674" s="89" t="s">
        <v>628</v>
      </c>
      <c r="D6674" s="27"/>
      <c r="E6674" s="28"/>
      <c r="F6674" s="178"/>
      <c r="G6674" s="72"/>
      <c r="H6674" s="121"/>
      <c r="M6674" s="178"/>
    </row>
    <row r="6675" spans="2:13" ht="18.75" customHeight="1" x14ac:dyDescent="0.25">
      <c r="B6675" s="26"/>
      <c r="C6675" s="96" t="s">
        <v>629</v>
      </c>
      <c r="D6675" s="27" t="s">
        <v>630</v>
      </c>
      <c r="E6675" s="28" t="s">
        <v>631</v>
      </c>
      <c r="F6675" s="228">
        <f t="shared" ref="F6675:F6678" si="298">$K$8*M6675</f>
        <v>0.8</v>
      </c>
      <c r="G6675" s="29">
        <f>G6650</f>
        <v>95000</v>
      </c>
      <c r="H6675" s="122">
        <f>+G6675*F6675</f>
        <v>76000</v>
      </c>
      <c r="M6675" s="61">
        <v>0.8</v>
      </c>
    </row>
    <row r="6676" spans="2:13" ht="18.75" customHeight="1" x14ac:dyDescent="0.25">
      <c r="B6676" s="26"/>
      <c r="C6676" s="96" t="s">
        <v>1508</v>
      </c>
      <c r="D6676" s="27" t="s">
        <v>634</v>
      </c>
      <c r="E6676" s="28" t="s">
        <v>631</v>
      </c>
      <c r="F6676" s="228">
        <f t="shared" si="298"/>
        <v>2.4</v>
      </c>
      <c r="G6676" s="29">
        <f t="shared" ref="G6676:G6678" si="299">G6651</f>
        <v>110000</v>
      </c>
      <c r="H6676" s="122">
        <f>+G6676*F6676</f>
        <v>264000</v>
      </c>
      <c r="M6676" s="61">
        <v>2.4</v>
      </c>
    </row>
    <row r="6677" spans="2:13" ht="18.75" customHeight="1" x14ac:dyDescent="0.25">
      <c r="B6677" s="26"/>
      <c r="C6677" s="96" t="s">
        <v>633</v>
      </c>
      <c r="D6677" s="27" t="s">
        <v>634</v>
      </c>
      <c r="E6677" s="28" t="s">
        <v>631</v>
      </c>
      <c r="F6677" s="228">
        <f t="shared" si="298"/>
        <v>0.24</v>
      </c>
      <c r="G6677" s="29">
        <f t="shared" si="299"/>
        <v>115000</v>
      </c>
      <c r="H6677" s="122">
        <f>+G6677*F6677</f>
        <v>27600</v>
      </c>
      <c r="M6677" s="61">
        <v>0.24</v>
      </c>
    </row>
    <row r="6678" spans="2:13" ht="18.75" customHeight="1" x14ac:dyDescent="0.25">
      <c r="B6678" s="26"/>
      <c r="C6678" s="96" t="s">
        <v>600</v>
      </c>
      <c r="D6678" s="27" t="s">
        <v>635</v>
      </c>
      <c r="E6678" s="36" t="s">
        <v>631</v>
      </c>
      <c r="F6678" s="228">
        <f t="shared" si="298"/>
        <v>7.4999999999999997E-2</v>
      </c>
      <c r="G6678" s="29">
        <f t="shared" si="299"/>
        <v>140000</v>
      </c>
      <c r="H6678" s="123">
        <f>+G6678*F6678</f>
        <v>10500</v>
      </c>
      <c r="M6678" s="193">
        <v>7.4999999999999997E-2</v>
      </c>
    </row>
    <row r="6679" spans="2:13" ht="18.75" customHeight="1" x14ac:dyDescent="0.25">
      <c r="B6679" s="26"/>
      <c r="C6679" s="89"/>
      <c r="D6679" s="63"/>
      <c r="E6679" s="30"/>
      <c r="F6679" s="192" t="s">
        <v>636</v>
      </c>
      <c r="G6679" s="310"/>
      <c r="H6679" s="124">
        <f>SUM(H6675:H6678)</f>
        <v>378100</v>
      </c>
      <c r="M6679" s="192" t="s">
        <v>636</v>
      </c>
    </row>
    <row r="6680" spans="2:13" ht="18.75" customHeight="1" x14ac:dyDescent="0.25">
      <c r="B6680" s="26"/>
      <c r="C6680" s="89"/>
      <c r="D6680" s="58"/>
      <c r="E6680" s="62"/>
      <c r="F6680" s="52"/>
      <c r="G6680" s="76"/>
      <c r="H6680" s="140"/>
      <c r="M6680" s="52"/>
    </row>
    <row r="6681" spans="2:13" ht="18.75" customHeight="1" x14ac:dyDescent="0.25">
      <c r="B6681" s="26" t="s">
        <v>637</v>
      </c>
      <c r="C6681" s="89" t="s">
        <v>638</v>
      </c>
      <c r="D6681" s="64"/>
      <c r="E6681" s="31"/>
      <c r="F6681" s="180"/>
      <c r="G6681" s="75"/>
      <c r="H6681" s="125"/>
      <c r="M6681" s="180"/>
    </row>
    <row r="6682" spans="2:13" ht="18.75" customHeight="1" x14ac:dyDescent="0.25">
      <c r="B6682" s="26"/>
      <c r="C6682" s="89" t="s">
        <v>1173</v>
      </c>
      <c r="D6682" s="64"/>
      <c r="E6682" s="64" t="s">
        <v>1013</v>
      </c>
      <c r="F6682" s="205">
        <v>0.03</v>
      </c>
      <c r="G6682" s="34">
        <f>+G6657</f>
        <v>13850000</v>
      </c>
      <c r="H6682" s="122">
        <f>+G6682*F6682</f>
        <v>415500</v>
      </c>
      <c r="J6682" s="558" t="s">
        <v>227</v>
      </c>
      <c r="M6682" s="205">
        <v>0.03</v>
      </c>
    </row>
    <row r="6683" spans="2:13" ht="18.75" customHeight="1" x14ac:dyDescent="0.25">
      <c r="B6683" s="26"/>
      <c r="C6683" s="89" t="s">
        <v>1174</v>
      </c>
      <c r="D6683" s="64"/>
      <c r="E6683" s="64" t="s">
        <v>58</v>
      </c>
      <c r="F6683" s="205">
        <v>1</v>
      </c>
      <c r="G6683" s="430">
        <f>Bahan!D220</f>
        <v>165000</v>
      </c>
      <c r="H6683" s="122">
        <f>F6683*G6683</f>
        <v>165000</v>
      </c>
      <c r="M6683" s="205">
        <v>1</v>
      </c>
    </row>
    <row r="6684" spans="2:13" ht="18.75" customHeight="1" x14ac:dyDescent="0.25">
      <c r="B6684" s="26"/>
      <c r="C6684" s="89" t="s">
        <v>1161</v>
      </c>
      <c r="D6684" s="64"/>
      <c r="E6684" s="64" t="s">
        <v>5</v>
      </c>
      <c r="F6684" s="205">
        <v>0.3</v>
      </c>
      <c r="G6684" s="75">
        <f>+G6658</f>
        <v>15000</v>
      </c>
      <c r="H6684" s="122">
        <f>+G6684*F6684</f>
        <v>4500</v>
      </c>
      <c r="M6684" s="205">
        <v>0.3</v>
      </c>
    </row>
    <row r="6685" spans="2:13" ht="18.75" customHeight="1" x14ac:dyDescent="0.25">
      <c r="B6685" s="26"/>
      <c r="C6685" s="89"/>
      <c r="D6685" s="63"/>
      <c r="E6685" s="30"/>
      <c r="F6685" s="179" t="s">
        <v>643</v>
      </c>
      <c r="G6685" s="310"/>
      <c r="H6685" s="124">
        <f>SUM(H6682:H6684)</f>
        <v>585000</v>
      </c>
      <c r="M6685" s="179" t="s">
        <v>643</v>
      </c>
    </row>
    <row r="6686" spans="2:13" ht="18.75" customHeight="1" x14ac:dyDescent="0.25">
      <c r="B6686" s="26"/>
      <c r="C6686" s="89"/>
      <c r="D6686" s="64"/>
      <c r="E6686" s="31"/>
      <c r="F6686" s="180"/>
      <c r="G6686" s="75"/>
      <c r="H6686" s="125"/>
      <c r="M6686" s="180"/>
    </row>
    <row r="6687" spans="2:13" ht="18.75" customHeight="1" x14ac:dyDescent="0.25">
      <c r="B6687" s="26" t="s">
        <v>644</v>
      </c>
      <c r="C6687" s="89" t="s">
        <v>645</v>
      </c>
      <c r="D6687" s="56"/>
      <c r="E6687" s="36"/>
      <c r="F6687" s="194"/>
      <c r="G6687" s="88"/>
      <c r="H6687" s="127"/>
      <c r="M6687" s="194"/>
    </row>
    <row r="6688" spans="2:13" ht="18.75" customHeight="1" x14ac:dyDescent="0.25">
      <c r="B6688" s="35"/>
      <c r="C6688" s="97"/>
      <c r="D6688" s="63"/>
      <c r="E6688" s="30"/>
      <c r="F6688" s="179" t="s">
        <v>646</v>
      </c>
      <c r="G6688" s="310"/>
      <c r="H6688" s="128"/>
      <c r="M6688" s="179" t="s">
        <v>646</v>
      </c>
    </row>
    <row r="6689" spans="2:13" ht="18.75" customHeight="1" x14ac:dyDescent="0.25">
      <c r="B6689" s="37"/>
      <c r="C6689" s="98"/>
      <c r="D6689" s="411"/>
      <c r="E6689" s="42"/>
      <c r="F6689" s="181"/>
      <c r="G6689" s="311"/>
      <c r="H6689" s="129"/>
      <c r="M6689" s="181"/>
    </row>
    <row r="6690" spans="2:13" ht="18.75" customHeight="1" x14ac:dyDescent="0.25">
      <c r="B6690" s="50"/>
      <c r="C6690" s="100"/>
      <c r="E6690" s="21"/>
      <c r="F6690" s="189"/>
      <c r="G6690" s="90"/>
      <c r="H6690" s="137"/>
      <c r="M6690" s="189"/>
    </row>
    <row r="6691" spans="2:13" ht="18.75" customHeight="1" x14ac:dyDescent="0.25">
      <c r="B6691" s="46" t="s">
        <v>647</v>
      </c>
      <c r="C6691" s="101" t="s">
        <v>648</v>
      </c>
      <c r="E6691" s="22"/>
      <c r="F6691" s="189"/>
      <c r="G6691" s="308"/>
      <c r="H6691" s="131">
        <f>+H6688+H6685+H6679</f>
        <v>963100</v>
      </c>
      <c r="M6691" s="189"/>
    </row>
    <row r="6692" spans="2:13" ht="18.75" customHeight="1" x14ac:dyDescent="0.25">
      <c r="B6692" s="356" t="s">
        <v>649</v>
      </c>
      <c r="C6692" s="364" t="s">
        <v>650</v>
      </c>
      <c r="D6692" s="435"/>
      <c r="E6692" s="92"/>
      <c r="F6692" s="184" t="str">
        <f>$J$5</f>
        <v>8,0 % x D</v>
      </c>
      <c r="G6692" s="295"/>
      <c r="H6692" s="358">
        <f>+H6691*$K$5</f>
        <v>77048</v>
      </c>
      <c r="M6692" s="184" t="str">
        <f>$J$5</f>
        <v>8,0 % x D</v>
      </c>
    </row>
    <row r="6693" spans="2:13" ht="18.75" customHeight="1" x14ac:dyDescent="0.25">
      <c r="B6693" s="356" t="s">
        <v>651</v>
      </c>
      <c r="C6693" s="365" t="s">
        <v>652</v>
      </c>
      <c r="D6693" s="435"/>
      <c r="E6693" s="91"/>
      <c r="F6693" s="185"/>
      <c r="G6693" s="296"/>
      <c r="H6693" s="359">
        <f>ROUNDUP((H6692+H6691)/100,0)*100</f>
        <v>1040200</v>
      </c>
      <c r="M6693" s="185"/>
    </row>
    <row r="6694" spans="2:13" ht="18.75" customHeight="1" thickBot="1" x14ac:dyDescent="0.3">
      <c r="B6694" s="47"/>
      <c r="C6694" s="103"/>
      <c r="D6694" s="48"/>
      <c r="E6694" s="49"/>
      <c r="F6694" s="186"/>
      <c r="G6694" s="309"/>
      <c r="H6694" s="136"/>
      <c r="M6694" s="186"/>
    </row>
    <row r="6695" spans="2:13" ht="18.75" customHeight="1" x14ac:dyDescent="0.25">
      <c r="B6695" s="92"/>
      <c r="C6695" s="104"/>
      <c r="D6695" s="435"/>
      <c r="E6695" s="91"/>
      <c r="F6695" s="185"/>
      <c r="G6695" s="168"/>
      <c r="H6695" s="139"/>
      <c r="M6695" s="185"/>
    </row>
    <row r="6696" spans="2:13" ht="18.75" customHeight="1" x14ac:dyDescent="0.25">
      <c r="B6696" s="19">
        <f>B6670+1</f>
        <v>8</v>
      </c>
      <c r="C6696" s="93" t="s">
        <v>1175</v>
      </c>
      <c r="D6696" s="19"/>
      <c r="E6696" s="21"/>
      <c r="F6696" s="176"/>
      <c r="G6696" s="165"/>
      <c r="H6696" s="119"/>
      <c r="M6696" s="176"/>
    </row>
    <row r="6697" spans="2:13" ht="18.75" customHeight="1" x14ac:dyDescent="0.25">
      <c r="B6697" s="618" t="s">
        <v>620</v>
      </c>
      <c r="C6697" s="620" t="s">
        <v>621</v>
      </c>
      <c r="D6697" s="618" t="s">
        <v>622</v>
      </c>
      <c r="E6697" s="618" t="s">
        <v>2</v>
      </c>
      <c r="F6697" s="615" t="s">
        <v>623</v>
      </c>
      <c r="G6697" s="289" t="s">
        <v>624</v>
      </c>
      <c r="H6697" s="256" t="s">
        <v>625</v>
      </c>
      <c r="M6697" s="615" t="s">
        <v>623</v>
      </c>
    </row>
    <row r="6698" spans="2:13" ht="18.75" customHeight="1" x14ac:dyDescent="0.25">
      <c r="B6698" s="619"/>
      <c r="C6698" s="621"/>
      <c r="D6698" s="619"/>
      <c r="E6698" s="619"/>
      <c r="F6698" s="616"/>
      <c r="G6698" s="289" t="s">
        <v>626</v>
      </c>
      <c r="H6698" s="256" t="s">
        <v>626</v>
      </c>
      <c r="M6698" s="616"/>
    </row>
    <row r="6699" spans="2:13" ht="18.75" customHeight="1" x14ac:dyDescent="0.25">
      <c r="B6699" s="23"/>
      <c r="C6699" s="95"/>
      <c r="D6699" s="24"/>
      <c r="E6699" s="25"/>
      <c r="F6699" s="177"/>
      <c r="G6699" s="166"/>
      <c r="H6699" s="120"/>
      <c r="M6699" s="177"/>
    </row>
    <row r="6700" spans="2:13" ht="18.75" customHeight="1" x14ac:dyDescent="0.25">
      <c r="B6700" s="26" t="s">
        <v>627</v>
      </c>
      <c r="C6700" s="89" t="s">
        <v>628</v>
      </c>
      <c r="D6700" s="27"/>
      <c r="E6700" s="28"/>
      <c r="F6700" s="178"/>
      <c r="G6700" s="72"/>
      <c r="H6700" s="121"/>
      <c r="M6700" s="178"/>
    </row>
    <row r="6701" spans="2:13" ht="18.75" customHeight="1" x14ac:dyDescent="0.25">
      <c r="B6701" s="26"/>
      <c r="C6701" s="96" t="s">
        <v>629</v>
      </c>
      <c r="D6701" s="27" t="s">
        <v>630</v>
      </c>
      <c r="E6701" s="28" t="s">
        <v>631</v>
      </c>
      <c r="F6701" s="228">
        <f t="shared" ref="F6701:F6704" si="300">$K$8*M6701</f>
        <v>0.6</v>
      </c>
      <c r="G6701" s="29">
        <f>G6675</f>
        <v>95000</v>
      </c>
      <c r="H6701" s="122">
        <f>+G6701*F6701</f>
        <v>57000</v>
      </c>
      <c r="J6701" s="473"/>
      <c r="M6701" s="61">
        <v>0.6</v>
      </c>
    </row>
    <row r="6702" spans="2:13" ht="18.75" customHeight="1" x14ac:dyDescent="0.25">
      <c r="B6702" s="26"/>
      <c r="C6702" s="96" t="s">
        <v>1508</v>
      </c>
      <c r="D6702" s="27" t="s">
        <v>634</v>
      </c>
      <c r="E6702" s="28" t="s">
        <v>631</v>
      </c>
      <c r="F6702" s="228">
        <f t="shared" si="300"/>
        <v>2</v>
      </c>
      <c r="G6702" s="29">
        <f t="shared" ref="G6702:G6704" si="301">G6676</f>
        <v>110000</v>
      </c>
      <c r="H6702" s="122">
        <f>+G6702*F6702</f>
        <v>220000</v>
      </c>
      <c r="J6702" s="473"/>
      <c r="M6702" s="61">
        <v>2</v>
      </c>
    </row>
    <row r="6703" spans="2:13" ht="18.75" customHeight="1" x14ac:dyDescent="0.25">
      <c r="B6703" s="26"/>
      <c r="C6703" s="96" t="s">
        <v>633</v>
      </c>
      <c r="D6703" s="27" t="s">
        <v>634</v>
      </c>
      <c r="E6703" s="28" t="s">
        <v>631</v>
      </c>
      <c r="F6703" s="228">
        <f t="shared" si="300"/>
        <v>0.2</v>
      </c>
      <c r="G6703" s="29">
        <f t="shared" si="301"/>
        <v>115000</v>
      </c>
      <c r="H6703" s="122">
        <f>+G6703*F6703</f>
        <v>23000</v>
      </c>
      <c r="J6703" s="473"/>
      <c r="M6703" s="61">
        <v>0.2</v>
      </c>
    </row>
    <row r="6704" spans="2:13" ht="18.75" customHeight="1" x14ac:dyDescent="0.25">
      <c r="B6704" s="26"/>
      <c r="C6704" s="96" t="s">
        <v>600</v>
      </c>
      <c r="D6704" s="27" t="s">
        <v>635</v>
      </c>
      <c r="E6704" s="36" t="s">
        <v>631</v>
      </c>
      <c r="F6704" s="228">
        <f t="shared" si="300"/>
        <v>0.03</v>
      </c>
      <c r="G6704" s="29">
        <f t="shared" si="301"/>
        <v>140000</v>
      </c>
      <c r="H6704" s="123">
        <f>+G6704*F6704</f>
        <v>4200</v>
      </c>
      <c r="J6704" s="473"/>
      <c r="M6704" s="193">
        <v>0.03</v>
      </c>
    </row>
    <row r="6705" spans="2:13" ht="18.75" customHeight="1" x14ac:dyDescent="0.25">
      <c r="B6705" s="26"/>
      <c r="C6705" s="89"/>
      <c r="D6705" s="63"/>
      <c r="E6705" s="30"/>
      <c r="F6705" s="192" t="s">
        <v>636</v>
      </c>
      <c r="G6705" s="310"/>
      <c r="H6705" s="124">
        <f>SUM(H6701:H6704)</f>
        <v>304200</v>
      </c>
      <c r="M6705" s="192" t="s">
        <v>636</v>
      </c>
    </row>
    <row r="6706" spans="2:13" ht="18.75" customHeight="1" x14ac:dyDescent="0.25">
      <c r="B6706" s="26"/>
      <c r="C6706" s="89"/>
      <c r="D6706" s="58"/>
      <c r="E6706" s="62"/>
      <c r="F6706" s="52"/>
      <c r="G6706" s="76"/>
      <c r="H6706" s="140"/>
      <c r="M6706" s="52"/>
    </row>
    <row r="6707" spans="2:13" ht="18.75" customHeight="1" x14ac:dyDescent="0.25">
      <c r="B6707" s="26" t="s">
        <v>637</v>
      </c>
      <c r="C6707" s="89" t="s">
        <v>638</v>
      </c>
      <c r="D6707" s="64"/>
      <c r="E6707" s="31"/>
      <c r="F6707" s="180"/>
      <c r="G6707" s="75"/>
      <c r="H6707" s="125"/>
      <c r="M6707" s="180"/>
    </row>
    <row r="6708" spans="2:13" ht="18.75" customHeight="1" x14ac:dyDescent="0.25">
      <c r="B6708" s="26"/>
      <c r="C6708" s="89" t="s">
        <v>1171</v>
      </c>
      <c r="D6708" s="64"/>
      <c r="E6708" s="64" t="s">
        <v>1013</v>
      </c>
      <c r="F6708" s="205">
        <v>1.9599999999999999E-2</v>
      </c>
      <c r="G6708" s="34">
        <f>G6682</f>
        <v>13850000</v>
      </c>
      <c r="H6708" s="122">
        <f>+G6708*F6708</f>
        <v>271460</v>
      </c>
      <c r="J6708" s="475"/>
      <c r="M6708" s="205">
        <v>1.9599999999999999E-2</v>
      </c>
    </row>
    <row r="6709" spans="2:13" ht="18.75" customHeight="1" x14ac:dyDescent="0.25">
      <c r="B6709" s="26"/>
      <c r="C6709" s="89" t="s">
        <v>1161</v>
      </c>
      <c r="D6709" s="64"/>
      <c r="E6709" s="64" t="s">
        <v>5</v>
      </c>
      <c r="F6709" s="205">
        <v>0.3</v>
      </c>
      <c r="G6709" s="75">
        <f>+G6684</f>
        <v>15000</v>
      </c>
      <c r="H6709" s="122">
        <f>+G6709*F6709</f>
        <v>4500</v>
      </c>
      <c r="J6709" s="473"/>
      <c r="M6709" s="205">
        <v>0.3</v>
      </c>
    </row>
    <row r="6710" spans="2:13" ht="18.75" customHeight="1" x14ac:dyDescent="0.25">
      <c r="B6710" s="26"/>
      <c r="C6710" s="89" t="s">
        <v>660</v>
      </c>
      <c r="D6710" s="27"/>
      <c r="E6710" s="27" t="s">
        <v>62</v>
      </c>
      <c r="F6710" s="207">
        <v>0.03</v>
      </c>
      <c r="G6710" s="72">
        <f>G6607</f>
        <v>25000</v>
      </c>
      <c r="H6710" s="122">
        <f>F6710*G6710</f>
        <v>750</v>
      </c>
      <c r="J6710" s="473"/>
      <c r="M6710" s="207">
        <v>0.03</v>
      </c>
    </row>
    <row r="6711" spans="2:13" ht="18.75" customHeight="1" x14ac:dyDescent="0.25">
      <c r="B6711" s="26"/>
      <c r="C6711" s="89" t="s">
        <v>1094</v>
      </c>
      <c r="D6711" s="27"/>
      <c r="E6711" s="27" t="s">
        <v>155</v>
      </c>
      <c r="F6711" s="207">
        <v>0.5</v>
      </c>
      <c r="G6711" s="72">
        <f>Bahan!D538</f>
        <v>114000</v>
      </c>
      <c r="H6711" s="122">
        <f>F6711*G6711</f>
        <v>57000</v>
      </c>
      <c r="J6711" s="473"/>
      <c r="M6711" s="207">
        <v>0.5</v>
      </c>
    </row>
    <row r="6712" spans="2:13" ht="18.75" customHeight="1" x14ac:dyDescent="0.25">
      <c r="B6712" s="26"/>
      <c r="C6712" s="89" t="s">
        <v>1176</v>
      </c>
      <c r="D6712" s="39"/>
      <c r="E6712" s="39" t="s">
        <v>155</v>
      </c>
      <c r="F6712" s="210">
        <v>0.5</v>
      </c>
      <c r="G6712" s="67">
        <f>Bahan!D541</f>
        <v>132000</v>
      </c>
      <c r="H6712" s="122">
        <f>F6712*G6712</f>
        <v>66000</v>
      </c>
      <c r="J6712" s="473"/>
      <c r="M6712" s="210">
        <v>0.5</v>
      </c>
    </row>
    <row r="6713" spans="2:13" ht="18.75" customHeight="1" x14ac:dyDescent="0.25">
      <c r="B6713" s="26"/>
      <c r="C6713" s="89"/>
      <c r="D6713" s="63"/>
      <c r="E6713" s="30"/>
      <c r="F6713" s="179" t="s">
        <v>643</v>
      </c>
      <c r="G6713" s="310"/>
      <c r="H6713" s="124">
        <f>SUM(H6708:H6712)</f>
        <v>399710</v>
      </c>
      <c r="M6713" s="179" t="s">
        <v>643</v>
      </c>
    </row>
    <row r="6714" spans="2:13" ht="18.75" customHeight="1" x14ac:dyDescent="0.25">
      <c r="B6714" s="26"/>
      <c r="C6714" s="89"/>
      <c r="D6714" s="64"/>
      <c r="E6714" s="31"/>
      <c r="F6714" s="180"/>
      <c r="G6714" s="75"/>
      <c r="H6714" s="125"/>
      <c r="M6714" s="180"/>
    </row>
    <row r="6715" spans="2:13" ht="18.75" customHeight="1" x14ac:dyDescent="0.25">
      <c r="B6715" s="26" t="s">
        <v>644</v>
      </c>
      <c r="C6715" s="89" t="s">
        <v>645</v>
      </c>
      <c r="D6715" s="56"/>
      <c r="E6715" s="36"/>
      <c r="F6715" s="194"/>
      <c r="G6715" s="88"/>
      <c r="H6715" s="127"/>
      <c r="M6715" s="194"/>
    </row>
    <row r="6716" spans="2:13" ht="18.75" customHeight="1" x14ac:dyDescent="0.25">
      <c r="B6716" s="35"/>
      <c r="C6716" s="97"/>
      <c r="D6716" s="63"/>
      <c r="E6716" s="30"/>
      <c r="F6716" s="179" t="s">
        <v>646</v>
      </c>
      <c r="G6716" s="310"/>
      <c r="H6716" s="128"/>
      <c r="M6716" s="179" t="s">
        <v>646</v>
      </c>
    </row>
    <row r="6717" spans="2:13" ht="18.75" customHeight="1" x14ac:dyDescent="0.25">
      <c r="B6717" s="37"/>
      <c r="C6717" s="98"/>
      <c r="D6717" s="411"/>
      <c r="E6717" s="42"/>
      <c r="F6717" s="181"/>
      <c r="G6717" s="311"/>
      <c r="H6717" s="129"/>
      <c r="M6717" s="181"/>
    </row>
    <row r="6718" spans="2:13" ht="18.75" customHeight="1" x14ac:dyDescent="0.25">
      <c r="B6718" s="50"/>
      <c r="C6718" s="100"/>
      <c r="D6718" s="435"/>
      <c r="E6718" s="91"/>
      <c r="F6718" s="183"/>
      <c r="G6718" s="90"/>
      <c r="H6718" s="137"/>
      <c r="M6718" s="183"/>
    </row>
    <row r="6719" spans="2:13" ht="18.75" customHeight="1" x14ac:dyDescent="0.25">
      <c r="B6719" s="46" t="s">
        <v>647</v>
      </c>
      <c r="C6719" s="101" t="s">
        <v>648</v>
      </c>
      <c r="E6719" s="22"/>
      <c r="F6719" s="189"/>
      <c r="G6719" s="308"/>
      <c r="H6719" s="131">
        <f>+H6716+H6713+H6705</f>
        <v>703910</v>
      </c>
      <c r="M6719" s="189"/>
    </row>
    <row r="6720" spans="2:13" ht="18.75" customHeight="1" x14ac:dyDescent="0.25">
      <c r="B6720" s="356" t="s">
        <v>649</v>
      </c>
      <c r="C6720" s="364" t="s">
        <v>650</v>
      </c>
      <c r="D6720" s="435"/>
      <c r="E6720" s="92"/>
      <c r="F6720" s="184" t="str">
        <f>$J$5</f>
        <v>8,0 % x D</v>
      </c>
      <c r="G6720" s="295"/>
      <c r="H6720" s="358">
        <f>+H6719*$K$5</f>
        <v>56312.800000000003</v>
      </c>
      <c r="M6720" s="184" t="str">
        <f>$J$5</f>
        <v>8,0 % x D</v>
      </c>
    </row>
    <row r="6721" spans="2:13" ht="18.75" customHeight="1" x14ac:dyDescent="0.25">
      <c r="B6721" s="356" t="s">
        <v>651</v>
      </c>
      <c r="C6721" s="365" t="s">
        <v>652</v>
      </c>
      <c r="D6721" s="435"/>
      <c r="E6721" s="91"/>
      <c r="F6721" s="185"/>
      <c r="G6721" s="296"/>
      <c r="H6721" s="359">
        <f>ROUNDUP((H6720+H6719)/100,0)*100</f>
        <v>760300</v>
      </c>
      <c r="M6721" s="185"/>
    </row>
    <row r="6722" spans="2:13" ht="18.75" customHeight="1" x14ac:dyDescent="0.25">
      <c r="B6722" s="46"/>
      <c r="C6722" s="102"/>
      <c r="E6722" s="21"/>
      <c r="F6722" s="176"/>
      <c r="G6722" s="90"/>
      <c r="H6722" s="133"/>
      <c r="M6722" s="176"/>
    </row>
    <row r="6723" spans="2:13" ht="18.75" customHeight="1" x14ac:dyDescent="0.25">
      <c r="B6723" s="22"/>
      <c r="C6723" s="112"/>
      <c r="D6723" s="70"/>
      <c r="E6723" s="70"/>
      <c r="F6723" s="202"/>
      <c r="G6723" s="173"/>
      <c r="H6723" s="119"/>
      <c r="M6723" s="202"/>
    </row>
    <row r="6724" spans="2:13" ht="18.75" customHeight="1" x14ac:dyDescent="0.25">
      <c r="B6724" s="19">
        <f>B6696+1</f>
        <v>9</v>
      </c>
      <c r="C6724" s="93" t="s">
        <v>1177</v>
      </c>
      <c r="D6724" s="19"/>
      <c r="E6724" s="21"/>
      <c r="F6724" s="176"/>
      <c r="G6724" s="165"/>
      <c r="H6724" s="119"/>
      <c r="M6724" s="176"/>
    </row>
    <row r="6725" spans="2:13" ht="18.75" customHeight="1" x14ac:dyDescent="0.25">
      <c r="B6725" s="618" t="s">
        <v>620</v>
      </c>
      <c r="C6725" s="620" t="s">
        <v>621</v>
      </c>
      <c r="D6725" s="618" t="s">
        <v>622</v>
      </c>
      <c r="E6725" s="618" t="s">
        <v>2</v>
      </c>
      <c r="F6725" s="615" t="s">
        <v>623</v>
      </c>
      <c r="G6725" s="289" t="s">
        <v>624</v>
      </c>
      <c r="H6725" s="256" t="s">
        <v>625</v>
      </c>
      <c r="M6725" s="615" t="s">
        <v>623</v>
      </c>
    </row>
    <row r="6726" spans="2:13" ht="18.75" customHeight="1" x14ac:dyDescent="0.25">
      <c r="B6726" s="619"/>
      <c r="C6726" s="621"/>
      <c r="D6726" s="619"/>
      <c r="E6726" s="619"/>
      <c r="F6726" s="616"/>
      <c r="G6726" s="289" t="s">
        <v>626</v>
      </c>
      <c r="H6726" s="256" t="s">
        <v>626</v>
      </c>
      <c r="M6726" s="616"/>
    </row>
    <row r="6727" spans="2:13" ht="18.75" customHeight="1" x14ac:dyDescent="0.25">
      <c r="B6727" s="23"/>
      <c r="C6727" s="95"/>
      <c r="D6727" s="24"/>
      <c r="E6727" s="25"/>
      <c r="F6727" s="177"/>
      <c r="G6727" s="166"/>
      <c r="H6727" s="120"/>
      <c r="M6727" s="177"/>
    </row>
    <row r="6728" spans="2:13" ht="18.75" customHeight="1" x14ac:dyDescent="0.25">
      <c r="B6728" s="26" t="s">
        <v>627</v>
      </c>
      <c r="C6728" s="89" t="s">
        <v>628</v>
      </c>
      <c r="D6728" s="27"/>
      <c r="E6728" s="28"/>
      <c r="F6728" s="178"/>
      <c r="G6728" s="72"/>
      <c r="H6728" s="121"/>
      <c r="M6728" s="178"/>
    </row>
    <row r="6729" spans="2:13" ht="18.75" customHeight="1" x14ac:dyDescent="0.25">
      <c r="B6729" s="26"/>
      <c r="C6729" s="96" t="s">
        <v>629</v>
      </c>
      <c r="D6729" s="27" t="s">
        <v>630</v>
      </c>
      <c r="E6729" s="28" t="s">
        <v>631</v>
      </c>
      <c r="F6729" s="228">
        <f t="shared" ref="F6729:F6732" si="302">$K$8*M6729</f>
        <v>0.8</v>
      </c>
      <c r="G6729" s="29">
        <f>G6701</f>
        <v>95000</v>
      </c>
      <c r="H6729" s="122">
        <f>+G6729*F6729</f>
        <v>76000</v>
      </c>
      <c r="M6729" s="61">
        <v>0.8</v>
      </c>
    </row>
    <row r="6730" spans="2:13" ht="18.75" customHeight="1" x14ac:dyDescent="0.25">
      <c r="B6730" s="26"/>
      <c r="C6730" s="96" t="s">
        <v>1508</v>
      </c>
      <c r="D6730" s="27" t="s">
        <v>634</v>
      </c>
      <c r="E6730" s="28" t="s">
        <v>631</v>
      </c>
      <c r="F6730" s="228">
        <f t="shared" si="302"/>
        <v>2.4</v>
      </c>
      <c r="G6730" s="29">
        <f t="shared" ref="G6730:G6732" si="303">G6702</f>
        <v>110000</v>
      </c>
      <c r="H6730" s="122">
        <f>+G6730*F6730</f>
        <v>264000</v>
      </c>
      <c r="M6730" s="61">
        <v>2.4</v>
      </c>
    </row>
    <row r="6731" spans="2:13" ht="18.75" customHeight="1" x14ac:dyDescent="0.25">
      <c r="B6731" s="26"/>
      <c r="C6731" s="96" t="s">
        <v>633</v>
      </c>
      <c r="D6731" s="27" t="s">
        <v>634</v>
      </c>
      <c r="E6731" s="28" t="s">
        <v>631</v>
      </c>
      <c r="F6731" s="228">
        <f t="shared" si="302"/>
        <v>0.24</v>
      </c>
      <c r="G6731" s="29">
        <f t="shared" si="303"/>
        <v>115000</v>
      </c>
      <c r="H6731" s="122">
        <f>+G6731*F6731</f>
        <v>27600</v>
      </c>
      <c r="M6731" s="61">
        <v>0.24</v>
      </c>
    </row>
    <row r="6732" spans="2:13" ht="18.75" customHeight="1" x14ac:dyDescent="0.25">
      <c r="B6732" s="26"/>
      <c r="C6732" s="96" t="s">
        <v>600</v>
      </c>
      <c r="D6732" s="27" t="s">
        <v>635</v>
      </c>
      <c r="E6732" s="36" t="s">
        <v>631</v>
      </c>
      <c r="F6732" s="228">
        <f t="shared" si="302"/>
        <v>7.4999999999999997E-2</v>
      </c>
      <c r="G6732" s="29">
        <f t="shared" si="303"/>
        <v>140000</v>
      </c>
      <c r="H6732" s="123">
        <f>+G6732*F6732</f>
        <v>10500</v>
      </c>
      <c r="M6732" s="193">
        <v>7.4999999999999997E-2</v>
      </c>
    </row>
    <row r="6733" spans="2:13" ht="18.75" customHeight="1" x14ac:dyDescent="0.25">
      <c r="B6733" s="26"/>
      <c r="C6733" s="89"/>
      <c r="D6733" s="63"/>
      <c r="E6733" s="30"/>
      <c r="F6733" s="192" t="s">
        <v>636</v>
      </c>
      <c r="G6733" s="310"/>
      <c r="H6733" s="124">
        <f>SUM(H6729:H6732)</f>
        <v>378100</v>
      </c>
      <c r="M6733" s="192" t="s">
        <v>636</v>
      </c>
    </row>
    <row r="6734" spans="2:13" ht="18.75" customHeight="1" x14ac:dyDescent="0.25">
      <c r="B6734" s="26"/>
      <c r="C6734" s="89"/>
      <c r="D6734" s="58"/>
      <c r="E6734" s="62"/>
      <c r="F6734" s="52"/>
      <c r="G6734" s="76"/>
      <c r="H6734" s="140"/>
      <c r="M6734" s="52"/>
    </row>
    <row r="6735" spans="2:13" ht="18.75" customHeight="1" x14ac:dyDescent="0.25">
      <c r="B6735" s="26" t="s">
        <v>637</v>
      </c>
      <c r="C6735" s="89" t="s">
        <v>638</v>
      </c>
      <c r="D6735" s="64"/>
      <c r="E6735" s="31"/>
      <c r="F6735" s="180"/>
      <c r="G6735" s="75"/>
      <c r="H6735" s="125"/>
      <c r="M6735" s="180"/>
    </row>
    <row r="6736" spans="2:13" ht="18.75" customHeight="1" x14ac:dyDescent="0.25">
      <c r="B6736" s="26"/>
      <c r="C6736" s="89" t="s">
        <v>1171</v>
      </c>
      <c r="D6736" s="64"/>
      <c r="E6736" s="64" t="s">
        <v>1013</v>
      </c>
      <c r="F6736" s="205">
        <v>2.5000000000000001E-2</v>
      </c>
      <c r="G6736" s="34">
        <f>+G6708</f>
        <v>13850000</v>
      </c>
      <c r="H6736" s="122">
        <f>+G6736*F6736</f>
        <v>346250</v>
      </c>
      <c r="M6736" s="205">
        <v>2.5000000000000001E-2</v>
      </c>
    </row>
    <row r="6737" spans="2:13" ht="18.75" customHeight="1" x14ac:dyDescent="0.25">
      <c r="B6737" s="26"/>
      <c r="C6737" s="89" t="s">
        <v>1178</v>
      </c>
      <c r="D6737" s="64"/>
      <c r="E6737" s="64" t="s">
        <v>5</v>
      </c>
      <c r="F6737" s="205">
        <v>0.03</v>
      </c>
      <c r="G6737" s="34">
        <f>+G6607</f>
        <v>25000</v>
      </c>
      <c r="H6737" s="122">
        <f>+G6737*F6737</f>
        <v>750</v>
      </c>
      <c r="M6737" s="205">
        <v>0.03</v>
      </c>
    </row>
    <row r="6738" spans="2:13" ht="18.75" customHeight="1" x14ac:dyDescent="0.25">
      <c r="B6738" s="26"/>
      <c r="C6738" s="89" t="s">
        <v>1161</v>
      </c>
      <c r="D6738" s="64"/>
      <c r="E6738" s="64" t="s">
        <v>5</v>
      </c>
      <c r="F6738" s="205">
        <v>0.3</v>
      </c>
      <c r="G6738" s="75">
        <f>+G6709</f>
        <v>15000</v>
      </c>
      <c r="H6738" s="122">
        <f>+G6738*F6738</f>
        <v>4500</v>
      </c>
      <c r="M6738" s="205">
        <v>0.3</v>
      </c>
    </row>
    <row r="6739" spans="2:13" ht="18.75" customHeight="1" x14ac:dyDescent="0.25">
      <c r="B6739" s="26"/>
      <c r="C6739" s="89" t="s">
        <v>1179</v>
      </c>
      <c r="D6739" s="64"/>
      <c r="E6739" s="64" t="s">
        <v>18</v>
      </c>
      <c r="F6739" s="205">
        <v>1</v>
      </c>
      <c r="G6739" s="75">
        <f>Bahan!D542</f>
        <v>132000</v>
      </c>
      <c r="H6739" s="122">
        <f>+G6739*F6739</f>
        <v>132000</v>
      </c>
      <c r="M6739" s="205">
        <v>1</v>
      </c>
    </row>
    <row r="6740" spans="2:13" ht="18.75" customHeight="1" x14ac:dyDescent="0.25">
      <c r="B6740" s="26"/>
      <c r="C6740" s="89"/>
      <c r="D6740" s="63"/>
      <c r="E6740" s="30"/>
      <c r="F6740" s="179" t="s">
        <v>643</v>
      </c>
      <c r="G6740" s="310"/>
      <c r="H6740" s="124">
        <f>SUM(H6736:H6739)</f>
        <v>483500</v>
      </c>
      <c r="M6740" s="179" t="s">
        <v>643</v>
      </c>
    </row>
    <row r="6741" spans="2:13" ht="18.75" customHeight="1" x14ac:dyDescent="0.25">
      <c r="B6741" s="26"/>
      <c r="C6741" s="89"/>
      <c r="D6741" s="64"/>
      <c r="E6741" s="31"/>
      <c r="F6741" s="180"/>
      <c r="G6741" s="75"/>
      <c r="H6741" s="125"/>
      <c r="M6741" s="180"/>
    </row>
    <row r="6742" spans="2:13" ht="18.75" customHeight="1" x14ac:dyDescent="0.25">
      <c r="B6742" s="26" t="s">
        <v>644</v>
      </c>
      <c r="C6742" s="89" t="s">
        <v>645</v>
      </c>
      <c r="D6742" s="56"/>
      <c r="E6742" s="36"/>
      <c r="F6742" s="194"/>
      <c r="G6742" s="88"/>
      <c r="H6742" s="127"/>
      <c r="M6742" s="194"/>
    </row>
    <row r="6743" spans="2:13" ht="18.75" customHeight="1" x14ac:dyDescent="0.25">
      <c r="B6743" s="35"/>
      <c r="C6743" s="97"/>
      <c r="D6743" s="63"/>
      <c r="E6743" s="30"/>
      <c r="F6743" s="179" t="s">
        <v>646</v>
      </c>
      <c r="G6743" s="310"/>
      <c r="H6743" s="128"/>
      <c r="M6743" s="179" t="s">
        <v>646</v>
      </c>
    </row>
    <row r="6744" spans="2:13" ht="18.75" customHeight="1" x14ac:dyDescent="0.25">
      <c r="B6744" s="55"/>
      <c r="C6744" s="105"/>
      <c r="D6744" s="411"/>
      <c r="E6744" s="42"/>
      <c r="F6744" s="181"/>
      <c r="G6744" s="311"/>
      <c r="H6744" s="141"/>
      <c r="M6744" s="181"/>
    </row>
    <row r="6745" spans="2:13" ht="18.75" customHeight="1" x14ac:dyDescent="0.25">
      <c r="B6745" s="50"/>
      <c r="C6745" s="100"/>
      <c r="E6745" s="21"/>
      <c r="F6745" s="189"/>
      <c r="G6745" s="90"/>
      <c r="H6745" s="137"/>
      <c r="M6745" s="189"/>
    </row>
    <row r="6746" spans="2:13" ht="18.75" customHeight="1" x14ac:dyDescent="0.25">
      <c r="B6746" s="46" t="s">
        <v>647</v>
      </c>
      <c r="C6746" s="101" t="s">
        <v>648</v>
      </c>
      <c r="E6746" s="22"/>
      <c r="F6746" s="189"/>
      <c r="G6746" s="308"/>
      <c r="H6746" s="131">
        <f>+H6743+H6740+H6733</f>
        <v>861600</v>
      </c>
      <c r="M6746" s="189"/>
    </row>
    <row r="6747" spans="2:13" ht="18.75" customHeight="1" x14ac:dyDescent="0.25">
      <c r="B6747" s="356" t="s">
        <v>649</v>
      </c>
      <c r="C6747" s="364" t="s">
        <v>650</v>
      </c>
      <c r="D6747" s="435"/>
      <c r="E6747" s="92"/>
      <c r="F6747" s="184" t="str">
        <f>$J$5</f>
        <v>8,0 % x D</v>
      </c>
      <c r="G6747" s="295"/>
      <c r="H6747" s="358">
        <f>+H6746*$K$5</f>
        <v>68928</v>
      </c>
      <c r="M6747" s="184" t="str">
        <f>$J$5</f>
        <v>8,0 % x D</v>
      </c>
    </row>
    <row r="6748" spans="2:13" ht="18.75" customHeight="1" x14ac:dyDescent="0.25">
      <c r="B6748" s="356" t="s">
        <v>651</v>
      </c>
      <c r="C6748" s="365" t="s">
        <v>652</v>
      </c>
      <c r="D6748" s="435"/>
      <c r="E6748" s="91"/>
      <c r="F6748" s="185"/>
      <c r="G6748" s="296"/>
      <c r="H6748" s="359">
        <f>ROUNDUP((H6747+H6746)/100,0)*100</f>
        <v>930600</v>
      </c>
      <c r="M6748" s="185"/>
    </row>
    <row r="6749" spans="2:13" ht="18.75" customHeight="1" thickBot="1" x14ac:dyDescent="0.3">
      <c r="B6749" s="47"/>
      <c r="C6749" s="103"/>
      <c r="D6749" s="48"/>
      <c r="E6749" s="49"/>
      <c r="F6749" s="186"/>
      <c r="G6749" s="309"/>
      <c r="H6749" s="136"/>
      <c r="M6749" s="186"/>
    </row>
    <row r="6750" spans="2:13" ht="18.75" customHeight="1" x14ac:dyDescent="0.25">
      <c r="B6750" s="92"/>
      <c r="C6750" s="104"/>
      <c r="D6750" s="435"/>
      <c r="E6750" s="91"/>
      <c r="F6750" s="185"/>
      <c r="G6750" s="168"/>
      <c r="H6750" s="139"/>
      <c r="M6750" s="185"/>
    </row>
    <row r="6751" spans="2:13" ht="18.75" customHeight="1" x14ac:dyDescent="0.25">
      <c r="B6751" s="19">
        <f>B6724+1</f>
        <v>10</v>
      </c>
      <c r="C6751" s="93" t="s">
        <v>1180</v>
      </c>
      <c r="D6751" s="19"/>
      <c r="E6751" s="21"/>
      <c r="F6751" s="176"/>
      <c r="G6751" s="165"/>
      <c r="H6751" s="119"/>
      <c r="M6751" s="176"/>
    </row>
    <row r="6752" spans="2:13" ht="18.75" customHeight="1" x14ac:dyDescent="0.25">
      <c r="B6752" s="618" t="s">
        <v>620</v>
      </c>
      <c r="C6752" s="620" t="s">
        <v>621</v>
      </c>
      <c r="D6752" s="618" t="s">
        <v>622</v>
      </c>
      <c r="E6752" s="618" t="s">
        <v>2</v>
      </c>
      <c r="F6752" s="615" t="s">
        <v>623</v>
      </c>
      <c r="G6752" s="289" t="s">
        <v>624</v>
      </c>
      <c r="H6752" s="256" t="s">
        <v>625</v>
      </c>
      <c r="M6752" s="615" t="s">
        <v>623</v>
      </c>
    </row>
    <row r="6753" spans="2:13" ht="18.75" customHeight="1" x14ac:dyDescent="0.25">
      <c r="B6753" s="619"/>
      <c r="C6753" s="621"/>
      <c r="D6753" s="619"/>
      <c r="E6753" s="619"/>
      <c r="F6753" s="616"/>
      <c r="G6753" s="289" t="s">
        <v>626</v>
      </c>
      <c r="H6753" s="256" t="s">
        <v>626</v>
      </c>
      <c r="M6753" s="616"/>
    </row>
    <row r="6754" spans="2:13" ht="18.75" customHeight="1" x14ac:dyDescent="0.25">
      <c r="B6754" s="23"/>
      <c r="C6754" s="95"/>
      <c r="D6754" s="24"/>
      <c r="E6754" s="25"/>
      <c r="F6754" s="177"/>
      <c r="G6754" s="166"/>
      <c r="H6754" s="120"/>
      <c r="M6754" s="177"/>
    </row>
    <row r="6755" spans="2:13" ht="18.75" customHeight="1" x14ac:dyDescent="0.25">
      <c r="B6755" s="26" t="s">
        <v>627</v>
      </c>
      <c r="C6755" s="89" t="s">
        <v>628</v>
      </c>
      <c r="D6755" s="27"/>
      <c r="E6755" s="28"/>
      <c r="F6755" s="178"/>
      <c r="G6755" s="72"/>
      <c r="H6755" s="121"/>
      <c r="M6755" s="178"/>
    </row>
    <row r="6756" spans="2:13" ht="18.75" customHeight="1" x14ac:dyDescent="0.25">
      <c r="B6756" s="26"/>
      <c r="C6756" s="96" t="s">
        <v>629</v>
      </c>
      <c r="D6756" s="27" t="s">
        <v>630</v>
      </c>
      <c r="E6756" s="28" t="s">
        <v>631</v>
      </c>
      <c r="F6756" s="228">
        <f t="shared" ref="F6756:F6759" si="304">$K$8*M6756</f>
        <v>0.6</v>
      </c>
      <c r="G6756" s="29">
        <f>G6729</f>
        <v>95000</v>
      </c>
      <c r="H6756" s="122">
        <f>+G6756*F6756</f>
        <v>57000</v>
      </c>
      <c r="M6756" s="61">
        <v>0.6</v>
      </c>
    </row>
    <row r="6757" spans="2:13" ht="18.75" customHeight="1" x14ac:dyDescent="0.25">
      <c r="B6757" s="26"/>
      <c r="C6757" s="96" t="s">
        <v>1508</v>
      </c>
      <c r="D6757" s="27" t="s">
        <v>634</v>
      </c>
      <c r="E6757" s="28" t="s">
        <v>631</v>
      </c>
      <c r="F6757" s="228">
        <f t="shared" si="304"/>
        <v>2</v>
      </c>
      <c r="G6757" s="29">
        <f t="shared" ref="G6757:G6759" si="305">G6730</f>
        <v>110000</v>
      </c>
      <c r="H6757" s="122">
        <f>+G6757*F6757</f>
        <v>220000</v>
      </c>
      <c r="M6757" s="61">
        <v>2</v>
      </c>
    </row>
    <row r="6758" spans="2:13" ht="18.75" customHeight="1" x14ac:dyDescent="0.25">
      <c r="B6758" s="26"/>
      <c r="C6758" s="96" t="s">
        <v>633</v>
      </c>
      <c r="D6758" s="27" t="s">
        <v>634</v>
      </c>
      <c r="E6758" s="28" t="s">
        <v>631</v>
      </c>
      <c r="F6758" s="228">
        <f t="shared" si="304"/>
        <v>0.2</v>
      </c>
      <c r="G6758" s="29">
        <f t="shared" si="305"/>
        <v>115000</v>
      </c>
      <c r="H6758" s="122">
        <f>+G6758*F6758</f>
        <v>23000</v>
      </c>
      <c r="M6758" s="61">
        <v>0.2</v>
      </c>
    </row>
    <row r="6759" spans="2:13" ht="18.75" customHeight="1" x14ac:dyDescent="0.25">
      <c r="B6759" s="26"/>
      <c r="C6759" s="96" t="s">
        <v>600</v>
      </c>
      <c r="D6759" s="27" t="s">
        <v>635</v>
      </c>
      <c r="E6759" s="36" t="s">
        <v>631</v>
      </c>
      <c r="F6759" s="228">
        <f t="shared" si="304"/>
        <v>0.03</v>
      </c>
      <c r="G6759" s="29">
        <f t="shared" si="305"/>
        <v>140000</v>
      </c>
      <c r="H6759" s="123">
        <f>+G6759*F6759</f>
        <v>4200</v>
      </c>
      <c r="M6759" s="193">
        <v>0.03</v>
      </c>
    </row>
    <row r="6760" spans="2:13" ht="18.75" customHeight="1" x14ac:dyDescent="0.25">
      <c r="B6760" s="26"/>
      <c r="C6760" s="89"/>
      <c r="D6760" s="63"/>
      <c r="E6760" s="30"/>
      <c r="F6760" s="192" t="s">
        <v>636</v>
      </c>
      <c r="G6760" s="310"/>
      <c r="H6760" s="124">
        <f>SUM(H6756:H6759)</f>
        <v>304200</v>
      </c>
      <c r="M6760" s="192" t="s">
        <v>636</v>
      </c>
    </row>
    <row r="6761" spans="2:13" ht="18.75" customHeight="1" x14ac:dyDescent="0.25">
      <c r="B6761" s="26"/>
      <c r="C6761" s="89"/>
      <c r="D6761" s="58"/>
      <c r="E6761" s="62"/>
      <c r="F6761" s="52"/>
      <c r="G6761" s="76"/>
      <c r="H6761" s="140"/>
      <c r="M6761" s="52"/>
    </row>
    <row r="6762" spans="2:13" ht="18.75" customHeight="1" x14ac:dyDescent="0.25">
      <c r="B6762" s="26" t="s">
        <v>637</v>
      </c>
      <c r="C6762" s="89" t="s">
        <v>638</v>
      </c>
      <c r="D6762" s="64"/>
      <c r="E6762" s="31"/>
      <c r="F6762" s="180"/>
      <c r="G6762" s="75"/>
      <c r="H6762" s="125"/>
      <c r="M6762" s="180"/>
    </row>
    <row r="6763" spans="2:13" ht="18.75" customHeight="1" x14ac:dyDescent="0.25">
      <c r="B6763" s="26"/>
      <c r="C6763" s="89" t="s">
        <v>1181</v>
      </c>
      <c r="D6763" s="64"/>
      <c r="E6763" s="64" t="s">
        <v>1013</v>
      </c>
      <c r="F6763" s="205">
        <v>2.5600000000000001E-2</v>
      </c>
      <c r="G6763" s="34">
        <f>+G6736</f>
        <v>13850000</v>
      </c>
      <c r="H6763" s="122">
        <f>+G6763*F6763</f>
        <v>354560</v>
      </c>
      <c r="M6763" s="205">
        <v>2.5600000000000001E-2</v>
      </c>
    </row>
    <row r="6764" spans="2:13" ht="18.75" customHeight="1" x14ac:dyDescent="0.25">
      <c r="B6764" s="26"/>
      <c r="C6764" s="89" t="s">
        <v>1178</v>
      </c>
      <c r="D6764" s="64"/>
      <c r="E6764" s="64" t="s">
        <v>5</v>
      </c>
      <c r="F6764" s="205">
        <v>0.03</v>
      </c>
      <c r="G6764" s="34">
        <f>+G6737</f>
        <v>25000</v>
      </c>
      <c r="H6764" s="122">
        <f>+G6764*F6764</f>
        <v>750</v>
      </c>
      <c r="M6764" s="205">
        <v>0.03</v>
      </c>
    </row>
    <row r="6765" spans="2:13" ht="18.75" customHeight="1" x14ac:dyDescent="0.25">
      <c r="B6765" s="26"/>
      <c r="C6765" s="89" t="s">
        <v>1161</v>
      </c>
      <c r="D6765" s="64"/>
      <c r="E6765" s="64" t="s">
        <v>5</v>
      </c>
      <c r="F6765" s="205">
        <v>0.5</v>
      </c>
      <c r="G6765" s="75">
        <f>+G6738</f>
        <v>15000</v>
      </c>
      <c r="H6765" s="122">
        <f>+G6765*F6765</f>
        <v>7500</v>
      </c>
      <c r="M6765" s="205">
        <v>0.5</v>
      </c>
    </row>
    <row r="6766" spans="2:13" ht="18.75" customHeight="1" x14ac:dyDescent="0.25">
      <c r="B6766" s="26"/>
      <c r="C6766" s="89" t="s">
        <v>1182</v>
      </c>
      <c r="D6766" s="64"/>
      <c r="E6766" s="64" t="s">
        <v>18</v>
      </c>
      <c r="F6766" s="205">
        <v>1</v>
      </c>
      <c r="G6766" s="75">
        <f>Bahan!D543</f>
        <v>165000</v>
      </c>
      <c r="H6766" s="122">
        <f>+G6766*F6766</f>
        <v>165000</v>
      </c>
      <c r="M6766" s="205">
        <v>1</v>
      </c>
    </row>
    <row r="6767" spans="2:13" ht="18.75" customHeight="1" x14ac:dyDescent="0.25">
      <c r="B6767" s="26"/>
      <c r="C6767" s="89"/>
      <c r="D6767" s="63"/>
      <c r="E6767" s="30"/>
      <c r="F6767" s="179" t="s">
        <v>643</v>
      </c>
      <c r="G6767" s="310"/>
      <c r="H6767" s="124">
        <f>SUM(H6763:H6766)</f>
        <v>527810</v>
      </c>
      <c r="M6767" s="179" t="s">
        <v>643</v>
      </c>
    </row>
    <row r="6768" spans="2:13" ht="18.75" customHeight="1" x14ac:dyDescent="0.25">
      <c r="B6768" s="26"/>
      <c r="C6768" s="89"/>
      <c r="D6768" s="64"/>
      <c r="E6768" s="31"/>
      <c r="F6768" s="180"/>
      <c r="G6768" s="75"/>
      <c r="H6768" s="125"/>
      <c r="M6768" s="180"/>
    </row>
    <row r="6769" spans="2:13" ht="18.75" customHeight="1" x14ac:dyDescent="0.25">
      <c r="B6769" s="26" t="s">
        <v>644</v>
      </c>
      <c r="C6769" s="89" t="s">
        <v>645</v>
      </c>
      <c r="D6769" s="56"/>
      <c r="E6769" s="36"/>
      <c r="F6769" s="194"/>
      <c r="G6769" s="88"/>
      <c r="H6769" s="127"/>
      <c r="M6769" s="194"/>
    </row>
    <row r="6770" spans="2:13" ht="18.75" customHeight="1" x14ac:dyDescent="0.25">
      <c r="B6770" s="35"/>
      <c r="C6770" s="97"/>
      <c r="D6770" s="63"/>
      <c r="E6770" s="30"/>
      <c r="F6770" s="179" t="s">
        <v>646</v>
      </c>
      <c r="G6770" s="310"/>
      <c r="H6770" s="128"/>
      <c r="M6770" s="179" t="s">
        <v>646</v>
      </c>
    </row>
    <row r="6771" spans="2:13" ht="18.75" customHeight="1" x14ac:dyDescent="0.25">
      <c r="B6771" s="37"/>
      <c r="C6771" s="98"/>
      <c r="D6771" s="411"/>
      <c r="E6771" s="42"/>
      <c r="F6771" s="181"/>
      <c r="G6771" s="311"/>
      <c r="H6771" s="129"/>
      <c r="M6771" s="181"/>
    </row>
    <row r="6772" spans="2:13" ht="18.75" customHeight="1" x14ac:dyDescent="0.25">
      <c r="B6772" s="50"/>
      <c r="C6772" s="100"/>
      <c r="E6772" s="21"/>
      <c r="F6772" s="189"/>
      <c r="G6772" s="90"/>
      <c r="H6772" s="137"/>
      <c r="M6772" s="189"/>
    </row>
    <row r="6773" spans="2:13" ht="18.75" customHeight="1" x14ac:dyDescent="0.25">
      <c r="B6773" s="46" t="s">
        <v>647</v>
      </c>
      <c r="C6773" s="101" t="s">
        <v>648</v>
      </c>
      <c r="E6773" s="22"/>
      <c r="F6773" s="189"/>
      <c r="G6773" s="308"/>
      <c r="H6773" s="131">
        <f>+H6770+H6767+H6760</f>
        <v>832010</v>
      </c>
      <c r="M6773" s="189"/>
    </row>
    <row r="6774" spans="2:13" ht="18.75" customHeight="1" x14ac:dyDescent="0.25">
      <c r="B6774" s="356" t="s">
        <v>649</v>
      </c>
      <c r="C6774" s="364" t="s">
        <v>650</v>
      </c>
      <c r="D6774" s="435"/>
      <c r="E6774" s="92"/>
      <c r="F6774" s="184" t="str">
        <f>$J$5</f>
        <v>8,0 % x D</v>
      </c>
      <c r="G6774" s="295"/>
      <c r="H6774" s="358">
        <f>+H6773*$K$5</f>
        <v>66560.800000000003</v>
      </c>
      <c r="M6774" s="184" t="str">
        <f>$J$5</f>
        <v>8,0 % x D</v>
      </c>
    </row>
    <row r="6775" spans="2:13" ht="18.75" customHeight="1" x14ac:dyDescent="0.25">
      <c r="B6775" s="356" t="s">
        <v>651</v>
      </c>
      <c r="C6775" s="365" t="s">
        <v>652</v>
      </c>
      <c r="D6775" s="435"/>
      <c r="E6775" s="91"/>
      <c r="F6775" s="185"/>
      <c r="G6775" s="296"/>
      <c r="H6775" s="359">
        <f>ROUNDUP((H6774+H6773)/100,0)*100</f>
        <v>898600</v>
      </c>
      <c r="M6775" s="185"/>
    </row>
    <row r="6776" spans="2:13" ht="18.75" customHeight="1" thickBot="1" x14ac:dyDescent="0.3">
      <c r="B6776" s="47"/>
      <c r="C6776" s="103"/>
      <c r="D6776" s="48"/>
      <c r="E6776" s="49"/>
      <c r="F6776" s="186"/>
      <c r="G6776" s="309"/>
      <c r="H6776" s="136"/>
      <c r="M6776" s="186"/>
    </row>
    <row r="6777" spans="2:13" ht="18.75" customHeight="1" x14ac:dyDescent="0.25">
      <c r="B6777" s="92"/>
      <c r="C6777" s="104"/>
      <c r="D6777" s="435"/>
      <c r="E6777" s="91"/>
      <c r="F6777" s="185"/>
      <c r="G6777" s="168"/>
      <c r="H6777" s="139"/>
      <c r="M6777" s="185"/>
    </row>
    <row r="6778" spans="2:13" ht="18.75" customHeight="1" x14ac:dyDescent="0.25">
      <c r="B6778" s="19">
        <v>10</v>
      </c>
      <c r="C6778" s="93" t="s">
        <v>1183</v>
      </c>
      <c r="D6778" s="19"/>
      <c r="E6778" s="21"/>
      <c r="F6778" s="176"/>
      <c r="G6778" s="165"/>
      <c r="H6778" s="119"/>
      <c r="M6778" s="176"/>
    </row>
    <row r="6779" spans="2:13" ht="18.75" customHeight="1" x14ac:dyDescent="0.25">
      <c r="B6779" s="618" t="s">
        <v>620</v>
      </c>
      <c r="C6779" s="620" t="s">
        <v>621</v>
      </c>
      <c r="D6779" s="618" t="s">
        <v>622</v>
      </c>
      <c r="E6779" s="618" t="s">
        <v>2</v>
      </c>
      <c r="F6779" s="615" t="s">
        <v>623</v>
      </c>
      <c r="G6779" s="289" t="s">
        <v>624</v>
      </c>
      <c r="H6779" s="256" t="s">
        <v>625</v>
      </c>
      <c r="M6779" s="615" t="s">
        <v>623</v>
      </c>
    </row>
    <row r="6780" spans="2:13" ht="18.75" customHeight="1" x14ac:dyDescent="0.25">
      <c r="B6780" s="619"/>
      <c r="C6780" s="621"/>
      <c r="D6780" s="619"/>
      <c r="E6780" s="619"/>
      <c r="F6780" s="616"/>
      <c r="G6780" s="289" t="s">
        <v>626</v>
      </c>
      <c r="H6780" s="256" t="s">
        <v>626</v>
      </c>
      <c r="M6780" s="616"/>
    </row>
    <row r="6781" spans="2:13" ht="18.75" customHeight="1" x14ac:dyDescent="0.25">
      <c r="B6781" s="24"/>
      <c r="C6781" s="95"/>
      <c r="D6781" s="24"/>
      <c r="E6781" s="25"/>
      <c r="F6781" s="177"/>
      <c r="G6781" s="166"/>
      <c r="H6781" s="144"/>
      <c r="M6781" s="177"/>
    </row>
    <row r="6782" spans="2:13" ht="18.75" customHeight="1" x14ac:dyDescent="0.25">
      <c r="B6782" s="27" t="s">
        <v>627</v>
      </c>
      <c r="C6782" s="89" t="s">
        <v>628</v>
      </c>
      <c r="D6782" s="27"/>
      <c r="E6782" s="28"/>
      <c r="F6782" s="178"/>
      <c r="G6782" s="72"/>
      <c r="H6782" s="145"/>
      <c r="M6782" s="178"/>
    </row>
    <row r="6783" spans="2:13" ht="18.75" customHeight="1" x14ac:dyDescent="0.25">
      <c r="B6783" s="27"/>
      <c r="C6783" s="96" t="s">
        <v>629</v>
      </c>
      <c r="D6783" s="27" t="s">
        <v>630</v>
      </c>
      <c r="E6783" s="28" t="s">
        <v>631</v>
      </c>
      <c r="F6783" s="228">
        <f t="shared" ref="F6783:F6786" si="306">$K$8*M6783</f>
        <v>0.5</v>
      </c>
      <c r="G6783" s="29">
        <f>G6756</f>
        <v>95000</v>
      </c>
      <c r="H6783" s="146">
        <f>+G6783*F6783</f>
        <v>47500</v>
      </c>
      <c r="M6783" s="61">
        <v>0.5</v>
      </c>
    </row>
    <row r="6784" spans="2:13" ht="18.75" customHeight="1" x14ac:dyDescent="0.25">
      <c r="B6784" s="27"/>
      <c r="C6784" s="96" t="s">
        <v>1508</v>
      </c>
      <c r="D6784" s="27" t="s">
        <v>634</v>
      </c>
      <c r="E6784" s="28" t="s">
        <v>631</v>
      </c>
      <c r="F6784" s="228">
        <f t="shared" si="306"/>
        <v>1.25</v>
      </c>
      <c r="G6784" s="29">
        <f t="shared" ref="G6784:G6786" si="307">G6757</f>
        <v>110000</v>
      </c>
      <c r="H6784" s="146">
        <f>+G6784*F6784</f>
        <v>137500</v>
      </c>
      <c r="M6784" s="61">
        <v>1.25</v>
      </c>
    </row>
    <row r="6785" spans="2:13" ht="18.75" customHeight="1" x14ac:dyDescent="0.25">
      <c r="B6785" s="27"/>
      <c r="C6785" s="96" t="s">
        <v>633</v>
      </c>
      <c r="D6785" s="27" t="s">
        <v>634</v>
      </c>
      <c r="E6785" s="28" t="s">
        <v>631</v>
      </c>
      <c r="F6785" s="228">
        <f t="shared" si="306"/>
        <v>0.15</v>
      </c>
      <c r="G6785" s="29">
        <f t="shared" si="307"/>
        <v>115000</v>
      </c>
      <c r="H6785" s="146">
        <f>+G6785*F6785</f>
        <v>17250</v>
      </c>
      <c r="M6785" s="61">
        <v>0.15</v>
      </c>
    </row>
    <row r="6786" spans="2:13" ht="18.75" customHeight="1" x14ac:dyDescent="0.25">
      <c r="B6786" s="27"/>
      <c r="C6786" s="96" t="s">
        <v>600</v>
      </c>
      <c r="D6786" s="27" t="s">
        <v>635</v>
      </c>
      <c r="E6786" s="36" t="s">
        <v>631</v>
      </c>
      <c r="F6786" s="228">
        <f t="shared" si="306"/>
        <v>0.33500000000000002</v>
      </c>
      <c r="G6786" s="29">
        <f t="shared" si="307"/>
        <v>140000</v>
      </c>
      <c r="H6786" s="147">
        <f>+G6786*F6786</f>
        <v>46900</v>
      </c>
      <c r="M6786" s="193">
        <v>0.33500000000000002</v>
      </c>
    </row>
    <row r="6787" spans="2:13" ht="18.75" customHeight="1" x14ac:dyDescent="0.25">
      <c r="B6787" s="27"/>
      <c r="C6787" s="89"/>
      <c r="D6787" s="63"/>
      <c r="E6787" s="30"/>
      <c r="F6787" s="192" t="s">
        <v>636</v>
      </c>
      <c r="G6787" s="310"/>
      <c r="H6787" s="148">
        <f>SUM(H6783:H6786)</f>
        <v>249150</v>
      </c>
      <c r="M6787" s="192" t="s">
        <v>636</v>
      </c>
    </row>
    <row r="6788" spans="2:13" ht="18.75" customHeight="1" x14ac:dyDescent="0.25">
      <c r="B6788" s="27" t="s">
        <v>637</v>
      </c>
      <c r="C6788" s="89" t="s">
        <v>638</v>
      </c>
      <c r="D6788" s="64"/>
      <c r="E6788" s="31"/>
      <c r="F6788" s="180"/>
      <c r="G6788" s="75"/>
      <c r="H6788" s="149"/>
      <c r="M6788" s="180"/>
    </row>
    <row r="6789" spans="2:13" ht="18.75" customHeight="1" x14ac:dyDescent="0.25">
      <c r="B6789" s="27"/>
      <c r="C6789" s="89" t="s">
        <v>1173</v>
      </c>
      <c r="D6789" s="64"/>
      <c r="E6789" s="64" t="s">
        <v>1013</v>
      </c>
      <c r="F6789" s="205">
        <v>7.4999999999999997E-2</v>
      </c>
      <c r="G6789" s="34">
        <f>+G6763</f>
        <v>13850000</v>
      </c>
      <c r="H6789" s="146">
        <f>+G6789*F6789</f>
        <v>1038750</v>
      </c>
      <c r="M6789" s="205">
        <v>7.4999999999999997E-2</v>
      </c>
    </row>
    <row r="6790" spans="2:13" ht="18.75" customHeight="1" x14ac:dyDescent="0.25">
      <c r="B6790" s="27"/>
      <c r="C6790" s="89" t="s">
        <v>1178</v>
      </c>
      <c r="D6790" s="64"/>
      <c r="E6790" s="64" t="s">
        <v>5</v>
      </c>
      <c r="F6790" s="205">
        <v>0.15</v>
      </c>
      <c r="G6790" s="34">
        <f>+G6764</f>
        <v>25000</v>
      </c>
      <c r="H6790" s="146">
        <f>+G6790*F6790</f>
        <v>3750</v>
      </c>
      <c r="M6790" s="205">
        <v>0.15</v>
      </c>
    </row>
    <row r="6791" spans="2:13" ht="18.75" customHeight="1" x14ac:dyDescent="0.25">
      <c r="B6791" s="27"/>
      <c r="C6791" s="89"/>
      <c r="D6791" s="63"/>
      <c r="E6791" s="30"/>
      <c r="F6791" s="179" t="s">
        <v>643</v>
      </c>
      <c r="G6791" s="310"/>
      <c r="H6791" s="148">
        <f>SUM(H6789:H6790)</f>
        <v>1042500</v>
      </c>
      <c r="M6791" s="179" t="s">
        <v>643</v>
      </c>
    </row>
    <row r="6792" spans="2:13" ht="18.75" customHeight="1" x14ac:dyDescent="0.25">
      <c r="B6792" s="27"/>
      <c r="C6792" s="89"/>
      <c r="D6792" s="64"/>
      <c r="E6792" s="31"/>
      <c r="F6792" s="180"/>
      <c r="G6792" s="75"/>
      <c r="H6792" s="149"/>
      <c r="M6792" s="180"/>
    </row>
    <row r="6793" spans="2:13" ht="18.75" customHeight="1" x14ac:dyDescent="0.25">
      <c r="B6793" s="27" t="s">
        <v>644</v>
      </c>
      <c r="C6793" s="89" t="s">
        <v>645</v>
      </c>
      <c r="D6793" s="56"/>
      <c r="E6793" s="36"/>
      <c r="F6793" s="194"/>
      <c r="G6793" s="88"/>
      <c r="H6793" s="155"/>
      <c r="M6793" s="194"/>
    </row>
    <row r="6794" spans="2:13" ht="18.75" customHeight="1" x14ac:dyDescent="0.25">
      <c r="B6794" s="32"/>
      <c r="C6794" s="97"/>
      <c r="D6794" s="63"/>
      <c r="E6794" s="30"/>
      <c r="F6794" s="179" t="s">
        <v>646</v>
      </c>
      <c r="G6794" s="310"/>
      <c r="H6794" s="156"/>
      <c r="M6794" s="179" t="s">
        <v>646</v>
      </c>
    </row>
    <row r="6795" spans="2:13" ht="18.75" customHeight="1" x14ac:dyDescent="0.25">
      <c r="B6795" s="38"/>
      <c r="C6795" s="98"/>
      <c r="D6795" s="411"/>
      <c r="E6795" s="42"/>
      <c r="F6795" s="181"/>
      <c r="G6795" s="311"/>
      <c r="H6795" s="153"/>
      <c r="M6795" s="181"/>
    </row>
    <row r="6796" spans="2:13" ht="18.75" customHeight="1" x14ac:dyDescent="0.25">
      <c r="B6796" s="412"/>
      <c r="C6796" s="100"/>
      <c r="D6796" s="435"/>
      <c r="E6796" s="91"/>
      <c r="F6796" s="183"/>
      <c r="G6796" s="90"/>
      <c r="H6796" s="157"/>
      <c r="M6796" s="183"/>
    </row>
    <row r="6797" spans="2:13" ht="18.75" customHeight="1" x14ac:dyDescent="0.25">
      <c r="B6797" s="58" t="s">
        <v>647</v>
      </c>
      <c r="C6797" s="101" t="s">
        <v>648</v>
      </c>
      <c r="E6797" s="22"/>
      <c r="F6797" s="189"/>
      <c r="G6797" s="308"/>
      <c r="H6797" s="150">
        <f>+H6794+H6791+H6787</f>
        <v>1291650</v>
      </c>
      <c r="M6797" s="189"/>
    </row>
    <row r="6798" spans="2:13" ht="18.75" customHeight="1" x14ac:dyDescent="0.25">
      <c r="B6798" s="356" t="s">
        <v>649</v>
      </c>
      <c r="C6798" s="364" t="s">
        <v>650</v>
      </c>
      <c r="D6798" s="435"/>
      <c r="E6798" s="92"/>
      <c r="F6798" s="184" t="str">
        <f>$J$5</f>
        <v>8,0 % x D</v>
      </c>
      <c r="G6798" s="295"/>
      <c r="H6798" s="358">
        <f>+H6797*$K$5</f>
        <v>103332</v>
      </c>
      <c r="M6798" s="184" t="str">
        <f>$J$5</f>
        <v>8,0 % x D</v>
      </c>
    </row>
    <row r="6799" spans="2:13" ht="18.75" customHeight="1" x14ac:dyDescent="0.25">
      <c r="B6799" s="356" t="s">
        <v>651</v>
      </c>
      <c r="C6799" s="365" t="s">
        <v>652</v>
      </c>
      <c r="D6799" s="435"/>
      <c r="E6799" s="91"/>
      <c r="F6799" s="185"/>
      <c r="G6799" s="296"/>
      <c r="H6799" s="359">
        <f>ROUNDUP((H6798+H6797)/100,0)*100</f>
        <v>1395000</v>
      </c>
      <c r="M6799" s="185"/>
    </row>
    <row r="6800" spans="2:13" ht="18.75" customHeight="1" x14ac:dyDescent="0.25">
      <c r="B6800" s="41"/>
      <c r="C6800" s="106"/>
      <c r="D6800" s="59"/>
      <c r="E6800" s="60"/>
      <c r="F6800" s="195"/>
      <c r="G6800" s="315"/>
      <c r="H6800" s="153"/>
      <c r="M6800" s="195"/>
    </row>
    <row r="6801" spans="2:13" ht="18.75" customHeight="1" x14ac:dyDescent="0.25">
      <c r="B6801" s="22"/>
      <c r="C6801" s="104"/>
      <c r="E6801" s="21"/>
      <c r="F6801" s="176"/>
      <c r="G6801" s="165"/>
      <c r="H6801" s="119"/>
      <c r="M6801" s="176"/>
    </row>
    <row r="6802" spans="2:13" ht="18.75" customHeight="1" x14ac:dyDescent="0.25">
      <c r="B6802" s="19">
        <v>11</v>
      </c>
      <c r="C6802" s="93" t="s">
        <v>1184</v>
      </c>
      <c r="D6802" s="19"/>
      <c r="E6802" s="21"/>
      <c r="F6802" s="176"/>
      <c r="G6802" s="165"/>
      <c r="H6802" s="119"/>
      <c r="M6802" s="176"/>
    </row>
    <row r="6803" spans="2:13" ht="18.75" customHeight="1" x14ac:dyDescent="0.25">
      <c r="B6803" s="618" t="s">
        <v>620</v>
      </c>
      <c r="C6803" s="620" t="s">
        <v>621</v>
      </c>
      <c r="D6803" s="618" t="s">
        <v>622</v>
      </c>
      <c r="E6803" s="618" t="s">
        <v>2</v>
      </c>
      <c r="F6803" s="615" t="s">
        <v>623</v>
      </c>
      <c r="G6803" s="289" t="s">
        <v>624</v>
      </c>
      <c r="H6803" s="256" t="s">
        <v>625</v>
      </c>
      <c r="M6803" s="615" t="s">
        <v>623</v>
      </c>
    </row>
    <row r="6804" spans="2:13" ht="18.75" customHeight="1" x14ac:dyDescent="0.25">
      <c r="B6804" s="619"/>
      <c r="C6804" s="621"/>
      <c r="D6804" s="619"/>
      <c r="E6804" s="619"/>
      <c r="F6804" s="616"/>
      <c r="G6804" s="289" t="s">
        <v>626</v>
      </c>
      <c r="H6804" s="256" t="s">
        <v>626</v>
      </c>
      <c r="M6804" s="616"/>
    </row>
    <row r="6805" spans="2:13" ht="18.75" customHeight="1" x14ac:dyDescent="0.25">
      <c r="B6805" s="23"/>
      <c r="C6805" s="95"/>
      <c r="D6805" s="24"/>
      <c r="E6805" s="25"/>
      <c r="F6805" s="177"/>
      <c r="G6805" s="166"/>
      <c r="H6805" s="120"/>
      <c r="M6805" s="177"/>
    </row>
    <row r="6806" spans="2:13" ht="18.75" customHeight="1" x14ac:dyDescent="0.25">
      <c r="B6806" s="26" t="s">
        <v>627</v>
      </c>
      <c r="C6806" s="89" t="s">
        <v>628</v>
      </c>
      <c r="D6806" s="27"/>
      <c r="E6806" s="28"/>
      <c r="F6806" s="178"/>
      <c r="G6806" s="72"/>
      <c r="H6806" s="121"/>
      <c r="M6806" s="178"/>
    </row>
    <row r="6807" spans="2:13" ht="18.75" customHeight="1" x14ac:dyDescent="0.25">
      <c r="B6807" s="26"/>
      <c r="C6807" s="96" t="s">
        <v>629</v>
      </c>
      <c r="D6807" s="27" t="s">
        <v>630</v>
      </c>
      <c r="E6807" s="28" t="s">
        <v>631</v>
      </c>
      <c r="F6807" s="228">
        <f t="shared" ref="F6807:F6810" si="308">$K$8*M6807</f>
        <v>0.8</v>
      </c>
      <c r="G6807" s="29">
        <f>G6756</f>
        <v>95000</v>
      </c>
      <c r="H6807" s="122">
        <f>+G6807*F6807</f>
        <v>76000</v>
      </c>
      <c r="M6807" s="61">
        <v>0.8</v>
      </c>
    </row>
    <row r="6808" spans="2:13" ht="18.75" customHeight="1" x14ac:dyDescent="0.25">
      <c r="B6808" s="26"/>
      <c r="C6808" s="96" t="s">
        <v>1508</v>
      </c>
      <c r="D6808" s="27" t="s">
        <v>634</v>
      </c>
      <c r="E6808" s="28" t="s">
        <v>631</v>
      </c>
      <c r="F6808" s="228">
        <f t="shared" si="308"/>
        <v>2.4</v>
      </c>
      <c r="G6808" s="29">
        <f t="shared" ref="G6808:G6810" si="309">G6757</f>
        <v>110000</v>
      </c>
      <c r="H6808" s="122">
        <f>+G6808*F6808</f>
        <v>264000</v>
      </c>
      <c r="M6808" s="61">
        <v>2.4</v>
      </c>
    </row>
    <row r="6809" spans="2:13" ht="18.75" customHeight="1" x14ac:dyDescent="0.25">
      <c r="B6809" s="26"/>
      <c r="C6809" s="96" t="s">
        <v>633</v>
      </c>
      <c r="D6809" s="27" t="s">
        <v>634</v>
      </c>
      <c r="E6809" s="28" t="s">
        <v>631</v>
      </c>
      <c r="F6809" s="228">
        <f t="shared" si="308"/>
        <v>0.24</v>
      </c>
      <c r="G6809" s="29">
        <f t="shared" si="309"/>
        <v>115000</v>
      </c>
      <c r="H6809" s="122">
        <f>+G6809*F6809</f>
        <v>27600</v>
      </c>
      <c r="M6809" s="61">
        <v>0.24</v>
      </c>
    </row>
    <row r="6810" spans="2:13" ht="18.75" customHeight="1" x14ac:dyDescent="0.25">
      <c r="B6810" s="26"/>
      <c r="C6810" s="96" t="s">
        <v>600</v>
      </c>
      <c r="D6810" s="27" t="s">
        <v>635</v>
      </c>
      <c r="E6810" s="36" t="s">
        <v>631</v>
      </c>
      <c r="F6810" s="228">
        <f t="shared" si="308"/>
        <v>7.4999999999999997E-2</v>
      </c>
      <c r="G6810" s="29">
        <f t="shared" si="309"/>
        <v>140000</v>
      </c>
      <c r="H6810" s="123">
        <f>+G6810*F6810</f>
        <v>10500</v>
      </c>
      <c r="M6810" s="193">
        <v>7.4999999999999997E-2</v>
      </c>
    </row>
    <row r="6811" spans="2:13" ht="18.75" customHeight="1" x14ac:dyDescent="0.25">
      <c r="B6811" s="26"/>
      <c r="C6811" s="89"/>
      <c r="D6811" s="63"/>
      <c r="E6811" s="30"/>
      <c r="F6811" s="192" t="s">
        <v>636</v>
      </c>
      <c r="G6811" s="310"/>
      <c r="H6811" s="124">
        <f>SUM(H6807:H6810)</f>
        <v>378100</v>
      </c>
      <c r="M6811" s="192" t="s">
        <v>636</v>
      </c>
    </row>
    <row r="6812" spans="2:13" ht="18.75" customHeight="1" x14ac:dyDescent="0.25">
      <c r="B6812" s="26"/>
      <c r="C6812" s="89"/>
      <c r="D6812" s="58"/>
      <c r="E6812" s="62"/>
      <c r="F6812" s="52"/>
      <c r="G6812" s="76"/>
      <c r="H6812" s="140"/>
      <c r="M6812" s="52"/>
    </row>
    <row r="6813" spans="2:13" ht="18.75" customHeight="1" x14ac:dyDescent="0.25">
      <c r="B6813" s="26" t="s">
        <v>637</v>
      </c>
      <c r="C6813" s="89" t="s">
        <v>638</v>
      </c>
      <c r="D6813" s="64"/>
      <c r="E6813" s="31"/>
      <c r="F6813" s="180"/>
      <c r="G6813" s="75"/>
      <c r="H6813" s="125"/>
      <c r="M6813" s="180"/>
    </row>
    <row r="6814" spans="2:13" ht="18.75" customHeight="1" x14ac:dyDescent="0.25">
      <c r="B6814" s="26"/>
      <c r="C6814" s="89" t="s">
        <v>1181</v>
      </c>
      <c r="D6814" s="64"/>
      <c r="E6814" s="64" t="s">
        <v>1013</v>
      </c>
      <c r="F6814" s="205">
        <v>2.5000000000000001E-2</v>
      </c>
      <c r="G6814" s="34">
        <f>+G6789</f>
        <v>13850000</v>
      </c>
      <c r="H6814" s="122">
        <f>+G6814*F6814</f>
        <v>346250</v>
      </c>
      <c r="M6814" s="205">
        <v>2.5000000000000001E-2</v>
      </c>
    </row>
    <row r="6815" spans="2:13" ht="18.75" customHeight="1" x14ac:dyDescent="0.25">
      <c r="B6815" s="26"/>
      <c r="C6815" s="89" t="s">
        <v>1178</v>
      </c>
      <c r="D6815" s="64"/>
      <c r="E6815" s="64" t="s">
        <v>5</v>
      </c>
      <c r="F6815" s="205">
        <v>0.03</v>
      </c>
      <c r="G6815" s="34">
        <f>+G6790</f>
        <v>25000</v>
      </c>
      <c r="H6815" s="122">
        <f>+G6815*F6815</f>
        <v>750</v>
      </c>
      <c r="M6815" s="205">
        <v>0.03</v>
      </c>
    </row>
    <row r="6816" spans="2:13" ht="18.75" customHeight="1" x14ac:dyDescent="0.25">
      <c r="B6816" s="26"/>
      <c r="C6816" s="89" t="s">
        <v>1161</v>
      </c>
      <c r="D6816" s="64"/>
      <c r="E6816" s="64" t="s">
        <v>5</v>
      </c>
      <c r="F6816" s="205">
        <v>0.3</v>
      </c>
      <c r="G6816" s="75">
        <f>+G6765</f>
        <v>15000</v>
      </c>
      <c r="H6816" s="122">
        <f>+G6816*F6816</f>
        <v>4500</v>
      </c>
      <c r="M6816" s="205">
        <v>0.3</v>
      </c>
    </row>
    <row r="6817" spans="2:13" ht="18.75" customHeight="1" x14ac:dyDescent="0.25">
      <c r="B6817" s="26"/>
      <c r="C6817" s="89" t="s">
        <v>1185</v>
      </c>
      <c r="D6817" s="64"/>
      <c r="E6817" s="64" t="s">
        <v>18</v>
      </c>
      <c r="F6817" s="205">
        <v>1</v>
      </c>
      <c r="G6817" s="75">
        <f>G6766</f>
        <v>165000</v>
      </c>
      <c r="H6817" s="122">
        <f>+G6817*F6817</f>
        <v>165000</v>
      </c>
      <c r="M6817" s="205">
        <v>1</v>
      </c>
    </row>
    <row r="6818" spans="2:13" ht="18.75" customHeight="1" x14ac:dyDescent="0.25">
      <c r="B6818" s="26"/>
      <c r="C6818" s="89"/>
      <c r="D6818" s="63"/>
      <c r="E6818" s="30"/>
      <c r="F6818" s="179" t="s">
        <v>643</v>
      </c>
      <c r="G6818" s="310"/>
      <c r="H6818" s="124">
        <f>SUM(H6814:H6817)</f>
        <v>516500</v>
      </c>
      <c r="M6818" s="179" t="s">
        <v>643</v>
      </c>
    </row>
    <row r="6819" spans="2:13" ht="18.75" customHeight="1" x14ac:dyDescent="0.25">
      <c r="B6819" s="26"/>
      <c r="C6819" s="89"/>
      <c r="D6819" s="64"/>
      <c r="E6819" s="31"/>
      <c r="F6819" s="180"/>
      <c r="G6819" s="75"/>
      <c r="H6819" s="125"/>
      <c r="M6819" s="180"/>
    </row>
    <row r="6820" spans="2:13" ht="18.75" customHeight="1" x14ac:dyDescent="0.25">
      <c r="B6820" s="26" t="s">
        <v>644</v>
      </c>
      <c r="C6820" s="89" t="s">
        <v>645</v>
      </c>
      <c r="D6820" s="56"/>
      <c r="E6820" s="36"/>
      <c r="F6820" s="194"/>
      <c r="G6820" s="88"/>
      <c r="H6820" s="127"/>
      <c r="M6820" s="194"/>
    </row>
    <row r="6821" spans="2:13" ht="18.75" customHeight="1" x14ac:dyDescent="0.25">
      <c r="B6821" s="35"/>
      <c r="C6821" s="97"/>
      <c r="D6821" s="63"/>
      <c r="E6821" s="30"/>
      <c r="F6821" s="179" t="s">
        <v>646</v>
      </c>
      <c r="G6821" s="310"/>
      <c r="H6821" s="128"/>
      <c r="M6821" s="179" t="s">
        <v>646</v>
      </c>
    </row>
    <row r="6822" spans="2:13" ht="18.75" customHeight="1" x14ac:dyDescent="0.25">
      <c r="B6822" s="37"/>
      <c r="C6822" s="98"/>
      <c r="D6822" s="411"/>
      <c r="E6822" s="42"/>
      <c r="F6822" s="181"/>
      <c r="G6822" s="311"/>
      <c r="H6822" s="129"/>
      <c r="M6822" s="181"/>
    </row>
    <row r="6823" spans="2:13" ht="18.75" customHeight="1" x14ac:dyDescent="0.25">
      <c r="B6823" s="43"/>
      <c r="C6823" s="99"/>
      <c r="D6823" s="44"/>
      <c r="E6823" s="45"/>
      <c r="F6823" s="182"/>
      <c r="G6823" s="313"/>
      <c r="H6823" s="130"/>
      <c r="M6823" s="182"/>
    </row>
    <row r="6824" spans="2:13" ht="18.75" customHeight="1" x14ac:dyDescent="0.25">
      <c r="B6824" s="46" t="s">
        <v>647</v>
      </c>
      <c r="C6824" s="101" t="s">
        <v>648</v>
      </c>
      <c r="E6824" s="22"/>
      <c r="F6824" s="189"/>
      <c r="G6824" s="308"/>
      <c r="H6824" s="131">
        <f>+H6821+H6818+H6811</f>
        <v>894600</v>
      </c>
      <c r="M6824" s="189"/>
    </row>
    <row r="6825" spans="2:13" ht="18.75" customHeight="1" x14ac:dyDescent="0.25">
      <c r="B6825" s="356" t="s">
        <v>649</v>
      </c>
      <c r="C6825" s="364" t="s">
        <v>650</v>
      </c>
      <c r="D6825" s="435"/>
      <c r="E6825" s="92"/>
      <c r="F6825" s="184" t="str">
        <f>$J$5</f>
        <v>8,0 % x D</v>
      </c>
      <c r="G6825" s="295"/>
      <c r="H6825" s="358">
        <f>+H6824*$K$5</f>
        <v>71568</v>
      </c>
      <c r="M6825" s="184" t="str">
        <f>$J$5</f>
        <v>8,0 % x D</v>
      </c>
    </row>
    <row r="6826" spans="2:13" ht="18.75" customHeight="1" x14ac:dyDescent="0.25">
      <c r="B6826" s="356" t="s">
        <v>651</v>
      </c>
      <c r="C6826" s="365" t="s">
        <v>652</v>
      </c>
      <c r="D6826" s="435"/>
      <c r="E6826" s="91"/>
      <c r="F6826" s="185"/>
      <c r="G6826" s="296"/>
      <c r="H6826" s="359">
        <f>ROUNDUP((H6825+H6824)/100,0)*100</f>
        <v>966200</v>
      </c>
      <c r="M6826" s="185"/>
    </row>
    <row r="6827" spans="2:13" ht="18.75" customHeight="1" thickBot="1" x14ac:dyDescent="0.3">
      <c r="B6827" s="47"/>
      <c r="C6827" s="103"/>
      <c r="D6827" s="48"/>
      <c r="E6827" s="49"/>
      <c r="F6827" s="186"/>
      <c r="G6827" s="309"/>
      <c r="H6827" s="136"/>
      <c r="M6827" s="186"/>
    </row>
    <row r="6828" spans="2:13" ht="18.75" customHeight="1" x14ac:dyDescent="0.25">
      <c r="B6828" s="92"/>
      <c r="C6828" s="104"/>
      <c r="D6828" s="435"/>
      <c r="E6828" s="91"/>
      <c r="F6828" s="185"/>
      <c r="G6828" s="168"/>
      <c r="H6828" s="139"/>
      <c r="M6828" s="185"/>
    </row>
    <row r="6829" spans="2:13" ht="18.75" customHeight="1" x14ac:dyDescent="0.25">
      <c r="B6829" s="19">
        <v>12</v>
      </c>
      <c r="C6829" s="93" t="s">
        <v>1186</v>
      </c>
      <c r="D6829" s="19"/>
      <c r="E6829" s="21"/>
      <c r="F6829" s="176"/>
      <c r="G6829" s="165"/>
      <c r="H6829" s="119"/>
      <c r="M6829" s="176"/>
    </row>
    <row r="6830" spans="2:13" ht="18.75" customHeight="1" x14ac:dyDescent="0.25">
      <c r="B6830" s="618" t="s">
        <v>620</v>
      </c>
      <c r="C6830" s="620" t="s">
        <v>621</v>
      </c>
      <c r="D6830" s="618" t="s">
        <v>622</v>
      </c>
      <c r="E6830" s="618" t="s">
        <v>2</v>
      </c>
      <c r="F6830" s="615" t="s">
        <v>623</v>
      </c>
      <c r="G6830" s="289" t="s">
        <v>624</v>
      </c>
      <c r="H6830" s="256" t="s">
        <v>625</v>
      </c>
      <c r="M6830" s="615" t="s">
        <v>623</v>
      </c>
    </row>
    <row r="6831" spans="2:13" ht="18.75" customHeight="1" x14ac:dyDescent="0.25">
      <c r="B6831" s="619"/>
      <c r="C6831" s="621"/>
      <c r="D6831" s="619"/>
      <c r="E6831" s="619"/>
      <c r="F6831" s="616"/>
      <c r="G6831" s="289" t="s">
        <v>626</v>
      </c>
      <c r="H6831" s="256" t="s">
        <v>626</v>
      </c>
      <c r="M6831" s="616"/>
    </row>
    <row r="6832" spans="2:13" ht="18.75" customHeight="1" x14ac:dyDescent="0.25">
      <c r="B6832" s="23"/>
      <c r="C6832" s="95"/>
      <c r="D6832" s="24"/>
      <c r="E6832" s="25"/>
      <c r="F6832" s="177"/>
      <c r="G6832" s="166"/>
      <c r="H6832" s="120"/>
      <c r="M6832" s="177"/>
    </row>
    <row r="6833" spans="2:13" ht="18.75" customHeight="1" x14ac:dyDescent="0.25">
      <c r="B6833" s="26" t="s">
        <v>627</v>
      </c>
      <c r="C6833" s="89" t="s">
        <v>628</v>
      </c>
      <c r="D6833" s="27"/>
      <c r="E6833" s="28"/>
      <c r="F6833" s="178"/>
      <c r="G6833" s="72"/>
      <c r="H6833" s="121"/>
      <c r="M6833" s="178"/>
    </row>
    <row r="6834" spans="2:13" ht="18.75" customHeight="1" x14ac:dyDescent="0.25">
      <c r="B6834" s="26"/>
      <c r="C6834" s="96" t="s">
        <v>629</v>
      </c>
      <c r="D6834" s="27" t="s">
        <v>630</v>
      </c>
      <c r="E6834" s="28" t="s">
        <v>631</v>
      </c>
      <c r="F6834" s="228">
        <f t="shared" ref="F6834:F6837" si="310">$K$8*M6834</f>
        <v>0.85</v>
      </c>
      <c r="G6834" s="29">
        <f>G6807</f>
        <v>95000</v>
      </c>
      <c r="H6834" s="122">
        <f>+G6834*F6834</f>
        <v>80750</v>
      </c>
      <c r="M6834" s="61">
        <v>0.85</v>
      </c>
    </row>
    <row r="6835" spans="2:13" ht="18.75" customHeight="1" x14ac:dyDescent="0.25">
      <c r="B6835" s="26"/>
      <c r="C6835" s="96" t="s">
        <v>1508</v>
      </c>
      <c r="D6835" s="27" t="s">
        <v>634</v>
      </c>
      <c r="E6835" s="28" t="s">
        <v>631</v>
      </c>
      <c r="F6835" s="228">
        <f t="shared" si="310"/>
        <v>2.5499999999999998</v>
      </c>
      <c r="G6835" s="29">
        <f t="shared" ref="G6835:G6837" si="311">G6808</f>
        <v>110000</v>
      </c>
      <c r="H6835" s="122">
        <f>+G6835*F6835</f>
        <v>280500</v>
      </c>
      <c r="M6835" s="61">
        <v>2.5499999999999998</v>
      </c>
    </row>
    <row r="6836" spans="2:13" ht="18.75" customHeight="1" x14ac:dyDescent="0.25">
      <c r="B6836" s="26"/>
      <c r="C6836" s="96" t="s">
        <v>633</v>
      </c>
      <c r="D6836" s="27" t="s">
        <v>634</v>
      </c>
      <c r="E6836" s="28" t="s">
        <v>631</v>
      </c>
      <c r="F6836" s="228">
        <f t="shared" si="310"/>
        <v>0.255</v>
      </c>
      <c r="G6836" s="29">
        <f t="shared" si="311"/>
        <v>115000</v>
      </c>
      <c r="H6836" s="122">
        <f>+G6836*F6836</f>
        <v>29325</v>
      </c>
      <c r="M6836" s="61">
        <v>0.255</v>
      </c>
    </row>
    <row r="6837" spans="2:13" ht="18.75" customHeight="1" x14ac:dyDescent="0.25">
      <c r="B6837" s="26"/>
      <c r="C6837" s="96" t="s">
        <v>600</v>
      </c>
      <c r="D6837" s="27" t="s">
        <v>635</v>
      </c>
      <c r="E6837" s="36" t="s">
        <v>631</v>
      </c>
      <c r="F6837" s="228">
        <f t="shared" si="310"/>
        <v>7.5300000000000006E-2</v>
      </c>
      <c r="G6837" s="29">
        <f t="shared" si="311"/>
        <v>140000</v>
      </c>
      <c r="H6837" s="123">
        <f>+G6837*F6837</f>
        <v>10542</v>
      </c>
      <c r="M6837" s="193">
        <v>7.5300000000000006E-2</v>
      </c>
    </row>
    <row r="6838" spans="2:13" ht="18.75" customHeight="1" x14ac:dyDescent="0.25">
      <c r="B6838" s="26"/>
      <c r="C6838" s="89"/>
      <c r="D6838" s="63"/>
      <c r="E6838" s="30"/>
      <c r="F6838" s="192" t="s">
        <v>636</v>
      </c>
      <c r="G6838" s="310"/>
      <c r="H6838" s="124">
        <f>SUM(H6834:H6837)</f>
        <v>401117</v>
      </c>
      <c r="M6838" s="192" t="s">
        <v>636</v>
      </c>
    </row>
    <row r="6839" spans="2:13" ht="18.75" customHeight="1" x14ac:dyDescent="0.25">
      <c r="B6839" s="26" t="s">
        <v>637</v>
      </c>
      <c r="C6839" s="89" t="s">
        <v>638</v>
      </c>
      <c r="D6839" s="64"/>
      <c r="E6839" s="31"/>
      <c r="F6839" s="180"/>
      <c r="G6839" s="75"/>
      <c r="H6839" s="125"/>
      <c r="M6839" s="180"/>
    </row>
    <row r="6840" spans="2:13" ht="18.75" customHeight="1" x14ac:dyDescent="0.25">
      <c r="B6840" s="26"/>
      <c r="C6840" s="89" t="s">
        <v>1187</v>
      </c>
      <c r="D6840" s="64"/>
      <c r="E6840" s="64" t="s">
        <v>1013</v>
      </c>
      <c r="F6840" s="205">
        <v>2.5000000000000001E-2</v>
      </c>
      <c r="G6840" s="34">
        <f>Bahan!D256</f>
        <v>9850000</v>
      </c>
      <c r="H6840" s="122">
        <f>+G6840*F6840</f>
        <v>246250</v>
      </c>
      <c r="J6840" s="558" t="s">
        <v>231</v>
      </c>
      <c r="M6840" s="205">
        <v>2.5000000000000001E-2</v>
      </c>
    </row>
    <row r="6841" spans="2:13" ht="18.75" customHeight="1" x14ac:dyDescent="0.25">
      <c r="B6841" s="26"/>
      <c r="C6841" s="89" t="s">
        <v>1178</v>
      </c>
      <c r="D6841" s="64"/>
      <c r="E6841" s="64" t="s">
        <v>5</v>
      </c>
      <c r="F6841" s="205">
        <v>0.03</v>
      </c>
      <c r="G6841" s="34">
        <f>+G6815</f>
        <v>25000</v>
      </c>
      <c r="H6841" s="122">
        <f>+G6841*F6841</f>
        <v>750</v>
      </c>
      <c r="M6841" s="205">
        <v>0.03</v>
      </c>
    </row>
    <row r="6842" spans="2:13" ht="18.75" customHeight="1" x14ac:dyDescent="0.25">
      <c r="B6842" s="26"/>
      <c r="C6842" s="89" t="s">
        <v>1161</v>
      </c>
      <c r="D6842" s="64"/>
      <c r="E6842" s="64" t="s">
        <v>5</v>
      </c>
      <c r="F6842" s="205">
        <v>0.8</v>
      </c>
      <c r="G6842" s="75">
        <f>+G6816</f>
        <v>15000</v>
      </c>
      <c r="H6842" s="122">
        <f>+G6842*F6842</f>
        <v>12000</v>
      </c>
      <c r="M6842" s="205">
        <v>0.8</v>
      </c>
    </row>
    <row r="6843" spans="2:13" ht="18.75" customHeight="1" x14ac:dyDescent="0.25">
      <c r="B6843" s="26"/>
      <c r="C6843" s="89" t="s">
        <v>1185</v>
      </c>
      <c r="D6843" s="64"/>
      <c r="E6843" s="64" t="s">
        <v>18</v>
      </c>
      <c r="F6843" s="205">
        <v>1</v>
      </c>
      <c r="G6843" s="75">
        <f>G6817</f>
        <v>165000</v>
      </c>
      <c r="H6843" s="122">
        <f>+G6843*F6843</f>
        <v>165000</v>
      </c>
      <c r="M6843" s="205">
        <v>1</v>
      </c>
    </row>
    <row r="6844" spans="2:13" ht="18.75" customHeight="1" x14ac:dyDescent="0.25">
      <c r="B6844" s="26"/>
      <c r="C6844" s="89" t="s">
        <v>192</v>
      </c>
      <c r="D6844" s="58"/>
      <c r="E6844" s="58" t="s">
        <v>18</v>
      </c>
      <c r="F6844" s="206">
        <v>0.5</v>
      </c>
      <c r="G6844" s="76">
        <f>Bahan!D212</f>
        <v>17000</v>
      </c>
      <c r="H6844" s="122">
        <f>+G6844*F6844</f>
        <v>8500</v>
      </c>
      <c r="M6844" s="206">
        <v>0.5</v>
      </c>
    </row>
    <row r="6845" spans="2:13" ht="18.75" customHeight="1" x14ac:dyDescent="0.25">
      <c r="B6845" s="26"/>
      <c r="C6845" s="89"/>
      <c r="D6845" s="63"/>
      <c r="E6845" s="30"/>
      <c r="F6845" s="179" t="s">
        <v>643</v>
      </c>
      <c r="G6845" s="310"/>
      <c r="H6845" s="124">
        <f>SUM(H6840:H6844)</f>
        <v>432500</v>
      </c>
      <c r="M6845" s="179" t="s">
        <v>643</v>
      </c>
    </row>
    <row r="6846" spans="2:13" ht="18.75" customHeight="1" x14ac:dyDescent="0.25">
      <c r="B6846" s="26"/>
      <c r="C6846" s="89"/>
      <c r="D6846" s="64"/>
      <c r="E6846" s="31"/>
      <c r="F6846" s="180"/>
      <c r="G6846" s="75"/>
      <c r="H6846" s="125"/>
      <c r="M6846" s="180"/>
    </row>
    <row r="6847" spans="2:13" ht="18.75" customHeight="1" x14ac:dyDescent="0.25">
      <c r="B6847" s="26" t="s">
        <v>644</v>
      </c>
      <c r="C6847" s="89" t="s">
        <v>645</v>
      </c>
      <c r="D6847" s="56"/>
      <c r="E6847" s="36"/>
      <c r="F6847" s="194"/>
      <c r="G6847" s="88"/>
      <c r="H6847" s="127"/>
      <c r="M6847" s="194"/>
    </row>
    <row r="6848" spans="2:13" ht="18.75" customHeight="1" x14ac:dyDescent="0.25">
      <c r="B6848" s="35"/>
      <c r="C6848" s="97"/>
      <c r="D6848" s="63"/>
      <c r="E6848" s="30"/>
      <c r="F6848" s="179" t="s">
        <v>646</v>
      </c>
      <c r="G6848" s="310"/>
      <c r="H6848" s="128"/>
      <c r="M6848" s="179" t="s">
        <v>646</v>
      </c>
    </row>
    <row r="6849" spans="2:13" ht="18.75" customHeight="1" x14ac:dyDescent="0.25">
      <c r="B6849" s="37"/>
      <c r="C6849" s="98"/>
      <c r="D6849" s="411"/>
      <c r="E6849" s="42"/>
      <c r="F6849" s="181"/>
      <c r="G6849" s="311"/>
      <c r="H6849" s="129"/>
      <c r="M6849" s="181"/>
    </row>
    <row r="6850" spans="2:13" ht="18.75" customHeight="1" x14ac:dyDescent="0.25">
      <c r="B6850" s="43"/>
      <c r="C6850" s="99"/>
      <c r="D6850" s="44"/>
      <c r="E6850" s="45"/>
      <c r="F6850" s="182"/>
      <c r="G6850" s="313"/>
      <c r="H6850" s="130"/>
      <c r="M6850" s="182"/>
    </row>
    <row r="6851" spans="2:13" ht="18.75" customHeight="1" x14ac:dyDescent="0.25">
      <c r="B6851" s="46" t="s">
        <v>647</v>
      </c>
      <c r="C6851" s="101" t="s">
        <v>648</v>
      </c>
      <c r="E6851" s="22"/>
      <c r="F6851" s="189"/>
      <c r="G6851" s="308"/>
      <c r="H6851" s="131">
        <f>+H6848+H6845+H6838</f>
        <v>833617</v>
      </c>
      <c r="M6851" s="189"/>
    </row>
    <row r="6852" spans="2:13" ht="18.75" customHeight="1" x14ac:dyDescent="0.25">
      <c r="B6852" s="356" t="s">
        <v>649</v>
      </c>
      <c r="C6852" s="364" t="s">
        <v>650</v>
      </c>
      <c r="D6852" s="435"/>
      <c r="E6852" s="92"/>
      <c r="F6852" s="184" t="str">
        <f>$J$5</f>
        <v>8,0 % x D</v>
      </c>
      <c r="G6852" s="295"/>
      <c r="H6852" s="358">
        <f>+H6851*$K$5</f>
        <v>66689.36</v>
      </c>
      <c r="M6852" s="184" t="str">
        <f>$J$5</f>
        <v>8,0 % x D</v>
      </c>
    </row>
    <row r="6853" spans="2:13" ht="18.75" customHeight="1" x14ac:dyDescent="0.25">
      <c r="B6853" s="356" t="s">
        <v>651</v>
      </c>
      <c r="C6853" s="365" t="s">
        <v>652</v>
      </c>
      <c r="D6853" s="435"/>
      <c r="E6853" s="91"/>
      <c r="F6853" s="185"/>
      <c r="G6853" s="296"/>
      <c r="H6853" s="359">
        <f>ROUNDUP((H6852+H6851)/100,0)*100</f>
        <v>900400</v>
      </c>
      <c r="M6853" s="185"/>
    </row>
    <row r="6854" spans="2:13" ht="18.75" customHeight="1" thickBot="1" x14ac:dyDescent="0.3">
      <c r="B6854" s="47"/>
      <c r="C6854" s="103"/>
      <c r="D6854" s="48"/>
      <c r="E6854" s="49"/>
      <c r="F6854" s="186"/>
      <c r="G6854" s="309"/>
      <c r="H6854" s="136"/>
      <c r="M6854" s="186"/>
    </row>
    <row r="6855" spans="2:13" ht="18.75" customHeight="1" x14ac:dyDescent="0.25">
      <c r="B6855" s="22"/>
      <c r="C6855" s="104"/>
      <c r="E6855" s="21"/>
      <c r="F6855" s="176"/>
      <c r="G6855" s="165"/>
      <c r="H6855" s="119"/>
      <c r="M6855" s="176"/>
    </row>
    <row r="6856" spans="2:13" ht="18.75" customHeight="1" x14ac:dyDescent="0.25">
      <c r="B6856" s="19" t="s">
        <v>1632</v>
      </c>
      <c r="C6856" s="93" t="s">
        <v>1635</v>
      </c>
      <c r="D6856" s="19"/>
      <c r="E6856" s="21"/>
      <c r="F6856" s="176"/>
      <c r="G6856" s="165"/>
      <c r="H6856" s="119"/>
      <c r="M6856" s="176"/>
    </row>
    <row r="6857" spans="2:13" ht="18.75" customHeight="1" x14ac:dyDescent="0.25">
      <c r="B6857" s="19" t="s">
        <v>1633</v>
      </c>
      <c r="C6857" s="93" t="s">
        <v>1636</v>
      </c>
      <c r="D6857" s="19"/>
      <c r="E6857" s="21"/>
      <c r="F6857" s="176"/>
      <c r="G6857" s="165"/>
      <c r="H6857" s="119"/>
      <c r="M6857" s="176"/>
    </row>
    <row r="6858" spans="2:13" ht="18.75" customHeight="1" x14ac:dyDescent="0.25">
      <c r="B6858" s="19" t="s">
        <v>1634</v>
      </c>
      <c r="C6858" s="93" t="s">
        <v>1637</v>
      </c>
      <c r="D6858" s="19"/>
      <c r="E6858" s="21"/>
      <c r="F6858" s="176"/>
      <c r="G6858" s="165"/>
      <c r="H6858" s="119"/>
      <c r="M6858" s="176"/>
    </row>
    <row r="6859" spans="2:13" ht="18.75" customHeight="1" x14ac:dyDescent="0.25">
      <c r="B6859" s="618" t="s">
        <v>620</v>
      </c>
      <c r="C6859" s="620" t="s">
        <v>621</v>
      </c>
      <c r="D6859" s="618" t="s">
        <v>622</v>
      </c>
      <c r="E6859" s="618" t="s">
        <v>2</v>
      </c>
      <c r="F6859" s="615" t="s">
        <v>623</v>
      </c>
      <c r="G6859" s="289" t="s">
        <v>624</v>
      </c>
      <c r="H6859" s="256" t="s">
        <v>625</v>
      </c>
      <c r="L6859" s="415"/>
      <c r="M6859" s="615" t="s">
        <v>623</v>
      </c>
    </row>
    <row r="6860" spans="2:13" ht="18.75" customHeight="1" x14ac:dyDescent="0.25">
      <c r="B6860" s="619"/>
      <c r="C6860" s="621"/>
      <c r="D6860" s="619"/>
      <c r="E6860" s="619"/>
      <c r="F6860" s="616"/>
      <c r="G6860" s="289" t="s">
        <v>626</v>
      </c>
      <c r="H6860" s="256" t="s">
        <v>626</v>
      </c>
      <c r="L6860" s="415"/>
      <c r="M6860" s="616"/>
    </row>
    <row r="6861" spans="2:13" ht="18.75" customHeight="1" x14ac:dyDescent="0.25">
      <c r="B6861" s="23"/>
      <c r="C6861" s="95"/>
      <c r="D6861" s="24"/>
      <c r="E6861" s="25"/>
      <c r="F6861" s="177"/>
      <c r="G6861" s="166"/>
      <c r="H6861" s="120"/>
      <c r="L6861" s="415"/>
      <c r="M6861" s="177"/>
    </row>
    <row r="6862" spans="2:13" ht="18.75" customHeight="1" x14ac:dyDescent="0.25">
      <c r="B6862" s="26" t="s">
        <v>627</v>
      </c>
      <c r="C6862" s="89" t="s">
        <v>628</v>
      </c>
      <c r="D6862" s="27"/>
      <c r="E6862" s="28"/>
      <c r="F6862" s="178"/>
      <c r="G6862" s="72"/>
      <c r="H6862" s="121"/>
      <c r="L6862" s="415"/>
      <c r="M6862" s="178"/>
    </row>
    <row r="6863" spans="2:13" ht="18.75" customHeight="1" x14ac:dyDescent="0.25">
      <c r="B6863" s="26"/>
      <c r="C6863" s="96" t="s">
        <v>629</v>
      </c>
      <c r="D6863" s="27" t="s">
        <v>630</v>
      </c>
      <c r="E6863" s="28" t="s">
        <v>631</v>
      </c>
      <c r="F6863" s="228">
        <f t="shared" ref="F6863:F6866" si="312">$K$8*M6863</f>
        <v>4</v>
      </c>
      <c r="G6863" s="29">
        <f>G6807</f>
        <v>95000</v>
      </c>
      <c r="H6863" s="122">
        <f>+G6863*F6863</f>
        <v>380000</v>
      </c>
      <c r="L6863" s="415"/>
      <c r="M6863" s="61">
        <v>4</v>
      </c>
    </row>
    <row r="6864" spans="2:13" ht="18.75" customHeight="1" x14ac:dyDescent="0.25">
      <c r="B6864" s="26"/>
      <c r="C6864" s="96" t="s">
        <v>1508</v>
      </c>
      <c r="D6864" s="27" t="s">
        <v>634</v>
      </c>
      <c r="E6864" s="28" t="s">
        <v>631</v>
      </c>
      <c r="F6864" s="228">
        <f t="shared" si="312"/>
        <v>12</v>
      </c>
      <c r="G6864" s="29">
        <f>G6808</f>
        <v>110000</v>
      </c>
      <c r="H6864" s="122">
        <f>+G6864*F6864</f>
        <v>1320000</v>
      </c>
      <c r="L6864" s="415"/>
      <c r="M6864" s="61">
        <v>12</v>
      </c>
    </row>
    <row r="6865" spans="2:13" ht="18.75" customHeight="1" x14ac:dyDescent="0.25">
      <c r="B6865" s="26"/>
      <c r="C6865" s="96" t="s">
        <v>633</v>
      </c>
      <c r="D6865" s="27" t="s">
        <v>634</v>
      </c>
      <c r="E6865" s="28" t="s">
        <v>631</v>
      </c>
      <c r="F6865" s="228">
        <f t="shared" si="312"/>
        <v>1.2</v>
      </c>
      <c r="G6865" s="29">
        <f>G6809</f>
        <v>115000</v>
      </c>
      <c r="H6865" s="122">
        <f>+G6865*F6865</f>
        <v>138000</v>
      </c>
      <c r="L6865" s="415"/>
      <c r="M6865" s="61">
        <v>1.2</v>
      </c>
    </row>
    <row r="6866" spans="2:13" ht="18.75" customHeight="1" x14ac:dyDescent="0.25">
      <c r="B6866" s="26"/>
      <c r="C6866" s="96" t="s">
        <v>600</v>
      </c>
      <c r="D6866" s="27" t="s">
        <v>635</v>
      </c>
      <c r="E6866" s="36" t="s">
        <v>631</v>
      </c>
      <c r="F6866" s="228">
        <f t="shared" si="312"/>
        <v>0.2</v>
      </c>
      <c r="G6866" s="29">
        <f>G6810</f>
        <v>140000</v>
      </c>
      <c r="H6866" s="123">
        <f>+G6866*F6866</f>
        <v>28000</v>
      </c>
      <c r="L6866" s="415"/>
      <c r="M6866" s="193">
        <v>0.2</v>
      </c>
    </row>
    <row r="6867" spans="2:13" ht="18.75" customHeight="1" x14ac:dyDescent="0.25">
      <c r="B6867" s="26"/>
      <c r="C6867" s="89"/>
      <c r="D6867" s="63"/>
      <c r="E6867" s="30"/>
      <c r="F6867" s="192" t="s">
        <v>636</v>
      </c>
      <c r="G6867" s="310"/>
      <c r="H6867" s="124">
        <f>SUM(H6863:H6866)</f>
        <v>1866000</v>
      </c>
      <c r="L6867" s="415"/>
      <c r="M6867" s="192" t="s">
        <v>636</v>
      </c>
    </row>
    <row r="6868" spans="2:13" ht="18.75" customHeight="1" x14ac:dyDescent="0.25">
      <c r="B6868" s="26"/>
      <c r="C6868" s="89"/>
      <c r="D6868" s="58"/>
      <c r="E6868" s="62"/>
      <c r="F6868" s="52"/>
      <c r="G6868" s="76"/>
      <c r="H6868" s="140"/>
      <c r="L6868" s="415"/>
      <c r="M6868" s="52"/>
    </row>
    <row r="6869" spans="2:13" ht="18.75" customHeight="1" x14ac:dyDescent="0.25">
      <c r="B6869" s="26" t="s">
        <v>637</v>
      </c>
      <c r="C6869" s="89" t="s">
        <v>638</v>
      </c>
      <c r="D6869" s="64"/>
      <c r="E6869" s="31"/>
      <c r="F6869" s="180"/>
      <c r="G6869" s="75"/>
      <c r="H6869" s="125"/>
      <c r="M6869" s="180"/>
    </row>
    <row r="6870" spans="2:13" ht="18.75" customHeight="1" x14ac:dyDescent="0.25">
      <c r="B6870" s="26"/>
      <c r="C6870" s="89" t="s">
        <v>1188</v>
      </c>
      <c r="D6870" s="64"/>
      <c r="E6870" s="64" t="s">
        <v>1013</v>
      </c>
      <c r="F6870" s="205">
        <v>1.1000000000000001</v>
      </c>
      <c r="G6870" s="75">
        <f>Bahan!D248</f>
        <v>12850000</v>
      </c>
      <c r="H6870" s="122">
        <f>+G6870*F6870</f>
        <v>14135000.000000002</v>
      </c>
      <c r="J6870" s="558" t="s">
        <v>222</v>
      </c>
      <c r="M6870" s="205">
        <v>1.1000000000000001</v>
      </c>
    </row>
    <row r="6871" spans="2:13" ht="18.75" customHeight="1" x14ac:dyDescent="0.25">
      <c r="B6871" s="26"/>
      <c r="C6871" s="89" t="s">
        <v>1189</v>
      </c>
      <c r="D6871" s="64"/>
      <c r="E6871" s="64" t="s">
        <v>8</v>
      </c>
      <c r="F6871" s="205">
        <v>1.1000000000000001</v>
      </c>
      <c r="G6871" s="75">
        <f>Bahan!D253</f>
        <v>9350000</v>
      </c>
      <c r="H6871" s="122">
        <f>+G6871*F6871</f>
        <v>10285000</v>
      </c>
      <c r="J6871" s="558" t="s">
        <v>228</v>
      </c>
      <c r="M6871" s="205">
        <v>1.1000000000000001</v>
      </c>
    </row>
    <row r="6872" spans="2:13" ht="18.75" customHeight="1" x14ac:dyDescent="0.25">
      <c r="B6872" s="26"/>
      <c r="C6872" s="89" t="s">
        <v>1190</v>
      </c>
      <c r="D6872" s="64"/>
      <c r="E6872" s="64" t="s">
        <v>52</v>
      </c>
      <c r="F6872" s="205">
        <v>1.1000000000000001</v>
      </c>
      <c r="G6872" s="75">
        <f>Bahan!D257</f>
        <v>7000000</v>
      </c>
      <c r="H6872" s="122">
        <f>+G6872*F6872</f>
        <v>7700000.0000000009</v>
      </c>
      <c r="J6872" s="558" t="s">
        <v>232</v>
      </c>
      <c r="M6872" s="205">
        <v>1.1000000000000001</v>
      </c>
    </row>
    <row r="6873" spans="2:13" ht="18.75" customHeight="1" x14ac:dyDescent="0.25">
      <c r="B6873" s="26"/>
      <c r="C6873" s="89" t="s">
        <v>1191</v>
      </c>
      <c r="D6873" s="64"/>
      <c r="E6873" s="64" t="s">
        <v>5</v>
      </c>
      <c r="F6873" s="205">
        <v>15</v>
      </c>
      <c r="G6873" s="75">
        <f>Bahan!D132</f>
        <v>15000</v>
      </c>
      <c r="H6873" s="122">
        <f>+G6873*F6873</f>
        <v>225000</v>
      </c>
      <c r="M6873" s="205">
        <v>15</v>
      </c>
    </row>
    <row r="6874" spans="2:13" ht="18.75" customHeight="1" x14ac:dyDescent="0.25">
      <c r="B6874" s="26"/>
      <c r="C6874" s="89" t="s">
        <v>786</v>
      </c>
      <c r="D6874" s="58"/>
      <c r="E6874" s="58" t="s">
        <v>5</v>
      </c>
      <c r="F6874" s="206">
        <v>5.6</v>
      </c>
      <c r="G6874" s="34">
        <f>Bahan!D337</f>
        <v>25000</v>
      </c>
      <c r="H6874" s="122">
        <f>+G6874*F6874</f>
        <v>140000</v>
      </c>
      <c r="M6874" s="206">
        <v>5.6</v>
      </c>
    </row>
    <row r="6875" spans="2:13" ht="18.75" customHeight="1" x14ac:dyDescent="0.25">
      <c r="B6875" s="26"/>
      <c r="C6875" s="89"/>
      <c r="D6875" s="63"/>
      <c r="E6875" s="63"/>
      <c r="F6875" s="179" t="s">
        <v>643</v>
      </c>
      <c r="G6875" s="310"/>
      <c r="H6875" s="124">
        <f>H6870+H6873+H6874</f>
        <v>14500000.000000002</v>
      </c>
      <c r="M6875" s="179" t="s">
        <v>643</v>
      </c>
    </row>
    <row r="6876" spans="2:13" ht="18.75" customHeight="1" x14ac:dyDescent="0.25">
      <c r="B6876" s="26"/>
      <c r="C6876" s="89"/>
      <c r="D6876" s="63"/>
      <c r="E6876" s="63"/>
      <c r="F6876" s="179" t="s">
        <v>643</v>
      </c>
      <c r="G6876" s="310"/>
      <c r="H6876" s="124">
        <f>H6871+H6873+H6874</f>
        <v>10650000</v>
      </c>
      <c r="M6876" s="179" t="s">
        <v>643</v>
      </c>
    </row>
    <row r="6877" spans="2:13" ht="18.75" customHeight="1" x14ac:dyDescent="0.25">
      <c r="B6877" s="26"/>
      <c r="C6877" s="89"/>
      <c r="D6877" s="63"/>
      <c r="E6877" s="30"/>
      <c r="F6877" s="179" t="s">
        <v>643</v>
      </c>
      <c r="G6877" s="310"/>
      <c r="H6877" s="124">
        <f>H6872+H6873+H6874</f>
        <v>8065000.0000000009</v>
      </c>
      <c r="M6877" s="179" t="s">
        <v>643</v>
      </c>
    </row>
    <row r="6878" spans="2:13" ht="18.75" customHeight="1" x14ac:dyDescent="0.25">
      <c r="B6878" s="26"/>
      <c r="C6878" s="89"/>
      <c r="D6878" s="64"/>
      <c r="E6878" s="31"/>
      <c r="F6878" s="180"/>
      <c r="G6878" s="75"/>
      <c r="H6878" s="125"/>
      <c r="M6878" s="180"/>
    </row>
    <row r="6879" spans="2:13" ht="18.75" customHeight="1" x14ac:dyDescent="0.25">
      <c r="B6879" s="26" t="s">
        <v>644</v>
      </c>
      <c r="C6879" s="89" t="s">
        <v>645</v>
      </c>
      <c r="D6879" s="56"/>
      <c r="E6879" s="36"/>
      <c r="F6879" s="194"/>
      <c r="G6879" s="88"/>
      <c r="H6879" s="127"/>
      <c r="M6879" s="194"/>
    </row>
    <row r="6880" spans="2:13" ht="18.75" customHeight="1" x14ac:dyDescent="0.25">
      <c r="B6880" s="35"/>
      <c r="C6880" s="97"/>
      <c r="D6880" s="63"/>
      <c r="E6880" s="30"/>
      <c r="F6880" s="179" t="s">
        <v>646</v>
      </c>
      <c r="G6880" s="310"/>
      <c r="H6880" s="128"/>
      <c r="M6880" s="179" t="s">
        <v>646</v>
      </c>
    </row>
    <row r="6881" spans="2:13" ht="18.75" customHeight="1" x14ac:dyDescent="0.25">
      <c r="B6881" s="37"/>
      <c r="C6881" s="98"/>
      <c r="D6881" s="411"/>
      <c r="E6881" s="42"/>
      <c r="F6881" s="181"/>
      <c r="G6881" s="311"/>
      <c r="H6881" s="129"/>
      <c r="M6881" s="181"/>
    </row>
    <row r="6882" spans="2:13" ht="18.75" customHeight="1" x14ac:dyDescent="0.25">
      <c r="B6882" s="50"/>
      <c r="C6882" s="100"/>
      <c r="D6882" s="435"/>
      <c r="E6882" s="91"/>
      <c r="F6882" s="183"/>
      <c r="G6882" s="90"/>
      <c r="H6882" s="137"/>
      <c r="M6882" s="183"/>
    </row>
    <row r="6883" spans="2:13" ht="18.75" customHeight="1" x14ac:dyDescent="0.25">
      <c r="B6883" s="46" t="s">
        <v>647</v>
      </c>
      <c r="C6883" s="101" t="s">
        <v>648</v>
      </c>
      <c r="E6883" s="22"/>
      <c r="F6883" s="189"/>
      <c r="G6883" s="308"/>
      <c r="H6883" s="131">
        <f>H6867+H6875</f>
        <v>16366000.000000002</v>
      </c>
      <c r="M6883" s="189"/>
    </row>
    <row r="6884" spans="2:13" ht="18.75" customHeight="1" x14ac:dyDescent="0.25">
      <c r="B6884" s="356" t="s">
        <v>649</v>
      </c>
      <c r="C6884" s="364" t="s">
        <v>650</v>
      </c>
      <c r="D6884" s="435"/>
      <c r="E6884" s="92"/>
      <c r="F6884" s="184" t="str">
        <f>$J$5</f>
        <v>8,0 % x D</v>
      </c>
      <c r="G6884" s="295"/>
      <c r="H6884" s="358">
        <f>+H6883*$K$5</f>
        <v>1309280.0000000002</v>
      </c>
      <c r="M6884" s="184" t="str">
        <f>$J$5</f>
        <v>8,0 % x D</v>
      </c>
    </row>
    <row r="6885" spans="2:13" ht="18.75" customHeight="1" x14ac:dyDescent="0.25">
      <c r="B6885" s="46" t="s">
        <v>651</v>
      </c>
      <c r="C6885" s="102" t="s">
        <v>1650</v>
      </c>
      <c r="E6885" s="21"/>
      <c r="F6885" s="176"/>
      <c r="G6885" s="90"/>
      <c r="H6885" s="359">
        <f>ROUNDUP((H6884+H6883)/100,0)*100</f>
        <v>17675300</v>
      </c>
      <c r="M6885" s="176"/>
    </row>
    <row r="6886" spans="2:13" ht="18.75" customHeight="1" x14ac:dyDescent="0.25">
      <c r="B6886" s="46"/>
      <c r="C6886" s="102"/>
      <c r="E6886" s="21"/>
      <c r="F6886" s="176"/>
      <c r="G6886" s="90"/>
      <c r="H6886" s="211"/>
      <c r="M6886" s="176"/>
    </row>
    <row r="6887" spans="2:13" ht="18.75" customHeight="1" x14ac:dyDescent="0.25">
      <c r="B6887" s="46" t="s">
        <v>825</v>
      </c>
      <c r="C6887" s="101" t="s">
        <v>648</v>
      </c>
      <c r="E6887" s="22"/>
      <c r="F6887" s="189"/>
      <c r="G6887" s="308"/>
      <c r="H6887" s="131">
        <f>H6867+H6876</f>
        <v>12516000</v>
      </c>
      <c r="M6887" s="189"/>
    </row>
    <row r="6888" spans="2:13" ht="18.75" customHeight="1" x14ac:dyDescent="0.25">
      <c r="B6888" s="356" t="s">
        <v>827</v>
      </c>
      <c r="C6888" s="364" t="s">
        <v>650</v>
      </c>
      <c r="D6888" s="435"/>
      <c r="E6888" s="92"/>
      <c r="F6888" s="184" t="str">
        <f>$J$5</f>
        <v>8,0 % x D</v>
      </c>
      <c r="G6888" s="295"/>
      <c r="H6888" s="358">
        <f>+H6887*$K$5</f>
        <v>1001280</v>
      </c>
      <c r="M6888" s="184" t="str">
        <f>$J$5</f>
        <v>8,0 % x D</v>
      </c>
    </row>
    <row r="6889" spans="2:13" ht="18.75" customHeight="1" x14ac:dyDescent="0.25">
      <c r="B6889" s="46" t="s">
        <v>1055</v>
      </c>
      <c r="C6889" s="102" t="s">
        <v>1651</v>
      </c>
      <c r="E6889" s="21"/>
      <c r="F6889" s="176"/>
      <c r="G6889" s="90"/>
      <c r="H6889" s="359">
        <f>ROUNDUP((H6888+H6887)/100,0)*100</f>
        <v>13517300</v>
      </c>
      <c r="M6889" s="176"/>
    </row>
    <row r="6890" spans="2:13" ht="18.75" customHeight="1" x14ac:dyDescent="0.25">
      <c r="B6890" s="46"/>
      <c r="C6890" s="102"/>
      <c r="E6890" s="21"/>
      <c r="F6890" s="176"/>
      <c r="G6890" s="90"/>
      <c r="H6890" s="133"/>
      <c r="M6890" s="176"/>
    </row>
    <row r="6891" spans="2:13" ht="18.75" customHeight="1" x14ac:dyDescent="0.25">
      <c r="B6891" s="46" t="s">
        <v>812</v>
      </c>
      <c r="C6891" s="101" t="s">
        <v>648</v>
      </c>
      <c r="E6891" s="22"/>
      <c r="F6891" s="189"/>
      <c r="G6891" s="308"/>
      <c r="H6891" s="131">
        <f>H6867+H6877</f>
        <v>9931000</v>
      </c>
      <c r="M6891" s="189"/>
    </row>
    <row r="6892" spans="2:13" ht="18.75" customHeight="1" x14ac:dyDescent="0.25">
      <c r="B6892" s="356" t="s">
        <v>814</v>
      </c>
      <c r="C6892" s="364" t="s">
        <v>650</v>
      </c>
      <c r="D6892" s="435"/>
      <c r="E6892" s="92"/>
      <c r="F6892" s="184" t="str">
        <f>$J$5</f>
        <v>8,0 % x D</v>
      </c>
      <c r="G6892" s="295"/>
      <c r="H6892" s="358">
        <f>+H6891*$K$5</f>
        <v>794480</v>
      </c>
      <c r="M6892" s="184" t="str">
        <f>$J$5</f>
        <v>8,0 % x D</v>
      </c>
    </row>
    <row r="6893" spans="2:13" ht="18.75" customHeight="1" x14ac:dyDescent="0.25">
      <c r="B6893" s="46" t="s">
        <v>816</v>
      </c>
      <c r="C6893" s="102" t="s">
        <v>1652</v>
      </c>
      <c r="E6893" s="21"/>
      <c r="F6893" s="176"/>
      <c r="G6893" s="90"/>
      <c r="H6893" s="359">
        <f>ROUNDUP((H6892+H6891)/100,0)*100</f>
        <v>10725500</v>
      </c>
      <c r="M6893" s="176"/>
    </row>
    <row r="6894" spans="2:13" ht="18.75" customHeight="1" x14ac:dyDescent="0.25">
      <c r="B6894" s="46"/>
      <c r="C6894" s="102"/>
      <c r="E6894" s="21"/>
      <c r="F6894" s="176"/>
      <c r="G6894" s="90"/>
      <c r="H6894" s="133"/>
      <c r="M6894" s="176"/>
    </row>
    <row r="6895" spans="2:13" ht="18.75" customHeight="1" x14ac:dyDescent="0.25">
      <c r="B6895" s="435"/>
      <c r="C6895" s="111"/>
      <c r="E6895" s="21"/>
      <c r="F6895" s="176"/>
      <c r="G6895" s="168"/>
      <c r="H6895" s="211"/>
      <c r="M6895" s="176"/>
    </row>
    <row r="6896" spans="2:13" ht="18.75" customHeight="1" x14ac:dyDescent="0.25">
      <c r="B6896" s="19" t="s">
        <v>1638</v>
      </c>
      <c r="C6896" s="93" t="s">
        <v>1641</v>
      </c>
      <c r="D6896" s="19"/>
      <c r="E6896" s="21"/>
      <c r="F6896" s="176"/>
      <c r="G6896" s="165"/>
      <c r="H6896" s="119"/>
      <c r="M6896" s="176"/>
    </row>
    <row r="6897" spans="2:16" ht="18.75" customHeight="1" x14ac:dyDescent="0.25">
      <c r="B6897" s="19" t="s">
        <v>1639</v>
      </c>
      <c r="C6897" s="93" t="s">
        <v>1642</v>
      </c>
      <c r="D6897" s="19"/>
      <c r="E6897" s="21"/>
      <c r="F6897" s="176"/>
      <c r="G6897" s="165"/>
      <c r="H6897" s="119"/>
      <c r="M6897" s="176"/>
    </row>
    <row r="6898" spans="2:16" ht="18.75" customHeight="1" x14ac:dyDescent="0.25">
      <c r="B6898" s="19" t="s">
        <v>1640</v>
      </c>
      <c r="C6898" s="93" t="s">
        <v>1643</v>
      </c>
      <c r="D6898" s="19"/>
      <c r="E6898" s="21"/>
      <c r="F6898" s="176"/>
      <c r="G6898" s="165"/>
      <c r="H6898" s="119"/>
      <c r="M6898" s="176"/>
    </row>
    <row r="6899" spans="2:16" ht="18.75" customHeight="1" x14ac:dyDescent="0.25">
      <c r="B6899" s="618" t="s">
        <v>620</v>
      </c>
      <c r="C6899" s="620" t="s">
        <v>621</v>
      </c>
      <c r="D6899" s="618" t="s">
        <v>622</v>
      </c>
      <c r="E6899" s="618" t="s">
        <v>2</v>
      </c>
      <c r="F6899" s="615" t="s">
        <v>623</v>
      </c>
      <c r="G6899" s="289" t="s">
        <v>624</v>
      </c>
      <c r="H6899" s="256" t="s">
        <v>625</v>
      </c>
      <c r="M6899" s="615" t="s">
        <v>623</v>
      </c>
    </row>
    <row r="6900" spans="2:16" ht="18.75" customHeight="1" x14ac:dyDescent="0.25">
      <c r="B6900" s="619"/>
      <c r="C6900" s="621"/>
      <c r="D6900" s="619"/>
      <c r="E6900" s="619"/>
      <c r="F6900" s="616"/>
      <c r="G6900" s="289" t="s">
        <v>626</v>
      </c>
      <c r="H6900" s="256" t="s">
        <v>626</v>
      </c>
      <c r="K6900" s="415"/>
      <c r="L6900" s="416"/>
      <c r="M6900" s="616"/>
      <c r="N6900" s="422"/>
      <c r="O6900" s="422"/>
      <c r="P6900" s="422">
        <f>N6900</f>
        <v>0</v>
      </c>
    </row>
    <row r="6901" spans="2:16" ht="18.75" customHeight="1" x14ac:dyDescent="0.25">
      <c r="B6901" s="23"/>
      <c r="C6901" s="95"/>
      <c r="D6901" s="24"/>
      <c r="E6901" s="25"/>
      <c r="F6901" s="177"/>
      <c r="G6901" s="166"/>
      <c r="H6901" s="120"/>
      <c r="K6901" s="415"/>
      <c r="L6901" s="416"/>
      <c r="M6901" s="177"/>
      <c r="N6901" s="422"/>
      <c r="O6901" s="422"/>
      <c r="P6901" s="422">
        <f>N6901</f>
        <v>0</v>
      </c>
    </row>
    <row r="6902" spans="2:16" ht="18.75" customHeight="1" x14ac:dyDescent="0.25">
      <c r="B6902" s="26" t="s">
        <v>627</v>
      </c>
      <c r="C6902" s="89" t="s">
        <v>628</v>
      </c>
      <c r="D6902" s="27"/>
      <c r="E6902" s="28"/>
      <c r="F6902" s="178"/>
      <c r="G6902" s="72"/>
      <c r="H6902" s="121"/>
      <c r="K6902" s="415"/>
      <c r="L6902" s="416"/>
      <c r="M6902" s="178"/>
      <c r="N6902" s="422"/>
      <c r="O6902" s="422"/>
      <c r="P6902" s="422">
        <f>N6902</f>
        <v>0</v>
      </c>
    </row>
    <row r="6903" spans="2:16" ht="18.75" customHeight="1" x14ac:dyDescent="0.25">
      <c r="B6903" s="26"/>
      <c r="C6903" s="96" t="s">
        <v>629</v>
      </c>
      <c r="D6903" s="27" t="s">
        <v>630</v>
      </c>
      <c r="E6903" s="28" t="s">
        <v>631</v>
      </c>
      <c r="F6903" s="228">
        <f t="shared" ref="F6903:F6906" si="313">$K$8*M6903</f>
        <v>6.7</v>
      </c>
      <c r="G6903" s="29">
        <f>G6863</f>
        <v>95000</v>
      </c>
      <c r="H6903" s="122">
        <f>+G6903*F6903</f>
        <v>636500</v>
      </c>
      <c r="K6903" s="415"/>
      <c r="L6903" s="416"/>
      <c r="M6903" s="61">
        <v>6.7</v>
      </c>
      <c r="N6903" s="422"/>
      <c r="O6903" s="422"/>
      <c r="P6903" s="422">
        <f>N6903</f>
        <v>0</v>
      </c>
    </row>
    <row r="6904" spans="2:16" ht="18.75" customHeight="1" x14ac:dyDescent="0.25">
      <c r="B6904" s="26"/>
      <c r="C6904" s="96" t="s">
        <v>1508</v>
      </c>
      <c r="D6904" s="27" t="s">
        <v>634</v>
      </c>
      <c r="E6904" s="28" t="s">
        <v>631</v>
      </c>
      <c r="F6904" s="228">
        <f t="shared" si="313"/>
        <v>20.100000000000001</v>
      </c>
      <c r="G6904" s="29">
        <f>G6864</f>
        <v>110000</v>
      </c>
      <c r="H6904" s="122">
        <f>+G6904*F6904</f>
        <v>2211000</v>
      </c>
      <c r="K6904" s="415"/>
      <c r="L6904" s="416"/>
      <c r="M6904" s="61">
        <v>20.100000000000001</v>
      </c>
      <c r="N6904" s="422"/>
      <c r="O6904" s="422"/>
      <c r="P6904" s="422">
        <f>N6904</f>
        <v>0</v>
      </c>
    </row>
    <row r="6905" spans="2:16" ht="18.75" customHeight="1" x14ac:dyDescent="0.25">
      <c r="B6905" s="26"/>
      <c r="C6905" s="96" t="s">
        <v>633</v>
      </c>
      <c r="D6905" s="27" t="s">
        <v>634</v>
      </c>
      <c r="E6905" s="28" t="s">
        <v>631</v>
      </c>
      <c r="F6905" s="228">
        <f t="shared" si="313"/>
        <v>2.0099999999999998</v>
      </c>
      <c r="G6905" s="29">
        <f>G6865</f>
        <v>115000</v>
      </c>
      <c r="H6905" s="122">
        <f>+G6905*F6905</f>
        <v>231149.99999999997</v>
      </c>
      <c r="K6905" s="415"/>
      <c r="L6905" s="416"/>
      <c r="M6905" s="61">
        <v>2.0099999999999998</v>
      </c>
      <c r="N6905" s="422"/>
      <c r="O6905" s="422"/>
      <c r="P6905" s="422">
        <f>O6905</f>
        <v>0</v>
      </c>
    </row>
    <row r="6906" spans="2:16" ht="18.75" customHeight="1" x14ac:dyDescent="0.25">
      <c r="B6906" s="26"/>
      <c r="C6906" s="96" t="s">
        <v>600</v>
      </c>
      <c r="D6906" s="27" t="s">
        <v>635</v>
      </c>
      <c r="E6906" s="36" t="s">
        <v>631</v>
      </c>
      <c r="F6906" s="228">
        <f t="shared" si="313"/>
        <v>0.33500000000000002</v>
      </c>
      <c r="G6906" s="29">
        <f>G6866</f>
        <v>140000</v>
      </c>
      <c r="H6906" s="123">
        <f>+G6906*F6906</f>
        <v>46900</v>
      </c>
      <c r="K6906" s="415"/>
      <c r="L6906" s="416"/>
      <c r="M6906" s="193">
        <v>0.33500000000000002</v>
      </c>
      <c r="N6906" s="422"/>
      <c r="O6906" s="422"/>
      <c r="P6906" s="422">
        <f>O6906</f>
        <v>0</v>
      </c>
    </row>
    <row r="6907" spans="2:16" ht="18.75" customHeight="1" x14ac:dyDescent="0.25">
      <c r="B6907" s="26"/>
      <c r="C6907" s="89"/>
      <c r="D6907" s="63"/>
      <c r="E6907" s="30"/>
      <c r="F6907" s="192" t="s">
        <v>636</v>
      </c>
      <c r="G6907" s="310"/>
      <c r="H6907" s="124">
        <f>SUM(H6903:H6906)</f>
        <v>3125550</v>
      </c>
      <c r="K6907" s="415"/>
      <c r="L6907" s="416"/>
      <c r="M6907" s="192" t="s">
        <v>636</v>
      </c>
      <c r="N6907" s="422"/>
      <c r="O6907" s="422"/>
      <c r="P6907" s="422">
        <f>O6907</f>
        <v>0</v>
      </c>
    </row>
    <row r="6908" spans="2:16" ht="18.75" customHeight="1" x14ac:dyDescent="0.25">
      <c r="B6908" s="26"/>
      <c r="C6908" s="89"/>
      <c r="D6908" s="58"/>
      <c r="E6908" s="62"/>
      <c r="F6908" s="52"/>
      <c r="G6908" s="76"/>
      <c r="H6908" s="140"/>
      <c r="K6908" s="415"/>
      <c r="L6908" s="416"/>
      <c r="M6908" s="52"/>
      <c r="N6908" s="422"/>
      <c r="O6908" s="422"/>
      <c r="P6908" s="422"/>
    </row>
    <row r="6909" spans="2:16" ht="18.75" customHeight="1" x14ac:dyDescent="0.25">
      <c r="B6909" s="26" t="s">
        <v>637</v>
      </c>
      <c r="C6909" s="89" t="s">
        <v>638</v>
      </c>
      <c r="D6909" s="64"/>
      <c r="E6909" s="31"/>
      <c r="F6909" s="180"/>
      <c r="G6909" s="75"/>
      <c r="H6909" s="125"/>
      <c r="K6909" s="415"/>
      <c r="L6909" s="416"/>
      <c r="M6909" s="180"/>
      <c r="N6909" s="422"/>
      <c r="O6909" s="422"/>
      <c r="P6909" s="422">
        <f>O6909</f>
        <v>0</v>
      </c>
    </row>
    <row r="6910" spans="2:16" ht="18.75" customHeight="1" x14ac:dyDescent="0.25">
      <c r="B6910" s="26"/>
      <c r="C6910" s="89" t="s">
        <v>1192</v>
      </c>
      <c r="D6910" s="64"/>
      <c r="E6910" s="64" t="s">
        <v>1013</v>
      </c>
      <c r="F6910" s="205">
        <v>1.2</v>
      </c>
      <c r="G6910" s="75">
        <f>G6870</f>
        <v>12850000</v>
      </c>
      <c r="H6910" s="122">
        <f>+G6910*F6910</f>
        <v>15420000</v>
      </c>
      <c r="K6910" s="423"/>
      <c r="L6910" s="424"/>
      <c r="M6910" s="205">
        <v>1.2</v>
      </c>
      <c r="N6910" s="419"/>
      <c r="O6910" s="419"/>
      <c r="P6910" s="419">
        <f>O6910+N6910</f>
        <v>0</v>
      </c>
    </row>
    <row r="6911" spans="2:16" ht="18.75" customHeight="1" x14ac:dyDescent="0.25">
      <c r="B6911" s="26"/>
      <c r="C6911" s="89" t="s">
        <v>1189</v>
      </c>
      <c r="D6911" s="64"/>
      <c r="E6911" s="64" t="s">
        <v>8</v>
      </c>
      <c r="F6911" s="205">
        <v>1.2</v>
      </c>
      <c r="G6911" s="75">
        <f>G6871</f>
        <v>9350000</v>
      </c>
      <c r="H6911" s="122">
        <f>+G6911*F6911</f>
        <v>11220000</v>
      </c>
      <c r="K6911" s="425"/>
      <c r="L6911" s="424"/>
      <c r="M6911" s="205">
        <v>1.2</v>
      </c>
      <c r="N6911" s="419"/>
      <c r="O6911" s="419"/>
      <c r="P6911" s="419">
        <f>O6911+N6911</f>
        <v>0</v>
      </c>
    </row>
    <row r="6912" spans="2:16" ht="18.75" customHeight="1" x14ac:dyDescent="0.25">
      <c r="B6912" s="26"/>
      <c r="C6912" s="89" t="s">
        <v>1193</v>
      </c>
      <c r="D6912" s="64"/>
      <c r="E6912" s="64" t="s">
        <v>8</v>
      </c>
      <c r="F6912" s="205">
        <v>1.2</v>
      </c>
      <c r="G6912" s="75">
        <f>G6872</f>
        <v>7000000</v>
      </c>
      <c r="H6912" s="122">
        <f>+G6912*F6912</f>
        <v>8400000</v>
      </c>
      <c r="K6912" s="423"/>
      <c r="L6912" s="424"/>
      <c r="M6912" s="205">
        <v>1.2</v>
      </c>
      <c r="N6912" s="419"/>
      <c r="O6912" s="419"/>
      <c r="P6912" s="419">
        <f>O6912+N6912</f>
        <v>0</v>
      </c>
    </row>
    <row r="6913" spans="2:13" ht="18.75" customHeight="1" x14ac:dyDescent="0.25">
      <c r="B6913" s="26"/>
      <c r="C6913" s="89" t="s">
        <v>1191</v>
      </c>
      <c r="D6913" s="64"/>
      <c r="E6913" s="64" t="s">
        <v>5</v>
      </c>
      <c r="F6913" s="205">
        <v>15</v>
      </c>
      <c r="G6913" s="75">
        <f>+G6873</f>
        <v>15000</v>
      </c>
      <c r="H6913" s="122">
        <f>+G6913*F6913</f>
        <v>225000</v>
      </c>
      <c r="M6913" s="205">
        <v>15</v>
      </c>
    </row>
    <row r="6914" spans="2:13" ht="18.75" customHeight="1" x14ac:dyDescent="0.25">
      <c r="B6914" s="26"/>
      <c r="C6914" s="89" t="s">
        <v>786</v>
      </c>
      <c r="D6914" s="58"/>
      <c r="E6914" s="58" t="s">
        <v>5</v>
      </c>
      <c r="F6914" s="206">
        <v>5.6</v>
      </c>
      <c r="G6914" s="34">
        <f>G6874</f>
        <v>25000</v>
      </c>
      <c r="H6914" s="122">
        <f>+G6914*F6914</f>
        <v>140000</v>
      </c>
      <c r="M6914" s="206">
        <v>5.6</v>
      </c>
    </row>
    <row r="6915" spans="2:13" ht="18.75" customHeight="1" x14ac:dyDescent="0.25">
      <c r="B6915" s="26"/>
      <c r="C6915" s="89"/>
      <c r="D6915" s="63"/>
      <c r="E6915" s="30"/>
      <c r="F6915" s="179" t="s">
        <v>643</v>
      </c>
      <c r="G6915" s="310"/>
      <c r="H6915" s="124">
        <f>H6910+H6913+H6914</f>
        <v>15785000</v>
      </c>
      <c r="M6915" s="179" t="s">
        <v>643</v>
      </c>
    </row>
    <row r="6916" spans="2:13" ht="18.75" customHeight="1" x14ac:dyDescent="0.25">
      <c r="B6916" s="26"/>
      <c r="C6916" s="89"/>
      <c r="D6916" s="63"/>
      <c r="E6916" s="30"/>
      <c r="F6916" s="179" t="s">
        <v>643</v>
      </c>
      <c r="G6916" s="310"/>
      <c r="H6916" s="124">
        <f>H6911+H6913+H6914</f>
        <v>11585000</v>
      </c>
      <c r="M6916" s="179" t="s">
        <v>643</v>
      </c>
    </row>
    <row r="6917" spans="2:13" ht="18.75" customHeight="1" x14ac:dyDescent="0.25">
      <c r="B6917" s="26"/>
      <c r="C6917" s="89"/>
      <c r="D6917" s="63"/>
      <c r="E6917" s="30"/>
      <c r="F6917" s="179" t="s">
        <v>643</v>
      </c>
      <c r="G6917" s="310"/>
      <c r="H6917" s="124">
        <f>H6912+H6913+H6914</f>
        <v>8765000</v>
      </c>
      <c r="M6917" s="179" t="s">
        <v>643</v>
      </c>
    </row>
    <row r="6918" spans="2:13" ht="18.75" customHeight="1" x14ac:dyDescent="0.25">
      <c r="B6918" s="26"/>
      <c r="C6918" s="89"/>
      <c r="D6918" s="64"/>
      <c r="E6918" s="31"/>
      <c r="F6918" s="180"/>
      <c r="G6918" s="75"/>
      <c r="H6918" s="125"/>
      <c r="M6918" s="180"/>
    </row>
    <row r="6919" spans="2:13" ht="18.75" customHeight="1" x14ac:dyDescent="0.25">
      <c r="B6919" s="26" t="s">
        <v>644</v>
      </c>
      <c r="C6919" s="89" t="s">
        <v>645</v>
      </c>
      <c r="D6919" s="56"/>
      <c r="E6919" s="36"/>
      <c r="F6919" s="194"/>
      <c r="G6919" s="88"/>
      <c r="H6919" s="127"/>
      <c r="M6919" s="194"/>
    </row>
    <row r="6920" spans="2:13" ht="18.75" customHeight="1" x14ac:dyDescent="0.25">
      <c r="B6920" s="35"/>
      <c r="C6920" s="97"/>
      <c r="D6920" s="63"/>
      <c r="E6920" s="30"/>
      <c r="F6920" s="179" t="s">
        <v>646</v>
      </c>
      <c r="G6920" s="310"/>
      <c r="H6920" s="128"/>
      <c r="M6920" s="179" t="s">
        <v>646</v>
      </c>
    </row>
    <row r="6921" spans="2:13" ht="18.75" customHeight="1" x14ac:dyDescent="0.25">
      <c r="B6921" s="37"/>
      <c r="C6921" s="98"/>
      <c r="D6921" s="411"/>
      <c r="E6921" s="42"/>
      <c r="F6921" s="181"/>
      <c r="G6921" s="311"/>
      <c r="H6921" s="129"/>
      <c r="M6921" s="181"/>
    </row>
    <row r="6922" spans="2:13" ht="18.75" customHeight="1" x14ac:dyDescent="0.25">
      <c r="B6922" s="43"/>
      <c r="C6922" s="99"/>
      <c r="D6922" s="44"/>
      <c r="E6922" s="45"/>
      <c r="F6922" s="182"/>
      <c r="G6922" s="313"/>
      <c r="H6922" s="130"/>
      <c r="M6922" s="182"/>
    </row>
    <row r="6923" spans="2:13" ht="18.75" customHeight="1" x14ac:dyDescent="0.25">
      <c r="B6923" s="46" t="s">
        <v>647</v>
      </c>
      <c r="C6923" s="101" t="s">
        <v>648</v>
      </c>
      <c r="E6923" s="22"/>
      <c r="F6923" s="189"/>
      <c r="G6923" s="308"/>
      <c r="H6923" s="131">
        <f>H6907+H6915</f>
        <v>18910550</v>
      </c>
      <c r="M6923" s="189"/>
    </row>
    <row r="6924" spans="2:13" ht="18.75" customHeight="1" x14ac:dyDescent="0.25">
      <c r="B6924" s="356" t="s">
        <v>649</v>
      </c>
      <c r="C6924" s="364" t="s">
        <v>650</v>
      </c>
      <c r="D6924" s="435"/>
      <c r="E6924" s="92"/>
      <c r="F6924" s="184" t="str">
        <f>$J$5</f>
        <v>8,0 % x D</v>
      </c>
      <c r="G6924" s="295"/>
      <c r="H6924" s="358">
        <f>+H6923*$K$5</f>
        <v>1512844</v>
      </c>
      <c r="M6924" s="184" t="str">
        <f>$J$5</f>
        <v>8,0 % x D</v>
      </c>
    </row>
    <row r="6925" spans="2:13" ht="18.75" customHeight="1" x14ac:dyDescent="0.25">
      <c r="B6925" s="46" t="s">
        <v>651</v>
      </c>
      <c r="C6925" s="102" t="s">
        <v>1650</v>
      </c>
      <c r="E6925" s="21"/>
      <c r="F6925" s="176"/>
      <c r="G6925" s="90"/>
      <c r="H6925" s="359">
        <f>ROUNDUP((H6924+H6923)/100,0)*100</f>
        <v>20423400</v>
      </c>
      <c r="M6925" s="176"/>
    </row>
    <row r="6926" spans="2:13" ht="18.75" customHeight="1" x14ac:dyDescent="0.25">
      <c r="B6926" s="46"/>
      <c r="C6926" s="102"/>
      <c r="E6926" s="21"/>
      <c r="F6926" s="176"/>
      <c r="G6926" s="90"/>
      <c r="H6926" s="211"/>
      <c r="M6926" s="176"/>
    </row>
    <row r="6927" spans="2:13" ht="18.75" customHeight="1" x14ac:dyDescent="0.25">
      <c r="B6927" s="46" t="s">
        <v>825</v>
      </c>
      <c r="C6927" s="101" t="s">
        <v>648</v>
      </c>
      <c r="E6927" s="22"/>
      <c r="F6927" s="189"/>
      <c r="G6927" s="308"/>
      <c r="H6927" s="131">
        <f>H6907+H6916</f>
        <v>14710550</v>
      </c>
      <c r="M6927" s="189"/>
    </row>
    <row r="6928" spans="2:13" ht="18.75" customHeight="1" x14ac:dyDescent="0.25">
      <c r="B6928" s="356" t="s">
        <v>827</v>
      </c>
      <c r="C6928" s="364" t="s">
        <v>650</v>
      </c>
      <c r="D6928" s="435"/>
      <c r="E6928" s="92"/>
      <c r="F6928" s="184" t="str">
        <f>$J$5</f>
        <v>8,0 % x D</v>
      </c>
      <c r="G6928" s="295"/>
      <c r="H6928" s="358">
        <f>+H6927*$K$5</f>
        <v>1176844</v>
      </c>
      <c r="M6928" s="184" t="str">
        <f>$J$5</f>
        <v>8,0 % x D</v>
      </c>
    </row>
    <row r="6929" spans="2:16" ht="18.75" customHeight="1" x14ac:dyDescent="0.25">
      <c r="B6929" s="46" t="s">
        <v>617</v>
      </c>
      <c r="C6929" s="102" t="s">
        <v>1651</v>
      </c>
      <c r="E6929" s="21"/>
      <c r="F6929" s="176"/>
      <c r="G6929" s="90"/>
      <c r="H6929" s="359">
        <f>ROUNDUP((H6928+H6927)/100,0)*100</f>
        <v>15887400</v>
      </c>
      <c r="M6929" s="176"/>
    </row>
    <row r="6930" spans="2:16" ht="18.75" customHeight="1" x14ac:dyDescent="0.25">
      <c r="B6930" s="46"/>
      <c r="C6930" s="102"/>
      <c r="E6930" s="21"/>
      <c r="F6930" s="176"/>
      <c r="G6930" s="90"/>
      <c r="H6930" s="133"/>
      <c r="M6930" s="176"/>
    </row>
    <row r="6931" spans="2:16" ht="18.75" customHeight="1" x14ac:dyDescent="0.25">
      <c r="B6931" s="46" t="s">
        <v>812</v>
      </c>
      <c r="C6931" s="101" t="s">
        <v>648</v>
      </c>
      <c r="E6931" s="22"/>
      <c r="F6931" s="189"/>
      <c r="G6931" s="308"/>
      <c r="H6931" s="131">
        <f>H6907+H6917</f>
        <v>11890550</v>
      </c>
      <c r="M6931" s="189"/>
    </row>
    <row r="6932" spans="2:16" ht="18.75" customHeight="1" x14ac:dyDescent="0.25">
      <c r="B6932" s="356" t="s">
        <v>814</v>
      </c>
      <c r="C6932" s="364" t="s">
        <v>650</v>
      </c>
      <c r="D6932" s="435"/>
      <c r="E6932" s="92"/>
      <c r="F6932" s="184" t="str">
        <f>$J$5</f>
        <v>8,0 % x D</v>
      </c>
      <c r="G6932" s="295"/>
      <c r="H6932" s="358">
        <f>+H6931*$K$5</f>
        <v>951244</v>
      </c>
      <c r="M6932" s="184" t="str">
        <f>$J$5</f>
        <v>8,0 % x D</v>
      </c>
    </row>
    <row r="6933" spans="2:16" ht="18.75" customHeight="1" x14ac:dyDescent="0.25">
      <c r="B6933" s="46" t="s">
        <v>816</v>
      </c>
      <c r="C6933" s="102" t="s">
        <v>1652</v>
      </c>
      <c r="E6933" s="21"/>
      <c r="F6933" s="176"/>
      <c r="G6933" s="90"/>
      <c r="H6933" s="359">
        <f>ROUNDUP((H6932+H6931)/100,0)*100</f>
        <v>12841800</v>
      </c>
      <c r="M6933" s="176"/>
    </row>
    <row r="6934" spans="2:16" ht="18.75" customHeight="1" x14ac:dyDescent="0.25">
      <c r="B6934" s="69"/>
      <c r="C6934" s="111"/>
      <c r="E6934" s="21"/>
      <c r="F6934" s="176"/>
      <c r="G6934" s="168"/>
      <c r="H6934" s="413"/>
      <c r="M6934" s="176"/>
    </row>
    <row r="6935" spans="2:16" ht="18.75" customHeight="1" x14ac:dyDescent="0.25">
      <c r="B6935" s="22"/>
      <c r="C6935" s="112"/>
      <c r="D6935" s="70"/>
      <c r="E6935" s="70"/>
      <c r="F6935" s="202"/>
      <c r="G6935" s="173"/>
      <c r="H6935" s="119"/>
      <c r="M6935" s="202"/>
    </row>
    <row r="6936" spans="2:16" ht="18.75" customHeight="1" x14ac:dyDescent="0.25">
      <c r="B6936" s="19">
        <v>15</v>
      </c>
      <c r="C6936" s="93" t="s">
        <v>1194</v>
      </c>
      <c r="D6936" s="19"/>
      <c r="E6936" s="21"/>
      <c r="F6936" s="176"/>
      <c r="G6936" s="165"/>
      <c r="H6936" s="119"/>
      <c r="M6936" s="176"/>
    </row>
    <row r="6937" spans="2:16" ht="18.75" customHeight="1" x14ac:dyDescent="0.25">
      <c r="B6937" s="618" t="s">
        <v>620</v>
      </c>
      <c r="C6937" s="620" t="s">
        <v>621</v>
      </c>
      <c r="D6937" s="618" t="s">
        <v>622</v>
      </c>
      <c r="E6937" s="618" t="s">
        <v>2</v>
      </c>
      <c r="F6937" s="615" t="s">
        <v>623</v>
      </c>
      <c r="G6937" s="289" t="s">
        <v>624</v>
      </c>
      <c r="H6937" s="256" t="s">
        <v>625</v>
      </c>
      <c r="M6937" s="615" t="s">
        <v>623</v>
      </c>
    </row>
    <row r="6938" spans="2:16" ht="18.75" customHeight="1" x14ac:dyDescent="0.25">
      <c r="B6938" s="619"/>
      <c r="C6938" s="621"/>
      <c r="D6938" s="619"/>
      <c r="E6938" s="619"/>
      <c r="F6938" s="616"/>
      <c r="G6938" s="289" t="s">
        <v>626</v>
      </c>
      <c r="H6938" s="256" t="s">
        <v>626</v>
      </c>
      <c r="M6938" s="616"/>
    </row>
    <row r="6939" spans="2:16" ht="18.75" customHeight="1" x14ac:dyDescent="0.25">
      <c r="B6939" s="23"/>
      <c r="C6939" s="95"/>
      <c r="D6939" s="24"/>
      <c r="E6939" s="25"/>
      <c r="F6939" s="177"/>
      <c r="G6939" s="166"/>
      <c r="H6939" s="120"/>
      <c r="K6939" s="68"/>
      <c r="L6939" s="426"/>
      <c r="M6939" s="177"/>
      <c r="N6939" s="419"/>
      <c r="O6939" s="419"/>
      <c r="P6939" s="419"/>
    </row>
    <row r="6940" spans="2:16" ht="18.75" customHeight="1" x14ac:dyDescent="0.25">
      <c r="B6940" s="26" t="s">
        <v>627</v>
      </c>
      <c r="C6940" s="89" t="s">
        <v>628</v>
      </c>
      <c r="D6940" s="27"/>
      <c r="E6940" s="28"/>
      <c r="F6940" s="178"/>
      <c r="G6940" s="72"/>
      <c r="H6940" s="121"/>
      <c r="K6940" s="423"/>
      <c r="L6940" s="427"/>
      <c r="M6940" s="178"/>
      <c r="N6940" s="422"/>
      <c r="O6940" s="422"/>
      <c r="P6940" s="422"/>
    </row>
    <row r="6941" spans="2:16" ht="18.75" customHeight="1" x14ac:dyDescent="0.25">
      <c r="B6941" s="26"/>
      <c r="C6941" s="96" t="s">
        <v>629</v>
      </c>
      <c r="D6941" s="27" t="s">
        <v>630</v>
      </c>
      <c r="E6941" s="28" t="s">
        <v>631</v>
      </c>
      <c r="F6941" s="228">
        <f t="shared" ref="F6941:F6944" si="314">$K$8*M6941</f>
        <v>0.1</v>
      </c>
      <c r="G6941" s="29">
        <f>G6903</f>
        <v>95000</v>
      </c>
      <c r="H6941" s="122">
        <f>+G6941*F6941</f>
        <v>9500</v>
      </c>
      <c r="K6941" s="415"/>
      <c r="L6941" s="416"/>
      <c r="M6941" s="61">
        <v>0.1</v>
      </c>
      <c r="N6941" s="422"/>
      <c r="O6941" s="422"/>
      <c r="P6941" s="422">
        <f>N6941</f>
        <v>0</v>
      </c>
    </row>
    <row r="6942" spans="2:16" ht="18.75" customHeight="1" x14ac:dyDescent="0.25">
      <c r="B6942" s="26"/>
      <c r="C6942" s="96" t="s">
        <v>1508</v>
      </c>
      <c r="D6942" s="27" t="s">
        <v>634</v>
      </c>
      <c r="E6942" s="28" t="s">
        <v>631</v>
      </c>
      <c r="F6942" s="228">
        <f t="shared" si="314"/>
        <v>0.1</v>
      </c>
      <c r="G6942" s="29">
        <f>G6904</f>
        <v>110000</v>
      </c>
      <c r="H6942" s="122">
        <f>+G6942*F6942</f>
        <v>11000</v>
      </c>
      <c r="K6942" s="415"/>
      <c r="L6942" s="416"/>
      <c r="M6942" s="61">
        <v>0.1</v>
      </c>
      <c r="N6942" s="422"/>
      <c r="O6942" s="422"/>
      <c r="P6942" s="422">
        <f>N6942</f>
        <v>0</v>
      </c>
    </row>
    <row r="6943" spans="2:16" ht="18.75" customHeight="1" x14ac:dyDescent="0.25">
      <c r="B6943" s="26"/>
      <c r="C6943" s="96" t="s">
        <v>633</v>
      </c>
      <c r="D6943" s="27" t="s">
        <v>634</v>
      </c>
      <c r="E6943" s="28" t="s">
        <v>631</v>
      </c>
      <c r="F6943" s="228">
        <f t="shared" si="314"/>
        <v>0.01</v>
      </c>
      <c r="G6943" s="29">
        <f>G6905</f>
        <v>115000</v>
      </c>
      <c r="H6943" s="122">
        <f>+G6943*F6943</f>
        <v>1150</v>
      </c>
      <c r="K6943" s="415"/>
      <c r="L6943" s="416"/>
      <c r="M6943" s="208">
        <v>0.01</v>
      </c>
      <c r="N6943" s="422"/>
      <c r="O6943" s="422"/>
      <c r="P6943" s="422">
        <f>N6943</f>
        <v>0</v>
      </c>
    </row>
    <row r="6944" spans="2:16" ht="18.75" customHeight="1" x14ac:dyDescent="0.25">
      <c r="B6944" s="26"/>
      <c r="C6944" s="96" t="s">
        <v>600</v>
      </c>
      <c r="D6944" s="27" t="s">
        <v>635</v>
      </c>
      <c r="E6944" s="36" t="s">
        <v>631</v>
      </c>
      <c r="F6944" s="228">
        <f t="shared" si="314"/>
        <v>5.0000000000000001E-3</v>
      </c>
      <c r="G6944" s="29">
        <f>G6906</f>
        <v>140000</v>
      </c>
      <c r="H6944" s="123">
        <f>+G6944*F6944</f>
        <v>700</v>
      </c>
      <c r="K6944" s="415"/>
      <c r="L6944" s="416"/>
      <c r="M6944" s="193">
        <f>M6969</f>
        <v>5.0000000000000001E-3</v>
      </c>
      <c r="N6944" s="422"/>
      <c r="O6944" s="422"/>
      <c r="P6944" s="422">
        <f>N6944</f>
        <v>0</v>
      </c>
    </row>
    <row r="6945" spans="2:16" ht="18.75" customHeight="1" x14ac:dyDescent="0.25">
      <c r="B6945" s="26"/>
      <c r="C6945" s="89"/>
      <c r="D6945" s="63"/>
      <c r="E6945" s="30"/>
      <c r="F6945" s="192" t="s">
        <v>636</v>
      </c>
      <c r="G6945" s="310"/>
      <c r="H6945" s="124">
        <f>SUM(H6941:H6944)</f>
        <v>22350</v>
      </c>
      <c r="K6945" s="415"/>
      <c r="L6945" s="416"/>
      <c r="M6945" s="192" t="s">
        <v>636</v>
      </c>
      <c r="N6945" s="422"/>
      <c r="O6945" s="422"/>
      <c r="P6945" s="422">
        <f>O6945</f>
        <v>0</v>
      </c>
    </row>
    <row r="6946" spans="2:16" ht="18.75" customHeight="1" x14ac:dyDescent="0.25">
      <c r="B6946" s="26"/>
      <c r="C6946" s="89"/>
      <c r="D6946" s="58"/>
      <c r="E6946" s="62"/>
      <c r="F6946" s="52"/>
      <c r="G6946" s="76"/>
      <c r="H6946" s="132"/>
      <c r="K6946" s="415"/>
      <c r="L6946" s="416"/>
      <c r="M6946" s="52"/>
      <c r="N6946" s="422"/>
      <c r="O6946" s="422"/>
      <c r="P6946" s="422"/>
    </row>
    <row r="6947" spans="2:16" ht="18.75" customHeight="1" x14ac:dyDescent="0.25">
      <c r="B6947" s="26" t="s">
        <v>637</v>
      </c>
      <c r="C6947" s="89" t="s">
        <v>638</v>
      </c>
      <c r="D6947" s="64"/>
      <c r="E6947" s="31"/>
      <c r="F6947" s="180"/>
      <c r="G6947" s="75"/>
      <c r="H6947" s="125"/>
      <c r="K6947" s="415"/>
      <c r="L6947" s="416"/>
      <c r="M6947" s="180"/>
      <c r="N6947" s="422"/>
      <c r="O6947" s="422"/>
      <c r="P6947" s="422">
        <f>O6947</f>
        <v>0</v>
      </c>
    </row>
    <row r="6948" spans="2:16" ht="18.75" customHeight="1" x14ac:dyDescent="0.25">
      <c r="B6948" s="26"/>
      <c r="C6948" s="89" t="s">
        <v>1195</v>
      </c>
      <c r="D6948" s="64"/>
      <c r="E6948" s="64" t="s">
        <v>1013</v>
      </c>
      <c r="F6948" s="205">
        <f>F6974</f>
        <v>7.5700000000000003E-2</v>
      </c>
      <c r="G6948" s="75">
        <f>Bahan!D255</f>
        <v>7150000</v>
      </c>
      <c r="H6948" s="122">
        <f>+G6948*F6948</f>
        <v>541255</v>
      </c>
      <c r="K6948" s="415"/>
      <c r="L6948" s="416"/>
      <c r="M6948" s="205">
        <f>M6974</f>
        <v>7.5700000000000003E-2</v>
      </c>
      <c r="N6948" s="422"/>
      <c r="O6948" s="422"/>
      <c r="P6948" s="422">
        <f>O6948</f>
        <v>0</v>
      </c>
    </row>
    <row r="6949" spans="2:16" ht="18.75" customHeight="1" x14ac:dyDescent="0.25">
      <c r="B6949" s="26"/>
      <c r="C6949" s="89" t="str">
        <f>C6975</f>
        <v>Paku biasa "2 - 5 "</v>
      </c>
      <c r="D6949" s="58"/>
      <c r="E6949" s="58" t="s">
        <v>5</v>
      </c>
      <c r="F6949" s="206">
        <f>F6975</f>
        <v>0.25</v>
      </c>
      <c r="G6949" s="34">
        <f>+G6914</f>
        <v>25000</v>
      </c>
      <c r="H6949" s="122">
        <f>+G6949*F6949</f>
        <v>6250</v>
      </c>
      <c r="K6949" s="415"/>
      <c r="L6949" s="416"/>
      <c r="M6949" s="206">
        <f>M6975</f>
        <v>0.25</v>
      </c>
      <c r="N6949" s="422"/>
      <c r="O6949" s="422"/>
      <c r="P6949" s="422">
        <f>O6949</f>
        <v>0</v>
      </c>
    </row>
    <row r="6950" spans="2:16" ht="18.75" customHeight="1" x14ac:dyDescent="0.25">
      <c r="B6950" s="26"/>
      <c r="C6950" s="89"/>
      <c r="D6950" s="63"/>
      <c r="E6950" s="30"/>
      <c r="F6950" s="179" t="s">
        <v>643</v>
      </c>
      <c r="G6950" s="310"/>
      <c r="H6950" s="124">
        <f>SUM(H6948:H6948)</f>
        <v>541255</v>
      </c>
      <c r="K6950" s="423"/>
      <c r="L6950" s="424"/>
      <c r="M6950" s="179" t="s">
        <v>643</v>
      </c>
      <c r="N6950" s="419"/>
      <c r="O6950" s="419"/>
      <c r="P6950" s="419">
        <f>O6950+N6950</f>
        <v>0</v>
      </c>
    </row>
    <row r="6951" spans="2:16" ht="18.75" customHeight="1" x14ac:dyDescent="0.25">
      <c r="B6951" s="26"/>
      <c r="C6951" s="89"/>
      <c r="D6951" s="64"/>
      <c r="E6951" s="31"/>
      <c r="F6951" s="180"/>
      <c r="G6951" s="75"/>
      <c r="H6951" s="125"/>
      <c r="K6951" s="423"/>
      <c r="L6951" s="424"/>
      <c r="M6951" s="180"/>
      <c r="N6951" s="419"/>
      <c r="O6951" s="419"/>
      <c r="P6951" s="419">
        <f>O6951+N6951</f>
        <v>0</v>
      </c>
    </row>
    <row r="6952" spans="2:16" ht="18.75" customHeight="1" x14ac:dyDescent="0.25">
      <c r="B6952" s="26" t="s">
        <v>644</v>
      </c>
      <c r="C6952" s="89" t="s">
        <v>645</v>
      </c>
      <c r="D6952" s="56"/>
      <c r="E6952" s="36"/>
      <c r="F6952" s="194"/>
      <c r="G6952" s="88"/>
      <c r="H6952" s="127"/>
      <c r="K6952" s="423"/>
      <c r="L6952" s="424"/>
      <c r="M6952" s="194"/>
      <c r="N6952" s="419"/>
      <c r="O6952" s="419"/>
      <c r="P6952" s="419">
        <f>SUM(N6952:O6952)</f>
        <v>0</v>
      </c>
    </row>
    <row r="6953" spans="2:16" ht="18.75" customHeight="1" x14ac:dyDescent="0.25">
      <c r="B6953" s="35"/>
      <c r="C6953" s="97"/>
      <c r="D6953" s="63"/>
      <c r="E6953" s="30"/>
      <c r="F6953" s="179" t="s">
        <v>646</v>
      </c>
      <c r="G6953" s="310"/>
      <c r="H6953" s="128"/>
      <c r="K6953" s="423"/>
      <c r="L6953" s="424"/>
      <c r="M6953" s="179" t="s">
        <v>646</v>
      </c>
      <c r="N6953" s="419"/>
      <c r="O6953" s="419"/>
      <c r="P6953" s="419">
        <f>SUM(N6953:O6953)</f>
        <v>0</v>
      </c>
    </row>
    <row r="6954" spans="2:16" ht="18.75" customHeight="1" x14ac:dyDescent="0.25">
      <c r="B6954" s="37"/>
      <c r="C6954" s="98"/>
      <c r="D6954" s="411"/>
      <c r="E6954" s="42"/>
      <c r="F6954" s="181"/>
      <c r="G6954" s="311"/>
      <c r="H6954" s="129"/>
      <c r="K6954" s="423"/>
      <c r="L6954" s="424"/>
      <c r="M6954" s="181"/>
      <c r="N6954" s="419"/>
      <c r="O6954" s="419"/>
      <c r="P6954" s="419">
        <f>SUM(N6954:O6954)</f>
        <v>0</v>
      </c>
    </row>
    <row r="6955" spans="2:16" ht="18.75" customHeight="1" x14ac:dyDescent="0.25">
      <c r="B6955" s="43"/>
      <c r="C6955" s="99"/>
      <c r="D6955" s="44"/>
      <c r="E6955" s="45"/>
      <c r="F6955" s="182"/>
      <c r="G6955" s="313"/>
      <c r="H6955" s="130"/>
      <c r="M6955" s="182"/>
    </row>
    <row r="6956" spans="2:16" ht="18.75" customHeight="1" x14ac:dyDescent="0.25">
      <c r="B6956" s="46" t="s">
        <v>647</v>
      </c>
      <c r="C6956" s="101" t="s">
        <v>648</v>
      </c>
      <c r="E6956" s="22"/>
      <c r="F6956" s="189"/>
      <c r="G6956" s="308"/>
      <c r="H6956" s="131">
        <f>+H6953+H6950+H6945</f>
        <v>563605</v>
      </c>
      <c r="M6956" s="189"/>
    </row>
    <row r="6957" spans="2:16" ht="18.75" customHeight="1" x14ac:dyDescent="0.25">
      <c r="B6957" s="356" t="s">
        <v>649</v>
      </c>
      <c r="C6957" s="364" t="s">
        <v>650</v>
      </c>
      <c r="D6957" s="435"/>
      <c r="E6957" s="92"/>
      <c r="F6957" s="184" t="str">
        <f>$J$5</f>
        <v>8,0 % x D</v>
      </c>
      <c r="G6957" s="295"/>
      <c r="H6957" s="358">
        <f>+H6956*$K$5</f>
        <v>45088.4</v>
      </c>
      <c r="M6957" s="184" t="str">
        <f>$J$5</f>
        <v>8,0 % x D</v>
      </c>
    </row>
    <row r="6958" spans="2:16" ht="18.75" customHeight="1" x14ac:dyDescent="0.25">
      <c r="B6958" s="356" t="s">
        <v>651</v>
      </c>
      <c r="C6958" s="365" t="s">
        <v>652</v>
      </c>
      <c r="D6958" s="435"/>
      <c r="E6958" s="91"/>
      <c r="F6958" s="185"/>
      <c r="G6958" s="296"/>
      <c r="H6958" s="359">
        <f>ROUNDUP((H6957+H6956)/100,0)*100</f>
        <v>608700</v>
      </c>
      <c r="M6958" s="185"/>
    </row>
    <row r="6959" spans="2:16" ht="18.75" customHeight="1" thickBot="1" x14ac:dyDescent="0.3">
      <c r="B6959" s="47"/>
      <c r="C6959" s="108"/>
      <c r="D6959" s="48"/>
      <c r="E6959" s="49"/>
      <c r="F6959" s="186"/>
      <c r="G6959" s="309"/>
      <c r="H6959" s="136"/>
      <c r="M6959" s="186"/>
    </row>
    <row r="6960" spans="2:16" ht="18.75" customHeight="1" x14ac:dyDescent="0.25">
      <c r="B6960" s="92"/>
      <c r="C6960" s="111"/>
      <c r="D6960" s="435"/>
      <c r="E6960" s="91"/>
      <c r="F6960" s="185"/>
      <c r="G6960" s="168"/>
      <c r="H6960" s="139"/>
      <c r="M6960" s="185"/>
    </row>
    <row r="6961" spans="2:13" ht="18.75" customHeight="1" x14ac:dyDescent="0.25">
      <c r="B6961" s="19">
        <v>16</v>
      </c>
      <c r="C6961" s="93" t="s">
        <v>1196</v>
      </c>
      <c r="D6961" s="19"/>
      <c r="E6961" s="21"/>
      <c r="F6961" s="176"/>
      <c r="G6961" s="165"/>
      <c r="H6961" s="119"/>
      <c r="M6961" s="176"/>
    </row>
    <row r="6962" spans="2:13" ht="18.75" customHeight="1" x14ac:dyDescent="0.25">
      <c r="B6962" s="618" t="s">
        <v>620</v>
      </c>
      <c r="C6962" s="620" t="s">
        <v>621</v>
      </c>
      <c r="D6962" s="618" t="s">
        <v>622</v>
      </c>
      <c r="E6962" s="618" t="s">
        <v>2</v>
      </c>
      <c r="F6962" s="615" t="s">
        <v>623</v>
      </c>
      <c r="G6962" s="289" t="s">
        <v>624</v>
      </c>
      <c r="H6962" s="256" t="s">
        <v>625</v>
      </c>
      <c r="M6962" s="615" t="s">
        <v>623</v>
      </c>
    </row>
    <row r="6963" spans="2:13" ht="18.75" customHeight="1" x14ac:dyDescent="0.25">
      <c r="B6963" s="619"/>
      <c r="C6963" s="621"/>
      <c r="D6963" s="619"/>
      <c r="E6963" s="619"/>
      <c r="F6963" s="616"/>
      <c r="G6963" s="289" t="s">
        <v>626</v>
      </c>
      <c r="H6963" s="256" t="s">
        <v>626</v>
      </c>
      <c r="M6963" s="616"/>
    </row>
    <row r="6964" spans="2:13" ht="18.75" customHeight="1" x14ac:dyDescent="0.25">
      <c r="B6964" s="23"/>
      <c r="C6964" s="95"/>
      <c r="D6964" s="24"/>
      <c r="E6964" s="25"/>
      <c r="F6964" s="177"/>
      <c r="G6964" s="166"/>
      <c r="H6964" s="120"/>
      <c r="M6964" s="177"/>
    </row>
    <row r="6965" spans="2:13" ht="18.75" customHeight="1" x14ac:dyDescent="0.25">
      <c r="B6965" s="26" t="s">
        <v>627</v>
      </c>
      <c r="C6965" s="89" t="s">
        <v>628</v>
      </c>
      <c r="D6965" s="27"/>
      <c r="E6965" s="28"/>
      <c r="F6965" s="178"/>
      <c r="G6965" s="72"/>
      <c r="H6965" s="121"/>
      <c r="M6965" s="178"/>
    </row>
    <row r="6966" spans="2:13" ht="18.75" customHeight="1" x14ac:dyDescent="0.25">
      <c r="B6966" s="26"/>
      <c r="C6966" s="96" t="s">
        <v>629</v>
      </c>
      <c r="D6966" s="27" t="s">
        <v>630</v>
      </c>
      <c r="E6966" s="28" t="s">
        <v>631</v>
      </c>
      <c r="F6966" s="228">
        <f t="shared" ref="F6966:F6969" si="315">$K$8*M6966</f>
        <v>0.1</v>
      </c>
      <c r="G6966" s="29">
        <f>G6941</f>
        <v>95000</v>
      </c>
      <c r="H6966" s="122">
        <f>+G6966*F6966</f>
        <v>9500</v>
      </c>
      <c r="M6966" s="61">
        <v>0.1</v>
      </c>
    </row>
    <row r="6967" spans="2:13" ht="18.75" customHeight="1" x14ac:dyDescent="0.25">
      <c r="B6967" s="26"/>
      <c r="C6967" s="96" t="s">
        <v>1508</v>
      </c>
      <c r="D6967" s="27" t="s">
        <v>634</v>
      </c>
      <c r="E6967" s="28" t="s">
        <v>631</v>
      </c>
      <c r="F6967" s="228">
        <f t="shared" si="315"/>
        <v>0.1</v>
      </c>
      <c r="G6967" s="29">
        <f t="shared" ref="G6967:G6969" si="316">G6942</f>
        <v>110000</v>
      </c>
      <c r="H6967" s="122">
        <f>+G6967*F6967</f>
        <v>11000</v>
      </c>
      <c r="M6967" s="61">
        <v>0.1</v>
      </c>
    </row>
    <row r="6968" spans="2:13" ht="18.75" customHeight="1" x14ac:dyDescent="0.25">
      <c r="B6968" s="26"/>
      <c r="C6968" s="96" t="s">
        <v>633</v>
      </c>
      <c r="D6968" s="27" t="s">
        <v>634</v>
      </c>
      <c r="E6968" s="28" t="s">
        <v>631</v>
      </c>
      <c r="F6968" s="228">
        <f t="shared" si="315"/>
        <v>0.01</v>
      </c>
      <c r="G6968" s="29">
        <f t="shared" si="316"/>
        <v>115000</v>
      </c>
      <c r="H6968" s="122">
        <f>+G6968*F6968</f>
        <v>1150</v>
      </c>
      <c r="M6968" s="61">
        <v>0.01</v>
      </c>
    </row>
    <row r="6969" spans="2:13" ht="18.75" customHeight="1" x14ac:dyDescent="0.25">
      <c r="B6969" s="26"/>
      <c r="C6969" s="96" t="s">
        <v>600</v>
      </c>
      <c r="D6969" s="27" t="s">
        <v>635</v>
      </c>
      <c r="E6969" s="36" t="s">
        <v>631</v>
      </c>
      <c r="F6969" s="228">
        <f t="shared" si="315"/>
        <v>5.0000000000000001E-3</v>
      </c>
      <c r="G6969" s="29">
        <f t="shared" si="316"/>
        <v>140000</v>
      </c>
      <c r="H6969" s="123">
        <f>+G6969*F6969</f>
        <v>700</v>
      </c>
      <c r="M6969" s="193">
        <v>5.0000000000000001E-3</v>
      </c>
    </row>
    <row r="6970" spans="2:13" ht="18.75" customHeight="1" x14ac:dyDescent="0.25">
      <c r="B6970" s="26"/>
      <c r="C6970" s="89"/>
      <c r="D6970" s="63"/>
      <c r="E6970" s="30"/>
      <c r="F6970" s="192" t="s">
        <v>636</v>
      </c>
      <c r="G6970" s="310"/>
      <c r="H6970" s="124">
        <f>SUM(H6966:H6969)</f>
        <v>22350</v>
      </c>
      <c r="M6970" s="192" t="s">
        <v>636</v>
      </c>
    </row>
    <row r="6971" spans="2:13" ht="18.75" customHeight="1" x14ac:dyDescent="0.25">
      <c r="B6971" s="26"/>
      <c r="C6971" s="89"/>
      <c r="D6971" s="58"/>
      <c r="E6971" s="62"/>
      <c r="F6971" s="52"/>
      <c r="G6971" s="76"/>
      <c r="H6971" s="140"/>
      <c r="M6971" s="52"/>
    </row>
    <row r="6972" spans="2:13" ht="18.75" customHeight="1" x14ac:dyDescent="0.25">
      <c r="B6972" s="26" t="s">
        <v>637</v>
      </c>
      <c r="C6972" s="89" t="s">
        <v>638</v>
      </c>
      <c r="D6972" s="64"/>
      <c r="E6972" s="31"/>
      <c r="F6972" s="180"/>
      <c r="G6972" s="75"/>
      <c r="H6972" s="125"/>
      <c r="M6972" s="180"/>
    </row>
    <row r="6973" spans="2:13" ht="18.75" customHeight="1" x14ac:dyDescent="0.25">
      <c r="B6973" s="26"/>
      <c r="C6973" s="89" t="s">
        <v>1197</v>
      </c>
      <c r="D6973" s="64"/>
      <c r="E6973" s="64" t="s">
        <v>1013</v>
      </c>
      <c r="F6973" s="205">
        <v>1.4E-2</v>
      </c>
      <c r="G6973" s="75">
        <f>Bahan!D250</f>
        <v>10720000</v>
      </c>
      <c r="H6973" s="122">
        <f>+G6973*F6973</f>
        <v>150080</v>
      </c>
      <c r="M6973" s="205">
        <v>1.4E-2</v>
      </c>
    </row>
    <row r="6974" spans="2:13" ht="18.75" customHeight="1" x14ac:dyDescent="0.25">
      <c r="B6974" s="26"/>
      <c r="C6974" s="89" t="s">
        <v>1198</v>
      </c>
      <c r="D6974" s="27"/>
      <c r="E6974" s="27" t="s">
        <v>52</v>
      </c>
      <c r="F6974" s="207">
        <v>7.5700000000000003E-2</v>
      </c>
      <c r="G6974" s="34">
        <f>Bahan!D251</f>
        <v>10720000</v>
      </c>
      <c r="H6974" s="122">
        <f>+G6974*F6974</f>
        <v>811504</v>
      </c>
      <c r="M6974" s="207">
        <v>7.5700000000000003E-2</v>
      </c>
    </row>
    <row r="6975" spans="2:13" ht="18.75" customHeight="1" x14ac:dyDescent="0.25">
      <c r="B6975" s="26"/>
      <c r="C6975" s="89" t="s">
        <v>1199</v>
      </c>
      <c r="D6975" s="58"/>
      <c r="E6975" s="58" t="s">
        <v>62</v>
      </c>
      <c r="F6975" s="206">
        <v>0.25</v>
      </c>
      <c r="G6975" s="170">
        <f>G6949</f>
        <v>25000</v>
      </c>
      <c r="H6975" s="122">
        <f>+G6975*F6975</f>
        <v>6250</v>
      </c>
      <c r="M6975" s="206">
        <v>0.25</v>
      </c>
    </row>
    <row r="6976" spans="2:13" ht="18.75" customHeight="1" x14ac:dyDescent="0.25">
      <c r="B6976" s="26"/>
      <c r="C6976" s="89"/>
      <c r="D6976" s="63"/>
      <c r="E6976" s="30"/>
      <c r="F6976" s="179" t="s">
        <v>643</v>
      </c>
      <c r="G6976" s="310"/>
      <c r="H6976" s="124">
        <f>H6973+H6974+H6975</f>
        <v>967834</v>
      </c>
      <c r="M6976" s="179" t="s">
        <v>643</v>
      </c>
    </row>
    <row r="6977" spans="2:13" ht="18.75" customHeight="1" x14ac:dyDescent="0.25">
      <c r="B6977" s="26"/>
      <c r="C6977" s="89"/>
      <c r="D6977" s="64"/>
      <c r="E6977" s="31"/>
      <c r="F6977" s="180"/>
      <c r="G6977" s="75"/>
      <c r="H6977" s="125"/>
      <c r="M6977" s="180"/>
    </row>
    <row r="6978" spans="2:13" ht="18.75" customHeight="1" x14ac:dyDescent="0.25">
      <c r="B6978" s="26" t="s">
        <v>644</v>
      </c>
      <c r="C6978" s="89" t="s">
        <v>645</v>
      </c>
      <c r="D6978" s="56"/>
      <c r="E6978" s="36"/>
      <c r="F6978" s="194"/>
      <c r="G6978" s="88"/>
      <c r="H6978" s="127"/>
      <c r="M6978" s="194"/>
    </row>
    <row r="6979" spans="2:13" ht="18.75" customHeight="1" x14ac:dyDescent="0.25">
      <c r="B6979" s="35"/>
      <c r="C6979" s="97"/>
      <c r="D6979" s="63"/>
      <c r="E6979" s="30"/>
      <c r="F6979" s="179" t="s">
        <v>646</v>
      </c>
      <c r="G6979" s="310"/>
      <c r="H6979" s="128"/>
      <c r="M6979" s="179" t="s">
        <v>646</v>
      </c>
    </row>
    <row r="6980" spans="2:13" ht="18.75" customHeight="1" x14ac:dyDescent="0.25">
      <c r="B6980" s="37"/>
      <c r="C6980" s="98"/>
      <c r="D6980" s="411"/>
      <c r="E6980" s="42"/>
      <c r="F6980" s="181"/>
      <c r="G6980" s="311"/>
      <c r="H6980" s="129"/>
      <c r="M6980" s="181"/>
    </row>
    <row r="6981" spans="2:13" ht="18.75" customHeight="1" x14ac:dyDescent="0.25">
      <c r="B6981" s="43"/>
      <c r="C6981" s="99"/>
      <c r="D6981" s="44"/>
      <c r="E6981" s="45"/>
      <c r="F6981" s="182"/>
      <c r="G6981" s="313"/>
      <c r="H6981" s="130"/>
      <c r="M6981" s="182"/>
    </row>
    <row r="6982" spans="2:13" ht="18.75" customHeight="1" x14ac:dyDescent="0.25">
      <c r="B6982" s="46" t="s">
        <v>647</v>
      </c>
      <c r="C6982" s="101" t="s">
        <v>648</v>
      </c>
      <c r="E6982" s="22"/>
      <c r="F6982" s="189"/>
      <c r="G6982" s="308"/>
      <c r="H6982" s="131">
        <f>H6970+H6976</f>
        <v>990184</v>
      </c>
      <c r="M6982" s="189"/>
    </row>
    <row r="6983" spans="2:13" ht="18.75" customHeight="1" x14ac:dyDescent="0.25">
      <c r="B6983" s="356" t="s">
        <v>649</v>
      </c>
      <c r="C6983" s="364" t="s">
        <v>650</v>
      </c>
      <c r="D6983" s="435"/>
      <c r="E6983" s="92"/>
      <c r="F6983" s="184" t="str">
        <f>$J$5</f>
        <v>8,0 % x D</v>
      </c>
      <c r="G6983" s="295"/>
      <c r="H6983" s="358">
        <f>+H6982*$K$5</f>
        <v>79214.720000000001</v>
      </c>
      <c r="M6983" s="184" t="str">
        <f>$J$5</f>
        <v>8,0 % x D</v>
      </c>
    </row>
    <row r="6984" spans="2:13" ht="18.75" customHeight="1" x14ac:dyDescent="0.25">
      <c r="B6984" s="356" t="s">
        <v>651</v>
      </c>
      <c r="C6984" s="365" t="s">
        <v>652</v>
      </c>
      <c r="D6984" s="435"/>
      <c r="E6984" s="91"/>
      <c r="F6984" s="185"/>
      <c r="G6984" s="296"/>
      <c r="H6984" s="359">
        <f>ROUNDUP((H6983+H6982)/100,0)*100</f>
        <v>1069400</v>
      </c>
      <c r="M6984" s="185"/>
    </row>
    <row r="6985" spans="2:13" ht="18.75" customHeight="1" thickBot="1" x14ac:dyDescent="0.3">
      <c r="B6985" s="47"/>
      <c r="C6985" s="103"/>
      <c r="D6985" s="48"/>
      <c r="E6985" s="49"/>
      <c r="F6985" s="186"/>
      <c r="G6985" s="309"/>
      <c r="H6985" s="136"/>
      <c r="M6985" s="186"/>
    </row>
    <row r="6986" spans="2:13" ht="18.75" customHeight="1" x14ac:dyDescent="0.25">
      <c r="B6986" s="22"/>
      <c r="C6986" s="104"/>
      <c r="E6986" s="21"/>
      <c r="F6986" s="176"/>
      <c r="G6986" s="165"/>
      <c r="H6986" s="119"/>
      <c r="M6986" s="176"/>
    </row>
    <row r="6987" spans="2:13" ht="18.75" customHeight="1" x14ac:dyDescent="0.25">
      <c r="B6987" s="19">
        <f>B6961+1</f>
        <v>17</v>
      </c>
      <c r="C6987" s="93" t="s">
        <v>1200</v>
      </c>
      <c r="D6987" s="19"/>
      <c r="E6987" s="21"/>
      <c r="F6987" s="176"/>
      <c r="G6987" s="165"/>
      <c r="H6987" s="119"/>
      <c r="M6987" s="176"/>
    </row>
    <row r="6988" spans="2:13" ht="18.75" customHeight="1" x14ac:dyDescent="0.25">
      <c r="B6988" s="618" t="s">
        <v>620</v>
      </c>
      <c r="C6988" s="620" t="s">
        <v>621</v>
      </c>
      <c r="D6988" s="618" t="s">
        <v>622</v>
      </c>
      <c r="E6988" s="618" t="s">
        <v>2</v>
      </c>
      <c r="F6988" s="615" t="s">
        <v>623</v>
      </c>
      <c r="G6988" s="289" t="s">
        <v>624</v>
      </c>
      <c r="H6988" s="256" t="s">
        <v>625</v>
      </c>
      <c r="M6988" s="615" t="s">
        <v>623</v>
      </c>
    </row>
    <row r="6989" spans="2:13" ht="18.75" customHeight="1" x14ac:dyDescent="0.25">
      <c r="B6989" s="619"/>
      <c r="C6989" s="621"/>
      <c r="D6989" s="619"/>
      <c r="E6989" s="619"/>
      <c r="F6989" s="616"/>
      <c r="G6989" s="289" t="s">
        <v>626</v>
      </c>
      <c r="H6989" s="256" t="s">
        <v>626</v>
      </c>
      <c r="M6989" s="616"/>
    </row>
    <row r="6990" spans="2:13" ht="18.75" customHeight="1" x14ac:dyDescent="0.25">
      <c r="B6990" s="23"/>
      <c r="C6990" s="95"/>
      <c r="D6990" s="24"/>
      <c r="E6990" s="25"/>
      <c r="F6990" s="177"/>
      <c r="G6990" s="166"/>
      <c r="H6990" s="120"/>
      <c r="M6990" s="177"/>
    </row>
    <row r="6991" spans="2:13" ht="18.75" customHeight="1" x14ac:dyDescent="0.25">
      <c r="B6991" s="26" t="s">
        <v>627</v>
      </c>
      <c r="C6991" s="89" t="s">
        <v>628</v>
      </c>
      <c r="D6991" s="27"/>
      <c r="E6991" s="28"/>
      <c r="F6991" s="178"/>
      <c r="G6991" s="72"/>
      <c r="H6991" s="121"/>
      <c r="M6991" s="178"/>
    </row>
    <row r="6992" spans="2:13" ht="18.75" customHeight="1" x14ac:dyDescent="0.25">
      <c r="B6992" s="26"/>
      <c r="C6992" s="96" t="s">
        <v>629</v>
      </c>
      <c r="D6992" s="27" t="s">
        <v>630</v>
      </c>
      <c r="E6992" s="28" t="s">
        <v>631</v>
      </c>
      <c r="F6992" s="228">
        <f t="shared" ref="F6992:F6995" si="317">$K$8*M6992</f>
        <v>0.1</v>
      </c>
      <c r="G6992" s="29">
        <f>G6966</f>
        <v>95000</v>
      </c>
      <c r="H6992" s="122">
        <f>+G6992*F6992</f>
        <v>9500</v>
      </c>
      <c r="M6992" s="61">
        <v>0.1</v>
      </c>
    </row>
    <row r="6993" spans="2:13" ht="18.75" customHeight="1" x14ac:dyDescent="0.25">
      <c r="B6993" s="26"/>
      <c r="C6993" s="96" t="s">
        <v>1508</v>
      </c>
      <c r="D6993" s="27" t="s">
        <v>634</v>
      </c>
      <c r="E6993" s="28" t="s">
        <v>631</v>
      </c>
      <c r="F6993" s="228">
        <f t="shared" si="317"/>
        <v>0.1</v>
      </c>
      <c r="G6993" s="29">
        <f t="shared" ref="G6993:G6995" si="318">G6967</f>
        <v>110000</v>
      </c>
      <c r="H6993" s="122">
        <f>+G6993*F6993</f>
        <v>11000</v>
      </c>
      <c r="M6993" s="61">
        <v>0.1</v>
      </c>
    </row>
    <row r="6994" spans="2:13" ht="18.75" customHeight="1" x14ac:dyDescent="0.25">
      <c r="B6994" s="26"/>
      <c r="C6994" s="96" t="s">
        <v>633</v>
      </c>
      <c r="D6994" s="27" t="s">
        <v>634</v>
      </c>
      <c r="E6994" s="28" t="s">
        <v>631</v>
      </c>
      <c r="F6994" s="228">
        <f t="shared" si="317"/>
        <v>0.01</v>
      </c>
      <c r="G6994" s="29">
        <f t="shared" si="318"/>
        <v>115000</v>
      </c>
      <c r="H6994" s="122">
        <f>+G6994*F6994</f>
        <v>1150</v>
      </c>
      <c r="M6994" s="61">
        <v>0.01</v>
      </c>
    </row>
    <row r="6995" spans="2:13" ht="18.75" customHeight="1" x14ac:dyDescent="0.25">
      <c r="B6995" s="26"/>
      <c r="C6995" s="96" t="s">
        <v>600</v>
      </c>
      <c r="D6995" s="27" t="s">
        <v>635</v>
      </c>
      <c r="E6995" s="36" t="s">
        <v>631</v>
      </c>
      <c r="F6995" s="228">
        <f t="shared" si="317"/>
        <v>5.0000000000000001E-3</v>
      </c>
      <c r="G6995" s="29">
        <f t="shared" si="318"/>
        <v>140000</v>
      </c>
      <c r="H6995" s="123">
        <f>+G6995*F6995</f>
        <v>700</v>
      </c>
      <c r="M6995" s="193">
        <v>5.0000000000000001E-3</v>
      </c>
    </row>
    <row r="6996" spans="2:13" ht="18.75" customHeight="1" x14ac:dyDescent="0.25">
      <c r="B6996" s="26"/>
      <c r="C6996" s="89"/>
      <c r="D6996" s="63"/>
      <c r="E6996" s="30"/>
      <c r="F6996" s="192" t="s">
        <v>636</v>
      </c>
      <c r="G6996" s="310"/>
      <c r="H6996" s="124">
        <f>SUM(H6992:H6995)</f>
        <v>22350</v>
      </c>
      <c r="M6996" s="192" t="s">
        <v>636</v>
      </c>
    </row>
    <row r="6997" spans="2:13" ht="18.75" customHeight="1" x14ac:dyDescent="0.25">
      <c r="B6997" s="26"/>
      <c r="C6997" s="89"/>
      <c r="D6997" s="58"/>
      <c r="E6997" s="62"/>
      <c r="F6997" s="52"/>
      <c r="G6997" s="76"/>
      <c r="H6997" s="140"/>
      <c r="M6997" s="52"/>
    </row>
    <row r="6998" spans="2:13" ht="18.75" customHeight="1" x14ac:dyDescent="0.25">
      <c r="B6998" s="26" t="s">
        <v>637</v>
      </c>
      <c r="C6998" s="89" t="s">
        <v>638</v>
      </c>
      <c r="D6998" s="64"/>
      <c r="E6998" s="31"/>
      <c r="F6998" s="180"/>
      <c r="G6998" s="75"/>
      <c r="H6998" s="125"/>
      <c r="M6998" s="180"/>
    </row>
    <row r="6999" spans="2:13" ht="18.75" customHeight="1" x14ac:dyDescent="0.25">
      <c r="B6999" s="26"/>
      <c r="C6999" s="89" t="s">
        <v>1201</v>
      </c>
      <c r="D6999" s="64"/>
      <c r="E6999" s="64" t="s">
        <v>1013</v>
      </c>
      <c r="F6999" s="205">
        <f>F6973</f>
        <v>1.4E-2</v>
      </c>
      <c r="G6999" s="75">
        <f>Bahan!D255</f>
        <v>7150000</v>
      </c>
      <c r="H6999" s="122">
        <f>+G6999*F6999</f>
        <v>100100</v>
      </c>
      <c r="M6999" s="205">
        <f>M6973</f>
        <v>1.4E-2</v>
      </c>
    </row>
    <row r="7000" spans="2:13" ht="18.75" customHeight="1" x14ac:dyDescent="0.25">
      <c r="B7000" s="26"/>
      <c r="C7000" s="89" t="s">
        <v>1198</v>
      </c>
      <c r="D7000" s="27"/>
      <c r="E7000" s="27" t="s">
        <v>52</v>
      </c>
      <c r="F7000" s="207">
        <f>F6974</f>
        <v>7.5700000000000003E-2</v>
      </c>
      <c r="G7000" s="34">
        <f>Bahan!D251</f>
        <v>10720000</v>
      </c>
      <c r="H7000" s="122">
        <f>+G7000*F7000</f>
        <v>811504</v>
      </c>
      <c r="M7000" s="207">
        <f>M6974</f>
        <v>7.5700000000000003E-2</v>
      </c>
    </row>
    <row r="7001" spans="2:13" ht="18.75" customHeight="1" x14ac:dyDescent="0.25">
      <c r="B7001" s="26"/>
      <c r="C7001" s="89" t="s">
        <v>1199</v>
      </c>
      <c r="D7001" s="58"/>
      <c r="E7001" s="58" t="s">
        <v>62</v>
      </c>
      <c r="F7001" s="206">
        <f>F6975</f>
        <v>0.25</v>
      </c>
      <c r="G7001" s="170">
        <f>G6975</f>
        <v>25000</v>
      </c>
      <c r="H7001" s="122">
        <f>+G7001*F7001</f>
        <v>6250</v>
      </c>
      <c r="M7001" s="206">
        <f>M6975</f>
        <v>0.25</v>
      </c>
    </row>
    <row r="7002" spans="2:13" ht="18.75" customHeight="1" x14ac:dyDescent="0.25">
      <c r="B7002" s="26"/>
      <c r="C7002" s="89"/>
      <c r="D7002" s="63"/>
      <c r="E7002" s="30"/>
      <c r="F7002" s="179" t="s">
        <v>643</v>
      </c>
      <c r="G7002" s="310"/>
      <c r="H7002" s="124">
        <f>H6999+H7000+H7001</f>
        <v>917854</v>
      </c>
      <c r="M7002" s="179" t="s">
        <v>643</v>
      </c>
    </row>
    <row r="7003" spans="2:13" ht="18.75" customHeight="1" x14ac:dyDescent="0.25">
      <c r="B7003" s="26"/>
      <c r="C7003" s="89"/>
      <c r="D7003" s="64"/>
      <c r="E7003" s="31"/>
      <c r="F7003" s="180"/>
      <c r="G7003" s="75"/>
      <c r="H7003" s="125"/>
      <c r="M7003" s="180"/>
    </row>
    <row r="7004" spans="2:13" ht="18.75" customHeight="1" x14ac:dyDescent="0.25">
      <c r="B7004" s="26" t="s">
        <v>644</v>
      </c>
      <c r="C7004" s="89" t="s">
        <v>645</v>
      </c>
      <c r="D7004" s="56"/>
      <c r="E7004" s="36"/>
      <c r="F7004" s="194"/>
      <c r="G7004" s="88"/>
      <c r="H7004" s="127"/>
      <c r="M7004" s="194"/>
    </row>
    <row r="7005" spans="2:13" ht="18.75" customHeight="1" x14ac:dyDescent="0.25">
      <c r="B7005" s="35"/>
      <c r="C7005" s="97"/>
      <c r="D7005" s="63"/>
      <c r="E7005" s="30"/>
      <c r="F7005" s="179" t="s">
        <v>646</v>
      </c>
      <c r="G7005" s="310"/>
      <c r="H7005" s="128"/>
      <c r="M7005" s="179" t="s">
        <v>646</v>
      </c>
    </row>
    <row r="7006" spans="2:13" ht="18.75" customHeight="1" x14ac:dyDescent="0.25">
      <c r="B7006" s="37"/>
      <c r="C7006" s="98"/>
      <c r="D7006" s="411"/>
      <c r="E7006" s="42"/>
      <c r="F7006" s="181"/>
      <c r="G7006" s="311"/>
      <c r="H7006" s="129"/>
      <c r="M7006" s="181"/>
    </row>
    <row r="7007" spans="2:13" ht="18.75" customHeight="1" x14ac:dyDescent="0.25">
      <c r="B7007" s="43"/>
      <c r="C7007" s="99"/>
      <c r="D7007" s="44"/>
      <c r="E7007" s="45"/>
      <c r="F7007" s="182"/>
      <c r="G7007" s="313"/>
      <c r="H7007" s="130"/>
      <c r="M7007" s="182"/>
    </row>
    <row r="7008" spans="2:13" ht="18.75" customHeight="1" x14ac:dyDescent="0.25">
      <c r="B7008" s="46" t="s">
        <v>647</v>
      </c>
      <c r="C7008" s="101" t="s">
        <v>648</v>
      </c>
      <c r="E7008" s="22"/>
      <c r="F7008" s="189"/>
      <c r="G7008" s="308"/>
      <c r="H7008" s="131">
        <f>H6996+H7002</f>
        <v>940204</v>
      </c>
      <c r="M7008" s="189"/>
    </row>
    <row r="7009" spans="2:13" ht="18.75" customHeight="1" x14ac:dyDescent="0.25">
      <c r="B7009" s="356" t="s">
        <v>649</v>
      </c>
      <c r="C7009" s="364" t="s">
        <v>650</v>
      </c>
      <c r="D7009" s="435"/>
      <c r="E7009" s="92"/>
      <c r="F7009" s="184" t="str">
        <f>$J$5</f>
        <v>8,0 % x D</v>
      </c>
      <c r="G7009" s="295"/>
      <c r="H7009" s="358">
        <f>+H7008*$K$5</f>
        <v>75216.320000000007</v>
      </c>
      <c r="M7009" s="184" t="str">
        <f>$J$5</f>
        <v>8,0 % x D</v>
      </c>
    </row>
    <row r="7010" spans="2:13" ht="18.75" customHeight="1" x14ac:dyDescent="0.25">
      <c r="B7010" s="356" t="s">
        <v>651</v>
      </c>
      <c r="C7010" s="365" t="s">
        <v>652</v>
      </c>
      <c r="D7010" s="435"/>
      <c r="E7010" s="91"/>
      <c r="F7010" s="185"/>
      <c r="G7010" s="296"/>
      <c r="H7010" s="359">
        <f>ROUNDUP((H7009+H7008)/100,0)*100</f>
        <v>1015500</v>
      </c>
      <c r="M7010" s="185"/>
    </row>
    <row r="7011" spans="2:13" ht="18.75" customHeight="1" thickBot="1" x14ac:dyDescent="0.3">
      <c r="B7011" s="47"/>
      <c r="C7011" s="103"/>
      <c r="D7011" s="48"/>
      <c r="E7011" s="49"/>
      <c r="F7011" s="186"/>
      <c r="G7011" s="309"/>
      <c r="H7011" s="136"/>
      <c r="M7011" s="186"/>
    </row>
    <row r="7012" spans="2:13" ht="18.75" customHeight="1" x14ac:dyDescent="0.25">
      <c r="B7012" s="92"/>
      <c r="C7012" s="104"/>
      <c r="D7012" s="435"/>
      <c r="E7012" s="91"/>
      <c r="F7012" s="185"/>
      <c r="G7012" s="168"/>
      <c r="H7012" s="139"/>
      <c r="M7012" s="185"/>
    </row>
    <row r="7013" spans="2:13" ht="18.75" customHeight="1" x14ac:dyDescent="0.25">
      <c r="B7013" s="19">
        <f>B6987+1</f>
        <v>18</v>
      </c>
      <c r="C7013" s="93" t="s">
        <v>1202</v>
      </c>
      <c r="D7013" s="19"/>
      <c r="E7013" s="21"/>
      <c r="F7013" s="176"/>
      <c r="G7013" s="165"/>
      <c r="H7013" s="119"/>
      <c r="M7013" s="176"/>
    </row>
    <row r="7014" spans="2:13" ht="18.75" customHeight="1" x14ac:dyDescent="0.25">
      <c r="B7014" s="618" t="s">
        <v>620</v>
      </c>
      <c r="C7014" s="620" t="s">
        <v>621</v>
      </c>
      <c r="D7014" s="618" t="s">
        <v>622</v>
      </c>
      <c r="E7014" s="618" t="s">
        <v>2</v>
      </c>
      <c r="F7014" s="615" t="s">
        <v>623</v>
      </c>
      <c r="G7014" s="289" t="s">
        <v>624</v>
      </c>
      <c r="H7014" s="256" t="s">
        <v>625</v>
      </c>
      <c r="M7014" s="615" t="s">
        <v>623</v>
      </c>
    </row>
    <row r="7015" spans="2:13" ht="18.75" customHeight="1" x14ac:dyDescent="0.25">
      <c r="B7015" s="619"/>
      <c r="C7015" s="621"/>
      <c r="D7015" s="619"/>
      <c r="E7015" s="619"/>
      <c r="F7015" s="616"/>
      <c r="G7015" s="289" t="s">
        <v>626</v>
      </c>
      <c r="H7015" s="256" t="s">
        <v>626</v>
      </c>
      <c r="M7015" s="616"/>
    </row>
    <row r="7016" spans="2:13" ht="18.75" customHeight="1" x14ac:dyDescent="0.25">
      <c r="B7016" s="23"/>
      <c r="C7016" s="95"/>
      <c r="D7016" s="24"/>
      <c r="E7016" s="25"/>
      <c r="F7016" s="177"/>
      <c r="G7016" s="166"/>
      <c r="H7016" s="120"/>
      <c r="M7016" s="177"/>
    </row>
    <row r="7017" spans="2:13" ht="18.75" customHeight="1" x14ac:dyDescent="0.25">
      <c r="B7017" s="26" t="s">
        <v>627</v>
      </c>
      <c r="C7017" s="89" t="s">
        <v>628</v>
      </c>
      <c r="D7017" s="27"/>
      <c r="E7017" s="28"/>
      <c r="F7017" s="178"/>
      <c r="G7017" s="72"/>
      <c r="H7017" s="121"/>
      <c r="M7017" s="178"/>
    </row>
    <row r="7018" spans="2:13" ht="18.75" customHeight="1" x14ac:dyDescent="0.25">
      <c r="B7018" s="26"/>
      <c r="C7018" s="96" t="s">
        <v>629</v>
      </c>
      <c r="D7018" s="27" t="s">
        <v>630</v>
      </c>
      <c r="E7018" s="28" t="s">
        <v>631</v>
      </c>
      <c r="F7018" s="228">
        <f t="shared" ref="F7018:F7021" si="319">$K$8*M7018</f>
        <v>0.01</v>
      </c>
      <c r="G7018" s="29">
        <f>G6992</f>
        <v>95000</v>
      </c>
      <c r="H7018" s="122">
        <f>+G7018*F7018</f>
        <v>950</v>
      </c>
      <c r="M7018" s="61">
        <v>0.01</v>
      </c>
    </row>
    <row r="7019" spans="2:13" ht="18.75" customHeight="1" x14ac:dyDescent="0.25">
      <c r="B7019" s="26"/>
      <c r="C7019" s="96" t="s">
        <v>1508</v>
      </c>
      <c r="D7019" s="27" t="s">
        <v>634</v>
      </c>
      <c r="E7019" s="28" t="s">
        <v>631</v>
      </c>
      <c r="F7019" s="228">
        <f t="shared" si="319"/>
        <v>0.1</v>
      </c>
      <c r="G7019" s="29">
        <f t="shared" ref="G7019:G7021" si="320">G6993</f>
        <v>110000</v>
      </c>
      <c r="H7019" s="122">
        <f>+G7019*F7019</f>
        <v>11000</v>
      </c>
      <c r="M7019" s="61">
        <v>0.1</v>
      </c>
    </row>
    <row r="7020" spans="2:13" ht="18.75" customHeight="1" x14ac:dyDescent="0.25">
      <c r="B7020" s="26"/>
      <c r="C7020" s="96" t="s">
        <v>633</v>
      </c>
      <c r="D7020" s="27" t="s">
        <v>634</v>
      </c>
      <c r="E7020" s="28" t="s">
        <v>631</v>
      </c>
      <c r="F7020" s="228">
        <f t="shared" si="319"/>
        <v>0.01</v>
      </c>
      <c r="G7020" s="29">
        <f t="shared" si="320"/>
        <v>115000</v>
      </c>
      <c r="H7020" s="122">
        <f>+G7020*F7020</f>
        <v>1150</v>
      </c>
      <c r="M7020" s="61">
        <v>0.01</v>
      </c>
    </row>
    <row r="7021" spans="2:13" ht="18.75" customHeight="1" x14ac:dyDescent="0.25">
      <c r="B7021" s="26"/>
      <c r="C7021" s="96" t="s">
        <v>600</v>
      </c>
      <c r="D7021" s="27" t="s">
        <v>635</v>
      </c>
      <c r="E7021" s="36" t="s">
        <v>631</v>
      </c>
      <c r="F7021" s="228">
        <f t="shared" si="319"/>
        <v>5.0000000000000001E-3</v>
      </c>
      <c r="G7021" s="29">
        <f t="shared" si="320"/>
        <v>140000</v>
      </c>
      <c r="H7021" s="123">
        <f>+G7021*F7021</f>
        <v>700</v>
      </c>
      <c r="M7021" s="193">
        <v>5.0000000000000001E-3</v>
      </c>
    </row>
    <row r="7022" spans="2:13" ht="18.75" customHeight="1" x14ac:dyDescent="0.25">
      <c r="B7022" s="26"/>
      <c r="C7022" s="89"/>
      <c r="D7022" s="63"/>
      <c r="E7022" s="30"/>
      <c r="F7022" s="192" t="s">
        <v>636</v>
      </c>
      <c r="G7022" s="310"/>
      <c r="H7022" s="124">
        <f>SUM(H7018:H7021)</f>
        <v>13800</v>
      </c>
      <c r="M7022" s="192" t="s">
        <v>636</v>
      </c>
    </row>
    <row r="7023" spans="2:13" ht="18.75" customHeight="1" x14ac:dyDescent="0.25">
      <c r="B7023" s="26"/>
      <c r="C7023" s="89"/>
      <c r="D7023" s="58"/>
      <c r="E7023" s="62"/>
      <c r="F7023" s="52"/>
      <c r="G7023" s="76"/>
      <c r="H7023" s="140"/>
      <c r="M7023" s="52"/>
    </row>
    <row r="7024" spans="2:13" ht="18.75" customHeight="1" x14ac:dyDescent="0.25">
      <c r="B7024" s="26" t="s">
        <v>637</v>
      </c>
      <c r="C7024" s="89" t="s">
        <v>638</v>
      </c>
      <c r="D7024" s="64"/>
      <c r="E7024" s="31"/>
      <c r="F7024" s="180"/>
      <c r="G7024" s="75"/>
      <c r="H7024" s="125"/>
      <c r="M7024" s="180"/>
    </row>
    <row r="7025" spans="2:13" ht="18.75" customHeight="1" x14ac:dyDescent="0.25">
      <c r="B7025" s="26"/>
      <c r="C7025" s="89" t="s">
        <v>1203</v>
      </c>
      <c r="D7025" s="64"/>
      <c r="E7025" s="64" t="s">
        <v>1013</v>
      </c>
      <c r="F7025" s="205">
        <v>1.4E-2</v>
      </c>
      <c r="G7025" s="75">
        <f>G6973</f>
        <v>10720000</v>
      </c>
      <c r="H7025" s="122">
        <f>+G7025*F7025</f>
        <v>150080</v>
      </c>
      <c r="M7025" s="205">
        <v>1.4E-2</v>
      </c>
    </row>
    <row r="7026" spans="2:13" ht="18.75" customHeight="1" x14ac:dyDescent="0.25">
      <c r="B7026" s="26"/>
      <c r="C7026" s="89" t="s">
        <v>1199</v>
      </c>
      <c r="D7026" s="58"/>
      <c r="E7026" s="58" t="s">
        <v>62</v>
      </c>
      <c r="F7026" s="206">
        <v>0.25</v>
      </c>
      <c r="G7026" s="170">
        <f>G7001</f>
        <v>25000</v>
      </c>
      <c r="H7026" s="122">
        <f>+G7026*F7026</f>
        <v>6250</v>
      </c>
      <c r="M7026" s="206">
        <v>0.25</v>
      </c>
    </row>
    <row r="7027" spans="2:13" ht="18.75" customHeight="1" x14ac:dyDescent="0.25">
      <c r="B7027" s="26"/>
      <c r="C7027" s="89"/>
      <c r="D7027" s="63"/>
      <c r="E7027" s="30"/>
      <c r="F7027" s="179" t="s">
        <v>643</v>
      </c>
      <c r="G7027" s="310"/>
      <c r="H7027" s="124">
        <f>SUM(H7025:H7026)</f>
        <v>156330</v>
      </c>
      <c r="M7027" s="179" t="s">
        <v>643</v>
      </c>
    </row>
    <row r="7028" spans="2:13" ht="18.75" customHeight="1" x14ac:dyDescent="0.25">
      <c r="B7028" s="26"/>
      <c r="C7028" s="89"/>
      <c r="D7028" s="64"/>
      <c r="E7028" s="31"/>
      <c r="F7028" s="180"/>
      <c r="G7028" s="75"/>
      <c r="H7028" s="125"/>
      <c r="M7028" s="180"/>
    </row>
    <row r="7029" spans="2:13" ht="18.75" customHeight="1" x14ac:dyDescent="0.25">
      <c r="B7029" s="26" t="s">
        <v>644</v>
      </c>
      <c r="C7029" s="89" t="s">
        <v>645</v>
      </c>
      <c r="D7029" s="56"/>
      <c r="E7029" s="36"/>
      <c r="F7029" s="194"/>
      <c r="G7029" s="88"/>
      <c r="H7029" s="127"/>
      <c r="M7029" s="194"/>
    </row>
    <row r="7030" spans="2:13" ht="18.75" customHeight="1" x14ac:dyDescent="0.25">
      <c r="B7030" s="35"/>
      <c r="C7030" s="97"/>
      <c r="D7030" s="63"/>
      <c r="E7030" s="30"/>
      <c r="F7030" s="179" t="s">
        <v>646</v>
      </c>
      <c r="G7030" s="310"/>
      <c r="H7030" s="128"/>
      <c r="M7030" s="179" t="s">
        <v>646</v>
      </c>
    </row>
    <row r="7031" spans="2:13" ht="18.75" customHeight="1" x14ac:dyDescent="0.25">
      <c r="B7031" s="37"/>
      <c r="C7031" s="98"/>
      <c r="D7031" s="411"/>
      <c r="E7031" s="42"/>
      <c r="F7031" s="181"/>
      <c r="G7031" s="311"/>
      <c r="H7031" s="129"/>
      <c r="M7031" s="181"/>
    </row>
    <row r="7032" spans="2:13" ht="18.75" customHeight="1" x14ac:dyDescent="0.25">
      <c r="B7032" s="43"/>
      <c r="C7032" s="99"/>
      <c r="D7032" s="44"/>
      <c r="E7032" s="45"/>
      <c r="F7032" s="182"/>
      <c r="G7032" s="313"/>
      <c r="H7032" s="130"/>
      <c r="M7032" s="182"/>
    </row>
    <row r="7033" spans="2:13" ht="18.75" customHeight="1" x14ac:dyDescent="0.25">
      <c r="B7033" s="46" t="s">
        <v>647</v>
      </c>
      <c r="C7033" s="101" t="s">
        <v>648</v>
      </c>
      <c r="E7033" s="22"/>
      <c r="F7033" s="189"/>
      <c r="G7033" s="308"/>
      <c r="H7033" s="131">
        <f>H7022+H7027</f>
        <v>170130</v>
      </c>
      <c r="M7033" s="189"/>
    </row>
    <row r="7034" spans="2:13" ht="18.75" customHeight="1" x14ac:dyDescent="0.25">
      <c r="B7034" s="356" t="s">
        <v>649</v>
      </c>
      <c r="C7034" s="364" t="s">
        <v>650</v>
      </c>
      <c r="D7034" s="435"/>
      <c r="E7034" s="92"/>
      <c r="F7034" s="184" t="str">
        <f>$J$5</f>
        <v>8,0 % x D</v>
      </c>
      <c r="G7034" s="295"/>
      <c r="H7034" s="358">
        <f>+H7033*$K$5</f>
        <v>13610.4</v>
      </c>
      <c r="M7034" s="184" t="str">
        <f>$J$5</f>
        <v>8,0 % x D</v>
      </c>
    </row>
    <row r="7035" spans="2:13" ht="18.75" customHeight="1" x14ac:dyDescent="0.25">
      <c r="B7035" s="356" t="s">
        <v>651</v>
      </c>
      <c r="C7035" s="365" t="s">
        <v>652</v>
      </c>
      <c r="D7035" s="435"/>
      <c r="E7035" s="91"/>
      <c r="F7035" s="185"/>
      <c r="G7035" s="296"/>
      <c r="H7035" s="359">
        <f>ROUNDUP((H7034+H7033)/100,0)*100</f>
        <v>183800</v>
      </c>
      <c r="M7035" s="185"/>
    </row>
    <row r="7036" spans="2:13" ht="18.75" customHeight="1" thickBot="1" x14ac:dyDescent="0.3">
      <c r="B7036" s="47"/>
      <c r="C7036" s="103"/>
      <c r="D7036" s="48"/>
      <c r="E7036" s="49"/>
      <c r="F7036" s="186"/>
      <c r="G7036" s="309"/>
      <c r="H7036" s="136"/>
      <c r="M7036" s="186"/>
    </row>
    <row r="7037" spans="2:13" ht="18.75" customHeight="1" x14ac:dyDescent="0.25">
      <c r="B7037" s="22"/>
      <c r="C7037" s="104"/>
      <c r="E7037" s="21"/>
      <c r="F7037" s="176"/>
      <c r="G7037" s="165"/>
      <c r="H7037" s="119"/>
      <c r="M7037" s="176"/>
    </row>
    <row r="7038" spans="2:13" ht="18.75" customHeight="1" x14ac:dyDescent="0.25">
      <c r="B7038" s="19">
        <f>B7013+1</f>
        <v>19</v>
      </c>
      <c r="C7038" s="93" t="s">
        <v>1204</v>
      </c>
      <c r="D7038" s="19"/>
      <c r="E7038" s="21"/>
      <c r="F7038" s="176"/>
      <c r="G7038" s="165"/>
      <c r="H7038" s="119"/>
      <c r="M7038" s="176"/>
    </row>
    <row r="7039" spans="2:13" ht="18.75" customHeight="1" x14ac:dyDescent="0.25">
      <c r="B7039" s="618" t="s">
        <v>620</v>
      </c>
      <c r="C7039" s="620" t="s">
        <v>621</v>
      </c>
      <c r="D7039" s="618" t="s">
        <v>622</v>
      </c>
      <c r="E7039" s="618" t="s">
        <v>2</v>
      </c>
      <c r="F7039" s="615" t="s">
        <v>623</v>
      </c>
      <c r="G7039" s="289" t="s">
        <v>624</v>
      </c>
      <c r="H7039" s="256" t="s">
        <v>625</v>
      </c>
      <c r="M7039" s="615" t="s">
        <v>623</v>
      </c>
    </row>
    <row r="7040" spans="2:13" ht="18.75" customHeight="1" x14ac:dyDescent="0.25">
      <c r="B7040" s="619"/>
      <c r="C7040" s="621"/>
      <c r="D7040" s="619"/>
      <c r="E7040" s="619"/>
      <c r="F7040" s="616"/>
      <c r="G7040" s="289" t="s">
        <v>626</v>
      </c>
      <c r="H7040" s="256" t="s">
        <v>626</v>
      </c>
      <c r="M7040" s="616"/>
    </row>
    <row r="7041" spans="2:13" ht="18.75" customHeight="1" x14ac:dyDescent="0.25">
      <c r="B7041" s="23"/>
      <c r="C7041" s="95"/>
      <c r="D7041" s="24"/>
      <c r="E7041" s="25"/>
      <c r="F7041" s="177"/>
      <c r="G7041" s="166"/>
      <c r="H7041" s="120"/>
      <c r="M7041" s="177"/>
    </row>
    <row r="7042" spans="2:13" ht="18.75" customHeight="1" x14ac:dyDescent="0.25">
      <c r="B7042" s="26" t="s">
        <v>627</v>
      </c>
      <c r="C7042" s="89" t="s">
        <v>628</v>
      </c>
      <c r="D7042" s="27"/>
      <c r="E7042" s="28"/>
      <c r="F7042" s="178"/>
      <c r="G7042" s="72"/>
      <c r="H7042" s="121"/>
      <c r="M7042" s="178"/>
    </row>
    <row r="7043" spans="2:13" ht="18.75" customHeight="1" x14ac:dyDescent="0.25">
      <c r="B7043" s="26"/>
      <c r="C7043" s="96" t="s">
        <v>629</v>
      </c>
      <c r="D7043" s="27" t="s">
        <v>630</v>
      </c>
      <c r="E7043" s="28" t="s">
        <v>631</v>
      </c>
      <c r="F7043" s="228">
        <f t="shared" ref="F7043:F7046" si="321">$K$8*M7043</f>
        <v>0.01</v>
      </c>
      <c r="G7043" s="29">
        <f>G7018</f>
        <v>95000</v>
      </c>
      <c r="H7043" s="122">
        <f>+G7043*F7043</f>
        <v>950</v>
      </c>
      <c r="M7043" s="61">
        <f>M7018</f>
        <v>0.01</v>
      </c>
    </row>
    <row r="7044" spans="2:13" ht="18.75" customHeight="1" x14ac:dyDescent="0.25">
      <c r="B7044" s="26"/>
      <c r="C7044" s="96" t="s">
        <v>1508</v>
      </c>
      <c r="D7044" s="27" t="s">
        <v>634</v>
      </c>
      <c r="E7044" s="28" t="s">
        <v>631</v>
      </c>
      <c r="F7044" s="228">
        <f t="shared" si="321"/>
        <v>0.1</v>
      </c>
      <c r="G7044" s="29">
        <f t="shared" ref="G7044:G7046" si="322">G7019</f>
        <v>110000</v>
      </c>
      <c r="H7044" s="122">
        <f>+G7044*F7044</f>
        <v>11000</v>
      </c>
      <c r="M7044" s="61">
        <f>M7019</f>
        <v>0.1</v>
      </c>
    </row>
    <row r="7045" spans="2:13" ht="18.75" customHeight="1" x14ac:dyDescent="0.25">
      <c r="B7045" s="26"/>
      <c r="C7045" s="96" t="s">
        <v>633</v>
      </c>
      <c r="D7045" s="27" t="s">
        <v>634</v>
      </c>
      <c r="E7045" s="28" t="s">
        <v>631</v>
      </c>
      <c r="F7045" s="228">
        <f t="shared" si="321"/>
        <v>0.01</v>
      </c>
      <c r="G7045" s="29">
        <f t="shared" si="322"/>
        <v>115000</v>
      </c>
      <c r="H7045" s="122">
        <f>+G7045*F7045</f>
        <v>1150</v>
      </c>
      <c r="M7045" s="61">
        <f>M7020</f>
        <v>0.01</v>
      </c>
    </row>
    <row r="7046" spans="2:13" ht="18.75" customHeight="1" x14ac:dyDescent="0.25">
      <c r="B7046" s="26"/>
      <c r="C7046" s="96" t="s">
        <v>600</v>
      </c>
      <c r="D7046" s="27" t="s">
        <v>635</v>
      </c>
      <c r="E7046" s="36" t="s">
        <v>631</v>
      </c>
      <c r="F7046" s="228">
        <f t="shared" si="321"/>
        <v>5.0000000000000001E-3</v>
      </c>
      <c r="G7046" s="29">
        <f t="shared" si="322"/>
        <v>140000</v>
      </c>
      <c r="H7046" s="123">
        <f>+G7046*F7046</f>
        <v>700</v>
      </c>
      <c r="M7046" s="193">
        <f>M7021</f>
        <v>5.0000000000000001E-3</v>
      </c>
    </row>
    <row r="7047" spans="2:13" ht="18.75" customHeight="1" x14ac:dyDescent="0.25">
      <c r="B7047" s="26"/>
      <c r="C7047" s="89"/>
      <c r="D7047" s="63"/>
      <c r="E7047" s="30"/>
      <c r="F7047" s="192" t="s">
        <v>636</v>
      </c>
      <c r="G7047" s="310"/>
      <c r="H7047" s="124">
        <f>SUM(H7043:H7046)</f>
        <v>13800</v>
      </c>
      <c r="M7047" s="192" t="s">
        <v>636</v>
      </c>
    </row>
    <row r="7048" spans="2:13" ht="18.75" customHeight="1" x14ac:dyDescent="0.25">
      <c r="B7048" s="26"/>
      <c r="C7048" s="89"/>
      <c r="D7048" s="58"/>
      <c r="E7048" s="62"/>
      <c r="F7048" s="52"/>
      <c r="G7048" s="76"/>
      <c r="H7048" s="140"/>
      <c r="M7048" s="52"/>
    </row>
    <row r="7049" spans="2:13" ht="18.75" customHeight="1" x14ac:dyDescent="0.25">
      <c r="B7049" s="26" t="s">
        <v>637</v>
      </c>
      <c r="C7049" s="89" t="s">
        <v>638</v>
      </c>
      <c r="D7049" s="64"/>
      <c r="E7049" s="31"/>
      <c r="F7049" s="180"/>
      <c r="G7049" s="75"/>
      <c r="H7049" s="125"/>
      <c r="M7049" s="180"/>
    </row>
    <row r="7050" spans="2:13" ht="18.75" customHeight="1" x14ac:dyDescent="0.25">
      <c r="B7050" s="26"/>
      <c r="C7050" s="89" t="s">
        <v>1205</v>
      </c>
      <c r="D7050" s="64"/>
      <c r="E7050" s="64" t="s">
        <v>1013</v>
      </c>
      <c r="F7050" s="205">
        <f>F7025</f>
        <v>1.4E-2</v>
      </c>
      <c r="G7050" s="75">
        <f>G6999</f>
        <v>7150000</v>
      </c>
      <c r="H7050" s="122">
        <f>+G7050*F7050</f>
        <v>100100</v>
      </c>
      <c r="M7050" s="205">
        <f>M7025</f>
        <v>1.4E-2</v>
      </c>
    </row>
    <row r="7051" spans="2:13" ht="18.75" customHeight="1" x14ac:dyDescent="0.25">
      <c r="B7051" s="26"/>
      <c r="C7051" s="89" t="s">
        <v>1199</v>
      </c>
      <c r="D7051" s="58"/>
      <c r="E7051" s="58" t="s">
        <v>62</v>
      </c>
      <c r="F7051" s="206">
        <v>0.25</v>
      </c>
      <c r="G7051" s="170">
        <f>G7001</f>
        <v>25000</v>
      </c>
      <c r="H7051" s="122">
        <f>+G7051*F7051</f>
        <v>6250</v>
      </c>
      <c r="M7051" s="206">
        <v>0.25</v>
      </c>
    </row>
    <row r="7052" spans="2:13" ht="18.75" customHeight="1" x14ac:dyDescent="0.25">
      <c r="B7052" s="26"/>
      <c r="C7052" s="89"/>
      <c r="D7052" s="63"/>
      <c r="E7052" s="30"/>
      <c r="F7052" s="179" t="s">
        <v>643</v>
      </c>
      <c r="G7052" s="310"/>
      <c r="H7052" s="124">
        <f>SUM(H7050:H7051)</f>
        <v>106350</v>
      </c>
      <c r="M7052" s="179" t="s">
        <v>643</v>
      </c>
    </row>
    <row r="7053" spans="2:13" ht="18.75" customHeight="1" x14ac:dyDescent="0.25">
      <c r="B7053" s="26"/>
      <c r="C7053" s="89"/>
      <c r="D7053" s="64"/>
      <c r="E7053" s="31"/>
      <c r="F7053" s="180"/>
      <c r="G7053" s="75"/>
      <c r="H7053" s="125"/>
      <c r="M7053" s="180"/>
    </row>
    <row r="7054" spans="2:13" ht="18.75" customHeight="1" x14ac:dyDescent="0.25">
      <c r="B7054" s="26" t="s">
        <v>644</v>
      </c>
      <c r="C7054" s="89" t="s">
        <v>645</v>
      </c>
      <c r="D7054" s="56"/>
      <c r="E7054" s="36"/>
      <c r="F7054" s="194"/>
      <c r="G7054" s="88"/>
      <c r="H7054" s="127"/>
      <c r="M7054" s="194"/>
    </row>
    <row r="7055" spans="2:13" ht="18.75" customHeight="1" x14ac:dyDescent="0.25">
      <c r="B7055" s="35"/>
      <c r="C7055" s="97"/>
      <c r="D7055" s="63"/>
      <c r="E7055" s="30"/>
      <c r="F7055" s="179" t="s">
        <v>646</v>
      </c>
      <c r="G7055" s="310"/>
      <c r="H7055" s="128"/>
      <c r="M7055" s="179" t="s">
        <v>646</v>
      </c>
    </row>
    <row r="7056" spans="2:13" ht="18.75" customHeight="1" x14ac:dyDescent="0.25">
      <c r="B7056" s="37"/>
      <c r="C7056" s="98"/>
      <c r="D7056" s="411"/>
      <c r="E7056" s="42"/>
      <c r="F7056" s="181"/>
      <c r="G7056" s="311"/>
      <c r="H7056" s="129"/>
      <c r="M7056" s="181"/>
    </row>
    <row r="7057" spans="2:13" ht="18.75" customHeight="1" x14ac:dyDescent="0.25">
      <c r="B7057" s="43"/>
      <c r="C7057" s="99"/>
      <c r="D7057" s="44"/>
      <c r="E7057" s="45"/>
      <c r="F7057" s="182"/>
      <c r="G7057" s="313"/>
      <c r="H7057" s="130"/>
      <c r="M7057" s="182"/>
    </row>
    <row r="7058" spans="2:13" ht="18.75" customHeight="1" x14ac:dyDescent="0.25">
      <c r="B7058" s="46" t="s">
        <v>647</v>
      </c>
      <c r="C7058" s="101" t="s">
        <v>648</v>
      </c>
      <c r="E7058" s="22"/>
      <c r="F7058" s="189"/>
      <c r="G7058" s="308"/>
      <c r="H7058" s="131">
        <f>H7047+H7052</f>
        <v>120150</v>
      </c>
      <c r="M7058" s="189"/>
    </row>
    <row r="7059" spans="2:13" ht="18.75" customHeight="1" x14ac:dyDescent="0.25">
      <c r="B7059" s="356" t="s">
        <v>649</v>
      </c>
      <c r="C7059" s="364" t="s">
        <v>650</v>
      </c>
      <c r="D7059" s="435"/>
      <c r="E7059" s="92"/>
      <c r="F7059" s="184" t="str">
        <f>$J$5</f>
        <v>8,0 % x D</v>
      </c>
      <c r="G7059" s="295"/>
      <c r="H7059" s="358">
        <f>+H7058*$K$5</f>
        <v>9612</v>
      </c>
      <c r="M7059" s="184" t="str">
        <f>$J$5</f>
        <v>8,0 % x D</v>
      </c>
    </row>
    <row r="7060" spans="2:13" ht="18.75" customHeight="1" x14ac:dyDescent="0.25">
      <c r="B7060" s="356" t="s">
        <v>651</v>
      </c>
      <c r="C7060" s="365" t="s">
        <v>652</v>
      </c>
      <c r="D7060" s="435"/>
      <c r="E7060" s="91"/>
      <c r="F7060" s="185"/>
      <c r="G7060" s="296"/>
      <c r="H7060" s="359">
        <f>ROUNDUP((H7059+H7058)/100,0)*100</f>
        <v>129800</v>
      </c>
      <c r="M7060" s="185"/>
    </row>
    <row r="7061" spans="2:13" ht="18.75" customHeight="1" thickBot="1" x14ac:dyDescent="0.3">
      <c r="B7061" s="47"/>
      <c r="C7061" s="103"/>
      <c r="D7061" s="48"/>
      <c r="E7061" s="49"/>
      <c r="F7061" s="186"/>
      <c r="G7061" s="309"/>
      <c r="H7061" s="136"/>
      <c r="M7061" s="186"/>
    </row>
    <row r="7062" spans="2:13" ht="18.75" customHeight="1" x14ac:dyDescent="0.25">
      <c r="B7062" s="92"/>
      <c r="C7062" s="104"/>
      <c r="D7062" s="435"/>
      <c r="E7062" s="91"/>
      <c r="F7062" s="185"/>
      <c r="G7062" s="168"/>
      <c r="H7062" s="139"/>
      <c r="M7062" s="185"/>
    </row>
    <row r="7063" spans="2:13" ht="18.75" customHeight="1" x14ac:dyDescent="0.25">
      <c r="B7063" s="19">
        <f>B7038+1</f>
        <v>20</v>
      </c>
      <c r="C7063" s="93" t="s">
        <v>1206</v>
      </c>
      <c r="D7063" s="19"/>
      <c r="E7063" s="21"/>
      <c r="F7063" s="176"/>
      <c r="G7063" s="165"/>
      <c r="H7063" s="119"/>
      <c r="M7063" s="176"/>
    </row>
    <row r="7064" spans="2:13" ht="18.75" customHeight="1" x14ac:dyDescent="0.25">
      <c r="B7064" s="618" t="s">
        <v>620</v>
      </c>
      <c r="C7064" s="620" t="s">
        <v>621</v>
      </c>
      <c r="D7064" s="618" t="s">
        <v>622</v>
      </c>
      <c r="E7064" s="618" t="s">
        <v>2</v>
      </c>
      <c r="F7064" s="615" t="s">
        <v>623</v>
      </c>
      <c r="G7064" s="289" t="s">
        <v>624</v>
      </c>
      <c r="H7064" s="256" t="s">
        <v>625</v>
      </c>
      <c r="M7064" s="615" t="s">
        <v>623</v>
      </c>
    </row>
    <row r="7065" spans="2:13" ht="18.75" customHeight="1" x14ac:dyDescent="0.25">
      <c r="B7065" s="619"/>
      <c r="C7065" s="621"/>
      <c r="D7065" s="619"/>
      <c r="E7065" s="619"/>
      <c r="F7065" s="616"/>
      <c r="G7065" s="289" t="s">
        <v>626</v>
      </c>
      <c r="H7065" s="256" t="s">
        <v>626</v>
      </c>
      <c r="M7065" s="616"/>
    </row>
    <row r="7066" spans="2:13" ht="18.75" customHeight="1" x14ac:dyDescent="0.25">
      <c r="B7066" s="23"/>
      <c r="C7066" s="95"/>
      <c r="D7066" s="24"/>
      <c r="E7066" s="25"/>
      <c r="F7066" s="177"/>
      <c r="G7066" s="166"/>
      <c r="H7066" s="120"/>
      <c r="M7066" s="177"/>
    </row>
    <row r="7067" spans="2:13" ht="18.75" customHeight="1" x14ac:dyDescent="0.25">
      <c r="B7067" s="26" t="s">
        <v>627</v>
      </c>
      <c r="C7067" s="89" t="s">
        <v>628</v>
      </c>
      <c r="D7067" s="27"/>
      <c r="E7067" s="28"/>
      <c r="F7067" s="178"/>
      <c r="G7067" s="72"/>
      <c r="H7067" s="121"/>
      <c r="M7067" s="178"/>
    </row>
    <row r="7068" spans="2:13" ht="18.75" customHeight="1" x14ac:dyDescent="0.25">
      <c r="B7068" s="26"/>
      <c r="C7068" s="96" t="s">
        <v>629</v>
      </c>
      <c r="D7068" s="27" t="s">
        <v>630</v>
      </c>
      <c r="E7068" s="28" t="s">
        <v>631</v>
      </c>
      <c r="F7068" s="228">
        <f t="shared" ref="F7068:F7071" si="323">$K$8*M7068</f>
        <v>8.5000000000000006E-3</v>
      </c>
      <c r="G7068" s="29">
        <f>G7043</f>
        <v>95000</v>
      </c>
      <c r="H7068" s="122">
        <f>+G7068*F7068</f>
        <v>807.50000000000011</v>
      </c>
      <c r="M7068" s="61">
        <v>8.5000000000000006E-3</v>
      </c>
    </row>
    <row r="7069" spans="2:13" ht="18.75" customHeight="1" x14ac:dyDescent="0.25">
      <c r="B7069" s="26"/>
      <c r="C7069" s="96" t="s">
        <v>1508</v>
      </c>
      <c r="D7069" s="27" t="s">
        <v>634</v>
      </c>
      <c r="E7069" s="28" t="s">
        <v>631</v>
      </c>
      <c r="F7069" s="228">
        <f t="shared" si="323"/>
        <v>0.1</v>
      </c>
      <c r="G7069" s="29">
        <f t="shared" ref="G7069:G7071" si="324">G7044</f>
        <v>110000</v>
      </c>
      <c r="H7069" s="122">
        <f>+G7069*F7069</f>
        <v>11000</v>
      </c>
      <c r="M7069" s="61">
        <v>0.1</v>
      </c>
    </row>
    <row r="7070" spans="2:13" ht="18.75" customHeight="1" x14ac:dyDescent="0.25">
      <c r="B7070" s="26"/>
      <c r="C7070" s="96" t="s">
        <v>633</v>
      </c>
      <c r="D7070" s="27" t="s">
        <v>634</v>
      </c>
      <c r="E7070" s="28" t="s">
        <v>631</v>
      </c>
      <c r="F7070" s="228">
        <f t="shared" si="323"/>
        <v>0.01</v>
      </c>
      <c r="G7070" s="29">
        <f t="shared" si="324"/>
        <v>115000</v>
      </c>
      <c r="H7070" s="122">
        <f>+G7070*F7070</f>
        <v>1150</v>
      </c>
      <c r="M7070" s="61">
        <v>0.01</v>
      </c>
    </row>
    <row r="7071" spans="2:13" ht="18.75" customHeight="1" x14ac:dyDescent="0.25">
      <c r="B7071" s="26"/>
      <c r="C7071" s="96" t="s">
        <v>600</v>
      </c>
      <c r="D7071" s="27" t="s">
        <v>635</v>
      </c>
      <c r="E7071" s="36" t="s">
        <v>631</v>
      </c>
      <c r="F7071" s="228">
        <f t="shared" si="323"/>
        <v>5.0000000000000001E-3</v>
      </c>
      <c r="G7071" s="29">
        <f t="shared" si="324"/>
        <v>140000</v>
      </c>
      <c r="H7071" s="123">
        <f>+G7071*F7071</f>
        <v>700</v>
      </c>
      <c r="M7071" s="193">
        <v>5.0000000000000001E-3</v>
      </c>
    </row>
    <row r="7072" spans="2:13" ht="18.75" customHeight="1" x14ac:dyDescent="0.25">
      <c r="B7072" s="26"/>
      <c r="C7072" s="89"/>
      <c r="D7072" s="63"/>
      <c r="E7072" s="30"/>
      <c r="F7072" s="192" t="s">
        <v>636</v>
      </c>
      <c r="G7072" s="310"/>
      <c r="H7072" s="124">
        <f>SUM(H7068:H7071)</f>
        <v>13657.5</v>
      </c>
      <c r="M7072" s="192" t="s">
        <v>636</v>
      </c>
    </row>
    <row r="7073" spans="2:13" ht="18.75" customHeight="1" x14ac:dyDescent="0.25">
      <c r="B7073" s="26"/>
      <c r="C7073" s="89"/>
      <c r="D7073" s="58"/>
      <c r="E7073" s="62"/>
      <c r="F7073" s="52"/>
      <c r="G7073" s="76"/>
      <c r="H7073" s="140"/>
      <c r="M7073" s="52"/>
    </row>
    <row r="7074" spans="2:13" ht="18.75" customHeight="1" x14ac:dyDescent="0.25">
      <c r="B7074" s="26" t="s">
        <v>637</v>
      </c>
      <c r="C7074" s="89" t="s">
        <v>638</v>
      </c>
      <c r="D7074" s="64"/>
      <c r="E7074" s="31"/>
      <c r="F7074" s="180"/>
      <c r="G7074" s="75"/>
      <c r="H7074" s="125"/>
      <c r="M7074" s="180"/>
    </row>
    <row r="7075" spans="2:13" ht="18.75" customHeight="1" x14ac:dyDescent="0.25">
      <c r="B7075" s="26"/>
      <c r="C7075" s="89" t="s">
        <v>1207</v>
      </c>
      <c r="D7075" s="64"/>
      <c r="E7075" s="64" t="s">
        <v>1013</v>
      </c>
      <c r="F7075" s="205">
        <v>3.2000000000000002E-3</v>
      </c>
      <c r="G7075" s="75">
        <f>G7000</f>
        <v>10720000</v>
      </c>
      <c r="H7075" s="122">
        <f>+G7075*F7075</f>
        <v>34304</v>
      </c>
      <c r="M7075" s="205">
        <v>3.2000000000000002E-3</v>
      </c>
    </row>
    <row r="7076" spans="2:13" ht="18.75" customHeight="1" x14ac:dyDescent="0.25">
      <c r="B7076" s="26"/>
      <c r="C7076" s="89" t="s">
        <v>1199</v>
      </c>
      <c r="D7076" s="58"/>
      <c r="E7076" s="58" t="s">
        <v>62</v>
      </c>
      <c r="F7076" s="206">
        <v>0.15</v>
      </c>
      <c r="G7076" s="170">
        <f>G7051</f>
        <v>25000</v>
      </c>
      <c r="H7076" s="122">
        <f>+G7076*F7076</f>
        <v>3750</v>
      </c>
      <c r="M7076" s="206">
        <v>0.15</v>
      </c>
    </row>
    <row r="7077" spans="2:13" ht="18.75" customHeight="1" x14ac:dyDescent="0.25">
      <c r="B7077" s="26"/>
      <c r="C7077" s="89"/>
      <c r="D7077" s="63"/>
      <c r="E7077" s="30"/>
      <c r="F7077" s="179" t="s">
        <v>643</v>
      </c>
      <c r="G7077" s="310"/>
      <c r="H7077" s="124">
        <f>SUM(H7075:H7076)</f>
        <v>38054</v>
      </c>
      <c r="M7077" s="179" t="s">
        <v>643</v>
      </c>
    </row>
    <row r="7078" spans="2:13" ht="18.75" customHeight="1" x14ac:dyDescent="0.25">
      <c r="B7078" s="26"/>
      <c r="C7078" s="89"/>
      <c r="D7078" s="64"/>
      <c r="E7078" s="31"/>
      <c r="F7078" s="180"/>
      <c r="G7078" s="75"/>
      <c r="H7078" s="125"/>
      <c r="M7078" s="180"/>
    </row>
    <row r="7079" spans="2:13" ht="18.75" customHeight="1" x14ac:dyDescent="0.25">
      <c r="B7079" s="26" t="s">
        <v>644</v>
      </c>
      <c r="C7079" s="89" t="s">
        <v>645</v>
      </c>
      <c r="D7079" s="56"/>
      <c r="E7079" s="36"/>
      <c r="F7079" s="194"/>
      <c r="G7079" s="88"/>
      <c r="H7079" s="127"/>
      <c r="M7079" s="194"/>
    </row>
    <row r="7080" spans="2:13" ht="18.75" customHeight="1" x14ac:dyDescent="0.25">
      <c r="B7080" s="35"/>
      <c r="C7080" s="97"/>
      <c r="D7080" s="63"/>
      <c r="E7080" s="30"/>
      <c r="F7080" s="179" t="s">
        <v>646</v>
      </c>
      <c r="G7080" s="310"/>
      <c r="H7080" s="128"/>
      <c r="M7080" s="179" t="s">
        <v>646</v>
      </c>
    </row>
    <row r="7081" spans="2:13" ht="18.75" customHeight="1" x14ac:dyDescent="0.25">
      <c r="B7081" s="37"/>
      <c r="C7081" s="98"/>
      <c r="D7081" s="411"/>
      <c r="E7081" s="42"/>
      <c r="F7081" s="181"/>
      <c r="G7081" s="311"/>
      <c r="H7081" s="129"/>
      <c r="M7081" s="181"/>
    </row>
    <row r="7082" spans="2:13" ht="18.75" customHeight="1" x14ac:dyDescent="0.25">
      <c r="B7082" s="43"/>
      <c r="C7082" s="99"/>
      <c r="D7082" s="44"/>
      <c r="E7082" s="45"/>
      <c r="F7082" s="182"/>
      <c r="G7082" s="313"/>
      <c r="H7082" s="130"/>
      <c r="M7082" s="182"/>
    </row>
    <row r="7083" spans="2:13" ht="18.75" customHeight="1" x14ac:dyDescent="0.25">
      <c r="B7083" s="46" t="s">
        <v>647</v>
      </c>
      <c r="C7083" s="101" t="s">
        <v>648</v>
      </c>
      <c r="E7083" s="22"/>
      <c r="F7083" s="189"/>
      <c r="G7083" s="308"/>
      <c r="H7083" s="131">
        <f>H7072+H7077</f>
        <v>51711.5</v>
      </c>
      <c r="M7083" s="189"/>
    </row>
    <row r="7084" spans="2:13" ht="18.75" customHeight="1" x14ac:dyDescent="0.25">
      <c r="B7084" s="356" t="s">
        <v>649</v>
      </c>
      <c r="C7084" s="364" t="s">
        <v>650</v>
      </c>
      <c r="D7084" s="435"/>
      <c r="E7084" s="92"/>
      <c r="F7084" s="184" t="str">
        <f>$J$5</f>
        <v>8,0 % x D</v>
      </c>
      <c r="G7084" s="295"/>
      <c r="H7084" s="358">
        <f>+H7083*$K$5</f>
        <v>4136.92</v>
      </c>
      <c r="M7084" s="184" t="str">
        <f>$J$5</f>
        <v>8,0 % x D</v>
      </c>
    </row>
    <row r="7085" spans="2:13" ht="18.75" customHeight="1" x14ac:dyDescent="0.25">
      <c r="B7085" s="356" t="s">
        <v>651</v>
      </c>
      <c r="C7085" s="365" t="s">
        <v>652</v>
      </c>
      <c r="D7085" s="435"/>
      <c r="E7085" s="91"/>
      <c r="F7085" s="185"/>
      <c r="G7085" s="296"/>
      <c r="H7085" s="359">
        <f>ROUNDUP((H7084+H7083)/100,0)*100</f>
        <v>55900</v>
      </c>
      <c r="M7085" s="185"/>
    </row>
    <row r="7086" spans="2:13" ht="18.75" customHeight="1" thickBot="1" x14ac:dyDescent="0.3">
      <c r="B7086" s="53"/>
      <c r="C7086" s="113"/>
      <c r="D7086" s="48"/>
      <c r="E7086" s="49"/>
      <c r="F7086" s="186"/>
      <c r="G7086" s="169"/>
      <c r="H7086" s="161"/>
      <c r="M7086" s="186"/>
    </row>
    <row r="7087" spans="2:13" ht="18.75" customHeight="1" x14ac:dyDescent="0.25">
      <c r="C7087" s="111"/>
      <c r="E7087" s="21"/>
      <c r="F7087" s="176"/>
      <c r="G7087" s="165"/>
      <c r="H7087" s="154"/>
      <c r="M7087" s="176"/>
    </row>
    <row r="7088" spans="2:13" s="217" customFormat="1" ht="18.75" customHeight="1" x14ac:dyDescent="0.25">
      <c r="B7088" s="214" t="s">
        <v>1600</v>
      </c>
      <c r="C7088" s="215" t="s">
        <v>1644</v>
      </c>
      <c r="D7088" s="216"/>
      <c r="E7088" s="440"/>
      <c r="F7088" s="441"/>
      <c r="G7088" s="442"/>
      <c r="H7088" s="454"/>
      <c r="J7088" s="219"/>
      <c r="M7088" s="441"/>
    </row>
    <row r="7089" spans="2:13" s="217" customFormat="1" ht="18.75" customHeight="1" x14ac:dyDescent="0.25">
      <c r="B7089" s="214" t="s">
        <v>1601</v>
      </c>
      <c r="C7089" s="215" t="s">
        <v>1645</v>
      </c>
      <c r="D7089" s="216"/>
      <c r="E7089" s="440"/>
      <c r="F7089" s="441"/>
      <c r="G7089" s="442"/>
      <c r="H7089" s="454"/>
      <c r="J7089" s="219"/>
      <c r="M7089" s="441"/>
    </row>
    <row r="7090" spans="2:13" ht="18.75" customHeight="1" x14ac:dyDescent="0.25">
      <c r="B7090" s="618" t="s">
        <v>620</v>
      </c>
      <c r="C7090" s="620" t="s">
        <v>621</v>
      </c>
      <c r="D7090" s="618" t="s">
        <v>622</v>
      </c>
      <c r="E7090" s="618" t="s">
        <v>2</v>
      </c>
      <c r="F7090" s="615" t="s">
        <v>623</v>
      </c>
      <c r="G7090" s="289" t="s">
        <v>624</v>
      </c>
      <c r="H7090" s="256" t="s">
        <v>625</v>
      </c>
      <c r="M7090" s="615" t="s">
        <v>623</v>
      </c>
    </row>
    <row r="7091" spans="2:13" ht="18.75" customHeight="1" x14ac:dyDescent="0.25">
      <c r="B7091" s="619"/>
      <c r="C7091" s="621"/>
      <c r="D7091" s="619"/>
      <c r="E7091" s="619"/>
      <c r="F7091" s="616"/>
      <c r="G7091" s="289" t="s">
        <v>626</v>
      </c>
      <c r="H7091" s="256" t="s">
        <v>626</v>
      </c>
      <c r="J7091" s="473"/>
      <c r="K7091" s="416"/>
      <c r="M7091" s="616"/>
    </row>
    <row r="7092" spans="2:13" ht="18.75" customHeight="1" x14ac:dyDescent="0.25">
      <c r="B7092" s="23"/>
      <c r="C7092" s="95"/>
      <c r="D7092" s="24"/>
      <c r="E7092" s="25"/>
      <c r="F7092" s="177"/>
      <c r="G7092" s="166"/>
      <c r="H7092" s="120"/>
      <c r="J7092" s="473"/>
      <c r="K7092" s="416"/>
      <c r="M7092" s="177"/>
    </row>
    <row r="7093" spans="2:13" ht="18.75" customHeight="1" x14ac:dyDescent="0.25">
      <c r="B7093" s="26" t="s">
        <v>627</v>
      </c>
      <c r="C7093" s="89" t="s">
        <v>628</v>
      </c>
      <c r="D7093" s="27"/>
      <c r="E7093" s="28"/>
      <c r="F7093" s="178"/>
      <c r="G7093" s="72"/>
      <c r="H7093" s="121"/>
      <c r="J7093" s="473"/>
      <c r="K7093" s="416"/>
      <c r="M7093" s="178"/>
    </row>
    <row r="7094" spans="2:13" ht="18.75" customHeight="1" x14ac:dyDescent="0.25">
      <c r="B7094" s="26"/>
      <c r="C7094" s="96" t="s">
        <v>629</v>
      </c>
      <c r="D7094" s="27" t="s">
        <v>630</v>
      </c>
      <c r="E7094" s="28" t="s">
        <v>631</v>
      </c>
      <c r="F7094" s="228">
        <f t="shared" ref="F7094:F7097" si="325">$K$8*M7094</f>
        <v>7.4999999999999997E-2</v>
      </c>
      <c r="G7094" s="29">
        <f>G7068</f>
        <v>95000</v>
      </c>
      <c r="H7094" s="122">
        <f>+G7094*F7094</f>
        <v>7125</v>
      </c>
      <c r="J7094" s="473"/>
      <c r="K7094" s="416"/>
      <c r="M7094" s="61">
        <v>7.4999999999999997E-2</v>
      </c>
    </row>
    <row r="7095" spans="2:13" ht="18.75" customHeight="1" x14ac:dyDescent="0.25">
      <c r="B7095" s="26"/>
      <c r="C7095" s="96" t="s">
        <v>1508</v>
      </c>
      <c r="D7095" s="27" t="s">
        <v>634</v>
      </c>
      <c r="E7095" s="28" t="s">
        <v>631</v>
      </c>
      <c r="F7095" s="228">
        <f t="shared" si="325"/>
        <v>7.4999999999999997E-2</v>
      </c>
      <c r="G7095" s="29">
        <f>G7069</f>
        <v>110000</v>
      </c>
      <c r="H7095" s="122">
        <f>+G7095*F7095</f>
        <v>8250</v>
      </c>
      <c r="J7095" s="473"/>
      <c r="K7095" s="416"/>
      <c r="M7095" s="61">
        <v>7.4999999999999997E-2</v>
      </c>
    </row>
    <row r="7096" spans="2:13" ht="18.75" customHeight="1" x14ac:dyDescent="0.25">
      <c r="B7096" s="26"/>
      <c r="C7096" s="96" t="s">
        <v>633</v>
      </c>
      <c r="D7096" s="27" t="s">
        <v>634</v>
      </c>
      <c r="E7096" s="28" t="s">
        <v>631</v>
      </c>
      <c r="F7096" s="228">
        <f t="shared" si="325"/>
        <v>5.0000000000000001E-3</v>
      </c>
      <c r="G7096" s="29">
        <f>G7070</f>
        <v>115000</v>
      </c>
      <c r="H7096" s="122">
        <f>+G7096*F7096</f>
        <v>575</v>
      </c>
      <c r="J7096" s="473"/>
      <c r="K7096" s="416"/>
      <c r="M7096" s="61">
        <v>5.0000000000000001E-3</v>
      </c>
    </row>
    <row r="7097" spans="2:13" ht="18.75" customHeight="1" x14ac:dyDescent="0.25">
      <c r="B7097" s="26"/>
      <c r="C7097" s="96" t="s">
        <v>600</v>
      </c>
      <c r="D7097" s="27" t="s">
        <v>635</v>
      </c>
      <c r="E7097" s="36" t="s">
        <v>631</v>
      </c>
      <c r="F7097" s="228">
        <f t="shared" si="325"/>
        <v>2E-3</v>
      </c>
      <c r="G7097" s="29">
        <f>G7071</f>
        <v>140000</v>
      </c>
      <c r="H7097" s="123">
        <f>+G7097*F7097</f>
        <v>280</v>
      </c>
      <c r="J7097" s="473"/>
      <c r="K7097" s="416"/>
      <c r="M7097" s="193">
        <v>2E-3</v>
      </c>
    </row>
    <row r="7098" spans="2:13" ht="18.75" customHeight="1" x14ac:dyDescent="0.25">
      <c r="B7098" s="26"/>
      <c r="C7098" s="89"/>
      <c r="D7098" s="63"/>
      <c r="E7098" s="30"/>
      <c r="F7098" s="192" t="s">
        <v>636</v>
      </c>
      <c r="G7098" s="310"/>
      <c r="H7098" s="124">
        <f>SUM(H7094:H7097)</f>
        <v>16230</v>
      </c>
      <c r="J7098" s="473"/>
      <c r="K7098" s="416"/>
      <c r="M7098" s="192" t="s">
        <v>636</v>
      </c>
    </row>
    <row r="7099" spans="2:13" ht="18.75" customHeight="1" x14ac:dyDescent="0.25">
      <c r="B7099" s="26"/>
      <c r="C7099" s="89"/>
      <c r="D7099" s="58"/>
      <c r="E7099" s="62"/>
      <c r="F7099" s="52"/>
      <c r="G7099" s="76"/>
      <c r="H7099" s="140"/>
      <c r="J7099" s="473"/>
      <c r="K7099" s="416"/>
      <c r="M7099" s="52"/>
    </row>
    <row r="7100" spans="2:13" ht="18.75" customHeight="1" x14ac:dyDescent="0.25">
      <c r="B7100" s="26" t="s">
        <v>637</v>
      </c>
      <c r="C7100" s="89" t="s">
        <v>638</v>
      </c>
      <c r="D7100" s="64"/>
      <c r="E7100" s="31"/>
      <c r="F7100" s="180"/>
      <c r="G7100" s="75"/>
      <c r="H7100" s="125"/>
      <c r="J7100" s="473"/>
      <c r="K7100" s="416"/>
      <c r="M7100" s="180"/>
    </row>
    <row r="7101" spans="2:13" ht="18.75" customHeight="1" x14ac:dyDescent="0.25">
      <c r="B7101" s="26"/>
      <c r="C7101" s="89" t="s">
        <v>1623</v>
      </c>
      <c r="D7101" s="64"/>
      <c r="E7101" s="64" t="s">
        <v>1013</v>
      </c>
      <c r="F7101" s="205">
        <v>1.4E-2</v>
      </c>
      <c r="G7101" s="75">
        <f>Bahan!D251</f>
        <v>10720000</v>
      </c>
      <c r="H7101" s="122">
        <f>G7101*F7101</f>
        <v>150080</v>
      </c>
      <c r="J7101" s="476"/>
      <c r="K7101" s="424"/>
      <c r="M7101" s="205">
        <v>1.4E-2</v>
      </c>
    </row>
    <row r="7102" spans="2:13" ht="18.75" customHeight="1" x14ac:dyDescent="0.25">
      <c r="B7102" s="26"/>
      <c r="C7102" s="89" t="s">
        <v>1624</v>
      </c>
      <c r="D7102" s="64"/>
      <c r="E7102" s="64" t="s">
        <v>1013</v>
      </c>
      <c r="F7102" s="205">
        <v>3.4000000000000002E-2</v>
      </c>
      <c r="G7102" s="75">
        <f>Bahan!D542</f>
        <v>132000</v>
      </c>
      <c r="H7102" s="122">
        <f>G7102*F7102</f>
        <v>4488</v>
      </c>
      <c r="J7102" s="476"/>
      <c r="K7102" s="424"/>
      <c r="M7102" s="205">
        <v>3.4000000000000002E-2</v>
      </c>
    </row>
    <row r="7103" spans="2:13" ht="18.75" customHeight="1" x14ac:dyDescent="0.25">
      <c r="B7103" s="26"/>
      <c r="C7103" s="89" t="s">
        <v>595</v>
      </c>
      <c r="D7103" s="58"/>
      <c r="E7103" s="58" t="s">
        <v>58</v>
      </c>
      <c r="F7103" s="206">
        <v>1.1000000000000001</v>
      </c>
      <c r="G7103" s="34">
        <f>Bahan!D240</f>
        <v>50000</v>
      </c>
      <c r="H7103" s="122">
        <f>G7103*F7103</f>
        <v>55000.000000000007</v>
      </c>
      <c r="M7103" s="206">
        <v>1.1000000000000001</v>
      </c>
    </row>
    <row r="7104" spans="2:13" ht="18.75" customHeight="1" x14ac:dyDescent="0.25">
      <c r="B7104" s="26"/>
      <c r="C7104" s="89" t="s">
        <v>660</v>
      </c>
      <c r="D7104" s="58"/>
      <c r="E7104" s="58" t="s">
        <v>62</v>
      </c>
      <c r="F7104" s="206">
        <v>0.15</v>
      </c>
      <c r="G7104" s="170">
        <f>G6975</f>
        <v>25000</v>
      </c>
      <c r="H7104" s="122">
        <f>G7104*F7104</f>
        <v>3750</v>
      </c>
      <c r="M7104" s="206">
        <v>0.15</v>
      </c>
    </row>
    <row r="7105" spans="2:13" ht="18.75" customHeight="1" x14ac:dyDescent="0.25">
      <c r="B7105" s="26"/>
      <c r="C7105" s="89" t="s">
        <v>1625</v>
      </c>
      <c r="D7105" s="58"/>
      <c r="E7105" s="58" t="s">
        <v>62</v>
      </c>
      <c r="F7105" s="206">
        <v>0.03</v>
      </c>
      <c r="G7105" s="170">
        <f>Bahan!D340</f>
        <v>30000</v>
      </c>
      <c r="H7105" s="122">
        <f>G7105*F7105</f>
        <v>900</v>
      </c>
      <c r="M7105" s="206">
        <v>0.03</v>
      </c>
    </row>
    <row r="7106" spans="2:13" ht="18.75" customHeight="1" x14ac:dyDescent="0.25">
      <c r="B7106" s="26"/>
      <c r="C7106" s="89"/>
      <c r="D7106" s="63"/>
      <c r="E7106" s="63"/>
      <c r="F7106" s="179" t="s">
        <v>643</v>
      </c>
      <c r="G7106" s="310"/>
      <c r="H7106" s="124">
        <f>SUM(H7101:H7105)</f>
        <v>214218</v>
      </c>
      <c r="M7106" s="179" t="s">
        <v>643</v>
      </c>
    </row>
    <row r="7107" spans="2:13" ht="18.75" customHeight="1" x14ac:dyDescent="0.25">
      <c r="B7107" s="26"/>
      <c r="C7107" s="89"/>
      <c r="D7107" s="63"/>
      <c r="E7107" s="30"/>
      <c r="F7107" s="179" t="s">
        <v>643</v>
      </c>
      <c r="G7107" s="310"/>
      <c r="H7107" s="124">
        <f>H7101+H7103+H7104+H7105</f>
        <v>209730</v>
      </c>
      <c r="M7107" s="179" t="s">
        <v>643</v>
      </c>
    </row>
    <row r="7108" spans="2:13" ht="18.75" customHeight="1" x14ac:dyDescent="0.25">
      <c r="B7108" s="26"/>
      <c r="C7108" s="89"/>
      <c r="D7108" s="64"/>
      <c r="E7108" s="31"/>
      <c r="F7108" s="180"/>
      <c r="G7108" s="75"/>
      <c r="H7108" s="125"/>
      <c r="M7108" s="180"/>
    </row>
    <row r="7109" spans="2:13" ht="18.75" customHeight="1" x14ac:dyDescent="0.25">
      <c r="B7109" s="26" t="s">
        <v>644</v>
      </c>
      <c r="C7109" s="89" t="s">
        <v>645</v>
      </c>
      <c r="D7109" s="56"/>
      <c r="E7109" s="36"/>
      <c r="F7109" s="194"/>
      <c r="G7109" s="88"/>
      <c r="H7109" s="127"/>
      <c r="M7109" s="194"/>
    </row>
    <row r="7110" spans="2:13" ht="18.75" customHeight="1" x14ac:dyDescent="0.25">
      <c r="B7110" s="35"/>
      <c r="C7110" s="97"/>
      <c r="D7110" s="63"/>
      <c r="E7110" s="30"/>
      <c r="F7110" s="179" t="s">
        <v>646</v>
      </c>
      <c r="G7110" s="310"/>
      <c r="H7110" s="128"/>
      <c r="M7110" s="179" t="s">
        <v>646</v>
      </c>
    </row>
    <row r="7111" spans="2:13" ht="18.75" customHeight="1" x14ac:dyDescent="0.25">
      <c r="B7111" s="37"/>
      <c r="C7111" s="98"/>
      <c r="D7111" s="411"/>
      <c r="E7111" s="42"/>
      <c r="F7111" s="181"/>
      <c r="G7111" s="311"/>
      <c r="H7111" s="129"/>
      <c r="M7111" s="181"/>
    </row>
    <row r="7112" spans="2:13" ht="18.75" customHeight="1" x14ac:dyDescent="0.25">
      <c r="B7112" s="43"/>
      <c r="C7112" s="99"/>
      <c r="D7112" s="44"/>
      <c r="E7112" s="45"/>
      <c r="F7112" s="182"/>
      <c r="G7112" s="313"/>
      <c r="H7112" s="130"/>
      <c r="M7112" s="182"/>
    </row>
    <row r="7113" spans="2:13" ht="18.75" customHeight="1" x14ac:dyDescent="0.25">
      <c r="B7113" s="46" t="s">
        <v>647</v>
      </c>
      <c r="C7113" s="101" t="s">
        <v>648</v>
      </c>
      <c r="E7113" s="22"/>
      <c r="F7113" s="189"/>
      <c r="G7113" s="308"/>
      <c r="H7113" s="131">
        <f>H7098+H7106</f>
        <v>230448</v>
      </c>
      <c r="M7113" s="189"/>
    </row>
    <row r="7114" spans="2:13" ht="18.75" customHeight="1" x14ac:dyDescent="0.25">
      <c r="B7114" s="356" t="s">
        <v>649</v>
      </c>
      <c r="C7114" s="364" t="s">
        <v>650</v>
      </c>
      <c r="D7114" s="435"/>
      <c r="E7114" s="92"/>
      <c r="F7114" s="184" t="str">
        <f>$J$5</f>
        <v>8,0 % x D</v>
      </c>
      <c r="G7114" s="295"/>
      <c r="H7114" s="358">
        <f>+H7113*$K$5</f>
        <v>18435.84</v>
      </c>
      <c r="M7114" s="184" t="str">
        <f>$J$5</f>
        <v>8,0 % x D</v>
      </c>
    </row>
    <row r="7115" spans="2:13" ht="18.75" customHeight="1" x14ac:dyDescent="0.25">
      <c r="B7115" s="46" t="s">
        <v>651</v>
      </c>
      <c r="C7115" s="102" t="s">
        <v>1653</v>
      </c>
      <c r="E7115" s="21"/>
      <c r="F7115" s="176"/>
      <c r="G7115" s="90"/>
      <c r="H7115" s="359">
        <f>ROUNDUP((H7114+H7113)/100,0)*100</f>
        <v>248900</v>
      </c>
      <c r="M7115" s="176"/>
    </row>
    <row r="7116" spans="2:13" ht="18.75" customHeight="1" x14ac:dyDescent="0.25">
      <c r="B7116" s="46"/>
      <c r="C7116" s="102"/>
      <c r="E7116" s="21"/>
      <c r="F7116" s="176"/>
      <c r="G7116" s="90"/>
      <c r="H7116" s="133"/>
      <c r="M7116" s="176"/>
    </row>
    <row r="7117" spans="2:13" ht="18.75" customHeight="1" x14ac:dyDescent="0.25">
      <c r="B7117" s="46" t="s">
        <v>825</v>
      </c>
      <c r="C7117" s="101" t="s">
        <v>648</v>
      </c>
      <c r="E7117" s="22"/>
      <c r="F7117" s="189"/>
      <c r="G7117" s="308"/>
      <c r="H7117" s="131">
        <f>H7098+H7107</f>
        <v>225960</v>
      </c>
      <c r="M7117" s="189"/>
    </row>
    <row r="7118" spans="2:13" ht="18.75" customHeight="1" x14ac:dyDescent="0.25">
      <c r="B7118" s="356" t="s">
        <v>827</v>
      </c>
      <c r="C7118" s="364" t="s">
        <v>650</v>
      </c>
      <c r="D7118" s="435"/>
      <c r="E7118" s="92"/>
      <c r="F7118" s="184" t="str">
        <f>$J$5</f>
        <v>8,0 % x D</v>
      </c>
      <c r="G7118" s="295"/>
      <c r="H7118" s="358">
        <f>+H7117*$K$5</f>
        <v>18076.8</v>
      </c>
      <c r="M7118" s="184" t="str">
        <f>$J$5</f>
        <v>8,0 % x D</v>
      </c>
    </row>
    <row r="7119" spans="2:13" ht="18.75" customHeight="1" x14ac:dyDescent="0.25">
      <c r="B7119" s="46" t="s">
        <v>617</v>
      </c>
      <c r="C7119" s="102" t="s">
        <v>1654</v>
      </c>
      <c r="E7119" s="21"/>
      <c r="F7119" s="176"/>
      <c r="G7119" s="90"/>
      <c r="H7119" s="359">
        <f>ROUNDUP((H7118+H7117)/100,0)*100</f>
        <v>244100</v>
      </c>
      <c r="M7119" s="176"/>
    </row>
    <row r="7120" spans="2:13" ht="18.75" customHeight="1" x14ac:dyDescent="0.25">
      <c r="B7120" s="46"/>
      <c r="C7120" s="102"/>
      <c r="E7120" s="21"/>
      <c r="F7120" s="176"/>
      <c r="G7120" s="90"/>
      <c r="H7120" s="133"/>
      <c r="M7120" s="176"/>
    </row>
    <row r="7121" spans="2:13" ht="18.75" customHeight="1" x14ac:dyDescent="0.25">
      <c r="B7121" s="435"/>
      <c r="C7121" s="111"/>
      <c r="E7121" s="21"/>
      <c r="F7121" s="176"/>
      <c r="G7121" s="168"/>
      <c r="H7121" s="211"/>
      <c r="M7121" s="176"/>
    </row>
    <row r="7122" spans="2:13" ht="18.75" customHeight="1" x14ac:dyDescent="0.25">
      <c r="B7122" s="19">
        <f>B7063+2</f>
        <v>22</v>
      </c>
      <c r="C7122" s="93" t="s">
        <v>1208</v>
      </c>
      <c r="D7122" s="19"/>
      <c r="E7122" s="21"/>
      <c r="F7122" s="176"/>
      <c r="G7122" s="165"/>
      <c r="H7122" s="119"/>
      <c r="M7122" s="176"/>
    </row>
    <row r="7123" spans="2:13" ht="18.75" customHeight="1" x14ac:dyDescent="0.25">
      <c r="B7123" s="618" t="s">
        <v>620</v>
      </c>
      <c r="C7123" s="620" t="s">
        <v>621</v>
      </c>
      <c r="D7123" s="618" t="s">
        <v>622</v>
      </c>
      <c r="E7123" s="618" t="s">
        <v>2</v>
      </c>
      <c r="F7123" s="615" t="s">
        <v>623</v>
      </c>
      <c r="G7123" s="289" t="s">
        <v>624</v>
      </c>
      <c r="H7123" s="256" t="s">
        <v>625</v>
      </c>
      <c r="M7123" s="615" t="s">
        <v>623</v>
      </c>
    </row>
    <row r="7124" spans="2:13" ht="18.75" customHeight="1" x14ac:dyDescent="0.25">
      <c r="B7124" s="619"/>
      <c r="C7124" s="621"/>
      <c r="D7124" s="619"/>
      <c r="E7124" s="619"/>
      <c r="F7124" s="616"/>
      <c r="G7124" s="289" t="s">
        <v>626</v>
      </c>
      <c r="H7124" s="256" t="s">
        <v>626</v>
      </c>
      <c r="M7124" s="616"/>
    </row>
    <row r="7125" spans="2:13" ht="18.75" customHeight="1" x14ac:dyDescent="0.25">
      <c r="B7125" s="23"/>
      <c r="C7125" s="95"/>
      <c r="D7125" s="24"/>
      <c r="E7125" s="25"/>
      <c r="F7125" s="177"/>
      <c r="G7125" s="166"/>
      <c r="H7125" s="120"/>
      <c r="M7125" s="177"/>
    </row>
    <row r="7126" spans="2:13" ht="18.75" customHeight="1" x14ac:dyDescent="0.25">
      <c r="B7126" s="26" t="s">
        <v>627</v>
      </c>
      <c r="C7126" s="89" t="s">
        <v>628</v>
      </c>
      <c r="D7126" s="27"/>
      <c r="E7126" s="28"/>
      <c r="F7126" s="178"/>
      <c r="G7126" s="72"/>
      <c r="H7126" s="121"/>
      <c r="M7126" s="178"/>
    </row>
    <row r="7127" spans="2:13" ht="18.75" customHeight="1" x14ac:dyDescent="0.25">
      <c r="B7127" s="26"/>
      <c r="C7127" s="96" t="s">
        <v>629</v>
      </c>
      <c r="D7127" s="27" t="s">
        <v>630</v>
      </c>
      <c r="E7127" s="28" t="s">
        <v>631</v>
      </c>
      <c r="F7127" s="228">
        <f t="shared" ref="F7127:F7130" si="326">$K$8*M7127</f>
        <v>0.12</v>
      </c>
      <c r="G7127" s="29">
        <f>G7094</f>
        <v>95000</v>
      </c>
      <c r="H7127" s="122">
        <f>+G7127*F7127</f>
        <v>11400</v>
      </c>
      <c r="M7127" s="61">
        <v>0.12</v>
      </c>
    </row>
    <row r="7128" spans="2:13" ht="18.75" customHeight="1" x14ac:dyDescent="0.25">
      <c r="B7128" s="26"/>
      <c r="C7128" s="96" t="s">
        <v>1508</v>
      </c>
      <c r="D7128" s="27" t="s">
        <v>634</v>
      </c>
      <c r="E7128" s="28" t="s">
        <v>631</v>
      </c>
      <c r="F7128" s="228">
        <f t="shared" si="326"/>
        <v>0.12</v>
      </c>
      <c r="G7128" s="29">
        <f>G7095</f>
        <v>110000</v>
      </c>
      <c r="H7128" s="122">
        <f>+G7128*F7128</f>
        <v>13200</v>
      </c>
      <c r="M7128" s="61">
        <v>0.12</v>
      </c>
    </row>
    <row r="7129" spans="2:13" ht="18.75" customHeight="1" x14ac:dyDescent="0.25">
      <c r="B7129" s="26"/>
      <c r="C7129" s="96" t="s">
        <v>633</v>
      </c>
      <c r="D7129" s="27" t="s">
        <v>634</v>
      </c>
      <c r="E7129" s="28" t="s">
        <v>631</v>
      </c>
      <c r="F7129" s="228">
        <f t="shared" si="326"/>
        <v>1.2E-2</v>
      </c>
      <c r="G7129" s="29">
        <f>G7096</f>
        <v>115000</v>
      </c>
      <c r="H7129" s="122">
        <f>+G7129*F7129</f>
        <v>1380</v>
      </c>
      <c r="M7129" s="61">
        <v>1.2E-2</v>
      </c>
    </row>
    <row r="7130" spans="2:13" ht="18.75" customHeight="1" x14ac:dyDescent="0.25">
      <c r="B7130" s="26"/>
      <c r="C7130" s="96" t="s">
        <v>600</v>
      </c>
      <c r="D7130" s="27" t="s">
        <v>635</v>
      </c>
      <c r="E7130" s="36" t="s">
        <v>631</v>
      </c>
      <c r="F7130" s="228">
        <f t="shared" si="326"/>
        <v>7.4999999999999997E-2</v>
      </c>
      <c r="G7130" s="29">
        <f>G7097</f>
        <v>140000</v>
      </c>
      <c r="H7130" s="123">
        <f>+G7130*F7130</f>
        <v>10500</v>
      </c>
      <c r="M7130" s="193">
        <v>7.4999999999999997E-2</v>
      </c>
    </row>
    <row r="7131" spans="2:13" ht="18.75" customHeight="1" x14ac:dyDescent="0.25">
      <c r="B7131" s="26"/>
      <c r="C7131" s="89"/>
      <c r="D7131" s="63"/>
      <c r="E7131" s="30"/>
      <c r="F7131" s="192" t="s">
        <v>636</v>
      </c>
      <c r="G7131" s="310"/>
      <c r="H7131" s="124">
        <f>SUM(H7127:H7130)</f>
        <v>36480</v>
      </c>
      <c r="M7131" s="192" t="s">
        <v>636</v>
      </c>
    </row>
    <row r="7132" spans="2:13" ht="18.75" customHeight="1" x14ac:dyDescent="0.25">
      <c r="B7132" s="26"/>
      <c r="C7132" s="89"/>
      <c r="D7132" s="58"/>
      <c r="E7132" s="62"/>
      <c r="F7132" s="52"/>
      <c r="G7132" s="76"/>
      <c r="H7132" s="140"/>
      <c r="M7132" s="52"/>
    </row>
    <row r="7133" spans="2:13" ht="18.75" customHeight="1" x14ac:dyDescent="0.25">
      <c r="B7133" s="26" t="s">
        <v>637</v>
      </c>
      <c r="C7133" s="89" t="s">
        <v>638</v>
      </c>
      <c r="D7133" s="64"/>
      <c r="E7133" s="31"/>
      <c r="F7133" s="180"/>
      <c r="G7133" s="75"/>
      <c r="H7133" s="125"/>
      <c r="M7133" s="180"/>
    </row>
    <row r="7134" spans="2:13" ht="18.75" customHeight="1" x14ac:dyDescent="0.25">
      <c r="B7134" s="26"/>
      <c r="C7134" s="89" t="s">
        <v>1626</v>
      </c>
      <c r="D7134" s="64"/>
      <c r="E7134" s="64" t="s">
        <v>1013</v>
      </c>
      <c r="F7134" s="205">
        <v>1.2800000000000001E-2</v>
      </c>
      <c r="G7134" s="75">
        <f>Bahan!D254</f>
        <v>9350000</v>
      </c>
      <c r="H7134" s="122">
        <f>+G7134*F7134</f>
        <v>119680</v>
      </c>
      <c r="M7134" s="205">
        <v>1.2800000000000001E-2</v>
      </c>
    </row>
    <row r="7135" spans="2:13" ht="18.75" customHeight="1" x14ac:dyDescent="0.25">
      <c r="B7135" s="26"/>
      <c r="C7135" s="89" t="s">
        <v>761</v>
      </c>
      <c r="D7135" s="64"/>
      <c r="E7135" s="64" t="s">
        <v>5</v>
      </c>
      <c r="F7135" s="205">
        <v>7.5700000000000003E-2</v>
      </c>
      <c r="G7135" s="34">
        <f>+G6815</f>
        <v>25000</v>
      </c>
      <c r="H7135" s="122">
        <f>+G7135*F7135</f>
        <v>1892.5</v>
      </c>
      <c r="M7135" s="205">
        <v>7.5700000000000003E-2</v>
      </c>
    </row>
    <row r="7136" spans="2:13" ht="18.75" customHeight="1" x14ac:dyDescent="0.25">
      <c r="B7136" s="26"/>
      <c r="C7136" s="89"/>
      <c r="D7136" s="63"/>
      <c r="E7136" s="30"/>
      <c r="F7136" s="179" t="s">
        <v>643</v>
      </c>
      <c r="G7136" s="310"/>
      <c r="H7136" s="124">
        <f>SUM(H7134:H7135)</f>
        <v>121572.5</v>
      </c>
      <c r="M7136" s="179" t="s">
        <v>643</v>
      </c>
    </row>
    <row r="7137" spans="2:13" ht="18.75" customHeight="1" x14ac:dyDescent="0.25">
      <c r="B7137" s="26"/>
      <c r="C7137" s="89"/>
      <c r="D7137" s="64"/>
      <c r="E7137" s="31"/>
      <c r="F7137" s="180"/>
      <c r="G7137" s="75"/>
      <c r="H7137" s="125"/>
      <c r="M7137" s="180"/>
    </row>
    <row r="7138" spans="2:13" ht="18.75" customHeight="1" x14ac:dyDescent="0.25">
      <c r="B7138" s="26" t="s">
        <v>644</v>
      </c>
      <c r="C7138" s="89" t="s">
        <v>645</v>
      </c>
      <c r="D7138" s="56"/>
      <c r="E7138" s="36"/>
      <c r="F7138" s="194"/>
      <c r="G7138" s="88"/>
      <c r="H7138" s="127"/>
      <c r="M7138" s="194"/>
    </row>
    <row r="7139" spans="2:13" ht="18.75" customHeight="1" x14ac:dyDescent="0.25">
      <c r="B7139" s="35"/>
      <c r="C7139" s="97"/>
      <c r="D7139" s="63"/>
      <c r="E7139" s="30"/>
      <c r="F7139" s="179" t="s">
        <v>646</v>
      </c>
      <c r="G7139" s="310"/>
      <c r="H7139" s="128"/>
      <c r="M7139" s="179" t="s">
        <v>646</v>
      </c>
    </row>
    <row r="7140" spans="2:13" ht="18.75" customHeight="1" x14ac:dyDescent="0.25">
      <c r="B7140" s="37"/>
      <c r="C7140" s="98"/>
      <c r="D7140" s="411"/>
      <c r="E7140" s="42"/>
      <c r="F7140" s="181"/>
      <c r="G7140" s="311"/>
      <c r="H7140" s="129"/>
      <c r="M7140" s="181"/>
    </row>
    <row r="7141" spans="2:13" ht="18.75" customHeight="1" x14ac:dyDescent="0.25">
      <c r="B7141" s="43"/>
      <c r="C7141" s="99"/>
      <c r="D7141" s="44"/>
      <c r="E7141" s="45"/>
      <c r="F7141" s="182"/>
      <c r="G7141" s="313"/>
      <c r="H7141" s="130"/>
      <c r="M7141" s="182"/>
    </row>
    <row r="7142" spans="2:13" ht="18.75" customHeight="1" x14ac:dyDescent="0.25">
      <c r="B7142" s="46" t="s">
        <v>647</v>
      </c>
      <c r="C7142" s="101" t="s">
        <v>648</v>
      </c>
      <c r="E7142" s="22"/>
      <c r="F7142" s="189"/>
      <c r="G7142" s="308"/>
      <c r="H7142" s="131">
        <f>+H7139+H7136+H7131</f>
        <v>158052.5</v>
      </c>
      <c r="M7142" s="189"/>
    </row>
    <row r="7143" spans="2:13" ht="18.75" customHeight="1" x14ac:dyDescent="0.25">
      <c r="B7143" s="356" t="s">
        <v>649</v>
      </c>
      <c r="C7143" s="364" t="s">
        <v>650</v>
      </c>
      <c r="D7143" s="435"/>
      <c r="E7143" s="92"/>
      <c r="F7143" s="184" t="str">
        <f>$J$5</f>
        <v>8,0 % x D</v>
      </c>
      <c r="G7143" s="295"/>
      <c r="H7143" s="358">
        <f>+H7142*$K$5</f>
        <v>12644.2</v>
      </c>
      <c r="M7143" s="184" t="str">
        <f>$J$5</f>
        <v>8,0 % x D</v>
      </c>
    </row>
    <row r="7144" spans="2:13" ht="18.75" customHeight="1" x14ac:dyDescent="0.25">
      <c r="B7144" s="356" t="s">
        <v>651</v>
      </c>
      <c r="C7144" s="365" t="s">
        <v>652</v>
      </c>
      <c r="D7144" s="435"/>
      <c r="E7144" s="91"/>
      <c r="F7144" s="185"/>
      <c r="G7144" s="296"/>
      <c r="H7144" s="359">
        <f>ROUNDUP((H7143+H7142)/100,0)*100</f>
        <v>170700</v>
      </c>
      <c r="M7144" s="185"/>
    </row>
    <row r="7145" spans="2:13" ht="18.75" customHeight="1" thickBot="1" x14ac:dyDescent="0.3">
      <c r="B7145" s="47"/>
      <c r="C7145" s="103"/>
      <c r="D7145" s="48"/>
      <c r="E7145" s="49"/>
      <c r="F7145" s="186"/>
      <c r="G7145" s="309"/>
      <c r="H7145" s="136"/>
      <c r="M7145" s="186"/>
    </row>
    <row r="7146" spans="2:13" ht="18.75" customHeight="1" x14ac:dyDescent="0.25">
      <c r="B7146" s="22"/>
      <c r="C7146" s="104"/>
      <c r="E7146" s="21"/>
      <c r="F7146" s="176"/>
      <c r="G7146" s="165"/>
      <c r="H7146" s="119"/>
      <c r="M7146" s="176"/>
    </row>
    <row r="7147" spans="2:13" ht="18.75" customHeight="1" x14ac:dyDescent="0.25">
      <c r="B7147" s="19">
        <f>B7122+1</f>
        <v>23</v>
      </c>
      <c r="C7147" s="93" t="s">
        <v>1209</v>
      </c>
      <c r="D7147" s="19"/>
      <c r="E7147" s="21"/>
      <c r="F7147" s="176"/>
      <c r="G7147" s="165"/>
      <c r="H7147" s="119"/>
      <c r="M7147" s="176"/>
    </row>
    <row r="7148" spans="2:13" ht="18.75" customHeight="1" x14ac:dyDescent="0.25">
      <c r="B7148" s="618" t="s">
        <v>620</v>
      </c>
      <c r="C7148" s="620" t="s">
        <v>621</v>
      </c>
      <c r="D7148" s="618" t="s">
        <v>622</v>
      </c>
      <c r="E7148" s="618" t="s">
        <v>2</v>
      </c>
      <c r="F7148" s="615" t="s">
        <v>623</v>
      </c>
      <c r="G7148" s="289" t="s">
        <v>624</v>
      </c>
      <c r="H7148" s="256" t="s">
        <v>625</v>
      </c>
      <c r="M7148" s="615" t="s">
        <v>623</v>
      </c>
    </row>
    <row r="7149" spans="2:13" ht="18.75" customHeight="1" x14ac:dyDescent="0.25">
      <c r="B7149" s="619"/>
      <c r="C7149" s="621"/>
      <c r="D7149" s="619"/>
      <c r="E7149" s="619"/>
      <c r="F7149" s="616"/>
      <c r="G7149" s="289" t="s">
        <v>626</v>
      </c>
      <c r="H7149" s="256" t="s">
        <v>626</v>
      </c>
      <c r="M7149" s="616"/>
    </row>
    <row r="7150" spans="2:13" ht="18.75" customHeight="1" x14ac:dyDescent="0.25">
      <c r="B7150" s="23"/>
      <c r="C7150" s="95"/>
      <c r="D7150" s="24"/>
      <c r="E7150" s="25"/>
      <c r="F7150" s="177"/>
      <c r="G7150" s="166"/>
      <c r="H7150" s="120"/>
      <c r="M7150" s="177"/>
    </row>
    <row r="7151" spans="2:13" ht="18.75" customHeight="1" x14ac:dyDescent="0.25">
      <c r="B7151" s="26" t="s">
        <v>627</v>
      </c>
      <c r="C7151" s="89" t="s">
        <v>628</v>
      </c>
      <c r="D7151" s="27"/>
      <c r="E7151" s="28"/>
      <c r="F7151" s="178"/>
      <c r="G7151" s="72"/>
      <c r="H7151" s="121"/>
      <c r="M7151" s="178"/>
    </row>
    <row r="7152" spans="2:13" ht="18.75" customHeight="1" x14ac:dyDescent="0.25">
      <c r="B7152" s="26"/>
      <c r="C7152" s="96" t="s">
        <v>629</v>
      </c>
      <c r="D7152" s="27" t="s">
        <v>630</v>
      </c>
      <c r="E7152" s="28" t="s">
        <v>631</v>
      </c>
      <c r="F7152" s="228">
        <f t="shared" ref="F7152:F7155" si="327">$K$8*M7152</f>
        <v>0.15</v>
      </c>
      <c r="G7152" s="29">
        <f>G7127</f>
        <v>95000</v>
      </c>
      <c r="H7152" s="122">
        <f>+G7152*F7152</f>
        <v>14250</v>
      </c>
      <c r="M7152" s="61">
        <v>0.15</v>
      </c>
    </row>
    <row r="7153" spans="2:13" ht="18.75" customHeight="1" x14ac:dyDescent="0.25">
      <c r="B7153" s="26"/>
      <c r="C7153" s="96" t="s">
        <v>1508</v>
      </c>
      <c r="D7153" s="27" t="s">
        <v>634</v>
      </c>
      <c r="E7153" s="28" t="s">
        <v>631</v>
      </c>
      <c r="F7153" s="228">
        <f t="shared" si="327"/>
        <v>0.3</v>
      </c>
      <c r="G7153" s="29">
        <f t="shared" ref="G7153:G7155" si="328">G7128</f>
        <v>110000</v>
      </c>
      <c r="H7153" s="122">
        <f>+G7153*F7153</f>
        <v>33000</v>
      </c>
      <c r="M7153" s="61">
        <v>0.3</v>
      </c>
    </row>
    <row r="7154" spans="2:13" ht="18.75" customHeight="1" x14ac:dyDescent="0.25">
      <c r="B7154" s="26"/>
      <c r="C7154" s="96" t="s">
        <v>633</v>
      </c>
      <c r="D7154" s="27" t="s">
        <v>634</v>
      </c>
      <c r="E7154" s="28" t="s">
        <v>631</v>
      </c>
      <c r="F7154" s="228">
        <f t="shared" si="327"/>
        <v>0.03</v>
      </c>
      <c r="G7154" s="29">
        <f t="shared" si="328"/>
        <v>115000</v>
      </c>
      <c r="H7154" s="122">
        <f>+G7154*F7154</f>
        <v>3450</v>
      </c>
      <c r="M7154" s="61">
        <v>0.03</v>
      </c>
    </row>
    <row r="7155" spans="2:13" ht="18.75" customHeight="1" x14ac:dyDescent="0.25">
      <c r="B7155" s="26"/>
      <c r="C7155" s="96" t="s">
        <v>600</v>
      </c>
      <c r="D7155" s="27" t="s">
        <v>635</v>
      </c>
      <c r="E7155" s="36" t="s">
        <v>631</v>
      </c>
      <c r="F7155" s="228">
        <f t="shared" si="327"/>
        <v>7.4999999999999997E-2</v>
      </c>
      <c r="G7155" s="29">
        <f t="shared" si="328"/>
        <v>140000</v>
      </c>
      <c r="H7155" s="123">
        <f>+G7155*F7155</f>
        <v>10500</v>
      </c>
      <c r="M7155" s="193">
        <v>7.4999999999999997E-2</v>
      </c>
    </row>
    <row r="7156" spans="2:13" ht="18.75" customHeight="1" x14ac:dyDescent="0.25">
      <c r="B7156" s="26"/>
      <c r="C7156" s="89"/>
      <c r="D7156" s="63"/>
      <c r="E7156" s="30"/>
      <c r="F7156" s="192" t="s">
        <v>636</v>
      </c>
      <c r="G7156" s="310"/>
      <c r="H7156" s="124">
        <f>SUM(H7152:H7155)</f>
        <v>61200</v>
      </c>
      <c r="M7156" s="192" t="s">
        <v>636</v>
      </c>
    </row>
    <row r="7157" spans="2:13" ht="18.75" customHeight="1" x14ac:dyDescent="0.25">
      <c r="B7157" s="26"/>
      <c r="C7157" s="89"/>
      <c r="D7157" s="58"/>
      <c r="E7157" s="62"/>
      <c r="F7157" s="52"/>
      <c r="G7157" s="76"/>
      <c r="H7157" s="140"/>
      <c r="M7157" s="52"/>
    </row>
    <row r="7158" spans="2:13" ht="18.75" customHeight="1" x14ac:dyDescent="0.25">
      <c r="B7158" s="26" t="s">
        <v>637</v>
      </c>
      <c r="C7158" s="89" t="s">
        <v>638</v>
      </c>
      <c r="D7158" s="64"/>
      <c r="E7158" s="31"/>
      <c r="F7158" s="180"/>
      <c r="G7158" s="75"/>
      <c r="H7158" s="125"/>
      <c r="M7158" s="180"/>
    </row>
    <row r="7159" spans="2:13" ht="18.75" customHeight="1" x14ac:dyDescent="0.25">
      <c r="B7159" s="26"/>
      <c r="C7159" s="89" t="s">
        <v>1210</v>
      </c>
      <c r="D7159" s="64"/>
      <c r="E7159" s="64" t="s">
        <v>1013</v>
      </c>
      <c r="F7159" s="205">
        <v>0.01</v>
      </c>
      <c r="G7159" s="75">
        <f>Bahan!D255</f>
        <v>7150000</v>
      </c>
      <c r="H7159" s="122">
        <f>+G7159*F7159</f>
        <v>71500</v>
      </c>
      <c r="M7159" s="205">
        <v>0.01</v>
      </c>
    </row>
    <row r="7160" spans="2:13" ht="18.75" customHeight="1" x14ac:dyDescent="0.25">
      <c r="B7160" s="26"/>
      <c r="C7160" s="89" t="s">
        <v>1211</v>
      </c>
      <c r="D7160" s="64"/>
      <c r="E7160" s="64" t="s">
        <v>5</v>
      </c>
      <c r="F7160" s="205">
        <v>0.2</v>
      </c>
      <c r="G7160" s="34">
        <f>+G7135</f>
        <v>25000</v>
      </c>
      <c r="H7160" s="122">
        <f>+G7160*F7160</f>
        <v>5000</v>
      </c>
      <c r="M7160" s="205">
        <v>0.2</v>
      </c>
    </row>
    <row r="7161" spans="2:13" ht="18.75" customHeight="1" x14ac:dyDescent="0.25">
      <c r="B7161" s="26"/>
      <c r="C7161" s="89"/>
      <c r="D7161" s="63"/>
      <c r="E7161" s="30"/>
      <c r="F7161" s="179" t="s">
        <v>643</v>
      </c>
      <c r="G7161" s="310"/>
      <c r="H7161" s="124">
        <f>SUM(H7159:H7159)</f>
        <v>71500</v>
      </c>
      <c r="M7161" s="179" t="s">
        <v>643</v>
      </c>
    </row>
    <row r="7162" spans="2:13" ht="18.75" customHeight="1" x14ac:dyDescent="0.25">
      <c r="B7162" s="26"/>
      <c r="C7162" s="89"/>
      <c r="D7162" s="64"/>
      <c r="E7162" s="31"/>
      <c r="F7162" s="180"/>
      <c r="G7162" s="75"/>
      <c r="H7162" s="125"/>
      <c r="M7162" s="180"/>
    </row>
    <row r="7163" spans="2:13" ht="18.75" customHeight="1" x14ac:dyDescent="0.25">
      <c r="B7163" s="26" t="s">
        <v>644</v>
      </c>
      <c r="C7163" s="89" t="s">
        <v>645</v>
      </c>
      <c r="D7163" s="56"/>
      <c r="E7163" s="36"/>
      <c r="F7163" s="194"/>
      <c r="G7163" s="88"/>
      <c r="H7163" s="127"/>
      <c r="M7163" s="194"/>
    </row>
    <row r="7164" spans="2:13" ht="18.75" customHeight="1" x14ac:dyDescent="0.25">
      <c r="B7164" s="35"/>
      <c r="C7164" s="97"/>
      <c r="D7164" s="63"/>
      <c r="E7164" s="30"/>
      <c r="F7164" s="179" t="s">
        <v>646</v>
      </c>
      <c r="G7164" s="310"/>
      <c r="H7164" s="128"/>
      <c r="M7164" s="179" t="s">
        <v>646</v>
      </c>
    </row>
    <row r="7165" spans="2:13" ht="18.75" customHeight="1" x14ac:dyDescent="0.25">
      <c r="B7165" s="37"/>
      <c r="C7165" s="98"/>
      <c r="D7165" s="411"/>
      <c r="E7165" s="42"/>
      <c r="F7165" s="181"/>
      <c r="G7165" s="311"/>
      <c r="H7165" s="129"/>
      <c r="M7165" s="181"/>
    </row>
    <row r="7166" spans="2:13" ht="18.75" customHeight="1" x14ac:dyDescent="0.25">
      <c r="B7166" s="43"/>
      <c r="C7166" s="99"/>
      <c r="D7166" s="44"/>
      <c r="E7166" s="45"/>
      <c r="F7166" s="182"/>
      <c r="G7166" s="313"/>
      <c r="H7166" s="130"/>
      <c r="M7166" s="182"/>
    </row>
    <row r="7167" spans="2:13" ht="18.75" customHeight="1" x14ac:dyDescent="0.25">
      <c r="B7167" s="46" t="s">
        <v>647</v>
      </c>
      <c r="C7167" s="101" t="s">
        <v>648</v>
      </c>
      <c r="E7167" s="22"/>
      <c r="F7167" s="189"/>
      <c r="G7167" s="308"/>
      <c r="H7167" s="131">
        <f>+H7164+H7161+H7156</f>
        <v>132700</v>
      </c>
      <c r="M7167" s="189"/>
    </row>
    <row r="7168" spans="2:13" ht="18.75" customHeight="1" x14ac:dyDescent="0.25">
      <c r="B7168" s="356" t="s">
        <v>649</v>
      </c>
      <c r="C7168" s="364" t="s">
        <v>650</v>
      </c>
      <c r="D7168" s="435"/>
      <c r="E7168" s="92"/>
      <c r="F7168" s="184" t="str">
        <f>$J$5</f>
        <v>8,0 % x D</v>
      </c>
      <c r="G7168" s="295"/>
      <c r="H7168" s="358">
        <f>+H7167*$K$5</f>
        <v>10616</v>
      </c>
      <c r="M7168" s="184" t="str">
        <f>$J$5</f>
        <v>8,0 % x D</v>
      </c>
    </row>
    <row r="7169" spans="2:13" ht="18.75" customHeight="1" x14ac:dyDescent="0.25">
      <c r="B7169" s="356" t="s">
        <v>651</v>
      </c>
      <c r="C7169" s="365" t="s">
        <v>652</v>
      </c>
      <c r="D7169" s="435"/>
      <c r="E7169" s="91"/>
      <c r="F7169" s="185"/>
      <c r="G7169" s="296"/>
      <c r="H7169" s="359">
        <f>ROUNDUP((H7168+H7167)/100,0)*100</f>
        <v>143400</v>
      </c>
      <c r="M7169" s="185"/>
    </row>
    <row r="7170" spans="2:13" ht="18.75" customHeight="1" thickBot="1" x14ac:dyDescent="0.3">
      <c r="B7170" s="47"/>
      <c r="C7170" s="103"/>
      <c r="D7170" s="48"/>
      <c r="E7170" s="49"/>
      <c r="F7170" s="186"/>
      <c r="G7170" s="309"/>
      <c r="H7170" s="136"/>
      <c r="M7170" s="186"/>
    </row>
    <row r="7171" spans="2:13" ht="18.75" customHeight="1" x14ac:dyDescent="0.25">
      <c r="B7171" s="92"/>
      <c r="C7171" s="104"/>
      <c r="D7171" s="435"/>
      <c r="E7171" s="91"/>
      <c r="F7171" s="185"/>
      <c r="G7171" s="168"/>
      <c r="H7171" s="139"/>
      <c r="M7171" s="185"/>
    </row>
    <row r="7172" spans="2:13" ht="18.75" customHeight="1" x14ac:dyDescent="0.25">
      <c r="B7172" s="19">
        <f>B7147+1</f>
        <v>24</v>
      </c>
      <c r="C7172" s="93" t="s">
        <v>1212</v>
      </c>
      <c r="D7172" s="19"/>
      <c r="E7172" s="21"/>
      <c r="F7172" s="176"/>
      <c r="G7172" s="165"/>
      <c r="H7172" s="119"/>
      <c r="M7172" s="176"/>
    </row>
    <row r="7173" spans="2:13" ht="18.75" customHeight="1" x14ac:dyDescent="0.25">
      <c r="B7173" s="618" t="s">
        <v>620</v>
      </c>
      <c r="C7173" s="620" t="s">
        <v>621</v>
      </c>
      <c r="D7173" s="618" t="s">
        <v>622</v>
      </c>
      <c r="E7173" s="618" t="s">
        <v>2</v>
      </c>
      <c r="F7173" s="615" t="s">
        <v>623</v>
      </c>
      <c r="G7173" s="289" t="s">
        <v>624</v>
      </c>
      <c r="H7173" s="256" t="s">
        <v>625</v>
      </c>
      <c r="M7173" s="615" t="s">
        <v>623</v>
      </c>
    </row>
    <row r="7174" spans="2:13" ht="18.75" customHeight="1" x14ac:dyDescent="0.25">
      <c r="B7174" s="619"/>
      <c r="C7174" s="621"/>
      <c r="D7174" s="619"/>
      <c r="E7174" s="619"/>
      <c r="F7174" s="616"/>
      <c r="G7174" s="289" t="s">
        <v>626</v>
      </c>
      <c r="H7174" s="256" t="s">
        <v>626</v>
      </c>
      <c r="M7174" s="616"/>
    </row>
    <row r="7175" spans="2:13" ht="18.75" customHeight="1" x14ac:dyDescent="0.25">
      <c r="B7175" s="23"/>
      <c r="C7175" s="95"/>
      <c r="D7175" s="24"/>
      <c r="E7175" s="25"/>
      <c r="F7175" s="177"/>
      <c r="G7175" s="166"/>
      <c r="H7175" s="120"/>
      <c r="M7175" s="177"/>
    </row>
    <row r="7176" spans="2:13" ht="18.75" customHeight="1" x14ac:dyDescent="0.25">
      <c r="B7176" s="26" t="s">
        <v>627</v>
      </c>
      <c r="C7176" s="89" t="s">
        <v>628</v>
      </c>
      <c r="D7176" s="27"/>
      <c r="E7176" s="28"/>
      <c r="F7176" s="178"/>
      <c r="G7176" s="72"/>
      <c r="H7176" s="121"/>
      <c r="M7176" s="178"/>
    </row>
    <row r="7177" spans="2:13" ht="18.75" customHeight="1" x14ac:dyDescent="0.25">
      <c r="B7177" s="26"/>
      <c r="C7177" s="96" t="s">
        <v>629</v>
      </c>
      <c r="D7177" s="27" t="s">
        <v>630</v>
      </c>
      <c r="E7177" s="28" t="s">
        <v>631</v>
      </c>
      <c r="F7177" s="228">
        <f t="shared" ref="F7177:F7180" si="329">$K$8*M7177</f>
        <v>0.2</v>
      </c>
      <c r="G7177" s="29">
        <f>G7152</f>
        <v>95000</v>
      </c>
      <c r="H7177" s="122">
        <f>+G7177*F7177</f>
        <v>19000</v>
      </c>
      <c r="M7177" s="61">
        <v>0.2</v>
      </c>
    </row>
    <row r="7178" spans="2:13" ht="18.75" customHeight="1" x14ac:dyDescent="0.25">
      <c r="B7178" s="26"/>
      <c r="C7178" s="96" t="s">
        <v>1508</v>
      </c>
      <c r="D7178" s="27" t="s">
        <v>634</v>
      </c>
      <c r="E7178" s="28" t="s">
        <v>631</v>
      </c>
      <c r="F7178" s="228">
        <f t="shared" si="329"/>
        <v>0.3</v>
      </c>
      <c r="G7178" s="29">
        <f t="shared" ref="G7178:G7180" si="330">G7153</f>
        <v>110000</v>
      </c>
      <c r="H7178" s="122">
        <f>+G7178*F7178</f>
        <v>33000</v>
      </c>
      <c r="M7178" s="61">
        <v>0.3</v>
      </c>
    </row>
    <row r="7179" spans="2:13" ht="18.75" customHeight="1" x14ac:dyDescent="0.25">
      <c r="B7179" s="26"/>
      <c r="C7179" s="96" t="s">
        <v>633</v>
      </c>
      <c r="D7179" s="27" t="s">
        <v>634</v>
      </c>
      <c r="E7179" s="28" t="s">
        <v>631</v>
      </c>
      <c r="F7179" s="228">
        <f t="shared" si="329"/>
        <v>0.03</v>
      </c>
      <c r="G7179" s="29">
        <f t="shared" si="330"/>
        <v>115000</v>
      </c>
      <c r="H7179" s="122">
        <f>+G7179*F7179</f>
        <v>3450</v>
      </c>
      <c r="M7179" s="61">
        <v>0.03</v>
      </c>
    </row>
    <row r="7180" spans="2:13" ht="18.75" customHeight="1" x14ac:dyDescent="0.25">
      <c r="B7180" s="26"/>
      <c r="C7180" s="96" t="s">
        <v>600</v>
      </c>
      <c r="D7180" s="27" t="s">
        <v>635</v>
      </c>
      <c r="E7180" s="36" t="s">
        <v>631</v>
      </c>
      <c r="F7180" s="228">
        <f t="shared" si="329"/>
        <v>0.01</v>
      </c>
      <c r="G7180" s="29">
        <f t="shared" si="330"/>
        <v>140000</v>
      </c>
      <c r="H7180" s="123">
        <f>+G7180*F7180</f>
        <v>1400</v>
      </c>
      <c r="M7180" s="193">
        <v>0.01</v>
      </c>
    </row>
    <row r="7181" spans="2:13" ht="18.75" customHeight="1" x14ac:dyDescent="0.25">
      <c r="B7181" s="26"/>
      <c r="C7181" s="89"/>
      <c r="D7181" s="63"/>
      <c r="E7181" s="30"/>
      <c r="F7181" s="192" t="s">
        <v>636</v>
      </c>
      <c r="G7181" s="310"/>
      <c r="H7181" s="124">
        <f>SUM(H7177:H7180)</f>
        <v>56850</v>
      </c>
      <c r="M7181" s="192" t="s">
        <v>636</v>
      </c>
    </row>
    <row r="7182" spans="2:13" ht="18.75" customHeight="1" x14ac:dyDescent="0.25">
      <c r="B7182" s="26"/>
      <c r="C7182" s="89"/>
      <c r="D7182" s="58"/>
      <c r="E7182" s="62"/>
      <c r="F7182" s="52"/>
      <c r="G7182" s="76"/>
      <c r="H7182" s="140"/>
      <c r="M7182" s="52"/>
    </row>
    <row r="7183" spans="2:13" ht="18.75" customHeight="1" x14ac:dyDescent="0.25">
      <c r="B7183" s="26" t="s">
        <v>637</v>
      </c>
      <c r="C7183" s="89" t="s">
        <v>638</v>
      </c>
      <c r="D7183" s="64"/>
      <c r="E7183" s="31"/>
      <c r="F7183" s="180"/>
      <c r="G7183" s="75"/>
      <c r="H7183" s="125"/>
      <c r="M7183" s="180"/>
    </row>
    <row r="7184" spans="2:13" ht="18.75" customHeight="1" x14ac:dyDescent="0.25">
      <c r="B7184" s="26"/>
      <c r="C7184" s="89" t="s">
        <v>1213</v>
      </c>
      <c r="D7184" s="64"/>
      <c r="E7184" s="64" t="s">
        <v>1013</v>
      </c>
      <c r="F7184" s="205">
        <v>1.0500000000000001E-2</v>
      </c>
      <c r="G7184" s="75">
        <f>+G7159</f>
        <v>7150000</v>
      </c>
      <c r="H7184" s="122">
        <f>+G7184*F7184</f>
        <v>75075</v>
      </c>
      <c r="M7184" s="205">
        <v>1.0500000000000001E-2</v>
      </c>
    </row>
    <row r="7185" spans="2:13" ht="18.75" customHeight="1" x14ac:dyDescent="0.25">
      <c r="B7185" s="26"/>
      <c r="C7185" s="89" t="s">
        <v>1211</v>
      </c>
      <c r="D7185" s="64"/>
      <c r="E7185" s="64" t="s">
        <v>5</v>
      </c>
      <c r="F7185" s="205">
        <v>0.25</v>
      </c>
      <c r="G7185" s="34">
        <f>+G7160</f>
        <v>25000</v>
      </c>
      <c r="H7185" s="122">
        <f>+G7185*F7185</f>
        <v>6250</v>
      </c>
      <c r="M7185" s="205">
        <v>0.25</v>
      </c>
    </row>
    <row r="7186" spans="2:13" ht="18.75" customHeight="1" x14ac:dyDescent="0.25">
      <c r="B7186" s="26"/>
      <c r="C7186" s="89"/>
      <c r="D7186" s="63"/>
      <c r="E7186" s="30"/>
      <c r="F7186" s="179" t="s">
        <v>643</v>
      </c>
      <c r="G7186" s="310"/>
      <c r="H7186" s="124">
        <f>SUM(H7184:H7184)</f>
        <v>75075</v>
      </c>
      <c r="M7186" s="179" t="s">
        <v>643</v>
      </c>
    </row>
    <row r="7187" spans="2:13" ht="18.75" customHeight="1" x14ac:dyDescent="0.25">
      <c r="B7187" s="26"/>
      <c r="C7187" s="89"/>
      <c r="D7187" s="64"/>
      <c r="E7187" s="31"/>
      <c r="F7187" s="180"/>
      <c r="G7187" s="75"/>
      <c r="H7187" s="125"/>
      <c r="M7187" s="180"/>
    </row>
    <row r="7188" spans="2:13" ht="18.75" customHeight="1" x14ac:dyDescent="0.25">
      <c r="B7188" s="26" t="s">
        <v>644</v>
      </c>
      <c r="C7188" s="89" t="s">
        <v>645</v>
      </c>
      <c r="D7188" s="56"/>
      <c r="E7188" s="36"/>
      <c r="F7188" s="194"/>
      <c r="G7188" s="88"/>
      <c r="H7188" s="127"/>
      <c r="M7188" s="194"/>
    </row>
    <row r="7189" spans="2:13" ht="18.75" customHeight="1" x14ac:dyDescent="0.25">
      <c r="B7189" s="35"/>
      <c r="C7189" s="97"/>
      <c r="D7189" s="63"/>
      <c r="E7189" s="30"/>
      <c r="F7189" s="179" t="s">
        <v>646</v>
      </c>
      <c r="G7189" s="310"/>
      <c r="H7189" s="128"/>
      <c r="M7189" s="179" t="s">
        <v>646</v>
      </c>
    </row>
    <row r="7190" spans="2:13" ht="18.75" customHeight="1" x14ac:dyDescent="0.25">
      <c r="B7190" s="37"/>
      <c r="C7190" s="98"/>
      <c r="D7190" s="411"/>
      <c r="E7190" s="42"/>
      <c r="F7190" s="181"/>
      <c r="G7190" s="311"/>
      <c r="H7190" s="129"/>
      <c r="M7190" s="181"/>
    </row>
    <row r="7191" spans="2:13" ht="18.75" customHeight="1" x14ac:dyDescent="0.25">
      <c r="B7191" s="43"/>
      <c r="C7191" s="99"/>
      <c r="D7191" s="44"/>
      <c r="E7191" s="45"/>
      <c r="F7191" s="182"/>
      <c r="G7191" s="313"/>
      <c r="H7191" s="130"/>
      <c r="M7191" s="182"/>
    </row>
    <row r="7192" spans="2:13" ht="18.75" customHeight="1" x14ac:dyDescent="0.25">
      <c r="B7192" s="46" t="s">
        <v>647</v>
      </c>
      <c r="C7192" s="101" t="s">
        <v>648</v>
      </c>
      <c r="E7192" s="22"/>
      <c r="F7192" s="189"/>
      <c r="G7192" s="308"/>
      <c r="H7192" s="131">
        <f>+H7189+H7186+H7181</f>
        <v>131925</v>
      </c>
      <c r="M7192" s="189"/>
    </row>
    <row r="7193" spans="2:13" ht="18.75" customHeight="1" x14ac:dyDescent="0.25">
      <c r="B7193" s="356" t="s">
        <v>649</v>
      </c>
      <c r="C7193" s="364" t="s">
        <v>650</v>
      </c>
      <c r="D7193" s="435"/>
      <c r="E7193" s="92"/>
      <c r="F7193" s="184" t="str">
        <f>$J$5</f>
        <v>8,0 % x D</v>
      </c>
      <c r="G7193" s="295"/>
      <c r="H7193" s="358">
        <f>+H7192*$K$5</f>
        <v>10554</v>
      </c>
      <c r="M7193" s="184" t="str">
        <f>$J$5</f>
        <v>8,0 % x D</v>
      </c>
    </row>
    <row r="7194" spans="2:13" ht="18.75" customHeight="1" x14ac:dyDescent="0.25">
      <c r="B7194" s="356" t="s">
        <v>651</v>
      </c>
      <c r="C7194" s="365" t="s">
        <v>652</v>
      </c>
      <c r="D7194" s="435"/>
      <c r="E7194" s="91"/>
      <c r="F7194" s="185"/>
      <c r="G7194" s="296"/>
      <c r="H7194" s="359">
        <f>ROUNDUP((H7193+H7192)/100,0)*100</f>
        <v>142500</v>
      </c>
      <c r="M7194" s="185"/>
    </row>
    <row r="7195" spans="2:13" ht="18.75" customHeight="1" thickBot="1" x14ac:dyDescent="0.3">
      <c r="B7195" s="47"/>
      <c r="C7195" s="103"/>
      <c r="D7195" s="48"/>
      <c r="E7195" s="49"/>
      <c r="F7195" s="186"/>
      <c r="G7195" s="309"/>
      <c r="H7195" s="136"/>
      <c r="M7195" s="186"/>
    </row>
    <row r="7196" spans="2:13" ht="18.75" customHeight="1" x14ac:dyDescent="0.25">
      <c r="B7196" s="22"/>
      <c r="C7196" s="104"/>
      <c r="E7196" s="21"/>
      <c r="F7196" s="176"/>
      <c r="G7196" s="165"/>
      <c r="H7196" s="119"/>
      <c r="M7196" s="176"/>
    </row>
    <row r="7197" spans="2:13" ht="18.75" customHeight="1" x14ac:dyDescent="0.25">
      <c r="B7197" s="19" t="s">
        <v>1646</v>
      </c>
      <c r="C7197" s="93" t="s">
        <v>1648</v>
      </c>
      <c r="D7197" s="19"/>
      <c r="E7197" s="21"/>
      <c r="F7197" s="176"/>
      <c r="G7197" s="165"/>
      <c r="H7197" s="119"/>
      <c r="M7197" s="176"/>
    </row>
    <row r="7198" spans="2:13" ht="18.75" customHeight="1" x14ac:dyDescent="0.25">
      <c r="B7198" s="19" t="s">
        <v>1647</v>
      </c>
      <c r="C7198" s="93" t="s">
        <v>1649</v>
      </c>
      <c r="D7198" s="19"/>
      <c r="E7198" s="21"/>
      <c r="F7198" s="176"/>
      <c r="G7198" s="165"/>
      <c r="H7198" s="119"/>
      <c r="M7198" s="176"/>
    </row>
    <row r="7199" spans="2:13" ht="18.75" customHeight="1" x14ac:dyDescent="0.25">
      <c r="B7199" s="618" t="s">
        <v>620</v>
      </c>
      <c r="C7199" s="620" t="s">
        <v>621</v>
      </c>
      <c r="D7199" s="618" t="s">
        <v>622</v>
      </c>
      <c r="E7199" s="618" t="s">
        <v>2</v>
      </c>
      <c r="F7199" s="615" t="s">
        <v>623</v>
      </c>
      <c r="G7199" s="289" t="s">
        <v>624</v>
      </c>
      <c r="H7199" s="256" t="s">
        <v>625</v>
      </c>
      <c r="M7199" s="615" t="s">
        <v>623</v>
      </c>
    </row>
    <row r="7200" spans="2:13" ht="18.75" customHeight="1" x14ac:dyDescent="0.25">
      <c r="B7200" s="619"/>
      <c r="C7200" s="621"/>
      <c r="D7200" s="619"/>
      <c r="E7200" s="619"/>
      <c r="F7200" s="616"/>
      <c r="G7200" s="289" t="s">
        <v>626</v>
      </c>
      <c r="H7200" s="256" t="s">
        <v>626</v>
      </c>
      <c r="M7200" s="616"/>
    </row>
    <row r="7201" spans="2:13" ht="18.75" customHeight="1" x14ac:dyDescent="0.25">
      <c r="B7201" s="23"/>
      <c r="C7201" s="95"/>
      <c r="D7201" s="24"/>
      <c r="E7201" s="25"/>
      <c r="F7201" s="177"/>
      <c r="G7201" s="166"/>
      <c r="H7201" s="120"/>
      <c r="M7201" s="177"/>
    </row>
    <row r="7202" spans="2:13" ht="18.75" customHeight="1" x14ac:dyDescent="0.25">
      <c r="B7202" s="26" t="s">
        <v>627</v>
      </c>
      <c r="C7202" s="89" t="s">
        <v>628</v>
      </c>
      <c r="D7202" s="27"/>
      <c r="E7202" s="28"/>
      <c r="F7202" s="178"/>
      <c r="G7202" s="72"/>
      <c r="H7202" s="121"/>
      <c r="M7202" s="178"/>
    </row>
    <row r="7203" spans="2:13" ht="18.75" customHeight="1" x14ac:dyDescent="0.25">
      <c r="B7203" s="26"/>
      <c r="C7203" s="96" t="s">
        <v>629</v>
      </c>
      <c r="D7203" s="27" t="s">
        <v>630</v>
      </c>
      <c r="E7203" s="28" t="s">
        <v>631</v>
      </c>
      <c r="F7203" s="228">
        <f t="shared" ref="F7203:F7206" si="331">$K$8*M7203</f>
        <v>0.1</v>
      </c>
      <c r="G7203" s="29">
        <f>G7177</f>
        <v>95000</v>
      </c>
      <c r="H7203" s="122">
        <f>+G7203*F7203</f>
        <v>9500</v>
      </c>
      <c r="M7203" s="61">
        <v>0.1</v>
      </c>
    </row>
    <row r="7204" spans="2:13" ht="18.75" customHeight="1" x14ac:dyDescent="0.25">
      <c r="B7204" s="26"/>
      <c r="C7204" s="96" t="s">
        <v>1508</v>
      </c>
      <c r="D7204" s="27" t="s">
        <v>634</v>
      </c>
      <c r="E7204" s="28" t="s">
        <v>631</v>
      </c>
      <c r="F7204" s="228">
        <f t="shared" si="331"/>
        <v>0.2</v>
      </c>
      <c r="G7204" s="29">
        <f>G7178</f>
        <v>110000</v>
      </c>
      <c r="H7204" s="122">
        <f>+G7204*F7204</f>
        <v>22000</v>
      </c>
      <c r="M7204" s="61">
        <v>0.2</v>
      </c>
    </row>
    <row r="7205" spans="2:13" ht="18.75" customHeight="1" x14ac:dyDescent="0.25">
      <c r="B7205" s="26"/>
      <c r="C7205" s="96" t="s">
        <v>633</v>
      </c>
      <c r="D7205" s="27" t="s">
        <v>634</v>
      </c>
      <c r="E7205" s="28" t="s">
        <v>631</v>
      </c>
      <c r="F7205" s="228">
        <f t="shared" si="331"/>
        <v>0.02</v>
      </c>
      <c r="G7205" s="29">
        <f>G7179</f>
        <v>115000</v>
      </c>
      <c r="H7205" s="122">
        <f>+G7205*F7205</f>
        <v>2300</v>
      </c>
      <c r="M7205" s="61">
        <v>0.02</v>
      </c>
    </row>
    <row r="7206" spans="2:13" ht="18.75" customHeight="1" x14ac:dyDescent="0.25">
      <c r="B7206" s="26"/>
      <c r="C7206" s="96" t="s">
        <v>600</v>
      </c>
      <c r="D7206" s="27" t="s">
        <v>635</v>
      </c>
      <c r="E7206" s="36" t="s">
        <v>631</v>
      </c>
      <c r="F7206" s="228">
        <f t="shared" si="331"/>
        <v>5.0000000000000001E-3</v>
      </c>
      <c r="G7206" s="29">
        <f>G7180</f>
        <v>140000</v>
      </c>
      <c r="H7206" s="123">
        <f>+G7206*F7206</f>
        <v>700</v>
      </c>
      <c r="M7206" s="193">
        <v>5.0000000000000001E-3</v>
      </c>
    </row>
    <row r="7207" spans="2:13" ht="18.75" customHeight="1" x14ac:dyDescent="0.25">
      <c r="B7207" s="26"/>
      <c r="C7207" s="89"/>
      <c r="D7207" s="63"/>
      <c r="E7207" s="30"/>
      <c r="F7207" s="192" t="s">
        <v>636</v>
      </c>
      <c r="G7207" s="310"/>
      <c r="H7207" s="124">
        <f>SUM(H7203:H7206)</f>
        <v>34500</v>
      </c>
      <c r="M7207" s="192" t="s">
        <v>636</v>
      </c>
    </row>
    <row r="7208" spans="2:13" ht="18.75" customHeight="1" x14ac:dyDescent="0.25">
      <c r="B7208" s="26"/>
      <c r="C7208" s="89"/>
      <c r="D7208" s="58"/>
      <c r="E7208" s="62"/>
      <c r="F7208" s="52"/>
      <c r="G7208" s="76"/>
      <c r="H7208" s="140"/>
      <c r="M7208" s="52"/>
    </row>
    <row r="7209" spans="2:13" ht="18.75" customHeight="1" x14ac:dyDescent="0.25">
      <c r="B7209" s="26" t="s">
        <v>637</v>
      </c>
      <c r="C7209" s="89" t="s">
        <v>638</v>
      </c>
      <c r="D7209" s="64"/>
      <c r="E7209" s="31"/>
      <c r="F7209" s="180"/>
      <c r="G7209" s="75"/>
      <c r="H7209" s="125"/>
      <c r="M7209" s="180"/>
    </row>
    <row r="7210" spans="2:13" ht="18.75" customHeight="1" x14ac:dyDescent="0.25">
      <c r="B7210" s="26"/>
      <c r="C7210" s="89" t="s">
        <v>1214</v>
      </c>
      <c r="D7210" s="64"/>
      <c r="E7210" s="64" t="s">
        <v>1013</v>
      </c>
      <c r="F7210" s="205">
        <v>1.0800000000000001E-2</v>
      </c>
      <c r="G7210" s="34">
        <f>Bahan!D252</f>
        <v>13850000</v>
      </c>
      <c r="H7210" s="122">
        <f>F7210*G7210</f>
        <v>149580</v>
      </c>
      <c r="J7210" s="558" t="s">
        <v>227</v>
      </c>
      <c r="M7210" s="205">
        <v>1.0800000000000001E-2</v>
      </c>
    </row>
    <row r="7211" spans="2:13" ht="18.75" customHeight="1" x14ac:dyDescent="0.25">
      <c r="B7211" s="26"/>
      <c r="C7211" s="89" t="s">
        <v>1215</v>
      </c>
      <c r="D7211" s="64"/>
      <c r="E7211" s="64" t="s">
        <v>1013</v>
      </c>
      <c r="F7211" s="205">
        <v>1.0999999999999999E-2</v>
      </c>
      <c r="G7211" s="34">
        <f>Bahan!D252</f>
        <v>13850000</v>
      </c>
      <c r="H7211" s="122">
        <f>+G7211*F7211</f>
        <v>152350</v>
      </c>
      <c r="M7211" s="205">
        <v>1.0999999999999999E-2</v>
      </c>
    </row>
    <row r="7212" spans="2:13" ht="18.75" customHeight="1" x14ac:dyDescent="0.25">
      <c r="B7212" s="26"/>
      <c r="C7212" s="89" t="s">
        <v>1216</v>
      </c>
      <c r="D7212" s="64"/>
      <c r="E7212" s="64" t="s">
        <v>5</v>
      </c>
      <c r="F7212" s="205">
        <v>0.1</v>
      </c>
      <c r="G7212" s="34">
        <f>+G7185</f>
        <v>25000</v>
      </c>
      <c r="H7212" s="122">
        <f>+G7212*F7212</f>
        <v>2500</v>
      </c>
      <c r="M7212" s="205">
        <v>0.1</v>
      </c>
    </row>
    <row r="7213" spans="2:13" ht="18.75" customHeight="1" x14ac:dyDescent="0.25">
      <c r="B7213" s="26"/>
      <c r="C7213" s="89" t="s">
        <v>1216</v>
      </c>
      <c r="D7213" s="58"/>
      <c r="E7213" s="64" t="s">
        <v>5</v>
      </c>
      <c r="F7213" s="206">
        <v>7.4999999999999997E-2</v>
      </c>
      <c r="G7213" s="34">
        <f>G7212</f>
        <v>25000</v>
      </c>
      <c r="H7213" s="122">
        <f>+G7213*F7213</f>
        <v>1875</v>
      </c>
      <c r="M7213" s="206">
        <v>7.4999999999999997E-2</v>
      </c>
    </row>
    <row r="7214" spans="2:13" ht="18.75" customHeight="1" x14ac:dyDescent="0.25">
      <c r="B7214" s="26"/>
      <c r="C7214" s="89"/>
      <c r="D7214" s="63"/>
      <c r="E7214" s="30"/>
      <c r="F7214" s="179" t="s">
        <v>643</v>
      </c>
      <c r="G7214" s="310"/>
      <c r="H7214" s="124">
        <f>H7210+H7213</f>
        <v>151455</v>
      </c>
      <c r="M7214" s="179" t="s">
        <v>643</v>
      </c>
    </row>
    <row r="7215" spans="2:13" ht="18.75" customHeight="1" x14ac:dyDescent="0.25">
      <c r="B7215" s="26"/>
      <c r="C7215" s="89"/>
      <c r="D7215" s="63"/>
      <c r="E7215" s="30"/>
      <c r="F7215" s="179" t="s">
        <v>643</v>
      </c>
      <c r="G7215" s="310"/>
      <c r="H7215" s="124">
        <f>H7211+H7213</f>
        <v>154225</v>
      </c>
      <c r="M7215" s="179" t="s">
        <v>643</v>
      </c>
    </row>
    <row r="7216" spans="2:13" ht="18.75" customHeight="1" x14ac:dyDescent="0.25">
      <c r="B7216" s="26"/>
      <c r="C7216" s="89"/>
      <c r="D7216" s="64"/>
      <c r="E7216" s="31"/>
      <c r="F7216" s="180"/>
      <c r="G7216" s="75"/>
      <c r="H7216" s="125"/>
      <c r="M7216" s="180"/>
    </row>
    <row r="7217" spans="2:13" ht="18.75" customHeight="1" x14ac:dyDescent="0.25">
      <c r="B7217" s="26" t="s">
        <v>644</v>
      </c>
      <c r="C7217" s="89" t="s">
        <v>645</v>
      </c>
      <c r="D7217" s="56"/>
      <c r="E7217" s="36"/>
      <c r="F7217" s="194"/>
      <c r="G7217" s="88"/>
      <c r="H7217" s="127"/>
      <c r="M7217" s="194"/>
    </row>
    <row r="7218" spans="2:13" ht="18.75" customHeight="1" x14ac:dyDescent="0.25">
      <c r="B7218" s="35"/>
      <c r="C7218" s="97"/>
      <c r="D7218" s="63"/>
      <c r="E7218" s="30"/>
      <c r="F7218" s="179" t="s">
        <v>646</v>
      </c>
      <c r="G7218" s="310"/>
      <c r="H7218" s="128"/>
      <c r="M7218" s="179" t="s">
        <v>646</v>
      </c>
    </row>
    <row r="7219" spans="2:13" ht="18.75" customHeight="1" x14ac:dyDescent="0.25">
      <c r="B7219" s="37"/>
      <c r="C7219" s="98"/>
      <c r="D7219" s="411"/>
      <c r="E7219" s="42"/>
      <c r="F7219" s="181"/>
      <c r="G7219" s="311"/>
      <c r="H7219" s="129"/>
      <c r="M7219" s="181"/>
    </row>
    <row r="7220" spans="2:13" ht="18.75" customHeight="1" x14ac:dyDescent="0.25">
      <c r="B7220" s="43"/>
      <c r="C7220" s="99"/>
      <c r="D7220" s="44"/>
      <c r="E7220" s="45"/>
      <c r="F7220" s="182"/>
      <c r="G7220" s="313"/>
      <c r="H7220" s="130"/>
      <c r="M7220" s="182"/>
    </row>
    <row r="7221" spans="2:13" ht="18.75" customHeight="1" x14ac:dyDescent="0.25">
      <c r="B7221" s="46" t="s">
        <v>647</v>
      </c>
      <c r="C7221" s="101" t="s">
        <v>648</v>
      </c>
      <c r="E7221" s="22"/>
      <c r="F7221" s="189"/>
      <c r="G7221" s="308"/>
      <c r="H7221" s="131">
        <f>H7207+H7214</f>
        <v>185955</v>
      </c>
      <c r="M7221" s="189"/>
    </row>
    <row r="7222" spans="2:13" ht="18.75" customHeight="1" x14ac:dyDescent="0.25">
      <c r="B7222" s="356" t="s">
        <v>649</v>
      </c>
      <c r="C7222" s="364" t="s">
        <v>650</v>
      </c>
      <c r="D7222" s="435"/>
      <c r="E7222" s="92"/>
      <c r="F7222" s="184" t="str">
        <f>$J$5</f>
        <v>8,0 % x D</v>
      </c>
      <c r="G7222" s="295"/>
      <c r="H7222" s="358">
        <f>+H7221*$K$5</f>
        <v>14876.4</v>
      </c>
      <c r="M7222" s="184" t="str">
        <f>$J$5</f>
        <v>8,0 % x D</v>
      </c>
    </row>
    <row r="7223" spans="2:13" ht="18.75" customHeight="1" x14ac:dyDescent="0.25">
      <c r="B7223" s="46" t="s">
        <v>651</v>
      </c>
      <c r="C7223" s="102" t="s">
        <v>1655</v>
      </c>
      <c r="E7223" s="21"/>
      <c r="F7223" s="176"/>
      <c r="G7223" s="90"/>
      <c r="H7223" s="359">
        <f>ROUNDUP((H7222+H7221)/100,0)*100</f>
        <v>200900</v>
      </c>
      <c r="M7223" s="176"/>
    </row>
    <row r="7224" spans="2:13" ht="18.75" customHeight="1" x14ac:dyDescent="0.25">
      <c r="B7224" s="46"/>
      <c r="C7224" s="102"/>
      <c r="E7224" s="21"/>
      <c r="F7224" s="176"/>
      <c r="G7224" s="90"/>
      <c r="H7224" s="133"/>
      <c r="M7224" s="176"/>
    </row>
    <row r="7225" spans="2:13" ht="18.75" customHeight="1" x14ac:dyDescent="0.25">
      <c r="B7225" s="46" t="s">
        <v>825</v>
      </c>
      <c r="C7225" s="101" t="s">
        <v>648</v>
      </c>
      <c r="E7225" s="22"/>
      <c r="F7225" s="189"/>
      <c r="G7225" s="308"/>
      <c r="H7225" s="131">
        <f>H7207+H7215</f>
        <v>188725</v>
      </c>
      <c r="M7225" s="189"/>
    </row>
    <row r="7226" spans="2:13" ht="18.75" customHeight="1" x14ac:dyDescent="0.25">
      <c r="B7226" s="356" t="s">
        <v>827</v>
      </c>
      <c r="C7226" s="364" t="s">
        <v>650</v>
      </c>
      <c r="D7226" s="435"/>
      <c r="E7226" s="92"/>
      <c r="F7226" s="184" t="str">
        <f>$J$5</f>
        <v>8,0 % x D</v>
      </c>
      <c r="G7226" s="295"/>
      <c r="H7226" s="358">
        <f>+H7225*$K$5</f>
        <v>15098</v>
      </c>
      <c r="M7226" s="184" t="str">
        <f>$J$5</f>
        <v>8,0 % x D</v>
      </c>
    </row>
    <row r="7227" spans="2:13" ht="18.75" customHeight="1" x14ac:dyDescent="0.25">
      <c r="B7227" s="46" t="s">
        <v>617</v>
      </c>
      <c r="C7227" s="102" t="s">
        <v>1656</v>
      </c>
      <c r="E7227" s="21"/>
      <c r="F7227" s="176"/>
      <c r="G7227" s="90"/>
      <c r="H7227" s="359">
        <f>ROUNDUP((H7226+H7225)/100,0)*100</f>
        <v>203900</v>
      </c>
      <c r="M7227" s="176"/>
    </row>
    <row r="7228" spans="2:13" ht="18.75" customHeight="1" thickBot="1" x14ac:dyDescent="0.3">
      <c r="B7228" s="47"/>
      <c r="C7228" s="103"/>
      <c r="D7228" s="48"/>
      <c r="E7228" s="49"/>
      <c r="F7228" s="186"/>
      <c r="G7228" s="309"/>
      <c r="H7228" s="136"/>
      <c r="M7228" s="186"/>
    </row>
    <row r="7229" spans="2:13" ht="18.75" customHeight="1" x14ac:dyDescent="0.25">
      <c r="B7229" s="92"/>
      <c r="C7229" s="104"/>
      <c r="D7229" s="435"/>
      <c r="E7229" s="91"/>
      <c r="F7229" s="185"/>
      <c r="G7229" s="168"/>
      <c r="H7229" s="139"/>
      <c r="M7229" s="185"/>
    </row>
    <row r="7230" spans="2:13" s="217" customFormat="1" ht="18.75" customHeight="1" x14ac:dyDescent="0.25">
      <c r="B7230" s="214">
        <f>B7172+2</f>
        <v>26</v>
      </c>
      <c r="C7230" s="215" t="s">
        <v>1217</v>
      </c>
      <c r="D7230" s="214"/>
      <c r="E7230" s="440"/>
      <c r="F7230" s="441"/>
      <c r="G7230" s="442"/>
      <c r="H7230" s="118"/>
      <c r="J7230" s="219"/>
      <c r="M7230" s="441"/>
    </row>
    <row r="7231" spans="2:13" ht="18.75" customHeight="1" x14ac:dyDescent="0.25">
      <c r="B7231" s="618" t="s">
        <v>620</v>
      </c>
      <c r="C7231" s="620" t="s">
        <v>621</v>
      </c>
      <c r="D7231" s="618" t="s">
        <v>622</v>
      </c>
      <c r="E7231" s="618" t="s">
        <v>2</v>
      </c>
      <c r="F7231" s="615" t="s">
        <v>623</v>
      </c>
      <c r="G7231" s="289" t="s">
        <v>624</v>
      </c>
      <c r="H7231" s="256" t="s">
        <v>625</v>
      </c>
      <c r="M7231" s="615" t="s">
        <v>623</v>
      </c>
    </row>
    <row r="7232" spans="2:13" ht="18.75" customHeight="1" x14ac:dyDescent="0.25">
      <c r="B7232" s="619"/>
      <c r="C7232" s="621"/>
      <c r="D7232" s="619"/>
      <c r="E7232" s="619"/>
      <c r="F7232" s="616"/>
      <c r="G7232" s="289" t="s">
        <v>626</v>
      </c>
      <c r="H7232" s="256" t="s">
        <v>626</v>
      </c>
      <c r="M7232" s="616"/>
    </row>
    <row r="7233" spans="2:13" ht="18.75" customHeight="1" x14ac:dyDescent="0.25">
      <c r="B7233" s="23"/>
      <c r="C7233" s="95"/>
      <c r="D7233" s="24"/>
      <c r="E7233" s="25"/>
      <c r="F7233" s="177"/>
      <c r="G7233" s="166"/>
      <c r="H7233" s="120"/>
      <c r="M7233" s="177"/>
    </row>
    <row r="7234" spans="2:13" ht="18.75" customHeight="1" x14ac:dyDescent="0.25">
      <c r="B7234" s="26" t="s">
        <v>627</v>
      </c>
      <c r="C7234" s="89" t="s">
        <v>628</v>
      </c>
      <c r="D7234" s="27"/>
      <c r="E7234" s="28"/>
      <c r="F7234" s="178"/>
      <c r="G7234" s="72"/>
      <c r="H7234" s="121"/>
      <c r="M7234" s="178"/>
    </row>
    <row r="7235" spans="2:13" ht="18.75" customHeight="1" x14ac:dyDescent="0.25">
      <c r="B7235" s="26"/>
      <c r="C7235" s="96" t="s">
        <v>629</v>
      </c>
      <c r="D7235" s="27" t="s">
        <v>630</v>
      </c>
      <c r="E7235" s="28" t="s">
        <v>631</v>
      </c>
      <c r="F7235" s="61">
        <f t="shared" ref="F7235:G7238" si="332">F7203</f>
        <v>0.1</v>
      </c>
      <c r="G7235" s="29">
        <f t="shared" si="332"/>
        <v>95000</v>
      </c>
      <c r="H7235" s="122">
        <f>+G7235*F7235</f>
        <v>9500</v>
      </c>
      <c r="M7235" s="61">
        <f t="shared" ref="M7235" si="333">M7203</f>
        <v>0.1</v>
      </c>
    </row>
    <row r="7236" spans="2:13" ht="18.75" customHeight="1" x14ac:dyDescent="0.25">
      <c r="B7236" s="26"/>
      <c r="C7236" s="96" t="s">
        <v>1508</v>
      </c>
      <c r="D7236" s="27" t="s">
        <v>634</v>
      </c>
      <c r="E7236" s="28" t="s">
        <v>631</v>
      </c>
      <c r="F7236" s="61">
        <f t="shared" si="332"/>
        <v>0.2</v>
      </c>
      <c r="G7236" s="29">
        <f t="shared" si="332"/>
        <v>110000</v>
      </c>
      <c r="H7236" s="122">
        <f>+G7236*F7236</f>
        <v>22000</v>
      </c>
      <c r="M7236" s="61">
        <f t="shared" ref="M7236" si="334">M7204</f>
        <v>0.2</v>
      </c>
    </row>
    <row r="7237" spans="2:13" ht="18.75" customHeight="1" x14ac:dyDescent="0.25">
      <c r="B7237" s="26"/>
      <c r="C7237" s="96" t="s">
        <v>633</v>
      </c>
      <c r="D7237" s="27" t="s">
        <v>634</v>
      </c>
      <c r="E7237" s="28" t="s">
        <v>631</v>
      </c>
      <c r="F7237" s="61">
        <f t="shared" si="332"/>
        <v>0.02</v>
      </c>
      <c r="G7237" s="29">
        <f t="shared" si="332"/>
        <v>115000</v>
      </c>
      <c r="H7237" s="122">
        <f>+G7237*F7237</f>
        <v>2300</v>
      </c>
      <c r="M7237" s="61">
        <f t="shared" ref="M7237" si="335">M7205</f>
        <v>0.02</v>
      </c>
    </row>
    <row r="7238" spans="2:13" ht="18.75" customHeight="1" x14ac:dyDescent="0.25">
      <c r="B7238" s="26"/>
      <c r="C7238" s="96" t="s">
        <v>600</v>
      </c>
      <c r="D7238" s="27" t="s">
        <v>635</v>
      </c>
      <c r="E7238" s="36" t="s">
        <v>631</v>
      </c>
      <c r="F7238" s="193">
        <f t="shared" si="332"/>
        <v>5.0000000000000001E-3</v>
      </c>
      <c r="G7238" s="29">
        <f t="shared" si="332"/>
        <v>140000</v>
      </c>
      <c r="H7238" s="123">
        <f>+G7238*F7238</f>
        <v>700</v>
      </c>
      <c r="M7238" s="193">
        <f t="shared" ref="M7238" si="336">M7206</f>
        <v>5.0000000000000001E-3</v>
      </c>
    </row>
    <row r="7239" spans="2:13" ht="18.75" customHeight="1" x14ac:dyDescent="0.25">
      <c r="B7239" s="26"/>
      <c r="C7239" s="89"/>
      <c r="D7239" s="63"/>
      <c r="E7239" s="30"/>
      <c r="F7239" s="192" t="s">
        <v>636</v>
      </c>
      <c r="G7239" s="310"/>
      <c r="H7239" s="124">
        <f>SUM(H7235:H7238)</f>
        <v>34500</v>
      </c>
      <c r="M7239" s="192" t="s">
        <v>636</v>
      </c>
    </row>
    <row r="7240" spans="2:13" ht="18.75" customHeight="1" x14ac:dyDescent="0.25">
      <c r="B7240" s="26"/>
      <c r="C7240" s="89"/>
      <c r="D7240" s="58"/>
      <c r="E7240" s="62"/>
      <c r="F7240" s="52"/>
      <c r="G7240" s="76"/>
      <c r="H7240" s="140"/>
      <c r="M7240" s="52"/>
    </row>
    <row r="7241" spans="2:13" ht="18.75" customHeight="1" x14ac:dyDescent="0.25">
      <c r="B7241" s="26" t="s">
        <v>637</v>
      </c>
      <c r="C7241" s="89" t="s">
        <v>638</v>
      </c>
      <c r="D7241" s="64"/>
      <c r="E7241" s="31"/>
      <c r="F7241" s="180"/>
      <c r="G7241" s="75"/>
      <c r="H7241" s="125"/>
      <c r="M7241" s="180"/>
    </row>
    <row r="7242" spans="2:13" ht="18.75" customHeight="1" x14ac:dyDescent="0.25">
      <c r="B7242" s="26"/>
      <c r="C7242" s="89" t="str">
        <f>C7210</f>
        <v>Papan kayu 3 x 20</v>
      </c>
      <c r="D7242" s="64"/>
      <c r="E7242" s="64" t="s">
        <v>14</v>
      </c>
      <c r="F7242" s="205">
        <v>1.4999999999999999E-2</v>
      </c>
      <c r="G7242" s="34">
        <f>+G7210</f>
        <v>13850000</v>
      </c>
      <c r="H7242" s="122">
        <f>F7242*G7242</f>
        <v>207750</v>
      </c>
      <c r="M7242" s="205">
        <v>1.4999999999999999E-2</v>
      </c>
    </row>
    <row r="7243" spans="2:13" ht="18.75" customHeight="1" x14ac:dyDescent="0.25">
      <c r="B7243" s="26"/>
      <c r="C7243" s="89" t="str">
        <f>C7213</f>
        <v>Paku 5 cm  dan 7 cm</v>
      </c>
      <c r="D7243" s="64"/>
      <c r="E7243" s="64" t="s">
        <v>5</v>
      </c>
      <c r="F7243" s="205">
        <v>7.4999999999999997E-2</v>
      </c>
      <c r="G7243" s="34">
        <f>+G7212</f>
        <v>25000</v>
      </c>
      <c r="H7243" s="122">
        <f>+G7243*F7243</f>
        <v>1875</v>
      </c>
      <c r="M7243" s="205">
        <v>7.4999999999999997E-2</v>
      </c>
    </row>
    <row r="7244" spans="2:13" ht="18.75" customHeight="1" x14ac:dyDescent="0.25">
      <c r="B7244" s="26"/>
      <c r="C7244" s="89"/>
      <c r="D7244" s="63"/>
      <c r="E7244" s="30"/>
      <c r="F7244" s="179" t="s">
        <v>643</v>
      </c>
      <c r="G7244" s="310"/>
      <c r="H7244" s="124">
        <f>SUM(H7242:H7243)</f>
        <v>209625</v>
      </c>
      <c r="M7244" s="179" t="s">
        <v>643</v>
      </c>
    </row>
    <row r="7245" spans="2:13" ht="18.75" customHeight="1" x14ac:dyDescent="0.25">
      <c r="B7245" s="26"/>
      <c r="C7245" s="89"/>
      <c r="D7245" s="64"/>
      <c r="E7245" s="31"/>
      <c r="F7245" s="180"/>
      <c r="G7245" s="75"/>
      <c r="H7245" s="125"/>
      <c r="M7245" s="180"/>
    </row>
    <row r="7246" spans="2:13" ht="18.75" customHeight="1" x14ac:dyDescent="0.25">
      <c r="B7246" s="26" t="s">
        <v>644</v>
      </c>
      <c r="C7246" s="89" t="s">
        <v>645</v>
      </c>
      <c r="D7246" s="56"/>
      <c r="E7246" s="36"/>
      <c r="F7246" s="194"/>
      <c r="G7246" s="88"/>
      <c r="H7246" s="127"/>
      <c r="M7246" s="194"/>
    </row>
    <row r="7247" spans="2:13" ht="18.75" customHeight="1" x14ac:dyDescent="0.25">
      <c r="B7247" s="35"/>
      <c r="C7247" s="97"/>
      <c r="D7247" s="63"/>
      <c r="E7247" s="30"/>
      <c r="F7247" s="179" t="s">
        <v>646</v>
      </c>
      <c r="G7247" s="310"/>
      <c r="H7247" s="128"/>
      <c r="M7247" s="179" t="s">
        <v>646</v>
      </c>
    </row>
    <row r="7248" spans="2:13" ht="18.75" customHeight="1" x14ac:dyDescent="0.25">
      <c r="B7248" s="37"/>
      <c r="C7248" s="98"/>
      <c r="D7248" s="411"/>
      <c r="E7248" s="42"/>
      <c r="F7248" s="181"/>
      <c r="G7248" s="311"/>
      <c r="H7248" s="129"/>
      <c r="M7248" s="181"/>
    </row>
    <row r="7249" spans="2:13" ht="18.75" customHeight="1" x14ac:dyDescent="0.25">
      <c r="B7249" s="43"/>
      <c r="C7249" s="99"/>
      <c r="D7249" s="44"/>
      <c r="E7249" s="45"/>
      <c r="F7249" s="182"/>
      <c r="G7249" s="313"/>
      <c r="H7249" s="130"/>
      <c r="M7249" s="182"/>
    </row>
    <row r="7250" spans="2:13" ht="18.75" customHeight="1" x14ac:dyDescent="0.25">
      <c r="B7250" s="46" t="s">
        <v>647</v>
      </c>
      <c r="C7250" s="101" t="s">
        <v>648</v>
      </c>
      <c r="E7250" s="22"/>
      <c r="F7250" s="189"/>
      <c r="G7250" s="308"/>
      <c r="H7250" s="131">
        <f>+H7247+H7244+H7239</f>
        <v>244125</v>
      </c>
      <c r="M7250" s="189"/>
    </row>
    <row r="7251" spans="2:13" ht="18.75" customHeight="1" x14ac:dyDescent="0.25">
      <c r="B7251" s="356" t="s">
        <v>649</v>
      </c>
      <c r="C7251" s="364" t="s">
        <v>650</v>
      </c>
      <c r="D7251" s="435"/>
      <c r="E7251" s="92"/>
      <c r="F7251" s="184" t="str">
        <f>$J$5</f>
        <v>8,0 % x D</v>
      </c>
      <c r="G7251" s="295"/>
      <c r="H7251" s="358">
        <f>+H7250*$K$5</f>
        <v>19530</v>
      </c>
      <c r="M7251" s="184" t="str">
        <f>$J$5</f>
        <v>8,0 % x D</v>
      </c>
    </row>
    <row r="7252" spans="2:13" ht="18.75" customHeight="1" x14ac:dyDescent="0.25">
      <c r="B7252" s="356" t="s">
        <v>651</v>
      </c>
      <c r="C7252" s="365" t="s">
        <v>652</v>
      </c>
      <c r="D7252" s="435"/>
      <c r="E7252" s="91"/>
      <c r="F7252" s="185"/>
      <c r="G7252" s="296"/>
      <c r="H7252" s="359">
        <f>ROUNDUP((H7251+H7250)/100,0)*100</f>
        <v>263700</v>
      </c>
      <c r="M7252" s="185"/>
    </row>
    <row r="7253" spans="2:13" ht="18.75" customHeight="1" thickBot="1" x14ac:dyDescent="0.3">
      <c r="B7253" s="47"/>
      <c r="C7253" s="103"/>
      <c r="D7253" s="48"/>
      <c r="E7253" s="49"/>
      <c r="F7253" s="186"/>
      <c r="G7253" s="309"/>
      <c r="H7253" s="136"/>
      <c r="M7253" s="186"/>
    </row>
    <row r="7254" spans="2:13" ht="18.75" customHeight="1" x14ac:dyDescent="0.25">
      <c r="G7254" s="66"/>
      <c r="H7254" s="138"/>
    </row>
    <row r="7255" spans="2:13" ht="18.75" customHeight="1" x14ac:dyDescent="0.25">
      <c r="B7255" s="19">
        <f>+B7230+1</f>
        <v>27</v>
      </c>
      <c r="C7255" s="93" t="s">
        <v>1218</v>
      </c>
      <c r="D7255" s="19"/>
      <c r="E7255" s="21"/>
      <c r="F7255" s="176"/>
      <c r="G7255" s="165"/>
      <c r="H7255" s="119"/>
      <c r="M7255" s="176"/>
    </row>
    <row r="7256" spans="2:13" ht="18.75" customHeight="1" x14ac:dyDescent="0.25">
      <c r="B7256" s="618" t="s">
        <v>620</v>
      </c>
      <c r="C7256" s="620" t="s">
        <v>621</v>
      </c>
      <c r="D7256" s="618" t="s">
        <v>622</v>
      </c>
      <c r="E7256" s="618" t="s">
        <v>2</v>
      </c>
      <c r="F7256" s="615" t="s">
        <v>623</v>
      </c>
      <c r="G7256" s="289" t="s">
        <v>624</v>
      </c>
      <c r="H7256" s="256" t="s">
        <v>625</v>
      </c>
      <c r="M7256" s="615" t="s">
        <v>623</v>
      </c>
    </row>
    <row r="7257" spans="2:13" ht="18.75" customHeight="1" x14ac:dyDescent="0.25">
      <c r="B7257" s="619"/>
      <c r="C7257" s="621"/>
      <c r="D7257" s="619"/>
      <c r="E7257" s="619"/>
      <c r="F7257" s="616"/>
      <c r="G7257" s="289" t="s">
        <v>626</v>
      </c>
      <c r="H7257" s="256" t="s">
        <v>626</v>
      </c>
      <c r="M7257" s="616"/>
    </row>
    <row r="7258" spans="2:13" ht="18.75" customHeight="1" x14ac:dyDescent="0.25">
      <c r="B7258" s="23"/>
      <c r="C7258" s="95"/>
      <c r="D7258" s="24"/>
      <c r="E7258" s="25"/>
      <c r="F7258" s="177"/>
      <c r="G7258" s="166"/>
      <c r="H7258" s="120"/>
      <c r="M7258" s="177"/>
    </row>
    <row r="7259" spans="2:13" ht="18.75" customHeight="1" x14ac:dyDescent="0.25">
      <c r="B7259" s="26" t="s">
        <v>627</v>
      </c>
      <c r="C7259" s="89" t="s">
        <v>628</v>
      </c>
      <c r="D7259" s="27"/>
      <c r="E7259" s="28"/>
      <c r="F7259" s="178"/>
      <c r="G7259" s="72"/>
      <c r="H7259" s="121"/>
      <c r="M7259" s="178"/>
    </row>
    <row r="7260" spans="2:13" ht="18.75" customHeight="1" x14ac:dyDescent="0.25">
      <c r="B7260" s="26"/>
      <c r="C7260" s="96" t="s">
        <v>629</v>
      </c>
      <c r="D7260" s="27" t="s">
        <v>630</v>
      </c>
      <c r="E7260" s="28" t="s">
        <v>631</v>
      </c>
      <c r="F7260" s="61">
        <f>F7235</f>
        <v>0.1</v>
      </c>
      <c r="G7260" s="29">
        <f>G7235</f>
        <v>95000</v>
      </c>
      <c r="H7260" s="122">
        <f>+G7260*F7260</f>
        <v>9500</v>
      </c>
      <c r="M7260" s="61">
        <f>M7235</f>
        <v>0.1</v>
      </c>
    </row>
    <row r="7261" spans="2:13" ht="18.75" customHeight="1" x14ac:dyDescent="0.25">
      <c r="B7261" s="26"/>
      <c r="C7261" s="96" t="s">
        <v>1508</v>
      </c>
      <c r="D7261" s="27" t="s">
        <v>634</v>
      </c>
      <c r="E7261" s="28" t="s">
        <v>631</v>
      </c>
      <c r="F7261" s="61">
        <f>F7236</f>
        <v>0.2</v>
      </c>
      <c r="G7261" s="29">
        <f t="shared" ref="G7261:G7263" si="337">G7236</f>
        <v>110000</v>
      </c>
      <c r="H7261" s="122">
        <f>+G7261*F7261</f>
        <v>22000</v>
      </c>
      <c r="M7261" s="61">
        <f>M7236</f>
        <v>0.2</v>
      </c>
    </row>
    <row r="7262" spans="2:13" ht="18.75" customHeight="1" x14ac:dyDescent="0.25">
      <c r="B7262" s="26"/>
      <c r="C7262" s="96" t="s">
        <v>633</v>
      </c>
      <c r="D7262" s="27" t="s">
        <v>634</v>
      </c>
      <c r="E7262" s="28" t="s">
        <v>631</v>
      </c>
      <c r="F7262" s="61">
        <f>F7237</f>
        <v>0.02</v>
      </c>
      <c r="G7262" s="29">
        <f t="shared" si="337"/>
        <v>115000</v>
      </c>
      <c r="H7262" s="122">
        <f>+G7262*F7262</f>
        <v>2300</v>
      </c>
      <c r="M7262" s="61">
        <f>M7237</f>
        <v>0.02</v>
      </c>
    </row>
    <row r="7263" spans="2:13" ht="18.75" customHeight="1" x14ac:dyDescent="0.25">
      <c r="B7263" s="26"/>
      <c r="C7263" s="96" t="s">
        <v>600</v>
      </c>
      <c r="D7263" s="27" t="s">
        <v>635</v>
      </c>
      <c r="E7263" s="36" t="s">
        <v>631</v>
      </c>
      <c r="F7263" s="193">
        <f>F7238</f>
        <v>5.0000000000000001E-3</v>
      </c>
      <c r="G7263" s="29">
        <f t="shared" si="337"/>
        <v>140000</v>
      </c>
      <c r="H7263" s="123">
        <f>+G7263*F7263</f>
        <v>700</v>
      </c>
      <c r="M7263" s="193">
        <f>M7238</f>
        <v>5.0000000000000001E-3</v>
      </c>
    </row>
    <row r="7264" spans="2:13" ht="18.75" customHeight="1" x14ac:dyDescent="0.25">
      <c r="B7264" s="26"/>
      <c r="C7264" s="89"/>
      <c r="D7264" s="63"/>
      <c r="E7264" s="30"/>
      <c r="F7264" s="192" t="s">
        <v>636</v>
      </c>
      <c r="G7264" s="310"/>
      <c r="H7264" s="124">
        <f>SUM(H7260:H7263)</f>
        <v>34500</v>
      </c>
      <c r="M7264" s="192" t="s">
        <v>636</v>
      </c>
    </row>
    <row r="7265" spans="2:13" ht="18.75" customHeight="1" x14ac:dyDescent="0.25">
      <c r="B7265" s="26"/>
      <c r="C7265" s="89"/>
      <c r="D7265" s="58"/>
      <c r="E7265" s="62"/>
      <c r="F7265" s="52"/>
      <c r="G7265" s="76"/>
      <c r="H7265" s="140"/>
      <c r="M7265" s="52"/>
    </row>
    <row r="7266" spans="2:13" ht="18.75" customHeight="1" x14ac:dyDescent="0.25">
      <c r="B7266" s="26" t="s">
        <v>637</v>
      </c>
      <c r="C7266" s="89" t="s">
        <v>638</v>
      </c>
      <c r="D7266" s="64"/>
      <c r="E7266" s="31"/>
      <c r="F7266" s="180"/>
      <c r="G7266" s="75"/>
      <c r="H7266" s="125"/>
      <c r="M7266" s="180"/>
    </row>
    <row r="7267" spans="2:13" ht="18.75" customHeight="1" x14ac:dyDescent="0.25">
      <c r="B7267" s="26"/>
      <c r="C7267" s="89" t="s">
        <v>1219</v>
      </c>
      <c r="D7267" s="64"/>
      <c r="E7267" s="64" t="s">
        <v>14</v>
      </c>
      <c r="F7267" s="205">
        <v>1.1000000000000001</v>
      </c>
      <c r="G7267" s="75">
        <f>Bahan!D505</f>
        <v>52500</v>
      </c>
      <c r="H7267" s="122">
        <f>+G7267*F7267</f>
        <v>57750.000000000007</v>
      </c>
      <c r="M7267" s="205">
        <v>1.1000000000000001</v>
      </c>
    </row>
    <row r="7268" spans="2:13" ht="18.75" customHeight="1" x14ac:dyDescent="0.25">
      <c r="B7268" s="26"/>
      <c r="C7268" s="89" t="s">
        <v>1627</v>
      </c>
      <c r="D7268" s="64"/>
      <c r="E7268" s="64" t="s">
        <v>5</v>
      </c>
      <c r="F7268" s="205">
        <v>7.4999999999999997E-2</v>
      </c>
      <c r="G7268" s="34">
        <f>Bahan!D346</f>
        <v>28000</v>
      </c>
      <c r="H7268" s="122">
        <f>+G7268*F7268</f>
        <v>2100</v>
      </c>
      <c r="M7268" s="205">
        <v>7.4999999999999997E-2</v>
      </c>
    </row>
    <row r="7269" spans="2:13" ht="18.75" customHeight="1" x14ac:dyDescent="0.25">
      <c r="B7269" s="26"/>
      <c r="C7269" s="89" t="s">
        <v>1221</v>
      </c>
      <c r="D7269" s="58"/>
      <c r="E7269" s="58" t="s">
        <v>14</v>
      </c>
      <c r="F7269" s="206">
        <v>1.1000000000000001</v>
      </c>
      <c r="G7269" s="170">
        <f>Bahan!D142</f>
        <v>8000</v>
      </c>
      <c r="H7269" s="122">
        <f>+G7269*F7269</f>
        <v>8800</v>
      </c>
      <c r="M7269" s="206">
        <v>1.1000000000000001</v>
      </c>
    </row>
    <row r="7270" spans="2:13" ht="18.75" customHeight="1" x14ac:dyDescent="0.25">
      <c r="B7270" s="26"/>
      <c r="C7270" s="89"/>
      <c r="D7270" s="63"/>
      <c r="E7270" s="30"/>
      <c r="F7270" s="179" t="s">
        <v>643</v>
      </c>
      <c r="G7270" s="310"/>
      <c r="H7270" s="124">
        <f>SUM(H7267:H7269)</f>
        <v>68650</v>
      </c>
      <c r="M7270" s="179" t="s">
        <v>643</v>
      </c>
    </row>
    <row r="7271" spans="2:13" ht="18.75" customHeight="1" x14ac:dyDescent="0.25">
      <c r="B7271" s="26"/>
      <c r="C7271" s="89"/>
      <c r="D7271" s="64"/>
      <c r="E7271" s="31"/>
      <c r="F7271" s="180"/>
      <c r="G7271" s="75"/>
      <c r="H7271" s="125"/>
      <c r="M7271" s="180"/>
    </row>
    <row r="7272" spans="2:13" ht="18.75" customHeight="1" x14ac:dyDescent="0.25">
      <c r="B7272" s="26" t="s">
        <v>644</v>
      </c>
      <c r="C7272" s="89" t="s">
        <v>645</v>
      </c>
      <c r="D7272" s="56"/>
      <c r="E7272" s="36"/>
      <c r="F7272" s="194"/>
      <c r="G7272" s="88"/>
      <c r="H7272" s="127"/>
      <c r="M7272" s="194"/>
    </row>
    <row r="7273" spans="2:13" ht="18.75" customHeight="1" x14ac:dyDescent="0.25">
      <c r="B7273" s="35"/>
      <c r="C7273" s="97"/>
      <c r="D7273" s="63"/>
      <c r="E7273" s="30"/>
      <c r="F7273" s="179" t="s">
        <v>646</v>
      </c>
      <c r="G7273" s="310"/>
      <c r="H7273" s="128"/>
      <c r="M7273" s="179" t="s">
        <v>646</v>
      </c>
    </row>
    <row r="7274" spans="2:13" ht="18.75" customHeight="1" x14ac:dyDescent="0.25">
      <c r="B7274" s="37"/>
      <c r="C7274" s="98"/>
      <c r="D7274" s="411"/>
      <c r="E7274" s="42"/>
      <c r="F7274" s="181"/>
      <c r="G7274" s="311"/>
      <c r="H7274" s="129"/>
      <c r="M7274" s="181"/>
    </row>
    <row r="7275" spans="2:13" ht="18.75" customHeight="1" x14ac:dyDescent="0.25">
      <c r="B7275" s="43"/>
      <c r="C7275" s="99"/>
      <c r="D7275" s="44"/>
      <c r="E7275" s="45"/>
      <c r="F7275" s="182"/>
      <c r="G7275" s="313"/>
      <c r="H7275" s="130"/>
      <c r="M7275" s="182"/>
    </row>
    <row r="7276" spans="2:13" ht="18.75" customHeight="1" x14ac:dyDescent="0.25">
      <c r="B7276" s="46" t="s">
        <v>647</v>
      </c>
      <c r="C7276" s="101" t="s">
        <v>648</v>
      </c>
      <c r="E7276" s="22"/>
      <c r="F7276" s="189"/>
      <c r="G7276" s="308"/>
      <c r="H7276" s="131">
        <f>+H7273+H7270+H7264</f>
        <v>103150</v>
      </c>
      <c r="M7276" s="189"/>
    </row>
    <row r="7277" spans="2:13" ht="18.75" customHeight="1" x14ac:dyDescent="0.25">
      <c r="B7277" s="356" t="s">
        <v>649</v>
      </c>
      <c r="C7277" s="364" t="s">
        <v>650</v>
      </c>
      <c r="D7277" s="435"/>
      <c r="E7277" s="92"/>
      <c r="F7277" s="184" t="str">
        <f>$J$5</f>
        <v>8,0 % x D</v>
      </c>
      <c r="G7277" s="295"/>
      <c r="H7277" s="358">
        <f>+H7276*$K$5</f>
        <v>8252</v>
      </c>
      <c r="M7277" s="184" t="str">
        <f>$J$5</f>
        <v>8,0 % x D</v>
      </c>
    </row>
    <row r="7278" spans="2:13" ht="18.75" customHeight="1" x14ac:dyDescent="0.25">
      <c r="B7278" s="356" t="s">
        <v>651</v>
      </c>
      <c r="C7278" s="365" t="s">
        <v>652</v>
      </c>
      <c r="D7278" s="435"/>
      <c r="E7278" s="91"/>
      <c r="F7278" s="185"/>
      <c r="G7278" s="296"/>
      <c r="H7278" s="359">
        <f>ROUNDUP((H7277+H7276)/100,0)*100</f>
        <v>111500</v>
      </c>
      <c r="M7278" s="185"/>
    </row>
    <row r="7279" spans="2:13" ht="18.75" customHeight="1" thickBot="1" x14ac:dyDescent="0.3">
      <c r="B7279" s="47"/>
      <c r="C7279" s="103"/>
      <c r="D7279" s="48"/>
      <c r="E7279" s="49"/>
      <c r="F7279" s="186"/>
      <c r="G7279" s="309"/>
      <c r="H7279" s="136"/>
      <c r="M7279" s="186"/>
    </row>
    <row r="7280" spans="2:13" ht="18.75" customHeight="1" x14ac:dyDescent="0.25">
      <c r="B7280" s="92"/>
      <c r="C7280" s="104"/>
      <c r="D7280" s="435"/>
      <c r="E7280" s="91"/>
      <c r="F7280" s="185"/>
      <c r="G7280" s="168"/>
      <c r="H7280" s="139"/>
      <c r="M7280" s="185"/>
    </row>
    <row r="7281" spans="2:13" ht="18.75" customHeight="1" x14ac:dyDescent="0.25">
      <c r="B7281" s="19">
        <f>+B7255+1</f>
        <v>28</v>
      </c>
      <c r="C7281" s="93" t="s">
        <v>1222</v>
      </c>
      <c r="D7281" s="19"/>
      <c r="E7281" s="21"/>
      <c r="F7281" s="176"/>
      <c r="G7281" s="165"/>
      <c r="H7281" s="119"/>
      <c r="M7281" s="176"/>
    </row>
    <row r="7282" spans="2:13" ht="18.75" customHeight="1" x14ac:dyDescent="0.25">
      <c r="B7282" s="618" t="s">
        <v>620</v>
      </c>
      <c r="C7282" s="620" t="s">
        <v>621</v>
      </c>
      <c r="D7282" s="618" t="s">
        <v>622</v>
      </c>
      <c r="E7282" s="618" t="s">
        <v>2</v>
      </c>
      <c r="F7282" s="615" t="s">
        <v>623</v>
      </c>
      <c r="G7282" s="289" t="s">
        <v>624</v>
      </c>
      <c r="H7282" s="256" t="s">
        <v>625</v>
      </c>
      <c r="M7282" s="615" t="s">
        <v>623</v>
      </c>
    </row>
    <row r="7283" spans="2:13" ht="18.75" customHeight="1" x14ac:dyDescent="0.25">
      <c r="B7283" s="619"/>
      <c r="C7283" s="621"/>
      <c r="D7283" s="619"/>
      <c r="E7283" s="619"/>
      <c r="F7283" s="616"/>
      <c r="G7283" s="289" t="s">
        <v>626</v>
      </c>
      <c r="H7283" s="256" t="s">
        <v>626</v>
      </c>
      <c r="M7283" s="616"/>
    </row>
    <row r="7284" spans="2:13" ht="18.75" customHeight="1" x14ac:dyDescent="0.25">
      <c r="B7284" s="23"/>
      <c r="C7284" s="95"/>
      <c r="D7284" s="24"/>
      <c r="E7284" s="25"/>
      <c r="F7284" s="177"/>
      <c r="G7284" s="166"/>
      <c r="H7284" s="120"/>
      <c r="M7284" s="177"/>
    </row>
    <row r="7285" spans="2:13" ht="18.75" customHeight="1" x14ac:dyDescent="0.25">
      <c r="B7285" s="26" t="s">
        <v>627</v>
      </c>
      <c r="C7285" s="89" t="s">
        <v>628</v>
      </c>
      <c r="D7285" s="27"/>
      <c r="E7285" s="28"/>
      <c r="F7285" s="178"/>
      <c r="G7285" s="72"/>
      <c r="H7285" s="121"/>
      <c r="M7285" s="178"/>
    </row>
    <row r="7286" spans="2:13" ht="18.75" customHeight="1" x14ac:dyDescent="0.25">
      <c r="B7286" s="26"/>
      <c r="C7286" s="96" t="s">
        <v>629</v>
      </c>
      <c r="D7286" s="27" t="s">
        <v>630</v>
      </c>
      <c r="E7286" s="28" t="s">
        <v>631</v>
      </c>
      <c r="F7286" s="61">
        <v>0.1</v>
      </c>
      <c r="G7286" s="29">
        <f>G7260</f>
        <v>95000</v>
      </c>
      <c r="H7286" s="122">
        <f>+G7286*F7286</f>
        <v>9500</v>
      </c>
      <c r="M7286" s="61">
        <v>0.1</v>
      </c>
    </row>
    <row r="7287" spans="2:13" ht="18.75" customHeight="1" x14ac:dyDescent="0.25">
      <c r="B7287" s="26"/>
      <c r="C7287" s="96" t="s">
        <v>1508</v>
      </c>
      <c r="D7287" s="27" t="s">
        <v>634</v>
      </c>
      <c r="E7287" s="28" t="s">
        <v>631</v>
      </c>
      <c r="F7287" s="61">
        <v>0.17649999999999999</v>
      </c>
      <c r="G7287" s="29">
        <f t="shared" ref="G7287:G7289" si="338">G7261</f>
        <v>110000</v>
      </c>
      <c r="H7287" s="122">
        <f>+G7287*F7287</f>
        <v>19415</v>
      </c>
      <c r="M7287" s="61">
        <v>0.17649999999999999</v>
      </c>
    </row>
    <row r="7288" spans="2:13" ht="18.75" customHeight="1" x14ac:dyDescent="0.25">
      <c r="B7288" s="26"/>
      <c r="C7288" s="96" t="s">
        <v>633</v>
      </c>
      <c r="D7288" s="27" t="s">
        <v>634</v>
      </c>
      <c r="E7288" s="28" t="s">
        <v>631</v>
      </c>
      <c r="F7288" s="61">
        <v>2.7E-2</v>
      </c>
      <c r="G7288" s="29">
        <f t="shared" si="338"/>
        <v>115000</v>
      </c>
      <c r="H7288" s="122">
        <f>+G7288*F7288</f>
        <v>3105</v>
      </c>
      <c r="M7288" s="61">
        <v>2.7E-2</v>
      </c>
    </row>
    <row r="7289" spans="2:13" ht="18.75" customHeight="1" x14ac:dyDescent="0.25">
      <c r="B7289" s="26"/>
      <c r="C7289" s="96" t="s">
        <v>600</v>
      </c>
      <c r="D7289" s="27" t="s">
        <v>635</v>
      </c>
      <c r="E7289" s="36" t="s">
        <v>631</v>
      </c>
      <c r="F7289" s="193">
        <v>7.4999999999999997E-2</v>
      </c>
      <c r="G7289" s="29">
        <f t="shared" si="338"/>
        <v>140000</v>
      </c>
      <c r="H7289" s="123">
        <f>+G7289*F7289</f>
        <v>10500</v>
      </c>
      <c r="M7289" s="193">
        <v>7.4999999999999997E-2</v>
      </c>
    </row>
    <row r="7290" spans="2:13" ht="18.75" customHeight="1" x14ac:dyDescent="0.25">
      <c r="B7290" s="26"/>
      <c r="C7290" s="89"/>
      <c r="D7290" s="63"/>
      <c r="E7290" s="30"/>
      <c r="F7290" s="192" t="s">
        <v>636</v>
      </c>
      <c r="G7290" s="310"/>
      <c r="H7290" s="124">
        <f>SUM(H7286:H7289)</f>
        <v>42520</v>
      </c>
      <c r="M7290" s="192" t="s">
        <v>636</v>
      </c>
    </row>
    <row r="7291" spans="2:13" ht="18.75" customHeight="1" x14ac:dyDescent="0.25">
      <c r="B7291" s="26"/>
      <c r="C7291" s="89"/>
      <c r="D7291" s="58"/>
      <c r="E7291" s="62"/>
      <c r="F7291" s="52"/>
      <c r="G7291" s="76"/>
      <c r="H7291" s="140"/>
      <c r="M7291" s="52"/>
    </row>
    <row r="7292" spans="2:13" ht="18.75" customHeight="1" x14ac:dyDescent="0.25">
      <c r="B7292" s="26" t="s">
        <v>637</v>
      </c>
      <c r="C7292" s="89" t="s">
        <v>638</v>
      </c>
      <c r="D7292" s="64"/>
      <c r="E7292" s="31"/>
      <c r="F7292" s="180"/>
      <c r="G7292" s="75"/>
      <c r="H7292" s="125"/>
      <c r="M7292" s="180"/>
    </row>
    <row r="7293" spans="2:13" ht="18.75" customHeight="1" x14ac:dyDescent="0.25">
      <c r="B7293" s="26"/>
      <c r="C7293" s="89" t="s">
        <v>1223</v>
      </c>
      <c r="D7293" s="64"/>
      <c r="E7293" s="64" t="s">
        <v>129</v>
      </c>
      <c r="F7293" s="205">
        <v>1</v>
      </c>
      <c r="G7293" s="75">
        <f>Bahan!D506</f>
        <v>115000</v>
      </c>
      <c r="H7293" s="122">
        <f>+G7293*F7293</f>
        <v>115000</v>
      </c>
      <c r="M7293" s="205">
        <v>1</v>
      </c>
    </row>
    <row r="7294" spans="2:13" ht="18.75" customHeight="1" x14ac:dyDescent="0.25">
      <c r="B7294" s="26"/>
      <c r="C7294" s="89" t="s">
        <v>1220</v>
      </c>
      <c r="D7294" s="64"/>
      <c r="E7294" s="64" t="s">
        <v>5</v>
      </c>
      <c r="F7294" s="205">
        <v>7.4999999999999997E-2</v>
      </c>
      <c r="G7294" s="34">
        <f>+G7268</f>
        <v>28000</v>
      </c>
      <c r="H7294" s="122">
        <f>+G7294*F7294</f>
        <v>2100</v>
      </c>
      <c r="M7294" s="205">
        <v>7.4999999999999997E-2</v>
      </c>
    </row>
    <row r="7295" spans="2:13" ht="18.75" customHeight="1" x14ac:dyDescent="0.25">
      <c r="B7295" s="26"/>
      <c r="C7295" s="89" t="s">
        <v>1224</v>
      </c>
      <c r="D7295" s="58"/>
      <c r="E7295" s="58" t="s">
        <v>14</v>
      </c>
      <c r="F7295" s="206">
        <v>1.1000000000000001</v>
      </c>
      <c r="G7295" s="170">
        <f>G7269</f>
        <v>8000</v>
      </c>
      <c r="H7295" s="132">
        <f>F7295*G7295</f>
        <v>8800</v>
      </c>
      <c r="M7295" s="206">
        <v>1.1000000000000001</v>
      </c>
    </row>
    <row r="7296" spans="2:13" ht="18.75" customHeight="1" x14ac:dyDescent="0.25">
      <c r="B7296" s="26"/>
      <c r="C7296" s="89"/>
      <c r="D7296" s="63"/>
      <c r="E7296" s="30"/>
      <c r="F7296" s="179" t="s">
        <v>643</v>
      </c>
      <c r="G7296" s="310"/>
      <c r="H7296" s="124">
        <f>SUM(H7293:H7295)</f>
        <v>125900</v>
      </c>
      <c r="M7296" s="179" t="s">
        <v>643</v>
      </c>
    </row>
    <row r="7297" spans="2:13" ht="18.75" customHeight="1" x14ac:dyDescent="0.25">
      <c r="B7297" s="26"/>
      <c r="C7297" s="89"/>
      <c r="D7297" s="64"/>
      <c r="E7297" s="31"/>
      <c r="F7297" s="180"/>
      <c r="G7297" s="75"/>
      <c r="H7297" s="125"/>
      <c r="M7297" s="180"/>
    </row>
    <row r="7298" spans="2:13" ht="18.75" customHeight="1" x14ac:dyDescent="0.25">
      <c r="B7298" s="26" t="s">
        <v>644</v>
      </c>
      <c r="C7298" s="89" t="s">
        <v>645</v>
      </c>
      <c r="D7298" s="56"/>
      <c r="E7298" s="36"/>
      <c r="F7298" s="194"/>
      <c r="G7298" s="88"/>
      <c r="H7298" s="127"/>
      <c r="M7298" s="194"/>
    </row>
    <row r="7299" spans="2:13" ht="18.75" customHeight="1" x14ac:dyDescent="0.25">
      <c r="B7299" s="35"/>
      <c r="C7299" s="97"/>
      <c r="D7299" s="63"/>
      <c r="E7299" s="30"/>
      <c r="F7299" s="179" t="s">
        <v>646</v>
      </c>
      <c r="G7299" s="310"/>
      <c r="H7299" s="128"/>
      <c r="M7299" s="179" t="s">
        <v>646</v>
      </c>
    </row>
    <row r="7300" spans="2:13" ht="18.75" customHeight="1" x14ac:dyDescent="0.25">
      <c r="B7300" s="37"/>
      <c r="C7300" s="98"/>
      <c r="D7300" s="411"/>
      <c r="E7300" s="42"/>
      <c r="F7300" s="181"/>
      <c r="G7300" s="311"/>
      <c r="H7300" s="129"/>
      <c r="M7300" s="181"/>
    </row>
    <row r="7301" spans="2:13" ht="18.75" customHeight="1" x14ac:dyDescent="0.25">
      <c r="B7301" s="43"/>
      <c r="C7301" s="99"/>
      <c r="D7301" s="44"/>
      <c r="E7301" s="45"/>
      <c r="F7301" s="182"/>
      <c r="G7301" s="313"/>
      <c r="H7301" s="130"/>
      <c r="M7301" s="182"/>
    </row>
    <row r="7302" spans="2:13" ht="18.75" customHeight="1" x14ac:dyDescent="0.25">
      <c r="B7302" s="46" t="s">
        <v>647</v>
      </c>
      <c r="C7302" s="101" t="s">
        <v>648</v>
      </c>
      <c r="E7302" s="22"/>
      <c r="F7302" s="189"/>
      <c r="G7302" s="308"/>
      <c r="H7302" s="131">
        <f>+H7299+H7296+H7290</f>
        <v>168420</v>
      </c>
      <c r="M7302" s="189"/>
    </row>
    <row r="7303" spans="2:13" ht="18.75" customHeight="1" x14ac:dyDescent="0.25">
      <c r="B7303" s="356" t="s">
        <v>649</v>
      </c>
      <c r="C7303" s="364" t="s">
        <v>650</v>
      </c>
      <c r="D7303" s="435"/>
      <c r="E7303" s="92"/>
      <c r="F7303" s="184" t="str">
        <f>$J$5</f>
        <v>8,0 % x D</v>
      </c>
      <c r="G7303" s="295"/>
      <c r="H7303" s="358">
        <f>+H7302*$K$5</f>
        <v>13473.6</v>
      </c>
      <c r="M7303" s="184" t="str">
        <f>$J$5</f>
        <v>8,0 % x D</v>
      </c>
    </row>
    <row r="7304" spans="2:13" ht="18.75" customHeight="1" x14ac:dyDescent="0.25">
      <c r="B7304" s="356" t="s">
        <v>651</v>
      </c>
      <c r="C7304" s="365" t="s">
        <v>652</v>
      </c>
      <c r="D7304" s="435"/>
      <c r="E7304" s="91"/>
      <c r="F7304" s="185"/>
      <c r="G7304" s="296"/>
      <c r="H7304" s="359">
        <f>ROUNDUP((H7303+H7302)/100,0)*100</f>
        <v>181900</v>
      </c>
      <c r="M7304" s="185"/>
    </row>
    <row r="7305" spans="2:13" ht="18.75" customHeight="1" thickBot="1" x14ac:dyDescent="0.3">
      <c r="B7305" s="47"/>
      <c r="C7305" s="103"/>
      <c r="D7305" s="48"/>
      <c r="E7305" s="49"/>
      <c r="F7305" s="186"/>
      <c r="G7305" s="309"/>
      <c r="H7305" s="136"/>
      <c r="M7305" s="186"/>
    </row>
    <row r="7306" spans="2:13" ht="18.75" customHeight="1" x14ac:dyDescent="0.25">
      <c r="B7306" s="22"/>
      <c r="C7306" s="104"/>
      <c r="E7306" s="21"/>
      <c r="F7306" s="176"/>
      <c r="G7306" s="165"/>
      <c r="H7306" s="119"/>
      <c r="M7306" s="176"/>
    </row>
    <row r="7307" spans="2:13" ht="18.75" customHeight="1" x14ac:dyDescent="0.25">
      <c r="B7307" s="19">
        <f>B7281+1</f>
        <v>29</v>
      </c>
      <c r="C7307" s="93" t="s">
        <v>1225</v>
      </c>
      <c r="D7307" s="19"/>
      <c r="E7307" s="21"/>
      <c r="F7307" s="176"/>
      <c r="G7307" s="165"/>
      <c r="H7307" s="119"/>
      <c r="M7307" s="176"/>
    </row>
    <row r="7308" spans="2:13" ht="18.75" customHeight="1" x14ac:dyDescent="0.25">
      <c r="B7308" s="618" t="s">
        <v>620</v>
      </c>
      <c r="C7308" s="620" t="s">
        <v>621</v>
      </c>
      <c r="D7308" s="618" t="s">
        <v>622</v>
      </c>
      <c r="E7308" s="618" t="s">
        <v>2</v>
      </c>
      <c r="F7308" s="615" t="s">
        <v>623</v>
      </c>
      <c r="G7308" s="289" t="s">
        <v>624</v>
      </c>
      <c r="H7308" s="256" t="s">
        <v>625</v>
      </c>
      <c r="M7308" s="615" t="s">
        <v>623</v>
      </c>
    </row>
    <row r="7309" spans="2:13" ht="18.75" customHeight="1" x14ac:dyDescent="0.25">
      <c r="B7309" s="619"/>
      <c r="C7309" s="621"/>
      <c r="D7309" s="619"/>
      <c r="E7309" s="619"/>
      <c r="F7309" s="616"/>
      <c r="G7309" s="289" t="s">
        <v>626</v>
      </c>
      <c r="H7309" s="256" t="s">
        <v>626</v>
      </c>
      <c r="M7309" s="616"/>
    </row>
    <row r="7310" spans="2:13" ht="18.75" customHeight="1" x14ac:dyDescent="0.25">
      <c r="B7310" s="23"/>
      <c r="C7310" s="95"/>
      <c r="D7310" s="24"/>
      <c r="E7310" s="25"/>
      <c r="F7310" s="177"/>
      <c r="G7310" s="166"/>
      <c r="H7310" s="120"/>
      <c r="M7310" s="177"/>
    </row>
    <row r="7311" spans="2:13" ht="18.75" customHeight="1" x14ac:dyDescent="0.25">
      <c r="B7311" s="26" t="s">
        <v>627</v>
      </c>
      <c r="C7311" s="89" t="s">
        <v>628</v>
      </c>
      <c r="D7311" s="27"/>
      <c r="E7311" s="28"/>
      <c r="F7311" s="178"/>
      <c r="G7311" s="72"/>
      <c r="H7311" s="121"/>
      <c r="M7311" s="178"/>
    </row>
    <row r="7312" spans="2:13" ht="18.75" customHeight="1" x14ac:dyDescent="0.25">
      <c r="B7312" s="26"/>
      <c r="C7312" s="96" t="s">
        <v>629</v>
      </c>
      <c r="D7312" s="27" t="s">
        <v>630</v>
      </c>
      <c r="E7312" s="28" t="s">
        <v>631</v>
      </c>
      <c r="F7312" s="61">
        <v>0.15</v>
      </c>
      <c r="G7312" s="29">
        <f>G7286</f>
        <v>95000</v>
      </c>
      <c r="H7312" s="122">
        <f>+G7312*F7312</f>
        <v>14250</v>
      </c>
      <c r="M7312" s="61">
        <v>0.15</v>
      </c>
    </row>
    <row r="7313" spans="2:13" ht="18.75" customHeight="1" x14ac:dyDescent="0.25">
      <c r="B7313" s="26"/>
      <c r="C7313" s="96" t="s">
        <v>1508</v>
      </c>
      <c r="D7313" s="27" t="s">
        <v>634</v>
      </c>
      <c r="E7313" s="28" t="s">
        <v>631</v>
      </c>
      <c r="F7313" s="61">
        <v>0.45</v>
      </c>
      <c r="G7313" s="29">
        <f t="shared" ref="G7313:G7315" si="339">G7287</f>
        <v>110000</v>
      </c>
      <c r="H7313" s="122">
        <f>+G7313*F7313</f>
        <v>49500</v>
      </c>
      <c r="M7313" s="61">
        <v>0.45</v>
      </c>
    </row>
    <row r="7314" spans="2:13" ht="18.75" customHeight="1" x14ac:dyDescent="0.25">
      <c r="B7314" s="26"/>
      <c r="C7314" s="96" t="s">
        <v>633</v>
      </c>
      <c r="D7314" s="27" t="s">
        <v>634</v>
      </c>
      <c r="E7314" s="28" t="s">
        <v>631</v>
      </c>
      <c r="F7314" s="61">
        <v>7.5499999999999998E-2</v>
      </c>
      <c r="G7314" s="29">
        <f t="shared" si="339"/>
        <v>115000</v>
      </c>
      <c r="H7314" s="122">
        <f>+G7314*F7314</f>
        <v>8682.5</v>
      </c>
      <c r="M7314" s="61">
        <v>7.5499999999999998E-2</v>
      </c>
    </row>
    <row r="7315" spans="2:13" ht="18.75" customHeight="1" x14ac:dyDescent="0.25">
      <c r="B7315" s="26"/>
      <c r="C7315" s="96" t="s">
        <v>600</v>
      </c>
      <c r="D7315" s="27" t="s">
        <v>635</v>
      </c>
      <c r="E7315" s="36" t="s">
        <v>631</v>
      </c>
      <c r="F7315" s="193">
        <v>8.0000000000000002E-3</v>
      </c>
      <c r="G7315" s="29">
        <f t="shared" si="339"/>
        <v>140000</v>
      </c>
      <c r="H7315" s="123">
        <f>+G7315*F7315</f>
        <v>1120</v>
      </c>
      <c r="M7315" s="193">
        <v>8.0000000000000002E-3</v>
      </c>
    </row>
    <row r="7316" spans="2:13" ht="18.75" customHeight="1" x14ac:dyDescent="0.25">
      <c r="B7316" s="26"/>
      <c r="C7316" s="89"/>
      <c r="D7316" s="63"/>
      <c r="E7316" s="30"/>
      <c r="F7316" s="192" t="s">
        <v>636</v>
      </c>
      <c r="G7316" s="310"/>
      <c r="H7316" s="124">
        <f>SUM(H7312:H7315)</f>
        <v>73552.5</v>
      </c>
      <c r="M7316" s="192" t="s">
        <v>636</v>
      </c>
    </row>
    <row r="7317" spans="2:13" ht="18.75" customHeight="1" x14ac:dyDescent="0.25">
      <c r="B7317" s="26"/>
      <c r="C7317" s="89"/>
      <c r="D7317" s="58"/>
      <c r="E7317" s="62"/>
      <c r="F7317" s="52"/>
      <c r="G7317" s="76"/>
      <c r="H7317" s="140"/>
      <c r="M7317" s="52"/>
    </row>
    <row r="7318" spans="2:13" ht="18.75" customHeight="1" x14ac:dyDescent="0.25">
      <c r="B7318" s="26" t="s">
        <v>637</v>
      </c>
      <c r="C7318" s="89" t="s">
        <v>638</v>
      </c>
      <c r="D7318" s="64"/>
      <c r="E7318" s="31"/>
      <c r="F7318" s="180"/>
      <c r="G7318" s="75"/>
      <c r="H7318" s="125"/>
      <c r="M7318" s="180"/>
    </row>
    <row r="7319" spans="2:13" ht="18.75" customHeight="1" x14ac:dyDescent="0.25">
      <c r="B7319" s="26"/>
      <c r="C7319" s="89" t="s">
        <v>1226</v>
      </c>
      <c r="D7319" s="64"/>
      <c r="E7319" s="64" t="s">
        <v>1013</v>
      </c>
      <c r="F7319" s="205">
        <v>2.8000000000000001E-2</v>
      </c>
      <c r="G7319" s="75">
        <f>Bahan!D248</f>
        <v>12850000</v>
      </c>
      <c r="H7319" s="122">
        <f>+G7319*F7319</f>
        <v>359800</v>
      </c>
      <c r="M7319" s="205">
        <v>2.8000000000000001E-2</v>
      </c>
    </row>
    <row r="7320" spans="2:13" ht="18.75" customHeight="1" x14ac:dyDescent="0.25">
      <c r="B7320" s="26"/>
      <c r="C7320" s="89" t="s">
        <v>1227</v>
      </c>
      <c r="D7320" s="64"/>
      <c r="E7320" s="64" t="s">
        <v>5</v>
      </c>
      <c r="F7320" s="205">
        <v>0.15</v>
      </c>
      <c r="G7320" s="34">
        <f>G7185</f>
        <v>25000</v>
      </c>
      <c r="H7320" s="122">
        <f>+G7320*F7320</f>
        <v>3750</v>
      </c>
      <c r="M7320" s="205">
        <v>0.15</v>
      </c>
    </row>
    <row r="7321" spans="2:13" ht="18.75" customHeight="1" x14ac:dyDescent="0.25">
      <c r="B7321" s="26"/>
      <c r="C7321" s="89" t="s">
        <v>1228</v>
      </c>
      <c r="D7321" s="64"/>
      <c r="E7321" s="64" t="s">
        <v>18</v>
      </c>
      <c r="F7321" s="205">
        <v>0.86</v>
      </c>
      <c r="G7321" s="75">
        <f>Bahan!D543</f>
        <v>165000</v>
      </c>
      <c r="H7321" s="122">
        <f>+G7321*F7321</f>
        <v>141900</v>
      </c>
      <c r="M7321" s="205">
        <v>0.86</v>
      </c>
    </row>
    <row r="7322" spans="2:13" ht="18.75" customHeight="1" x14ac:dyDescent="0.25">
      <c r="B7322" s="26"/>
      <c r="C7322" s="89" t="s">
        <v>1161</v>
      </c>
      <c r="D7322" s="64"/>
      <c r="E7322" s="64" t="s">
        <v>5</v>
      </c>
      <c r="F7322" s="205">
        <v>0.56000000000000005</v>
      </c>
      <c r="G7322" s="75">
        <f>+G6842</f>
        <v>15000</v>
      </c>
      <c r="H7322" s="122">
        <f>+G7322*F7322</f>
        <v>8400</v>
      </c>
      <c r="M7322" s="205">
        <v>0.56000000000000005</v>
      </c>
    </row>
    <row r="7323" spans="2:13" ht="18.75" customHeight="1" x14ac:dyDescent="0.25">
      <c r="B7323" s="26"/>
      <c r="C7323" s="89"/>
      <c r="D7323" s="63"/>
      <c r="E7323" s="30"/>
      <c r="F7323" s="179" t="s">
        <v>643</v>
      </c>
      <c r="G7323" s="310"/>
      <c r="H7323" s="124">
        <f>SUM(H7319:H7322)</f>
        <v>513850</v>
      </c>
      <c r="M7323" s="179" t="s">
        <v>643</v>
      </c>
    </row>
    <row r="7324" spans="2:13" ht="18.75" customHeight="1" x14ac:dyDescent="0.25">
      <c r="B7324" s="26"/>
      <c r="C7324" s="89"/>
      <c r="D7324" s="64"/>
      <c r="E7324" s="31"/>
      <c r="F7324" s="180"/>
      <c r="G7324" s="75"/>
      <c r="H7324" s="125"/>
      <c r="M7324" s="180"/>
    </row>
    <row r="7325" spans="2:13" ht="18.75" customHeight="1" x14ac:dyDescent="0.25">
      <c r="B7325" s="26" t="s">
        <v>644</v>
      </c>
      <c r="C7325" s="89" t="s">
        <v>645</v>
      </c>
      <c r="D7325" s="56"/>
      <c r="E7325" s="36"/>
      <c r="F7325" s="194"/>
      <c r="G7325" s="88"/>
      <c r="H7325" s="127"/>
      <c r="M7325" s="194"/>
    </row>
    <row r="7326" spans="2:13" ht="18.75" customHeight="1" x14ac:dyDescent="0.25">
      <c r="B7326" s="35"/>
      <c r="C7326" s="97"/>
      <c r="D7326" s="63"/>
      <c r="E7326" s="30"/>
      <c r="F7326" s="179" t="s">
        <v>646</v>
      </c>
      <c r="G7326" s="310"/>
      <c r="H7326" s="128"/>
      <c r="M7326" s="179" t="s">
        <v>646</v>
      </c>
    </row>
    <row r="7327" spans="2:13" ht="18.75" customHeight="1" x14ac:dyDescent="0.25">
      <c r="B7327" s="37"/>
      <c r="C7327" s="98"/>
      <c r="D7327" s="411"/>
      <c r="E7327" s="42"/>
      <c r="F7327" s="181"/>
      <c r="G7327" s="311"/>
      <c r="H7327" s="129"/>
      <c r="M7327" s="181"/>
    </row>
    <row r="7328" spans="2:13" ht="18.75" customHeight="1" x14ac:dyDescent="0.25">
      <c r="B7328" s="50"/>
      <c r="C7328" s="100"/>
      <c r="E7328" s="21"/>
      <c r="F7328" s="189"/>
      <c r="G7328" s="90"/>
      <c r="H7328" s="137"/>
      <c r="M7328" s="189"/>
    </row>
    <row r="7329" spans="2:13" ht="18.75" customHeight="1" x14ac:dyDescent="0.25">
      <c r="B7329" s="46" t="s">
        <v>647</v>
      </c>
      <c r="C7329" s="101" t="s">
        <v>648</v>
      </c>
      <c r="E7329" s="22"/>
      <c r="F7329" s="189"/>
      <c r="G7329" s="308"/>
      <c r="H7329" s="131">
        <f>+H7326+H7323+H7316</f>
        <v>587402.5</v>
      </c>
      <c r="M7329" s="189"/>
    </row>
    <row r="7330" spans="2:13" ht="18.75" customHeight="1" x14ac:dyDescent="0.25">
      <c r="B7330" s="356" t="s">
        <v>649</v>
      </c>
      <c r="C7330" s="364" t="s">
        <v>650</v>
      </c>
      <c r="D7330" s="435"/>
      <c r="E7330" s="92"/>
      <c r="F7330" s="184" t="str">
        <f>$J$5</f>
        <v>8,0 % x D</v>
      </c>
      <c r="G7330" s="295"/>
      <c r="H7330" s="358">
        <f>+H7329*$K$5</f>
        <v>46992.200000000004</v>
      </c>
      <c r="M7330" s="184" t="str">
        <f>$J$5</f>
        <v>8,0 % x D</v>
      </c>
    </row>
    <row r="7331" spans="2:13" ht="18.75" customHeight="1" x14ac:dyDescent="0.25">
      <c r="B7331" s="356" t="s">
        <v>651</v>
      </c>
      <c r="C7331" s="365" t="s">
        <v>652</v>
      </c>
      <c r="D7331" s="435"/>
      <c r="E7331" s="91"/>
      <c r="F7331" s="185"/>
      <c r="G7331" s="296"/>
      <c r="H7331" s="359">
        <f>ROUNDUP((H7330+H7329)/100,0)*100</f>
        <v>634400</v>
      </c>
      <c r="M7331" s="185"/>
    </row>
    <row r="7332" spans="2:13" ht="18.75" customHeight="1" thickBot="1" x14ac:dyDescent="0.3">
      <c r="B7332" s="47"/>
      <c r="C7332" s="103"/>
      <c r="D7332" s="48"/>
      <c r="E7332" s="49"/>
      <c r="F7332" s="186"/>
      <c r="G7332" s="309"/>
      <c r="H7332" s="136"/>
      <c r="M7332" s="186"/>
    </row>
    <row r="7333" spans="2:13" ht="18.75" customHeight="1" x14ac:dyDescent="0.25">
      <c r="B7333" s="92"/>
      <c r="C7333" s="104"/>
      <c r="D7333" s="435"/>
      <c r="E7333" s="91"/>
      <c r="F7333" s="185"/>
      <c r="G7333" s="168"/>
      <c r="H7333" s="139"/>
      <c r="M7333" s="185"/>
    </row>
    <row r="7334" spans="2:13" ht="18.75" customHeight="1" x14ac:dyDescent="0.25">
      <c r="B7334" s="19">
        <f>+B7307+1</f>
        <v>30</v>
      </c>
      <c r="C7334" s="93" t="s">
        <v>1229</v>
      </c>
      <c r="D7334" s="19"/>
      <c r="E7334" s="21"/>
      <c r="F7334" s="176"/>
      <c r="G7334" s="165"/>
      <c r="H7334" s="119"/>
      <c r="M7334" s="176"/>
    </row>
    <row r="7335" spans="2:13" ht="18.75" customHeight="1" x14ac:dyDescent="0.25">
      <c r="B7335" s="618" t="s">
        <v>620</v>
      </c>
      <c r="C7335" s="620" t="s">
        <v>621</v>
      </c>
      <c r="D7335" s="618" t="s">
        <v>622</v>
      </c>
      <c r="E7335" s="618" t="s">
        <v>2</v>
      </c>
      <c r="F7335" s="615" t="s">
        <v>623</v>
      </c>
      <c r="G7335" s="289" t="s">
        <v>624</v>
      </c>
      <c r="H7335" s="256" t="s">
        <v>625</v>
      </c>
      <c r="M7335" s="615" t="s">
        <v>623</v>
      </c>
    </row>
    <row r="7336" spans="2:13" ht="18.75" customHeight="1" x14ac:dyDescent="0.25">
      <c r="B7336" s="619"/>
      <c r="C7336" s="621"/>
      <c r="D7336" s="619"/>
      <c r="E7336" s="619"/>
      <c r="F7336" s="616"/>
      <c r="G7336" s="289" t="s">
        <v>626</v>
      </c>
      <c r="H7336" s="256" t="s">
        <v>626</v>
      </c>
      <c r="M7336" s="616"/>
    </row>
    <row r="7337" spans="2:13" ht="18.75" customHeight="1" x14ac:dyDescent="0.25">
      <c r="B7337" s="23"/>
      <c r="C7337" s="95"/>
      <c r="D7337" s="24"/>
      <c r="E7337" s="25"/>
      <c r="F7337" s="177"/>
      <c r="G7337" s="166"/>
      <c r="H7337" s="120"/>
      <c r="M7337" s="177"/>
    </row>
    <row r="7338" spans="2:13" ht="18.75" customHeight="1" x14ac:dyDescent="0.25">
      <c r="B7338" s="26" t="s">
        <v>627</v>
      </c>
      <c r="C7338" s="89" t="s">
        <v>628</v>
      </c>
      <c r="D7338" s="27"/>
      <c r="E7338" s="28"/>
      <c r="F7338" s="178"/>
      <c r="G7338" s="72"/>
      <c r="H7338" s="121"/>
      <c r="M7338" s="178"/>
    </row>
    <row r="7339" spans="2:13" ht="18.75" customHeight="1" x14ac:dyDescent="0.25">
      <c r="B7339" s="26"/>
      <c r="C7339" s="96" t="s">
        <v>629</v>
      </c>
      <c r="D7339" s="27" t="s">
        <v>630</v>
      </c>
      <c r="E7339" s="28" t="s">
        <v>631</v>
      </c>
      <c r="F7339" s="61">
        <v>0.2</v>
      </c>
      <c r="G7339" s="29">
        <f>G7312</f>
        <v>95000</v>
      </c>
      <c r="H7339" s="122">
        <f>+G7339*F7339</f>
        <v>19000</v>
      </c>
      <c r="M7339" s="61">
        <v>0.2</v>
      </c>
    </row>
    <row r="7340" spans="2:13" ht="18.75" customHeight="1" x14ac:dyDescent="0.25">
      <c r="B7340" s="26"/>
      <c r="C7340" s="96" t="s">
        <v>1508</v>
      </c>
      <c r="D7340" s="27" t="s">
        <v>634</v>
      </c>
      <c r="E7340" s="28" t="s">
        <v>631</v>
      </c>
      <c r="F7340" s="61">
        <v>0.6</v>
      </c>
      <c r="G7340" s="29">
        <f t="shared" ref="G7340:G7342" si="340">G7313</f>
        <v>110000</v>
      </c>
      <c r="H7340" s="122">
        <f>+G7340*F7340</f>
        <v>66000</v>
      </c>
      <c r="M7340" s="61">
        <v>0.6</v>
      </c>
    </row>
    <row r="7341" spans="2:13" ht="18.75" customHeight="1" x14ac:dyDescent="0.25">
      <c r="B7341" s="26"/>
      <c r="C7341" s="96" t="s">
        <v>633</v>
      </c>
      <c r="D7341" s="27" t="s">
        <v>634</v>
      </c>
      <c r="E7341" s="28" t="s">
        <v>631</v>
      </c>
      <c r="F7341" s="61">
        <v>7.4999999999999997E-2</v>
      </c>
      <c r="G7341" s="29">
        <f t="shared" si="340"/>
        <v>115000</v>
      </c>
      <c r="H7341" s="122">
        <f>+G7341*F7341</f>
        <v>8625</v>
      </c>
      <c r="M7341" s="61">
        <v>7.4999999999999997E-2</v>
      </c>
    </row>
    <row r="7342" spans="2:13" ht="18.75" customHeight="1" x14ac:dyDescent="0.25">
      <c r="B7342" s="26"/>
      <c r="C7342" s="96" t="s">
        <v>600</v>
      </c>
      <c r="D7342" s="27" t="s">
        <v>635</v>
      </c>
      <c r="E7342" s="36" t="s">
        <v>631</v>
      </c>
      <c r="F7342" s="193">
        <v>0.01</v>
      </c>
      <c r="G7342" s="29">
        <f t="shared" si="340"/>
        <v>140000</v>
      </c>
      <c r="H7342" s="123">
        <f>+G7342*F7342</f>
        <v>1400</v>
      </c>
      <c r="M7342" s="193">
        <v>0.01</v>
      </c>
    </row>
    <row r="7343" spans="2:13" ht="18.75" customHeight="1" x14ac:dyDescent="0.25">
      <c r="B7343" s="26"/>
      <c r="C7343" s="89"/>
      <c r="D7343" s="63"/>
      <c r="E7343" s="30"/>
      <c r="F7343" s="192" t="s">
        <v>636</v>
      </c>
      <c r="G7343" s="310"/>
      <c r="H7343" s="124">
        <f>SUM(H7339:H7342)</f>
        <v>95025</v>
      </c>
      <c r="M7343" s="192" t="s">
        <v>636</v>
      </c>
    </row>
    <row r="7344" spans="2:13" ht="18.75" customHeight="1" x14ac:dyDescent="0.25">
      <c r="B7344" s="26"/>
      <c r="C7344" s="89"/>
      <c r="D7344" s="58"/>
      <c r="E7344" s="62"/>
      <c r="F7344" s="52"/>
      <c r="G7344" s="76"/>
      <c r="H7344" s="140"/>
      <c r="M7344" s="52"/>
    </row>
    <row r="7345" spans="2:13" ht="18.75" customHeight="1" x14ac:dyDescent="0.25">
      <c r="B7345" s="26" t="s">
        <v>637</v>
      </c>
      <c r="C7345" s="89" t="s">
        <v>638</v>
      </c>
      <c r="D7345" s="64"/>
      <c r="E7345" s="31"/>
      <c r="F7345" s="180"/>
      <c r="G7345" s="75"/>
      <c r="H7345" s="125"/>
      <c r="M7345" s="180"/>
    </row>
    <row r="7346" spans="2:13" ht="18.75" customHeight="1" x14ac:dyDescent="0.25">
      <c r="B7346" s="26"/>
      <c r="C7346" s="89" t="s">
        <v>1226</v>
      </c>
      <c r="D7346" s="64"/>
      <c r="E7346" s="64" t="s">
        <v>1013</v>
      </c>
      <c r="F7346" s="205">
        <v>0.02</v>
      </c>
      <c r="G7346" s="75">
        <f>G7319</f>
        <v>12850000</v>
      </c>
      <c r="H7346" s="122">
        <f>+G7346*F7346</f>
        <v>257000</v>
      </c>
      <c r="M7346" s="205">
        <v>0.02</v>
      </c>
    </row>
    <row r="7347" spans="2:13" ht="18.75" customHeight="1" x14ac:dyDescent="0.25">
      <c r="B7347" s="26"/>
      <c r="C7347" s="89" t="s">
        <v>1227</v>
      </c>
      <c r="D7347" s="64"/>
      <c r="E7347" s="64" t="s">
        <v>5</v>
      </c>
      <c r="F7347" s="205">
        <v>0.15</v>
      </c>
      <c r="G7347" s="34">
        <f>+G7320</f>
        <v>25000</v>
      </c>
      <c r="H7347" s="122">
        <f>+G7347*F7347</f>
        <v>3750</v>
      </c>
      <c r="M7347" s="205">
        <v>0.15</v>
      </c>
    </row>
    <row r="7348" spans="2:13" ht="18.75" customHeight="1" x14ac:dyDescent="0.25">
      <c r="B7348" s="26"/>
      <c r="C7348" s="89" t="s">
        <v>486</v>
      </c>
      <c r="D7348" s="64"/>
      <c r="E7348" s="64" t="s">
        <v>18</v>
      </c>
      <c r="F7348" s="205">
        <v>0.86</v>
      </c>
      <c r="G7348" s="75">
        <f>Bahan!D538</f>
        <v>114000</v>
      </c>
      <c r="H7348" s="122">
        <f>+G7348*F7348</f>
        <v>98040</v>
      </c>
      <c r="M7348" s="205">
        <v>0.86</v>
      </c>
    </row>
    <row r="7349" spans="2:13" ht="18.75" customHeight="1" x14ac:dyDescent="0.25">
      <c r="B7349" s="26"/>
      <c r="C7349" s="89" t="s">
        <v>1161</v>
      </c>
      <c r="D7349" s="64"/>
      <c r="E7349" s="64" t="s">
        <v>5</v>
      </c>
      <c r="F7349" s="205">
        <v>0.56000000000000005</v>
      </c>
      <c r="G7349" s="75">
        <f>+G7322</f>
        <v>15000</v>
      </c>
      <c r="H7349" s="122">
        <f>+G7349*F7349</f>
        <v>8400</v>
      </c>
      <c r="M7349" s="205">
        <v>0.56000000000000005</v>
      </c>
    </row>
    <row r="7350" spans="2:13" ht="18.75" customHeight="1" x14ac:dyDescent="0.25">
      <c r="B7350" s="26"/>
      <c r="C7350" s="89"/>
      <c r="D7350" s="63"/>
      <c r="E7350" s="30"/>
      <c r="F7350" s="179" t="s">
        <v>643</v>
      </c>
      <c r="G7350" s="310"/>
      <c r="H7350" s="124">
        <f>SUM(H7346:H7349)</f>
        <v>367190</v>
      </c>
      <c r="M7350" s="179" t="s">
        <v>643</v>
      </c>
    </row>
    <row r="7351" spans="2:13" ht="18.75" customHeight="1" x14ac:dyDescent="0.25">
      <c r="B7351" s="26"/>
      <c r="C7351" s="89"/>
      <c r="D7351" s="64"/>
      <c r="E7351" s="31"/>
      <c r="F7351" s="180"/>
      <c r="G7351" s="75"/>
      <c r="H7351" s="125"/>
      <c r="M7351" s="180"/>
    </row>
    <row r="7352" spans="2:13" ht="18.75" customHeight="1" x14ac:dyDescent="0.25">
      <c r="B7352" s="26" t="s">
        <v>644</v>
      </c>
      <c r="C7352" s="89" t="s">
        <v>645</v>
      </c>
      <c r="D7352" s="56"/>
      <c r="E7352" s="36"/>
      <c r="F7352" s="194"/>
      <c r="G7352" s="88"/>
      <c r="H7352" s="127"/>
      <c r="M7352" s="194"/>
    </row>
    <row r="7353" spans="2:13" ht="18.75" customHeight="1" x14ac:dyDescent="0.25">
      <c r="B7353" s="35"/>
      <c r="C7353" s="97"/>
      <c r="D7353" s="63"/>
      <c r="E7353" s="30"/>
      <c r="F7353" s="179" t="s">
        <v>646</v>
      </c>
      <c r="G7353" s="310"/>
      <c r="H7353" s="128"/>
      <c r="M7353" s="179" t="s">
        <v>646</v>
      </c>
    </row>
    <row r="7354" spans="2:13" ht="18.75" customHeight="1" x14ac:dyDescent="0.25">
      <c r="B7354" s="37"/>
      <c r="C7354" s="98"/>
      <c r="D7354" s="411"/>
      <c r="E7354" s="42"/>
      <c r="F7354" s="181"/>
      <c r="G7354" s="311"/>
      <c r="H7354" s="129"/>
      <c r="M7354" s="181"/>
    </row>
    <row r="7355" spans="2:13" ht="18.75" customHeight="1" x14ac:dyDescent="0.25">
      <c r="B7355" s="50"/>
      <c r="C7355" s="100"/>
      <c r="E7355" s="21"/>
      <c r="F7355" s="189"/>
      <c r="G7355" s="90"/>
      <c r="H7355" s="137"/>
      <c r="M7355" s="189"/>
    </row>
    <row r="7356" spans="2:13" ht="18.75" customHeight="1" x14ac:dyDescent="0.25">
      <c r="B7356" s="46" t="s">
        <v>647</v>
      </c>
      <c r="C7356" s="101" t="s">
        <v>648</v>
      </c>
      <c r="E7356" s="22"/>
      <c r="F7356" s="189"/>
      <c r="G7356" s="308"/>
      <c r="H7356" s="131">
        <f>+H7353+H7350+H7343</f>
        <v>462215</v>
      </c>
      <c r="M7356" s="189"/>
    </row>
    <row r="7357" spans="2:13" ht="18.75" customHeight="1" x14ac:dyDescent="0.25">
      <c r="B7357" s="356" t="s">
        <v>649</v>
      </c>
      <c r="C7357" s="364" t="s">
        <v>650</v>
      </c>
      <c r="D7357" s="435"/>
      <c r="E7357" s="92"/>
      <c r="F7357" s="184" t="str">
        <f>$J$5</f>
        <v>8,0 % x D</v>
      </c>
      <c r="G7357" s="295"/>
      <c r="H7357" s="358">
        <f>+H7356*$K$5</f>
        <v>36977.200000000004</v>
      </c>
      <c r="M7357" s="184" t="str">
        <f>$J$5</f>
        <v>8,0 % x D</v>
      </c>
    </row>
    <row r="7358" spans="2:13" ht="18.75" customHeight="1" x14ac:dyDescent="0.25">
      <c r="B7358" s="356" t="s">
        <v>651</v>
      </c>
      <c r="C7358" s="365" t="s">
        <v>652</v>
      </c>
      <c r="D7358" s="435"/>
      <c r="E7358" s="91"/>
      <c r="F7358" s="185"/>
      <c r="G7358" s="296"/>
      <c r="H7358" s="359">
        <f>ROUNDUP((H7357+H7356)/100,0)*100</f>
        <v>499200</v>
      </c>
      <c r="M7358" s="185"/>
    </row>
    <row r="7359" spans="2:13" ht="18.75" customHeight="1" thickBot="1" x14ac:dyDescent="0.3">
      <c r="B7359" s="47"/>
      <c r="C7359" s="103"/>
      <c r="D7359" s="48"/>
      <c r="E7359" s="49"/>
      <c r="F7359" s="186"/>
      <c r="G7359" s="309"/>
      <c r="H7359" s="136"/>
      <c r="M7359" s="186"/>
    </row>
    <row r="7360" spans="2:13" ht="18.75" customHeight="1" x14ac:dyDescent="0.25">
      <c r="B7360" s="22"/>
      <c r="C7360" s="104"/>
      <c r="E7360" s="21"/>
      <c r="F7360" s="176"/>
      <c r="G7360" s="165"/>
      <c r="H7360" s="119"/>
      <c r="M7360" s="176"/>
    </row>
    <row r="7361" spans="2:13" ht="18.75" customHeight="1" x14ac:dyDescent="0.25">
      <c r="B7361" s="19">
        <f>+B7334+1</f>
        <v>31</v>
      </c>
      <c r="C7361" s="93" t="s">
        <v>1230</v>
      </c>
      <c r="D7361" s="19"/>
      <c r="E7361" s="21"/>
      <c r="F7361" s="176"/>
      <c r="G7361" s="165"/>
      <c r="H7361" s="119"/>
      <c r="M7361" s="176"/>
    </row>
    <row r="7362" spans="2:13" ht="18.75" customHeight="1" x14ac:dyDescent="0.25">
      <c r="B7362" s="618" t="s">
        <v>620</v>
      </c>
      <c r="C7362" s="620" t="s">
        <v>621</v>
      </c>
      <c r="D7362" s="618" t="s">
        <v>622</v>
      </c>
      <c r="E7362" s="618" t="s">
        <v>2</v>
      </c>
      <c r="F7362" s="615" t="s">
        <v>623</v>
      </c>
      <c r="G7362" s="289" t="s">
        <v>624</v>
      </c>
      <c r="H7362" s="256" t="s">
        <v>625</v>
      </c>
      <c r="M7362" s="615" t="s">
        <v>623</v>
      </c>
    </row>
    <row r="7363" spans="2:13" ht="18.75" customHeight="1" x14ac:dyDescent="0.25">
      <c r="B7363" s="619"/>
      <c r="C7363" s="621"/>
      <c r="D7363" s="619"/>
      <c r="E7363" s="619"/>
      <c r="F7363" s="616"/>
      <c r="G7363" s="289" t="s">
        <v>626</v>
      </c>
      <c r="H7363" s="256" t="s">
        <v>626</v>
      </c>
      <c r="M7363" s="616"/>
    </row>
    <row r="7364" spans="2:13" ht="18.75" customHeight="1" x14ac:dyDescent="0.25">
      <c r="B7364" s="23"/>
      <c r="C7364" s="95"/>
      <c r="D7364" s="24"/>
      <c r="E7364" s="25"/>
      <c r="F7364" s="177"/>
      <c r="G7364" s="166"/>
      <c r="H7364" s="120"/>
      <c r="M7364" s="177"/>
    </row>
    <row r="7365" spans="2:13" ht="18.75" customHeight="1" x14ac:dyDescent="0.25">
      <c r="B7365" s="26" t="s">
        <v>627</v>
      </c>
      <c r="C7365" s="89" t="s">
        <v>628</v>
      </c>
      <c r="D7365" s="27"/>
      <c r="E7365" s="28"/>
      <c r="F7365" s="178"/>
      <c r="G7365" s="72"/>
      <c r="H7365" s="121"/>
      <c r="M7365" s="178"/>
    </row>
    <row r="7366" spans="2:13" ht="18.75" customHeight="1" x14ac:dyDescent="0.25">
      <c r="B7366" s="26"/>
      <c r="C7366" s="96" t="s">
        <v>629</v>
      </c>
      <c r="D7366" s="27" t="s">
        <v>630</v>
      </c>
      <c r="E7366" s="28" t="s">
        <v>631</v>
      </c>
      <c r="F7366" s="61">
        <v>0.6</v>
      </c>
      <c r="G7366" s="29">
        <f>G7339</f>
        <v>95000</v>
      </c>
      <c r="H7366" s="122">
        <f>+G7366*F7366</f>
        <v>57000</v>
      </c>
      <c r="M7366" s="61">
        <v>0.6</v>
      </c>
    </row>
    <row r="7367" spans="2:13" ht="18.75" customHeight="1" x14ac:dyDescent="0.25">
      <c r="B7367" s="26"/>
      <c r="C7367" s="96" t="s">
        <v>1508</v>
      </c>
      <c r="D7367" s="27" t="s">
        <v>634</v>
      </c>
      <c r="E7367" s="28" t="s">
        <v>631</v>
      </c>
      <c r="F7367" s="61">
        <v>1.8</v>
      </c>
      <c r="G7367" s="29">
        <f t="shared" ref="G7367:G7369" si="341">G7340</f>
        <v>110000</v>
      </c>
      <c r="H7367" s="122">
        <f>+G7367*F7367</f>
        <v>198000</v>
      </c>
      <c r="M7367" s="61">
        <v>1.8</v>
      </c>
    </row>
    <row r="7368" spans="2:13" ht="18.75" customHeight="1" x14ac:dyDescent="0.25">
      <c r="B7368" s="26"/>
      <c r="C7368" s="96" t="s">
        <v>633</v>
      </c>
      <c r="D7368" s="27" t="s">
        <v>634</v>
      </c>
      <c r="E7368" s="28" t="s">
        <v>631</v>
      </c>
      <c r="F7368" s="61">
        <v>0.18</v>
      </c>
      <c r="G7368" s="29">
        <f t="shared" si="341"/>
        <v>115000</v>
      </c>
      <c r="H7368" s="122">
        <f>+G7368*F7368</f>
        <v>20700</v>
      </c>
      <c r="M7368" s="61">
        <v>0.18</v>
      </c>
    </row>
    <row r="7369" spans="2:13" ht="18.75" customHeight="1" x14ac:dyDescent="0.25">
      <c r="B7369" s="26"/>
      <c r="C7369" s="96" t="s">
        <v>600</v>
      </c>
      <c r="D7369" s="27" t="s">
        <v>635</v>
      </c>
      <c r="E7369" s="36" t="s">
        <v>631</v>
      </c>
      <c r="F7369" s="193">
        <v>0.03</v>
      </c>
      <c r="G7369" s="29">
        <f t="shared" si="341"/>
        <v>140000</v>
      </c>
      <c r="H7369" s="123">
        <f>+G7369*F7369</f>
        <v>4200</v>
      </c>
      <c r="M7369" s="193">
        <v>0.03</v>
      </c>
    </row>
    <row r="7370" spans="2:13" ht="18.75" customHeight="1" x14ac:dyDescent="0.25">
      <c r="B7370" s="26"/>
      <c r="C7370" s="89"/>
      <c r="D7370" s="63"/>
      <c r="E7370" s="30"/>
      <c r="F7370" s="192" t="s">
        <v>636</v>
      </c>
      <c r="G7370" s="310"/>
      <c r="H7370" s="124">
        <f>SUM(H7366:H7369)</f>
        <v>279900</v>
      </c>
      <c r="M7370" s="192" t="s">
        <v>636</v>
      </c>
    </row>
    <row r="7371" spans="2:13" ht="18.75" customHeight="1" x14ac:dyDescent="0.25">
      <c r="B7371" s="26"/>
      <c r="C7371" s="89"/>
      <c r="D7371" s="58"/>
      <c r="E7371" s="62"/>
      <c r="F7371" s="52"/>
      <c r="G7371" s="76"/>
      <c r="H7371" s="140"/>
      <c r="M7371" s="52"/>
    </row>
    <row r="7372" spans="2:13" ht="18.75" customHeight="1" x14ac:dyDescent="0.25">
      <c r="B7372" s="26" t="s">
        <v>637</v>
      </c>
      <c r="C7372" s="89" t="s">
        <v>638</v>
      </c>
      <c r="D7372" s="64"/>
      <c r="E7372" s="31"/>
      <c r="F7372" s="180"/>
      <c r="G7372" s="75"/>
      <c r="H7372" s="125"/>
      <c r="M7372" s="180"/>
    </row>
    <row r="7373" spans="2:13" ht="18.75" customHeight="1" x14ac:dyDescent="0.25">
      <c r="B7373" s="26"/>
      <c r="C7373" s="89" t="s">
        <v>1173</v>
      </c>
      <c r="D7373" s="64"/>
      <c r="E7373" s="64" t="s">
        <v>1013</v>
      </c>
      <c r="F7373" s="205">
        <v>7.0000000000000001E-3</v>
      </c>
      <c r="G7373" s="75">
        <f>+G7242</f>
        <v>13850000</v>
      </c>
      <c r="H7373" s="122">
        <f>+G7373*F7373</f>
        <v>96950</v>
      </c>
      <c r="M7373" s="205">
        <v>7.0000000000000001E-3</v>
      </c>
    </row>
    <row r="7374" spans="2:13" ht="18.75" customHeight="1" x14ac:dyDescent="0.25">
      <c r="B7374" s="26"/>
      <c r="C7374" s="89" t="s">
        <v>1227</v>
      </c>
      <c r="D7374" s="64"/>
      <c r="E7374" s="64" t="s">
        <v>5</v>
      </c>
      <c r="F7374" s="205">
        <v>0.1</v>
      </c>
      <c r="G7374" s="34">
        <f>+G7347</f>
        <v>25000</v>
      </c>
      <c r="H7374" s="122">
        <f>+G7374*F7374</f>
        <v>2500</v>
      </c>
      <c r="M7374" s="205">
        <v>0.1</v>
      </c>
    </row>
    <row r="7375" spans="2:13" ht="18.75" customHeight="1" x14ac:dyDescent="0.25">
      <c r="B7375" s="26"/>
      <c r="C7375" s="89" t="s">
        <v>1231</v>
      </c>
      <c r="D7375" s="64"/>
      <c r="E7375" s="64" t="s">
        <v>5</v>
      </c>
      <c r="F7375" s="205">
        <v>0.15</v>
      </c>
      <c r="G7375" s="34">
        <f>Bahan!D346</f>
        <v>28000</v>
      </c>
      <c r="H7375" s="122">
        <f>+G7375*F7375</f>
        <v>4200</v>
      </c>
      <c r="M7375" s="205">
        <v>0.15</v>
      </c>
    </row>
    <row r="7376" spans="2:13" ht="18.75" customHeight="1" x14ac:dyDescent="0.25">
      <c r="B7376" s="26"/>
      <c r="C7376" s="89"/>
      <c r="D7376" s="63"/>
      <c r="E7376" s="30"/>
      <c r="F7376" s="179" t="s">
        <v>643</v>
      </c>
      <c r="G7376" s="310"/>
      <c r="H7376" s="124">
        <f>SUM(H7373:H7375)</f>
        <v>103650</v>
      </c>
      <c r="M7376" s="179" t="s">
        <v>643</v>
      </c>
    </row>
    <row r="7377" spans="2:13" ht="18.75" customHeight="1" x14ac:dyDescent="0.25">
      <c r="B7377" s="26"/>
      <c r="C7377" s="89"/>
      <c r="D7377" s="64"/>
      <c r="E7377" s="31"/>
      <c r="F7377" s="180"/>
      <c r="G7377" s="75"/>
      <c r="H7377" s="125"/>
      <c r="M7377" s="180"/>
    </row>
    <row r="7378" spans="2:13" ht="18.75" customHeight="1" x14ac:dyDescent="0.25">
      <c r="B7378" s="26" t="s">
        <v>644</v>
      </c>
      <c r="C7378" s="89" t="s">
        <v>645</v>
      </c>
      <c r="D7378" s="56"/>
      <c r="E7378" s="36"/>
      <c r="F7378" s="194"/>
      <c r="G7378" s="88"/>
      <c r="H7378" s="127"/>
      <c r="M7378" s="194"/>
    </row>
    <row r="7379" spans="2:13" ht="18.75" customHeight="1" x14ac:dyDescent="0.25">
      <c r="B7379" s="35"/>
      <c r="C7379" s="97"/>
      <c r="D7379" s="63"/>
      <c r="E7379" s="30"/>
      <c r="F7379" s="179" t="s">
        <v>646</v>
      </c>
      <c r="G7379" s="310"/>
      <c r="H7379" s="128"/>
      <c r="M7379" s="179" t="s">
        <v>646</v>
      </c>
    </row>
    <row r="7380" spans="2:13" ht="18.75" customHeight="1" x14ac:dyDescent="0.25">
      <c r="B7380" s="37"/>
      <c r="C7380" s="98"/>
      <c r="D7380" s="411"/>
      <c r="E7380" s="42"/>
      <c r="F7380" s="181"/>
      <c r="G7380" s="311"/>
      <c r="H7380" s="129"/>
      <c r="M7380" s="181"/>
    </row>
    <row r="7381" spans="2:13" ht="18.75" customHeight="1" x14ac:dyDescent="0.25">
      <c r="B7381" s="50"/>
      <c r="C7381" s="100"/>
      <c r="E7381" s="21"/>
      <c r="F7381" s="189"/>
      <c r="G7381" s="90"/>
      <c r="H7381" s="137"/>
      <c r="M7381" s="189"/>
    </row>
    <row r="7382" spans="2:13" ht="18.75" customHeight="1" x14ac:dyDescent="0.25">
      <c r="B7382" s="46" t="s">
        <v>647</v>
      </c>
      <c r="C7382" s="101" t="s">
        <v>648</v>
      </c>
      <c r="E7382" s="22"/>
      <c r="F7382" s="189"/>
      <c r="G7382" s="308"/>
      <c r="H7382" s="131">
        <f>+H7379+H7376+H7370</f>
        <v>383550</v>
      </c>
      <c r="M7382" s="189"/>
    </row>
    <row r="7383" spans="2:13" ht="18.75" customHeight="1" x14ac:dyDescent="0.25">
      <c r="B7383" s="356" t="s">
        <v>649</v>
      </c>
      <c r="C7383" s="364" t="s">
        <v>650</v>
      </c>
      <c r="D7383" s="435"/>
      <c r="E7383" s="92"/>
      <c r="F7383" s="184" t="str">
        <f>$J$5</f>
        <v>8,0 % x D</v>
      </c>
      <c r="G7383" s="295"/>
      <c r="H7383" s="358">
        <f>+H7382*$K$5</f>
        <v>30684</v>
      </c>
      <c r="M7383" s="184" t="str">
        <f>$J$5</f>
        <v>8,0 % x D</v>
      </c>
    </row>
    <row r="7384" spans="2:13" ht="18.75" customHeight="1" x14ac:dyDescent="0.25">
      <c r="B7384" s="356" t="s">
        <v>651</v>
      </c>
      <c r="C7384" s="365" t="s">
        <v>652</v>
      </c>
      <c r="D7384" s="435"/>
      <c r="E7384" s="91"/>
      <c r="F7384" s="185"/>
      <c r="G7384" s="296"/>
      <c r="H7384" s="359">
        <f>ROUNDUP((H7383+H7382)/100,0)*100</f>
        <v>414300</v>
      </c>
      <c r="M7384" s="185"/>
    </row>
    <row r="7385" spans="2:13" ht="18.75" customHeight="1" thickBot="1" x14ac:dyDescent="0.3">
      <c r="B7385" s="47"/>
      <c r="C7385" s="103"/>
      <c r="D7385" s="48"/>
      <c r="E7385" s="49"/>
      <c r="F7385" s="186"/>
      <c r="G7385" s="309"/>
      <c r="H7385" s="136"/>
      <c r="M7385" s="186"/>
    </row>
    <row r="7386" spans="2:13" ht="18.75" customHeight="1" x14ac:dyDescent="0.25">
      <c r="B7386" s="92"/>
      <c r="C7386" s="104"/>
      <c r="D7386" s="435"/>
      <c r="E7386" s="91"/>
      <c r="F7386" s="185"/>
      <c r="G7386" s="168"/>
      <c r="H7386" s="139"/>
      <c r="M7386" s="185"/>
    </row>
    <row r="7387" spans="2:13" ht="18.75" customHeight="1" x14ac:dyDescent="0.25">
      <c r="B7387" s="19">
        <f>B7361+1</f>
        <v>32</v>
      </c>
      <c r="C7387" s="93" t="s">
        <v>1232</v>
      </c>
      <c r="D7387" s="19"/>
      <c r="E7387" s="21"/>
      <c r="F7387" s="176"/>
      <c r="G7387" s="165"/>
      <c r="H7387" s="119"/>
      <c r="M7387" s="176"/>
    </row>
    <row r="7388" spans="2:13" ht="18.75" customHeight="1" x14ac:dyDescent="0.25">
      <c r="B7388" s="618" t="s">
        <v>620</v>
      </c>
      <c r="C7388" s="620" t="s">
        <v>621</v>
      </c>
      <c r="D7388" s="618" t="s">
        <v>622</v>
      </c>
      <c r="E7388" s="618" t="s">
        <v>2</v>
      </c>
      <c r="F7388" s="615" t="s">
        <v>623</v>
      </c>
      <c r="G7388" s="289" t="s">
        <v>624</v>
      </c>
      <c r="H7388" s="256" t="s">
        <v>625</v>
      </c>
      <c r="M7388" s="615" t="s">
        <v>623</v>
      </c>
    </row>
    <row r="7389" spans="2:13" ht="18.75" customHeight="1" x14ac:dyDescent="0.25">
      <c r="B7389" s="619"/>
      <c r="C7389" s="621"/>
      <c r="D7389" s="619"/>
      <c r="E7389" s="619"/>
      <c r="F7389" s="616"/>
      <c r="G7389" s="289" t="s">
        <v>626</v>
      </c>
      <c r="H7389" s="256" t="s">
        <v>626</v>
      </c>
      <c r="M7389" s="616"/>
    </row>
    <row r="7390" spans="2:13" ht="18.75" customHeight="1" x14ac:dyDescent="0.25">
      <c r="B7390" s="23"/>
      <c r="C7390" s="95"/>
      <c r="D7390" s="24"/>
      <c r="E7390" s="25"/>
      <c r="F7390" s="177"/>
      <c r="G7390" s="166"/>
      <c r="H7390" s="120"/>
      <c r="M7390" s="177"/>
    </row>
    <row r="7391" spans="2:13" ht="18.75" customHeight="1" x14ac:dyDescent="0.25">
      <c r="B7391" s="26" t="s">
        <v>627</v>
      </c>
      <c r="C7391" s="89" t="s">
        <v>628</v>
      </c>
      <c r="D7391" s="27"/>
      <c r="E7391" s="28"/>
      <c r="F7391" s="178"/>
      <c r="G7391" s="72"/>
      <c r="H7391" s="121"/>
      <c r="M7391" s="178"/>
    </row>
    <row r="7392" spans="2:13" ht="18.75" customHeight="1" x14ac:dyDescent="0.25">
      <c r="B7392" s="26"/>
      <c r="C7392" s="96" t="s">
        <v>629</v>
      </c>
      <c r="D7392" s="27" t="s">
        <v>630</v>
      </c>
      <c r="E7392" s="28" t="s">
        <v>631</v>
      </c>
      <c r="F7392" s="61">
        <v>2.5000000000000001E-2</v>
      </c>
      <c r="G7392" s="29">
        <f>G7366</f>
        <v>95000</v>
      </c>
      <c r="H7392" s="122">
        <f>+G7392*F7392</f>
        <v>2375</v>
      </c>
      <c r="M7392" s="61">
        <v>2.5000000000000001E-2</v>
      </c>
    </row>
    <row r="7393" spans="2:13" ht="18.75" customHeight="1" x14ac:dyDescent="0.25">
      <c r="B7393" s="26"/>
      <c r="C7393" s="96" t="s">
        <v>1508</v>
      </c>
      <c r="D7393" s="27" t="s">
        <v>634</v>
      </c>
      <c r="E7393" s="28" t="s">
        <v>631</v>
      </c>
      <c r="F7393" s="61">
        <v>7.4999999999999997E-2</v>
      </c>
      <c r="G7393" s="29">
        <f t="shared" ref="G7393:G7395" si="342">G7367</f>
        <v>110000</v>
      </c>
      <c r="H7393" s="122">
        <f>+G7393*F7393</f>
        <v>8250</v>
      </c>
      <c r="M7393" s="61">
        <v>7.4999999999999997E-2</v>
      </c>
    </row>
    <row r="7394" spans="2:13" ht="18.75" customHeight="1" x14ac:dyDescent="0.25">
      <c r="B7394" s="26"/>
      <c r="C7394" s="96" t="s">
        <v>633</v>
      </c>
      <c r="D7394" s="27" t="s">
        <v>634</v>
      </c>
      <c r="E7394" s="28" t="s">
        <v>631</v>
      </c>
      <c r="F7394" s="61">
        <v>8.0000000000000002E-3</v>
      </c>
      <c r="G7394" s="29">
        <f t="shared" si="342"/>
        <v>115000</v>
      </c>
      <c r="H7394" s="122">
        <f>+G7394*F7394</f>
        <v>920</v>
      </c>
      <c r="M7394" s="61">
        <v>8.0000000000000002E-3</v>
      </c>
    </row>
    <row r="7395" spans="2:13" ht="18.75" customHeight="1" x14ac:dyDescent="0.25">
      <c r="B7395" s="26"/>
      <c r="C7395" s="96" t="s">
        <v>600</v>
      </c>
      <c r="D7395" s="27" t="s">
        <v>635</v>
      </c>
      <c r="E7395" s="36" t="s">
        <v>631</v>
      </c>
      <c r="F7395" s="193">
        <v>1E-3</v>
      </c>
      <c r="G7395" s="29">
        <f t="shared" si="342"/>
        <v>140000</v>
      </c>
      <c r="H7395" s="123">
        <f>+G7395*F7395</f>
        <v>140</v>
      </c>
      <c r="M7395" s="193">
        <v>1E-3</v>
      </c>
    </row>
    <row r="7396" spans="2:13" ht="18.75" customHeight="1" x14ac:dyDescent="0.25">
      <c r="B7396" s="26"/>
      <c r="C7396" s="89"/>
      <c r="D7396" s="63"/>
      <c r="E7396" s="30"/>
      <c r="F7396" s="192" t="s">
        <v>636</v>
      </c>
      <c r="G7396" s="310"/>
      <c r="H7396" s="124">
        <f>SUM(H7392:H7395)</f>
        <v>11685</v>
      </c>
      <c r="M7396" s="192" t="s">
        <v>636</v>
      </c>
    </row>
    <row r="7397" spans="2:13" ht="18.75" customHeight="1" x14ac:dyDescent="0.25">
      <c r="B7397" s="26"/>
      <c r="C7397" s="89"/>
      <c r="D7397" s="58"/>
      <c r="E7397" s="62"/>
      <c r="F7397" s="52"/>
      <c r="G7397" s="76"/>
      <c r="H7397" s="140"/>
      <c r="M7397" s="52"/>
    </row>
    <row r="7398" spans="2:13" ht="18.75" customHeight="1" x14ac:dyDescent="0.25">
      <c r="B7398" s="26" t="s">
        <v>637</v>
      </c>
      <c r="C7398" s="89" t="s">
        <v>638</v>
      </c>
      <c r="D7398" s="64"/>
      <c r="E7398" s="31"/>
      <c r="F7398" s="180"/>
      <c r="G7398" s="75"/>
      <c r="H7398" s="125"/>
      <c r="M7398" s="180"/>
    </row>
    <row r="7399" spans="2:13" ht="18.75" customHeight="1" x14ac:dyDescent="0.25">
      <c r="B7399" s="26"/>
      <c r="C7399" s="89" t="s">
        <v>1233</v>
      </c>
      <c r="D7399" s="64"/>
      <c r="E7399" s="64" t="s">
        <v>18</v>
      </c>
      <c r="F7399" s="205">
        <v>0.4</v>
      </c>
      <c r="G7399" s="75">
        <f>+G6766</f>
        <v>165000</v>
      </c>
      <c r="H7399" s="122">
        <f>+G7399*F7399</f>
        <v>66000</v>
      </c>
      <c r="M7399" s="205">
        <v>0.4</v>
      </c>
    </row>
    <row r="7400" spans="2:13" ht="18.75" customHeight="1" x14ac:dyDescent="0.25">
      <c r="B7400" s="26"/>
      <c r="C7400" s="89" t="s">
        <v>660</v>
      </c>
      <c r="D7400" s="64"/>
      <c r="E7400" s="64" t="s">
        <v>5</v>
      </c>
      <c r="F7400" s="205">
        <v>7.4999999999999997E-2</v>
      </c>
      <c r="G7400" s="34">
        <f>+G7374</f>
        <v>25000</v>
      </c>
      <c r="H7400" s="122">
        <f>+G7400*F7400</f>
        <v>1875</v>
      </c>
      <c r="M7400" s="205">
        <v>7.4999999999999997E-2</v>
      </c>
    </row>
    <row r="7401" spans="2:13" ht="18.75" customHeight="1" x14ac:dyDescent="0.25">
      <c r="B7401" s="26"/>
      <c r="C7401" s="89"/>
      <c r="D7401" s="63"/>
      <c r="E7401" s="30"/>
      <c r="F7401" s="179" t="s">
        <v>643</v>
      </c>
      <c r="G7401" s="310"/>
      <c r="H7401" s="124">
        <f>SUM(H7399:H7400)</f>
        <v>67875</v>
      </c>
      <c r="M7401" s="179" t="s">
        <v>643</v>
      </c>
    </row>
    <row r="7402" spans="2:13" ht="18.75" customHeight="1" x14ac:dyDescent="0.25">
      <c r="B7402" s="26"/>
      <c r="C7402" s="89"/>
      <c r="D7402" s="64"/>
      <c r="E7402" s="31"/>
      <c r="F7402" s="180"/>
      <c r="G7402" s="75"/>
      <c r="H7402" s="125"/>
      <c r="M7402" s="180"/>
    </row>
    <row r="7403" spans="2:13" ht="18.75" customHeight="1" x14ac:dyDescent="0.25">
      <c r="B7403" s="26" t="s">
        <v>644</v>
      </c>
      <c r="C7403" s="89" t="s">
        <v>645</v>
      </c>
      <c r="D7403" s="56"/>
      <c r="E7403" s="36"/>
      <c r="F7403" s="194"/>
      <c r="G7403" s="88"/>
      <c r="H7403" s="127"/>
      <c r="M7403" s="194"/>
    </row>
    <row r="7404" spans="2:13" ht="18.75" customHeight="1" x14ac:dyDescent="0.25">
      <c r="B7404" s="35"/>
      <c r="C7404" s="97"/>
      <c r="D7404" s="63"/>
      <c r="E7404" s="30"/>
      <c r="F7404" s="179" t="s">
        <v>646</v>
      </c>
      <c r="G7404" s="310"/>
      <c r="H7404" s="128"/>
      <c r="M7404" s="179" t="s">
        <v>646</v>
      </c>
    </row>
    <row r="7405" spans="2:13" ht="18.75" customHeight="1" x14ac:dyDescent="0.25">
      <c r="B7405" s="37"/>
      <c r="C7405" s="98"/>
      <c r="D7405" s="411"/>
      <c r="E7405" s="42"/>
      <c r="F7405" s="181"/>
      <c r="G7405" s="311"/>
      <c r="H7405" s="129"/>
      <c r="M7405" s="181"/>
    </row>
    <row r="7406" spans="2:13" ht="18.75" customHeight="1" x14ac:dyDescent="0.25">
      <c r="B7406" s="50"/>
      <c r="C7406" s="100"/>
      <c r="E7406" s="21"/>
      <c r="F7406" s="189"/>
      <c r="G7406" s="90"/>
      <c r="H7406" s="137"/>
      <c r="M7406" s="189"/>
    </row>
    <row r="7407" spans="2:13" ht="18.75" customHeight="1" x14ac:dyDescent="0.25">
      <c r="B7407" s="46" t="s">
        <v>647</v>
      </c>
      <c r="C7407" s="101" t="s">
        <v>648</v>
      </c>
      <c r="E7407" s="22"/>
      <c r="F7407" s="189"/>
      <c r="G7407" s="308"/>
      <c r="H7407" s="131">
        <f>+H7404+H7401+H7396</f>
        <v>79560</v>
      </c>
      <c r="M7407" s="189"/>
    </row>
    <row r="7408" spans="2:13" ht="18.75" customHeight="1" x14ac:dyDescent="0.25">
      <c r="B7408" s="356" t="s">
        <v>649</v>
      </c>
      <c r="C7408" s="364" t="s">
        <v>650</v>
      </c>
      <c r="D7408" s="435"/>
      <c r="E7408" s="92"/>
      <c r="F7408" s="184" t="str">
        <f>$J$5</f>
        <v>8,0 % x D</v>
      </c>
      <c r="G7408" s="295"/>
      <c r="H7408" s="358">
        <f>+H7407*$K$5</f>
        <v>6364.8</v>
      </c>
      <c r="M7408" s="184" t="str">
        <f>$J$5</f>
        <v>8,0 % x D</v>
      </c>
    </row>
    <row r="7409" spans="2:13" ht="18.75" customHeight="1" x14ac:dyDescent="0.25">
      <c r="B7409" s="356" t="s">
        <v>651</v>
      </c>
      <c r="C7409" s="365" t="s">
        <v>652</v>
      </c>
      <c r="D7409" s="435"/>
      <c r="E7409" s="91"/>
      <c r="F7409" s="185"/>
      <c r="G7409" s="296"/>
      <c r="H7409" s="359">
        <f>ROUNDUP((H7408+H7407)/100,0)*100</f>
        <v>86000</v>
      </c>
      <c r="M7409" s="185"/>
    </row>
    <row r="7410" spans="2:13" ht="18.75" customHeight="1" thickBot="1" x14ac:dyDescent="0.3">
      <c r="B7410" s="47"/>
      <c r="C7410" s="103"/>
      <c r="D7410" s="48"/>
      <c r="E7410" s="49"/>
      <c r="F7410" s="186"/>
      <c r="G7410" s="309"/>
      <c r="H7410" s="136"/>
      <c r="M7410" s="186"/>
    </row>
    <row r="7411" spans="2:13" ht="18.75" customHeight="1" x14ac:dyDescent="0.25">
      <c r="B7411" s="22"/>
      <c r="C7411" s="104"/>
      <c r="E7411" s="21"/>
      <c r="F7411" s="176"/>
      <c r="G7411" s="165"/>
      <c r="H7411" s="119"/>
      <c r="M7411" s="176"/>
    </row>
    <row r="7412" spans="2:13" ht="18.75" customHeight="1" x14ac:dyDescent="0.25">
      <c r="B7412" s="19">
        <f>B7387+1</f>
        <v>33</v>
      </c>
      <c r="C7412" s="93" t="s">
        <v>1234</v>
      </c>
      <c r="D7412" s="19"/>
      <c r="E7412" s="21"/>
      <c r="F7412" s="176"/>
      <c r="G7412" s="165"/>
      <c r="H7412" s="119"/>
      <c r="M7412" s="176"/>
    </row>
    <row r="7413" spans="2:13" ht="18.75" customHeight="1" x14ac:dyDescent="0.25">
      <c r="B7413" s="618" t="s">
        <v>620</v>
      </c>
      <c r="C7413" s="620" t="s">
        <v>621</v>
      </c>
      <c r="D7413" s="618" t="s">
        <v>622</v>
      </c>
      <c r="E7413" s="618" t="s">
        <v>2</v>
      </c>
      <c r="F7413" s="615" t="s">
        <v>623</v>
      </c>
      <c r="G7413" s="289" t="s">
        <v>624</v>
      </c>
      <c r="H7413" s="256" t="s">
        <v>625</v>
      </c>
      <c r="M7413" s="615" t="s">
        <v>623</v>
      </c>
    </row>
    <row r="7414" spans="2:13" ht="18.75" customHeight="1" x14ac:dyDescent="0.25">
      <c r="B7414" s="619"/>
      <c r="C7414" s="621"/>
      <c r="D7414" s="619"/>
      <c r="E7414" s="619"/>
      <c r="F7414" s="616"/>
      <c r="G7414" s="289" t="s">
        <v>626</v>
      </c>
      <c r="H7414" s="256" t="s">
        <v>626</v>
      </c>
      <c r="M7414" s="616"/>
    </row>
    <row r="7415" spans="2:13" ht="18.75" customHeight="1" x14ac:dyDescent="0.25">
      <c r="B7415" s="23"/>
      <c r="C7415" s="95"/>
      <c r="D7415" s="24"/>
      <c r="E7415" s="25"/>
      <c r="F7415" s="177"/>
      <c r="G7415" s="166"/>
      <c r="H7415" s="120"/>
      <c r="M7415" s="177"/>
    </row>
    <row r="7416" spans="2:13" ht="18.75" customHeight="1" x14ac:dyDescent="0.25">
      <c r="B7416" s="26" t="s">
        <v>627</v>
      </c>
      <c r="C7416" s="89" t="s">
        <v>628</v>
      </c>
      <c r="D7416" s="27"/>
      <c r="E7416" s="28"/>
      <c r="F7416" s="178"/>
      <c r="G7416" s="72"/>
      <c r="H7416" s="121"/>
      <c r="M7416" s="178"/>
    </row>
    <row r="7417" spans="2:13" ht="18.75" customHeight="1" x14ac:dyDescent="0.25">
      <c r="B7417" s="26"/>
      <c r="C7417" s="96" t="s">
        <v>629</v>
      </c>
      <c r="D7417" s="27" t="s">
        <v>630</v>
      </c>
      <c r="E7417" s="28" t="s">
        <v>631</v>
      </c>
      <c r="F7417" s="61">
        <v>0.1</v>
      </c>
      <c r="G7417" s="29">
        <f>G7392</f>
        <v>95000</v>
      </c>
      <c r="H7417" s="122">
        <f>+G7417*F7417</f>
        <v>9500</v>
      </c>
      <c r="M7417" s="61">
        <v>0.1</v>
      </c>
    </row>
    <row r="7418" spans="2:13" ht="18.75" customHeight="1" x14ac:dyDescent="0.25">
      <c r="B7418" s="26"/>
      <c r="C7418" s="96" t="s">
        <v>1508</v>
      </c>
      <c r="D7418" s="27" t="s">
        <v>634</v>
      </c>
      <c r="E7418" s="28" t="s">
        <v>631</v>
      </c>
      <c r="F7418" s="61">
        <v>7.4999999999999997E-2</v>
      </c>
      <c r="G7418" s="29">
        <f t="shared" ref="G7418:G7420" si="343">G7393</f>
        <v>110000</v>
      </c>
      <c r="H7418" s="122">
        <f>+G7418*F7418</f>
        <v>8250</v>
      </c>
      <c r="M7418" s="61">
        <v>7.4999999999999997E-2</v>
      </c>
    </row>
    <row r="7419" spans="2:13" ht="18.75" customHeight="1" x14ac:dyDescent="0.25">
      <c r="B7419" s="26"/>
      <c r="C7419" s="96" t="s">
        <v>633</v>
      </c>
      <c r="D7419" s="27" t="s">
        <v>634</v>
      </c>
      <c r="E7419" s="28" t="s">
        <v>631</v>
      </c>
      <c r="F7419" s="61">
        <v>5.0000000000000001E-3</v>
      </c>
      <c r="G7419" s="29">
        <f t="shared" si="343"/>
        <v>115000</v>
      </c>
      <c r="H7419" s="122">
        <f>+G7419*F7419</f>
        <v>575</v>
      </c>
      <c r="M7419" s="61">
        <v>5.0000000000000001E-3</v>
      </c>
    </row>
    <row r="7420" spans="2:13" ht="18.75" customHeight="1" x14ac:dyDescent="0.25">
      <c r="B7420" s="26"/>
      <c r="C7420" s="96" t="s">
        <v>600</v>
      </c>
      <c r="D7420" s="27" t="s">
        <v>635</v>
      </c>
      <c r="E7420" s="36" t="s">
        <v>631</v>
      </c>
      <c r="F7420" s="193">
        <v>5.0000000000000001E-3</v>
      </c>
      <c r="G7420" s="29">
        <f t="shared" si="343"/>
        <v>140000</v>
      </c>
      <c r="H7420" s="123">
        <f>+G7420*F7420</f>
        <v>700</v>
      </c>
      <c r="M7420" s="193">
        <v>5.0000000000000001E-3</v>
      </c>
    </row>
    <row r="7421" spans="2:13" ht="18.75" customHeight="1" x14ac:dyDescent="0.25">
      <c r="B7421" s="26"/>
      <c r="C7421" s="89"/>
      <c r="D7421" s="63"/>
      <c r="E7421" s="30"/>
      <c r="F7421" s="192" t="s">
        <v>636</v>
      </c>
      <c r="G7421" s="310"/>
      <c r="H7421" s="124">
        <f>SUM(H7417:H7420)</f>
        <v>19025</v>
      </c>
      <c r="M7421" s="192" t="s">
        <v>636</v>
      </c>
    </row>
    <row r="7422" spans="2:13" ht="18.75" customHeight="1" x14ac:dyDescent="0.25">
      <c r="B7422" s="26"/>
      <c r="C7422" s="89"/>
      <c r="D7422" s="58"/>
      <c r="E7422" s="62"/>
      <c r="F7422" s="52"/>
      <c r="G7422" s="76"/>
      <c r="H7422" s="140"/>
      <c r="M7422" s="52"/>
    </row>
    <row r="7423" spans="2:13" ht="18.75" customHeight="1" x14ac:dyDescent="0.25">
      <c r="B7423" s="26" t="s">
        <v>637</v>
      </c>
      <c r="C7423" s="89" t="s">
        <v>638</v>
      </c>
      <c r="D7423" s="64"/>
      <c r="E7423" s="31"/>
      <c r="F7423" s="180"/>
      <c r="G7423" s="75"/>
      <c r="H7423" s="125"/>
      <c r="M7423" s="180"/>
    </row>
    <row r="7424" spans="2:13" ht="18.75" customHeight="1" x14ac:dyDescent="0.25">
      <c r="B7424" s="26"/>
      <c r="C7424" s="89" t="s">
        <v>1235</v>
      </c>
      <c r="D7424" s="64"/>
      <c r="E7424" s="64" t="s">
        <v>1087</v>
      </c>
      <c r="F7424" s="205">
        <v>1.3</v>
      </c>
      <c r="G7424" s="75">
        <f>Bahan!D239</f>
        <v>11000</v>
      </c>
      <c r="H7424" s="122">
        <f>+G7424*F7424</f>
        <v>14300</v>
      </c>
      <c r="M7424" s="205">
        <v>1.3</v>
      </c>
    </row>
    <row r="7425" spans="2:13" ht="18.75" customHeight="1" x14ac:dyDescent="0.25">
      <c r="B7425" s="26"/>
      <c r="C7425" s="89" t="s">
        <v>1236</v>
      </c>
      <c r="D7425" s="64"/>
      <c r="E7425" s="64" t="s">
        <v>1013</v>
      </c>
      <c r="F7425" s="205">
        <v>1.4E-2</v>
      </c>
      <c r="G7425" s="75">
        <f>Bahan!D241</f>
        <v>3900000</v>
      </c>
      <c r="H7425" s="122">
        <f>+G7425*F7425</f>
        <v>54600</v>
      </c>
      <c r="M7425" s="205">
        <v>1.4E-2</v>
      </c>
    </row>
    <row r="7426" spans="2:13" ht="18.75" customHeight="1" x14ac:dyDescent="0.25">
      <c r="B7426" s="26"/>
      <c r="C7426" s="89" t="s">
        <v>660</v>
      </c>
      <c r="D7426" s="64"/>
      <c r="E7426" s="64" t="s">
        <v>5</v>
      </c>
      <c r="F7426" s="205">
        <v>1.2E-2</v>
      </c>
      <c r="G7426" s="34">
        <f>G7400</f>
        <v>25000</v>
      </c>
      <c r="H7426" s="122">
        <f>+G7426*F7426</f>
        <v>300</v>
      </c>
      <c r="M7426" s="205">
        <v>1.2E-2</v>
      </c>
    </row>
    <row r="7427" spans="2:13" ht="18.75" customHeight="1" x14ac:dyDescent="0.25">
      <c r="B7427" s="26"/>
      <c r="C7427" s="89" t="s">
        <v>1237</v>
      </c>
      <c r="D7427" s="64"/>
      <c r="E7427" s="64" t="s">
        <v>1087</v>
      </c>
      <c r="F7427" s="205">
        <v>3.0000000000000001E-3</v>
      </c>
      <c r="G7427" s="75">
        <f>Bahan!D268</f>
        <v>37500</v>
      </c>
      <c r="H7427" s="122">
        <f>+G7427*F7427</f>
        <v>112.5</v>
      </c>
      <c r="M7427" s="205">
        <v>3.0000000000000001E-3</v>
      </c>
    </row>
    <row r="7428" spans="2:13" ht="18.75" customHeight="1" x14ac:dyDescent="0.25">
      <c r="B7428" s="26"/>
      <c r="C7428" s="89"/>
      <c r="D7428" s="63"/>
      <c r="E7428" s="30"/>
      <c r="F7428" s="179" t="s">
        <v>643</v>
      </c>
      <c r="G7428" s="310"/>
      <c r="H7428" s="124">
        <f>SUM(H7424:H7424)</f>
        <v>14300</v>
      </c>
      <c r="M7428" s="179" t="s">
        <v>643</v>
      </c>
    </row>
    <row r="7429" spans="2:13" ht="18.75" customHeight="1" x14ac:dyDescent="0.25">
      <c r="B7429" s="26"/>
      <c r="C7429" s="89"/>
      <c r="D7429" s="64"/>
      <c r="E7429" s="31"/>
      <c r="F7429" s="180"/>
      <c r="G7429" s="75"/>
      <c r="H7429" s="125"/>
      <c r="M7429" s="180"/>
    </row>
    <row r="7430" spans="2:13" ht="18.75" customHeight="1" x14ac:dyDescent="0.25">
      <c r="B7430" s="26" t="s">
        <v>644</v>
      </c>
      <c r="C7430" s="89" t="s">
        <v>645</v>
      </c>
      <c r="D7430" s="56"/>
      <c r="E7430" s="36"/>
      <c r="F7430" s="194"/>
      <c r="G7430" s="88"/>
      <c r="H7430" s="127"/>
      <c r="M7430" s="194"/>
    </row>
    <row r="7431" spans="2:13" ht="18.75" customHeight="1" x14ac:dyDescent="0.25">
      <c r="B7431" s="35"/>
      <c r="C7431" s="97"/>
      <c r="D7431" s="63"/>
      <c r="E7431" s="30"/>
      <c r="F7431" s="179" t="s">
        <v>646</v>
      </c>
      <c r="G7431" s="310"/>
      <c r="H7431" s="128"/>
      <c r="M7431" s="179" t="s">
        <v>646</v>
      </c>
    </row>
    <row r="7432" spans="2:13" ht="18.75" customHeight="1" x14ac:dyDescent="0.25">
      <c r="B7432" s="37"/>
      <c r="C7432" s="98"/>
      <c r="D7432" s="411"/>
      <c r="E7432" s="42"/>
      <c r="F7432" s="181"/>
      <c r="G7432" s="311"/>
      <c r="H7432" s="129"/>
      <c r="M7432" s="181"/>
    </row>
    <row r="7433" spans="2:13" ht="18.75" customHeight="1" x14ac:dyDescent="0.25">
      <c r="B7433" s="50"/>
      <c r="C7433" s="100"/>
      <c r="E7433" s="21"/>
      <c r="F7433" s="189"/>
      <c r="G7433" s="90"/>
      <c r="H7433" s="137"/>
      <c r="M7433" s="189"/>
    </row>
    <row r="7434" spans="2:13" ht="18.75" customHeight="1" x14ac:dyDescent="0.25">
      <c r="B7434" s="46" t="s">
        <v>647</v>
      </c>
      <c r="C7434" s="101" t="s">
        <v>648</v>
      </c>
      <c r="E7434" s="22"/>
      <c r="F7434" s="189"/>
      <c r="G7434" s="308"/>
      <c r="H7434" s="131">
        <f>+H7431+H7428+H7421</f>
        <v>33325</v>
      </c>
      <c r="M7434" s="189"/>
    </row>
    <row r="7435" spans="2:13" ht="18.75" customHeight="1" x14ac:dyDescent="0.25">
      <c r="B7435" s="356" t="s">
        <v>649</v>
      </c>
      <c r="C7435" s="364" t="s">
        <v>650</v>
      </c>
      <c r="D7435" s="435"/>
      <c r="E7435" s="92"/>
      <c r="F7435" s="184" t="str">
        <f>$J$5</f>
        <v>8,0 % x D</v>
      </c>
      <c r="G7435" s="295"/>
      <c r="H7435" s="358">
        <f>+H7434*$K$5</f>
        <v>2666</v>
      </c>
      <c r="M7435" s="184" t="str">
        <f>$J$5</f>
        <v>8,0 % x D</v>
      </c>
    </row>
    <row r="7436" spans="2:13" ht="18.75" customHeight="1" x14ac:dyDescent="0.25">
      <c r="B7436" s="356" t="s">
        <v>651</v>
      </c>
      <c r="C7436" s="365" t="s">
        <v>652</v>
      </c>
      <c r="D7436" s="435"/>
      <c r="E7436" s="91"/>
      <c r="F7436" s="185"/>
      <c r="G7436" s="296"/>
      <c r="H7436" s="359">
        <f>ROUNDUP((H7435+H7434)/100,0)*100</f>
        <v>36000</v>
      </c>
      <c r="M7436" s="185"/>
    </row>
    <row r="7437" spans="2:13" ht="18.75" customHeight="1" thickBot="1" x14ac:dyDescent="0.3">
      <c r="B7437" s="47"/>
      <c r="C7437" s="103"/>
      <c r="D7437" s="48"/>
      <c r="E7437" s="49"/>
      <c r="F7437" s="186"/>
      <c r="G7437" s="309"/>
      <c r="H7437" s="136"/>
      <c r="M7437" s="186"/>
    </row>
    <row r="7438" spans="2:13" ht="18.75" customHeight="1" x14ac:dyDescent="0.25">
      <c r="B7438" s="92"/>
      <c r="C7438" s="104"/>
      <c r="D7438" s="435"/>
      <c r="E7438" s="91"/>
      <c r="F7438" s="185"/>
      <c r="G7438" s="168"/>
      <c r="H7438" s="139"/>
      <c r="M7438" s="185"/>
    </row>
    <row r="7439" spans="2:13" ht="18.75" customHeight="1" x14ac:dyDescent="0.25">
      <c r="B7439" s="19">
        <f>B7412+1</f>
        <v>34</v>
      </c>
      <c r="C7439" s="93" t="s">
        <v>1238</v>
      </c>
      <c r="D7439" s="19"/>
      <c r="E7439" s="21"/>
      <c r="F7439" s="176"/>
      <c r="G7439" s="165"/>
      <c r="H7439" s="119"/>
      <c r="M7439" s="176"/>
    </row>
    <row r="7440" spans="2:13" ht="18.75" customHeight="1" x14ac:dyDescent="0.25">
      <c r="B7440" s="618" t="s">
        <v>620</v>
      </c>
      <c r="C7440" s="620" t="s">
        <v>621</v>
      </c>
      <c r="D7440" s="618" t="s">
        <v>622</v>
      </c>
      <c r="E7440" s="618" t="s">
        <v>2</v>
      </c>
      <c r="F7440" s="615" t="s">
        <v>623</v>
      </c>
      <c r="G7440" s="289" t="s">
        <v>624</v>
      </c>
      <c r="H7440" s="256" t="s">
        <v>625</v>
      </c>
      <c r="M7440" s="615" t="s">
        <v>623</v>
      </c>
    </row>
    <row r="7441" spans="2:13" ht="18.75" customHeight="1" x14ac:dyDescent="0.25">
      <c r="B7441" s="619"/>
      <c r="C7441" s="621"/>
      <c r="D7441" s="619"/>
      <c r="E7441" s="619"/>
      <c r="F7441" s="616"/>
      <c r="G7441" s="289" t="s">
        <v>626</v>
      </c>
      <c r="H7441" s="256" t="s">
        <v>626</v>
      </c>
      <c r="M7441" s="616"/>
    </row>
    <row r="7442" spans="2:13" ht="18.75" customHeight="1" x14ac:dyDescent="0.25">
      <c r="B7442" s="23"/>
      <c r="C7442" s="95"/>
      <c r="D7442" s="24"/>
      <c r="E7442" s="25"/>
      <c r="F7442" s="177"/>
      <c r="G7442" s="166"/>
      <c r="H7442" s="120"/>
      <c r="M7442" s="177"/>
    </row>
    <row r="7443" spans="2:13" ht="18.75" customHeight="1" x14ac:dyDescent="0.25">
      <c r="B7443" s="26" t="s">
        <v>627</v>
      </c>
      <c r="C7443" s="89" t="s">
        <v>628</v>
      </c>
      <c r="D7443" s="27"/>
      <c r="E7443" s="28"/>
      <c r="F7443" s="178"/>
      <c r="G7443" s="72"/>
      <c r="H7443" s="121"/>
      <c r="M7443" s="178"/>
    </row>
    <row r="7444" spans="2:13" ht="18.75" customHeight="1" x14ac:dyDescent="0.25">
      <c r="B7444" s="26"/>
      <c r="C7444" s="96" t="s">
        <v>629</v>
      </c>
      <c r="D7444" s="27" t="s">
        <v>630</v>
      </c>
      <c r="E7444" s="28" t="s">
        <v>631</v>
      </c>
      <c r="F7444" s="61">
        <v>0.15</v>
      </c>
      <c r="G7444" s="29">
        <f>+G7392</f>
        <v>95000</v>
      </c>
      <c r="H7444" s="122">
        <f>+G7444*F7444</f>
        <v>14250</v>
      </c>
      <c r="M7444" s="61">
        <v>0.15</v>
      </c>
    </row>
    <row r="7445" spans="2:13" ht="18.75" customHeight="1" x14ac:dyDescent="0.25">
      <c r="B7445" s="26"/>
      <c r="C7445" s="96" t="s">
        <v>1508</v>
      </c>
      <c r="D7445" s="27" t="s">
        <v>634</v>
      </c>
      <c r="E7445" s="28" t="s">
        <v>631</v>
      </c>
      <c r="F7445" s="61">
        <v>0.45</v>
      </c>
      <c r="G7445" s="29">
        <f>+G7393</f>
        <v>110000</v>
      </c>
      <c r="H7445" s="122">
        <f>+G7445*F7445</f>
        <v>49500</v>
      </c>
      <c r="M7445" s="61">
        <v>0.45</v>
      </c>
    </row>
    <row r="7446" spans="2:13" ht="18.75" customHeight="1" x14ac:dyDescent="0.25">
      <c r="B7446" s="26"/>
      <c r="C7446" s="96" t="s">
        <v>633</v>
      </c>
      <c r="D7446" s="27" t="s">
        <v>634</v>
      </c>
      <c r="E7446" s="28" t="s">
        <v>631</v>
      </c>
      <c r="F7446" s="61">
        <v>7.5499999999999998E-2</v>
      </c>
      <c r="G7446" s="29">
        <f>+G7394</f>
        <v>115000</v>
      </c>
      <c r="H7446" s="122">
        <f>+G7446*F7446</f>
        <v>8682.5</v>
      </c>
      <c r="M7446" s="61">
        <v>7.5499999999999998E-2</v>
      </c>
    </row>
    <row r="7447" spans="2:13" ht="18.75" customHeight="1" x14ac:dyDescent="0.25">
      <c r="B7447" s="26"/>
      <c r="C7447" s="96" t="s">
        <v>600</v>
      </c>
      <c r="D7447" s="27" t="s">
        <v>635</v>
      </c>
      <c r="E7447" s="36" t="s">
        <v>631</v>
      </c>
      <c r="F7447" s="193">
        <v>8.0000000000000002E-3</v>
      </c>
      <c r="G7447" s="29">
        <f>+G7395</f>
        <v>140000</v>
      </c>
      <c r="H7447" s="123">
        <f>+G7447*F7447</f>
        <v>1120</v>
      </c>
      <c r="M7447" s="193">
        <v>8.0000000000000002E-3</v>
      </c>
    </row>
    <row r="7448" spans="2:13" ht="18.75" customHeight="1" x14ac:dyDescent="0.25">
      <c r="B7448" s="26"/>
      <c r="C7448" s="89"/>
      <c r="D7448" s="63"/>
      <c r="E7448" s="30"/>
      <c r="F7448" s="192" t="s">
        <v>636</v>
      </c>
      <c r="G7448" s="310"/>
      <c r="H7448" s="124">
        <f>SUM(H7444:H7447)</f>
        <v>73552.5</v>
      </c>
      <c r="M7448" s="192" t="s">
        <v>636</v>
      </c>
    </row>
    <row r="7449" spans="2:13" ht="18.75" customHeight="1" x14ac:dyDescent="0.25">
      <c r="B7449" s="26"/>
      <c r="C7449" s="89"/>
      <c r="D7449" s="58"/>
      <c r="E7449" s="62"/>
      <c r="F7449" s="52"/>
      <c r="G7449" s="76"/>
      <c r="H7449" s="140"/>
      <c r="M7449" s="52"/>
    </row>
    <row r="7450" spans="2:13" ht="18.75" customHeight="1" x14ac:dyDescent="0.25">
      <c r="B7450" s="26" t="s">
        <v>637</v>
      </c>
      <c r="C7450" s="89" t="s">
        <v>638</v>
      </c>
      <c r="D7450" s="64"/>
      <c r="E7450" s="31"/>
      <c r="F7450" s="180"/>
      <c r="G7450" s="75"/>
      <c r="H7450" s="125"/>
      <c r="M7450" s="180"/>
    </row>
    <row r="7451" spans="2:13" ht="18.75" customHeight="1" x14ac:dyDescent="0.25">
      <c r="B7451" s="26"/>
      <c r="C7451" s="89" t="s">
        <v>1239</v>
      </c>
      <c r="D7451" s="64"/>
      <c r="E7451" s="64" t="s">
        <v>1240</v>
      </c>
      <c r="F7451" s="205">
        <v>1.2</v>
      </c>
      <c r="G7451" s="75">
        <f>Bahan!D553</f>
        <v>40000</v>
      </c>
      <c r="H7451" s="122">
        <f>+G7451*F7451</f>
        <v>48000</v>
      </c>
      <c r="M7451" s="205">
        <v>1.2</v>
      </c>
    </row>
    <row r="7452" spans="2:13" ht="18.75" customHeight="1" x14ac:dyDescent="0.25">
      <c r="B7452" s="26"/>
      <c r="C7452" s="89" t="s">
        <v>660</v>
      </c>
      <c r="D7452" s="64"/>
      <c r="E7452" s="64" t="s">
        <v>5</v>
      </c>
      <c r="F7452" s="205">
        <v>0.1</v>
      </c>
      <c r="G7452" s="75">
        <f>+G7400</f>
        <v>25000</v>
      </c>
      <c r="H7452" s="122">
        <f>+G7452*F7452</f>
        <v>2500</v>
      </c>
      <c r="M7452" s="205">
        <v>0.1</v>
      </c>
    </row>
    <row r="7453" spans="2:13" ht="18.75" customHeight="1" x14ac:dyDescent="0.25">
      <c r="B7453" s="26"/>
      <c r="C7453" s="89" t="s">
        <v>1629</v>
      </c>
      <c r="D7453" s="64"/>
      <c r="E7453" s="64" t="s">
        <v>18</v>
      </c>
      <c r="F7453" s="205">
        <v>0.55000000000000004</v>
      </c>
      <c r="G7453" s="34">
        <f>Bahan!D543</f>
        <v>165000</v>
      </c>
      <c r="H7453" s="122">
        <f>+G7453*F7453</f>
        <v>90750.000000000015</v>
      </c>
      <c r="M7453" s="205">
        <v>0.55000000000000004</v>
      </c>
    </row>
    <row r="7454" spans="2:13" ht="18.75" customHeight="1" x14ac:dyDescent="0.25">
      <c r="B7454" s="26"/>
      <c r="C7454" s="89" t="s">
        <v>1241</v>
      </c>
      <c r="D7454" s="64"/>
      <c r="E7454" s="64" t="s">
        <v>5</v>
      </c>
      <c r="F7454" s="205">
        <v>0.52</v>
      </c>
      <c r="G7454" s="34">
        <f>Bahan!D198</f>
        <v>15000</v>
      </c>
      <c r="H7454" s="122">
        <f>+G7454*F7454</f>
        <v>7800</v>
      </c>
      <c r="M7454" s="205">
        <v>0.52</v>
      </c>
    </row>
    <row r="7455" spans="2:13" ht="18.75" customHeight="1" x14ac:dyDescent="0.25">
      <c r="B7455" s="26"/>
      <c r="C7455" s="89"/>
      <c r="D7455" s="63"/>
      <c r="E7455" s="30"/>
      <c r="F7455" s="179" t="s">
        <v>643</v>
      </c>
      <c r="G7455" s="310"/>
      <c r="H7455" s="124">
        <f>SUM(H7451:H7454)</f>
        <v>149050</v>
      </c>
      <c r="M7455" s="179" t="s">
        <v>643</v>
      </c>
    </row>
    <row r="7456" spans="2:13" ht="18.75" customHeight="1" x14ac:dyDescent="0.25">
      <c r="B7456" s="26"/>
      <c r="C7456" s="89"/>
      <c r="D7456" s="64"/>
      <c r="E7456" s="31"/>
      <c r="F7456" s="180"/>
      <c r="G7456" s="75"/>
      <c r="H7456" s="125"/>
      <c r="M7456" s="180"/>
    </row>
    <row r="7457" spans="2:13" ht="18.75" customHeight="1" x14ac:dyDescent="0.25">
      <c r="B7457" s="26" t="s">
        <v>644</v>
      </c>
      <c r="C7457" s="89" t="s">
        <v>645</v>
      </c>
      <c r="D7457" s="56"/>
      <c r="E7457" s="36"/>
      <c r="F7457" s="194"/>
      <c r="G7457" s="88"/>
      <c r="H7457" s="127"/>
      <c r="M7457" s="194"/>
    </row>
    <row r="7458" spans="2:13" ht="18.75" customHeight="1" x14ac:dyDescent="0.25">
      <c r="B7458" s="35"/>
      <c r="C7458" s="97"/>
      <c r="D7458" s="63"/>
      <c r="E7458" s="30"/>
      <c r="F7458" s="179" t="s">
        <v>646</v>
      </c>
      <c r="G7458" s="310"/>
      <c r="H7458" s="128"/>
      <c r="M7458" s="179" t="s">
        <v>646</v>
      </c>
    </row>
    <row r="7459" spans="2:13" ht="18.75" customHeight="1" x14ac:dyDescent="0.25">
      <c r="B7459" s="37"/>
      <c r="C7459" s="98"/>
      <c r="D7459" s="411"/>
      <c r="E7459" s="42"/>
      <c r="F7459" s="181"/>
      <c r="G7459" s="311"/>
      <c r="H7459" s="129"/>
      <c r="M7459" s="181"/>
    </row>
    <row r="7460" spans="2:13" ht="18.75" customHeight="1" x14ac:dyDescent="0.25">
      <c r="B7460" s="50"/>
      <c r="C7460" s="100"/>
      <c r="E7460" s="21"/>
      <c r="F7460" s="189"/>
      <c r="G7460" s="90"/>
      <c r="H7460" s="137"/>
      <c r="M7460" s="189"/>
    </row>
    <row r="7461" spans="2:13" ht="18.75" customHeight="1" x14ac:dyDescent="0.25">
      <c r="B7461" s="46" t="s">
        <v>647</v>
      </c>
      <c r="C7461" s="101" t="s">
        <v>648</v>
      </c>
      <c r="E7461" s="22"/>
      <c r="F7461" s="189"/>
      <c r="G7461" s="308"/>
      <c r="H7461" s="131">
        <f>+H7458+H7455+H7448</f>
        <v>222602.5</v>
      </c>
      <c r="M7461" s="189"/>
    </row>
    <row r="7462" spans="2:13" ht="18.75" customHeight="1" x14ac:dyDescent="0.25">
      <c r="B7462" s="356" t="s">
        <v>649</v>
      </c>
      <c r="C7462" s="364" t="s">
        <v>650</v>
      </c>
      <c r="D7462" s="435"/>
      <c r="E7462" s="92"/>
      <c r="F7462" s="184" t="str">
        <f>$J$5</f>
        <v>8,0 % x D</v>
      </c>
      <c r="G7462" s="295"/>
      <c r="H7462" s="358">
        <f>+H7461*$K$5</f>
        <v>17808.2</v>
      </c>
      <c r="M7462" s="184" t="str">
        <f>$J$5</f>
        <v>8,0 % x D</v>
      </c>
    </row>
    <row r="7463" spans="2:13" ht="18.75" customHeight="1" x14ac:dyDescent="0.25">
      <c r="B7463" s="356" t="s">
        <v>651</v>
      </c>
      <c r="C7463" s="365" t="s">
        <v>652</v>
      </c>
      <c r="D7463" s="435"/>
      <c r="E7463" s="91"/>
      <c r="F7463" s="185"/>
      <c r="G7463" s="296"/>
      <c r="H7463" s="359">
        <f>ROUNDUP((H7462+H7461)/100,0)*100</f>
        <v>240500</v>
      </c>
      <c r="M7463" s="185"/>
    </row>
    <row r="7464" spans="2:13" ht="18.75" customHeight="1" thickBot="1" x14ac:dyDescent="0.3">
      <c r="B7464" s="47"/>
      <c r="C7464" s="103"/>
      <c r="D7464" s="48"/>
      <c r="E7464" s="49"/>
      <c r="F7464" s="186"/>
      <c r="G7464" s="309"/>
      <c r="H7464" s="136"/>
      <c r="M7464" s="186"/>
    </row>
    <row r="7465" spans="2:13" ht="18.75" customHeight="1" x14ac:dyDescent="0.25">
      <c r="B7465" s="22"/>
      <c r="C7465" s="104"/>
      <c r="E7465" s="21"/>
      <c r="F7465" s="176"/>
      <c r="G7465" s="165"/>
      <c r="H7465" s="119"/>
      <c r="M7465" s="176"/>
    </row>
    <row r="7466" spans="2:13" ht="18.75" customHeight="1" x14ac:dyDescent="0.25">
      <c r="B7466" s="19">
        <f>+B7439+1</f>
        <v>35</v>
      </c>
      <c r="C7466" s="93" t="s">
        <v>1242</v>
      </c>
      <c r="D7466" s="19"/>
      <c r="E7466" s="21"/>
      <c r="F7466" s="176"/>
      <c r="G7466" s="165"/>
      <c r="H7466" s="119"/>
      <c r="M7466" s="176"/>
    </row>
    <row r="7467" spans="2:13" ht="18.75" customHeight="1" x14ac:dyDescent="0.25">
      <c r="B7467" s="618" t="s">
        <v>620</v>
      </c>
      <c r="C7467" s="620" t="s">
        <v>621</v>
      </c>
      <c r="D7467" s="618" t="s">
        <v>622</v>
      </c>
      <c r="E7467" s="618" t="s">
        <v>2</v>
      </c>
      <c r="F7467" s="615" t="s">
        <v>623</v>
      </c>
      <c r="G7467" s="289" t="s">
        <v>624</v>
      </c>
      <c r="H7467" s="256" t="s">
        <v>625</v>
      </c>
      <c r="M7467" s="615" t="s">
        <v>623</v>
      </c>
    </row>
    <row r="7468" spans="2:13" ht="18.75" customHeight="1" x14ac:dyDescent="0.25">
      <c r="B7468" s="619"/>
      <c r="C7468" s="621"/>
      <c r="D7468" s="619"/>
      <c r="E7468" s="619"/>
      <c r="F7468" s="616"/>
      <c r="G7468" s="289" t="s">
        <v>626</v>
      </c>
      <c r="H7468" s="256" t="s">
        <v>626</v>
      </c>
      <c r="M7468" s="616"/>
    </row>
    <row r="7469" spans="2:13" ht="18.75" customHeight="1" x14ac:dyDescent="0.25">
      <c r="B7469" s="23"/>
      <c r="C7469" s="95"/>
      <c r="D7469" s="24"/>
      <c r="E7469" s="25"/>
      <c r="F7469" s="177"/>
      <c r="G7469" s="166"/>
      <c r="H7469" s="120"/>
      <c r="M7469" s="177"/>
    </row>
    <row r="7470" spans="2:13" ht="18.75" customHeight="1" x14ac:dyDescent="0.25">
      <c r="B7470" s="26" t="s">
        <v>627</v>
      </c>
      <c r="C7470" s="89" t="s">
        <v>628</v>
      </c>
      <c r="D7470" s="27"/>
      <c r="E7470" s="28"/>
      <c r="F7470" s="178"/>
      <c r="G7470" s="72"/>
      <c r="H7470" s="121"/>
      <c r="M7470" s="178"/>
    </row>
    <row r="7471" spans="2:13" ht="18.75" customHeight="1" x14ac:dyDescent="0.25">
      <c r="B7471" s="26"/>
      <c r="C7471" s="96" t="s">
        <v>629</v>
      </c>
      <c r="D7471" s="27" t="s">
        <v>630</v>
      </c>
      <c r="E7471" s="28" t="s">
        <v>631</v>
      </c>
      <c r="F7471" s="61">
        <v>0.2</v>
      </c>
      <c r="G7471" s="29">
        <f>+G7444</f>
        <v>95000</v>
      </c>
      <c r="H7471" s="122">
        <f>+G7471*F7471</f>
        <v>19000</v>
      </c>
      <c r="M7471" s="61">
        <v>0.2</v>
      </c>
    </row>
    <row r="7472" spans="2:13" ht="18.75" customHeight="1" x14ac:dyDescent="0.25">
      <c r="B7472" s="26"/>
      <c r="C7472" s="96" t="s">
        <v>1508</v>
      </c>
      <c r="D7472" s="27" t="s">
        <v>634</v>
      </c>
      <c r="E7472" s="28" t="s">
        <v>631</v>
      </c>
      <c r="F7472" s="61">
        <v>0.5</v>
      </c>
      <c r="G7472" s="29">
        <f>+G7445</f>
        <v>110000</v>
      </c>
      <c r="H7472" s="122">
        <f>+G7472*F7472</f>
        <v>55000</v>
      </c>
      <c r="M7472" s="61">
        <v>0.5</v>
      </c>
    </row>
    <row r="7473" spans="2:13" ht="18.75" customHeight="1" x14ac:dyDescent="0.25">
      <c r="B7473" s="26"/>
      <c r="C7473" s="96" t="s">
        <v>633</v>
      </c>
      <c r="D7473" s="27" t="s">
        <v>634</v>
      </c>
      <c r="E7473" s="28" t="s">
        <v>631</v>
      </c>
      <c r="F7473" s="61">
        <v>0.02</v>
      </c>
      <c r="G7473" s="29">
        <f>+G7446</f>
        <v>115000</v>
      </c>
      <c r="H7473" s="122">
        <f>+G7473*F7473</f>
        <v>2300</v>
      </c>
      <c r="M7473" s="61">
        <v>0.02</v>
      </c>
    </row>
    <row r="7474" spans="2:13" ht="18.75" customHeight="1" x14ac:dyDescent="0.25">
      <c r="B7474" s="26"/>
      <c r="C7474" s="96" t="s">
        <v>600</v>
      </c>
      <c r="D7474" s="27" t="s">
        <v>635</v>
      </c>
      <c r="E7474" s="36" t="s">
        <v>631</v>
      </c>
      <c r="F7474" s="193">
        <v>0.01</v>
      </c>
      <c r="G7474" s="29">
        <f>+G7447</f>
        <v>140000</v>
      </c>
      <c r="H7474" s="123">
        <f>+G7474*F7474</f>
        <v>1400</v>
      </c>
      <c r="M7474" s="193">
        <v>0.01</v>
      </c>
    </row>
    <row r="7475" spans="2:13" ht="18.75" customHeight="1" x14ac:dyDescent="0.25">
      <c r="B7475" s="26"/>
      <c r="C7475" s="89"/>
      <c r="D7475" s="63"/>
      <c r="E7475" s="30"/>
      <c r="F7475" s="192" t="s">
        <v>636</v>
      </c>
      <c r="G7475" s="310"/>
      <c r="H7475" s="124">
        <f>SUM(H7471:H7474)</f>
        <v>77700</v>
      </c>
      <c r="M7475" s="192" t="s">
        <v>636</v>
      </c>
    </row>
    <row r="7476" spans="2:13" ht="18.75" customHeight="1" x14ac:dyDescent="0.25">
      <c r="B7476" s="26"/>
      <c r="C7476" s="89"/>
      <c r="D7476" s="58"/>
      <c r="E7476" s="62"/>
      <c r="F7476" s="52"/>
      <c r="G7476" s="76"/>
      <c r="H7476" s="140"/>
      <c r="M7476" s="52"/>
    </row>
    <row r="7477" spans="2:13" ht="18.75" customHeight="1" x14ac:dyDescent="0.25">
      <c r="B7477" s="26" t="s">
        <v>637</v>
      </c>
      <c r="C7477" s="89" t="s">
        <v>638</v>
      </c>
      <c r="D7477" s="64"/>
      <c r="E7477" s="31"/>
      <c r="F7477" s="180"/>
      <c r="G7477" s="75"/>
      <c r="H7477" s="125"/>
      <c r="M7477" s="180"/>
    </row>
    <row r="7478" spans="2:13" ht="18.75" customHeight="1" x14ac:dyDescent="0.25">
      <c r="B7478" s="26"/>
      <c r="C7478" s="89" t="s">
        <v>1239</v>
      </c>
      <c r="D7478" s="64"/>
      <c r="E7478" s="64" t="s">
        <v>1240</v>
      </c>
      <c r="F7478" s="205">
        <v>1</v>
      </c>
      <c r="G7478" s="84">
        <f>+G7451</f>
        <v>40000</v>
      </c>
      <c r="H7478" s="122">
        <f>+G7478*F7478</f>
        <v>40000</v>
      </c>
      <c r="M7478" s="205">
        <v>1</v>
      </c>
    </row>
    <row r="7479" spans="2:13" ht="18.75" customHeight="1" x14ac:dyDescent="0.25">
      <c r="B7479" s="26"/>
      <c r="C7479" s="89" t="s">
        <v>660</v>
      </c>
      <c r="D7479" s="64"/>
      <c r="E7479" s="64" t="s">
        <v>5</v>
      </c>
      <c r="F7479" s="205">
        <v>0.11</v>
      </c>
      <c r="G7479" s="84">
        <f>+G7452</f>
        <v>25000</v>
      </c>
      <c r="H7479" s="122">
        <f>+G7479*F7479</f>
        <v>2750</v>
      </c>
      <c r="M7479" s="205">
        <v>0.11</v>
      </c>
    </row>
    <row r="7480" spans="2:13" ht="18.75" customHeight="1" x14ac:dyDescent="0.25">
      <c r="B7480" s="26"/>
      <c r="C7480" s="89" t="s">
        <v>1243</v>
      </c>
      <c r="D7480" s="64"/>
      <c r="E7480" s="64" t="s">
        <v>18</v>
      </c>
      <c r="F7480" s="205">
        <v>0.4</v>
      </c>
      <c r="G7480" s="432">
        <f>Bahan!D538</f>
        <v>114000</v>
      </c>
      <c r="H7480" s="122">
        <f>+G7480*F7480</f>
        <v>45600</v>
      </c>
      <c r="M7480" s="205">
        <v>0.4</v>
      </c>
    </row>
    <row r="7481" spans="2:13" ht="18.75" customHeight="1" x14ac:dyDescent="0.25">
      <c r="B7481" s="26"/>
      <c r="C7481" s="89" t="s">
        <v>1241</v>
      </c>
      <c r="D7481" s="64"/>
      <c r="E7481" s="64" t="s">
        <v>5</v>
      </c>
      <c r="F7481" s="205">
        <v>0.52</v>
      </c>
      <c r="G7481" s="34">
        <f>+G7454</f>
        <v>15000</v>
      </c>
      <c r="H7481" s="122">
        <f>+G7481*F7481</f>
        <v>7800</v>
      </c>
      <c r="M7481" s="205">
        <v>0.52</v>
      </c>
    </row>
    <row r="7482" spans="2:13" ht="18.75" customHeight="1" x14ac:dyDescent="0.25">
      <c r="B7482" s="26"/>
      <c r="C7482" s="89"/>
      <c r="D7482" s="63"/>
      <c r="E7482" s="30"/>
      <c r="F7482" s="179" t="s">
        <v>643</v>
      </c>
      <c r="G7482" s="310"/>
      <c r="H7482" s="124">
        <f>SUM(H7478:H7481)</f>
        <v>96150</v>
      </c>
      <c r="M7482" s="179" t="s">
        <v>643</v>
      </c>
    </row>
    <row r="7483" spans="2:13" ht="18.75" customHeight="1" x14ac:dyDescent="0.25">
      <c r="B7483" s="26"/>
      <c r="C7483" s="89"/>
      <c r="D7483" s="64"/>
      <c r="E7483" s="31"/>
      <c r="F7483" s="180"/>
      <c r="G7483" s="75"/>
      <c r="H7483" s="125"/>
      <c r="M7483" s="180"/>
    </row>
    <row r="7484" spans="2:13" ht="18.75" customHeight="1" x14ac:dyDescent="0.25">
      <c r="B7484" s="26" t="s">
        <v>644</v>
      </c>
      <c r="C7484" s="89" t="s">
        <v>645</v>
      </c>
      <c r="D7484" s="56"/>
      <c r="E7484" s="36"/>
      <c r="F7484" s="194"/>
      <c r="G7484" s="88"/>
      <c r="H7484" s="127"/>
      <c r="M7484" s="194"/>
    </row>
    <row r="7485" spans="2:13" ht="18.75" customHeight="1" x14ac:dyDescent="0.25">
      <c r="B7485" s="35"/>
      <c r="C7485" s="97"/>
      <c r="D7485" s="63"/>
      <c r="E7485" s="30"/>
      <c r="F7485" s="179" t="s">
        <v>646</v>
      </c>
      <c r="G7485" s="310"/>
      <c r="H7485" s="128"/>
      <c r="M7485" s="179" t="s">
        <v>646</v>
      </c>
    </row>
    <row r="7486" spans="2:13" ht="18.75" customHeight="1" x14ac:dyDescent="0.25">
      <c r="B7486" s="37"/>
      <c r="C7486" s="98"/>
      <c r="D7486" s="411"/>
      <c r="E7486" s="42"/>
      <c r="F7486" s="181"/>
      <c r="G7486" s="311"/>
      <c r="H7486" s="129"/>
      <c r="M7486" s="181"/>
    </row>
    <row r="7487" spans="2:13" ht="18.75" customHeight="1" x14ac:dyDescent="0.25">
      <c r="B7487" s="50"/>
      <c r="C7487" s="100"/>
      <c r="E7487" s="21"/>
      <c r="F7487" s="189"/>
      <c r="G7487" s="90"/>
      <c r="H7487" s="137"/>
      <c r="M7487" s="189"/>
    </row>
    <row r="7488" spans="2:13" ht="18.75" customHeight="1" x14ac:dyDescent="0.25">
      <c r="B7488" s="46" t="s">
        <v>647</v>
      </c>
      <c r="C7488" s="101" t="s">
        <v>648</v>
      </c>
      <c r="E7488" s="22"/>
      <c r="F7488" s="189"/>
      <c r="G7488" s="308"/>
      <c r="H7488" s="131">
        <f>+H7485+H7482+H7475</f>
        <v>173850</v>
      </c>
      <c r="M7488" s="189"/>
    </row>
    <row r="7489" spans="2:13" ht="18.75" customHeight="1" x14ac:dyDescent="0.25">
      <c r="B7489" s="356" t="s">
        <v>649</v>
      </c>
      <c r="C7489" s="364" t="s">
        <v>650</v>
      </c>
      <c r="D7489" s="435"/>
      <c r="E7489" s="92"/>
      <c r="F7489" s="184" t="str">
        <f>$J$5</f>
        <v>8,0 % x D</v>
      </c>
      <c r="G7489" s="295"/>
      <c r="H7489" s="358">
        <f>+H7488*$K$5</f>
        <v>13908</v>
      </c>
      <c r="M7489" s="184" t="str">
        <f>$J$5</f>
        <v>8,0 % x D</v>
      </c>
    </row>
    <row r="7490" spans="2:13" ht="18.75" customHeight="1" x14ac:dyDescent="0.25">
      <c r="B7490" s="356" t="s">
        <v>651</v>
      </c>
      <c r="C7490" s="365" t="s">
        <v>652</v>
      </c>
      <c r="D7490" s="435"/>
      <c r="E7490" s="91"/>
      <c r="F7490" s="185"/>
      <c r="G7490" s="296"/>
      <c r="H7490" s="359">
        <f>ROUNDUP((H7489+H7488)/100,0)*100</f>
        <v>187800</v>
      </c>
      <c r="M7490" s="185"/>
    </row>
    <row r="7491" spans="2:13" ht="18.75" customHeight="1" thickBot="1" x14ac:dyDescent="0.3">
      <c r="B7491" s="47"/>
      <c r="C7491" s="103"/>
      <c r="D7491" s="48"/>
      <c r="E7491" s="49"/>
      <c r="F7491" s="186"/>
      <c r="G7491" s="309"/>
      <c r="H7491" s="136"/>
      <c r="M7491" s="186"/>
    </row>
    <row r="7492" spans="2:13" ht="18.75" customHeight="1" x14ac:dyDescent="0.25">
      <c r="B7492" s="92"/>
      <c r="C7492" s="104"/>
      <c r="D7492" s="435"/>
      <c r="E7492" s="91"/>
      <c r="F7492" s="185"/>
      <c r="G7492" s="168"/>
      <c r="H7492" s="139"/>
      <c r="M7492" s="185"/>
    </row>
    <row r="7493" spans="2:13" ht="18.75" customHeight="1" x14ac:dyDescent="0.25">
      <c r="B7493" s="19">
        <f>B7466+1</f>
        <v>36</v>
      </c>
      <c r="C7493" s="93" t="s">
        <v>1244</v>
      </c>
      <c r="D7493" s="19"/>
      <c r="E7493" s="21"/>
      <c r="F7493" s="176"/>
      <c r="G7493" s="165"/>
      <c r="H7493" s="119"/>
      <c r="M7493" s="176"/>
    </row>
    <row r="7494" spans="2:13" ht="18.75" customHeight="1" x14ac:dyDescent="0.25">
      <c r="B7494" s="618" t="s">
        <v>620</v>
      </c>
      <c r="C7494" s="620" t="s">
        <v>621</v>
      </c>
      <c r="D7494" s="618" t="s">
        <v>622</v>
      </c>
      <c r="E7494" s="618" t="s">
        <v>2</v>
      </c>
      <c r="F7494" s="615" t="s">
        <v>623</v>
      </c>
      <c r="G7494" s="289" t="s">
        <v>624</v>
      </c>
      <c r="H7494" s="256" t="s">
        <v>625</v>
      </c>
      <c r="M7494" s="615" t="s">
        <v>623</v>
      </c>
    </row>
    <row r="7495" spans="2:13" ht="18.75" customHeight="1" x14ac:dyDescent="0.25">
      <c r="B7495" s="619"/>
      <c r="C7495" s="621"/>
      <c r="D7495" s="619"/>
      <c r="E7495" s="619"/>
      <c r="F7495" s="616"/>
      <c r="G7495" s="289" t="s">
        <v>626</v>
      </c>
      <c r="H7495" s="256" t="s">
        <v>626</v>
      </c>
      <c r="M7495" s="616"/>
    </row>
    <row r="7496" spans="2:13" ht="18.75" customHeight="1" x14ac:dyDescent="0.25">
      <c r="B7496" s="23"/>
      <c r="C7496" s="95"/>
      <c r="D7496" s="24"/>
      <c r="E7496" s="25"/>
      <c r="F7496" s="177"/>
      <c r="G7496" s="166"/>
      <c r="H7496" s="120"/>
      <c r="M7496" s="177"/>
    </row>
    <row r="7497" spans="2:13" ht="18.75" customHeight="1" x14ac:dyDescent="0.25">
      <c r="B7497" s="26" t="s">
        <v>627</v>
      </c>
      <c r="C7497" s="89" t="s">
        <v>628</v>
      </c>
      <c r="D7497" s="27"/>
      <c r="E7497" s="28"/>
      <c r="F7497" s="178"/>
      <c r="G7497" s="72"/>
      <c r="H7497" s="121"/>
      <c r="M7497" s="178"/>
    </row>
    <row r="7498" spans="2:13" ht="18.75" customHeight="1" x14ac:dyDescent="0.25">
      <c r="B7498" s="26"/>
      <c r="C7498" s="96" t="s">
        <v>629</v>
      </c>
      <c r="D7498" s="27" t="s">
        <v>630</v>
      </c>
      <c r="E7498" s="28" t="s">
        <v>631</v>
      </c>
      <c r="F7498" s="61">
        <v>0.65</v>
      </c>
      <c r="G7498" s="29">
        <f>G7471</f>
        <v>95000</v>
      </c>
      <c r="H7498" s="122">
        <f>+G7498*F7498</f>
        <v>61750</v>
      </c>
      <c r="M7498" s="61">
        <v>0.65</v>
      </c>
    </row>
    <row r="7499" spans="2:13" ht="18.75" customHeight="1" x14ac:dyDescent="0.25">
      <c r="B7499" s="26"/>
      <c r="C7499" s="96" t="s">
        <v>1508</v>
      </c>
      <c r="D7499" s="27" t="s">
        <v>634</v>
      </c>
      <c r="E7499" s="28" t="s">
        <v>631</v>
      </c>
      <c r="F7499" s="61">
        <v>0.65</v>
      </c>
      <c r="G7499" s="29">
        <f>G7472</f>
        <v>110000</v>
      </c>
      <c r="H7499" s="122">
        <f>+G7499*F7499</f>
        <v>71500</v>
      </c>
      <c r="M7499" s="61">
        <v>0.65</v>
      </c>
    </row>
    <row r="7500" spans="2:13" ht="18.75" customHeight="1" x14ac:dyDescent="0.25">
      <c r="B7500" s="26"/>
      <c r="C7500" s="96" t="s">
        <v>633</v>
      </c>
      <c r="D7500" s="27" t="s">
        <v>634</v>
      </c>
      <c r="E7500" s="28" t="s">
        <v>631</v>
      </c>
      <c r="F7500" s="61">
        <v>7.5499999999999998E-2</v>
      </c>
      <c r="G7500" s="29">
        <f>G7473</f>
        <v>115000</v>
      </c>
      <c r="H7500" s="122">
        <f>+G7500*F7500</f>
        <v>8682.5</v>
      </c>
      <c r="M7500" s="61">
        <v>7.5499999999999998E-2</v>
      </c>
    </row>
    <row r="7501" spans="2:13" ht="18.75" customHeight="1" x14ac:dyDescent="0.25">
      <c r="B7501" s="26"/>
      <c r="C7501" s="96" t="s">
        <v>600</v>
      </c>
      <c r="D7501" s="27" t="s">
        <v>635</v>
      </c>
      <c r="E7501" s="36" t="s">
        <v>631</v>
      </c>
      <c r="F7501" s="193">
        <v>6.4999999999999997E-3</v>
      </c>
      <c r="G7501" s="29">
        <f>G7474</f>
        <v>140000</v>
      </c>
      <c r="H7501" s="123">
        <f>+G7501*F7501</f>
        <v>910</v>
      </c>
      <c r="M7501" s="193">
        <v>6.4999999999999997E-3</v>
      </c>
    </row>
    <row r="7502" spans="2:13" ht="18.75" customHeight="1" x14ac:dyDescent="0.25">
      <c r="B7502" s="26"/>
      <c r="C7502" s="89"/>
      <c r="D7502" s="63"/>
      <c r="E7502" s="30"/>
      <c r="F7502" s="192" t="s">
        <v>636</v>
      </c>
      <c r="G7502" s="310"/>
      <c r="H7502" s="124">
        <f>SUM(H7498:H7501)</f>
        <v>142842.5</v>
      </c>
      <c r="M7502" s="192" t="s">
        <v>636</v>
      </c>
    </row>
    <row r="7503" spans="2:13" ht="18.75" customHeight="1" x14ac:dyDescent="0.25">
      <c r="B7503" s="26"/>
      <c r="C7503" s="89"/>
      <c r="D7503" s="58"/>
      <c r="E7503" s="62"/>
      <c r="F7503" s="52"/>
      <c r="G7503" s="76"/>
      <c r="H7503" s="140"/>
      <c r="M7503" s="52"/>
    </row>
    <row r="7504" spans="2:13" ht="18.75" customHeight="1" x14ac:dyDescent="0.25">
      <c r="B7504" s="26" t="s">
        <v>637</v>
      </c>
      <c r="C7504" s="89" t="s">
        <v>638</v>
      </c>
      <c r="D7504" s="64"/>
      <c r="E7504" s="31"/>
      <c r="F7504" s="180"/>
      <c r="G7504" s="75"/>
      <c r="H7504" s="125"/>
      <c r="M7504" s="180"/>
    </row>
    <row r="7505" spans="2:13" ht="18.75" customHeight="1" x14ac:dyDescent="0.25">
      <c r="B7505" s="26"/>
      <c r="C7505" s="89" t="s">
        <v>1245</v>
      </c>
      <c r="D7505" s="64"/>
      <c r="E7505" s="64" t="s">
        <v>52</v>
      </c>
      <c r="F7505" s="205">
        <v>2.75E-2</v>
      </c>
      <c r="G7505" s="84">
        <f>Bahan!D245</f>
        <v>33850000</v>
      </c>
      <c r="H7505" s="122">
        <f>+G7505*F7505</f>
        <v>930875</v>
      </c>
      <c r="M7505" s="205">
        <v>2.75E-2</v>
      </c>
    </row>
    <row r="7506" spans="2:13" ht="18.75" customHeight="1" x14ac:dyDescent="0.25">
      <c r="B7506" s="26"/>
      <c r="C7506" s="89"/>
      <c r="D7506" s="63"/>
      <c r="E7506" s="30"/>
      <c r="F7506" s="179" t="s">
        <v>643</v>
      </c>
      <c r="G7506" s="310"/>
      <c r="H7506" s="124">
        <f>SUM(H7505:H7505)</f>
        <v>930875</v>
      </c>
      <c r="M7506" s="179" t="s">
        <v>643</v>
      </c>
    </row>
    <row r="7507" spans="2:13" ht="18.75" customHeight="1" x14ac:dyDescent="0.25">
      <c r="B7507" s="26"/>
      <c r="C7507" s="89"/>
      <c r="D7507" s="64"/>
      <c r="E7507" s="31"/>
      <c r="F7507" s="180"/>
      <c r="G7507" s="75"/>
      <c r="H7507" s="125"/>
      <c r="M7507" s="180"/>
    </row>
    <row r="7508" spans="2:13" ht="18.75" customHeight="1" x14ac:dyDescent="0.25">
      <c r="B7508" s="26" t="s">
        <v>644</v>
      </c>
      <c r="C7508" s="89" t="s">
        <v>645</v>
      </c>
      <c r="D7508" s="56"/>
      <c r="E7508" s="36"/>
      <c r="F7508" s="194"/>
      <c r="G7508" s="88"/>
      <c r="H7508" s="127"/>
      <c r="M7508" s="194"/>
    </row>
    <row r="7509" spans="2:13" ht="18.75" customHeight="1" x14ac:dyDescent="0.25">
      <c r="B7509" s="35"/>
      <c r="C7509" s="97"/>
      <c r="D7509" s="63"/>
      <c r="E7509" s="30"/>
      <c r="F7509" s="179" t="s">
        <v>646</v>
      </c>
      <c r="G7509" s="310"/>
      <c r="H7509" s="128"/>
      <c r="M7509" s="179" t="s">
        <v>646</v>
      </c>
    </row>
    <row r="7510" spans="2:13" ht="18.75" customHeight="1" x14ac:dyDescent="0.25">
      <c r="B7510" s="37"/>
      <c r="C7510" s="98"/>
      <c r="D7510" s="411"/>
      <c r="E7510" s="42"/>
      <c r="F7510" s="181"/>
      <c r="G7510" s="311"/>
      <c r="H7510" s="129"/>
      <c r="M7510" s="181"/>
    </row>
    <row r="7511" spans="2:13" ht="18.75" customHeight="1" x14ac:dyDescent="0.25">
      <c r="B7511" s="50"/>
      <c r="C7511" s="100"/>
      <c r="E7511" s="21"/>
      <c r="F7511" s="189"/>
      <c r="G7511" s="90"/>
      <c r="H7511" s="137"/>
      <c r="M7511" s="189"/>
    </row>
    <row r="7512" spans="2:13" ht="18.75" customHeight="1" x14ac:dyDescent="0.25">
      <c r="B7512" s="46" t="s">
        <v>647</v>
      </c>
      <c r="C7512" s="101" t="s">
        <v>648</v>
      </c>
      <c r="E7512" s="22"/>
      <c r="F7512" s="189"/>
      <c r="G7512" s="308"/>
      <c r="H7512" s="131">
        <f>+H7509+H7506+H7502</f>
        <v>1073717.5</v>
      </c>
      <c r="M7512" s="189"/>
    </row>
    <row r="7513" spans="2:13" ht="18.75" customHeight="1" x14ac:dyDescent="0.25">
      <c r="B7513" s="356" t="s">
        <v>649</v>
      </c>
      <c r="C7513" s="364" t="s">
        <v>650</v>
      </c>
      <c r="D7513" s="435"/>
      <c r="E7513" s="92"/>
      <c r="F7513" s="184" t="str">
        <f>$J$5</f>
        <v>8,0 % x D</v>
      </c>
      <c r="G7513" s="295"/>
      <c r="H7513" s="358">
        <f>+H7512*$K$5</f>
        <v>85897.400000000009</v>
      </c>
      <c r="M7513" s="184" t="str">
        <f>$J$5</f>
        <v>8,0 % x D</v>
      </c>
    </row>
    <row r="7514" spans="2:13" ht="18.75" customHeight="1" x14ac:dyDescent="0.25">
      <c r="B7514" s="356" t="s">
        <v>651</v>
      </c>
      <c r="C7514" s="365" t="s">
        <v>652</v>
      </c>
      <c r="D7514" s="435"/>
      <c r="E7514" s="91"/>
      <c r="F7514" s="185"/>
      <c r="G7514" s="296"/>
      <c r="H7514" s="359">
        <f>ROUNDUP((H7513+H7512)/100,0)*100</f>
        <v>1159700</v>
      </c>
      <c r="M7514" s="185"/>
    </row>
    <row r="7515" spans="2:13" ht="18.75" customHeight="1" thickBot="1" x14ac:dyDescent="0.3">
      <c r="B7515" s="47"/>
      <c r="C7515" s="103"/>
      <c r="D7515" s="48"/>
      <c r="E7515" s="49"/>
      <c r="F7515" s="186"/>
      <c r="G7515" s="309"/>
      <c r="H7515" s="136"/>
      <c r="M7515" s="186"/>
    </row>
    <row r="7516" spans="2:13" ht="18.75" customHeight="1" x14ac:dyDescent="0.25">
      <c r="B7516" s="22"/>
      <c r="C7516" s="104"/>
      <c r="E7516" s="21"/>
      <c r="F7516" s="176"/>
      <c r="G7516" s="165"/>
      <c r="H7516" s="119"/>
      <c r="M7516" s="176"/>
    </row>
    <row r="7517" spans="2:13" ht="18.75" customHeight="1" x14ac:dyDescent="0.25">
      <c r="B7517" s="19">
        <f>B7493+1</f>
        <v>37</v>
      </c>
      <c r="C7517" s="93" t="s">
        <v>1246</v>
      </c>
      <c r="D7517" s="19"/>
      <c r="E7517" s="21"/>
      <c r="F7517" s="176"/>
      <c r="G7517" s="165"/>
      <c r="H7517" s="119"/>
      <c r="M7517" s="176"/>
    </row>
    <row r="7518" spans="2:13" ht="18.75" customHeight="1" x14ac:dyDescent="0.25">
      <c r="B7518" s="618" t="s">
        <v>620</v>
      </c>
      <c r="C7518" s="620" t="s">
        <v>621</v>
      </c>
      <c r="D7518" s="618" t="s">
        <v>622</v>
      </c>
      <c r="E7518" s="618" t="s">
        <v>2</v>
      </c>
      <c r="F7518" s="615" t="s">
        <v>623</v>
      </c>
      <c r="G7518" s="289" t="s">
        <v>624</v>
      </c>
      <c r="H7518" s="256" t="s">
        <v>625</v>
      </c>
      <c r="M7518" s="615" t="s">
        <v>623</v>
      </c>
    </row>
    <row r="7519" spans="2:13" ht="18.75" customHeight="1" x14ac:dyDescent="0.25">
      <c r="B7519" s="619"/>
      <c r="C7519" s="621"/>
      <c r="D7519" s="619"/>
      <c r="E7519" s="619"/>
      <c r="F7519" s="616"/>
      <c r="G7519" s="289" t="s">
        <v>626</v>
      </c>
      <c r="H7519" s="256" t="s">
        <v>626</v>
      </c>
      <c r="M7519" s="616"/>
    </row>
    <row r="7520" spans="2:13" ht="18.75" customHeight="1" x14ac:dyDescent="0.25">
      <c r="B7520" s="23"/>
      <c r="C7520" s="95"/>
      <c r="D7520" s="24"/>
      <c r="E7520" s="25"/>
      <c r="F7520" s="177"/>
      <c r="G7520" s="166"/>
      <c r="H7520" s="120"/>
      <c r="M7520" s="177"/>
    </row>
    <row r="7521" spans="2:13" ht="18.75" customHeight="1" x14ac:dyDescent="0.25">
      <c r="B7521" s="26" t="s">
        <v>627</v>
      </c>
      <c r="C7521" s="89" t="s">
        <v>628</v>
      </c>
      <c r="D7521" s="27"/>
      <c r="E7521" s="28"/>
      <c r="F7521" s="178"/>
      <c r="G7521" s="72"/>
      <c r="H7521" s="121"/>
      <c r="M7521" s="178"/>
    </row>
    <row r="7522" spans="2:13" ht="18.75" customHeight="1" x14ac:dyDescent="0.25">
      <c r="B7522" s="26"/>
      <c r="C7522" s="96" t="s">
        <v>629</v>
      </c>
      <c r="D7522" s="27" t="s">
        <v>630</v>
      </c>
      <c r="E7522" s="28" t="s">
        <v>631</v>
      </c>
      <c r="F7522" s="61">
        <v>0.65</v>
      </c>
      <c r="G7522" s="29">
        <f>G7498</f>
        <v>95000</v>
      </c>
      <c r="H7522" s="122">
        <f>+G7522*F7522</f>
        <v>61750</v>
      </c>
      <c r="M7522" s="61">
        <v>0.65</v>
      </c>
    </row>
    <row r="7523" spans="2:13" ht="18.75" customHeight="1" x14ac:dyDescent="0.25">
      <c r="B7523" s="26"/>
      <c r="C7523" s="96" t="s">
        <v>1508</v>
      </c>
      <c r="D7523" s="27" t="s">
        <v>634</v>
      </c>
      <c r="E7523" s="28" t="s">
        <v>631</v>
      </c>
      <c r="F7523" s="61">
        <v>0.65</v>
      </c>
      <c r="G7523" s="29">
        <f>G7499</f>
        <v>110000</v>
      </c>
      <c r="H7523" s="122">
        <f>+G7523*F7523</f>
        <v>71500</v>
      </c>
      <c r="M7523" s="61">
        <v>0.65</v>
      </c>
    </row>
    <row r="7524" spans="2:13" ht="18.75" customHeight="1" x14ac:dyDescent="0.25">
      <c r="B7524" s="26"/>
      <c r="C7524" s="96" t="s">
        <v>633</v>
      </c>
      <c r="D7524" s="27" t="s">
        <v>634</v>
      </c>
      <c r="E7524" s="28" t="s">
        <v>631</v>
      </c>
      <c r="F7524" s="61">
        <v>7.5499999999999998E-2</v>
      </c>
      <c r="G7524" s="29">
        <f>G7500</f>
        <v>115000</v>
      </c>
      <c r="H7524" s="122">
        <f>+G7524*F7524</f>
        <v>8682.5</v>
      </c>
      <c r="M7524" s="61">
        <v>7.5499999999999998E-2</v>
      </c>
    </row>
    <row r="7525" spans="2:13" ht="18.75" customHeight="1" x14ac:dyDescent="0.25">
      <c r="B7525" s="26"/>
      <c r="C7525" s="96" t="s">
        <v>600</v>
      </c>
      <c r="D7525" s="27" t="s">
        <v>635</v>
      </c>
      <c r="E7525" s="36" t="s">
        <v>631</v>
      </c>
      <c r="F7525" s="193">
        <v>6.4999999999999997E-3</v>
      </c>
      <c r="G7525" s="29">
        <f>G7501</f>
        <v>140000</v>
      </c>
      <c r="H7525" s="123">
        <f>+G7525*F7525</f>
        <v>910</v>
      </c>
      <c r="M7525" s="193">
        <v>6.4999999999999997E-3</v>
      </c>
    </row>
    <row r="7526" spans="2:13" ht="18.75" customHeight="1" x14ac:dyDescent="0.25">
      <c r="B7526" s="26"/>
      <c r="C7526" s="89"/>
      <c r="D7526" s="63"/>
      <c r="E7526" s="30"/>
      <c r="F7526" s="192" t="s">
        <v>636</v>
      </c>
      <c r="G7526" s="310"/>
      <c r="H7526" s="124">
        <f>SUM(H7522:H7525)</f>
        <v>142842.5</v>
      </c>
      <c r="M7526" s="192" t="s">
        <v>636</v>
      </c>
    </row>
    <row r="7527" spans="2:13" ht="18.75" customHeight="1" x14ac:dyDescent="0.25">
      <c r="B7527" s="26"/>
      <c r="C7527" s="89"/>
      <c r="D7527" s="58"/>
      <c r="E7527" s="62"/>
      <c r="F7527" s="52"/>
      <c r="G7527" s="76"/>
      <c r="H7527" s="140"/>
      <c r="M7527" s="52"/>
    </row>
    <row r="7528" spans="2:13" ht="18.75" customHeight="1" x14ac:dyDescent="0.25">
      <c r="B7528" s="26" t="s">
        <v>637</v>
      </c>
      <c r="C7528" s="89" t="s">
        <v>638</v>
      </c>
      <c r="D7528" s="64"/>
      <c r="E7528" s="31"/>
      <c r="F7528" s="180"/>
      <c r="G7528" s="75"/>
      <c r="H7528" s="125"/>
      <c r="M7528" s="180"/>
    </row>
    <row r="7529" spans="2:13" ht="18.75" customHeight="1" x14ac:dyDescent="0.25">
      <c r="B7529" s="26"/>
      <c r="C7529" s="89" t="s">
        <v>1247</v>
      </c>
      <c r="D7529" s="64"/>
      <c r="E7529" s="64" t="s">
        <v>52</v>
      </c>
      <c r="F7529" s="205">
        <v>7.1000000000000004E-3</v>
      </c>
      <c r="G7529" s="84">
        <f>Bahan!D246</f>
        <v>39500000</v>
      </c>
      <c r="H7529" s="122">
        <f>+G7529*F7529</f>
        <v>280450</v>
      </c>
      <c r="M7529" s="205">
        <v>7.1000000000000004E-3</v>
      </c>
    </row>
    <row r="7530" spans="2:13" ht="18.75" customHeight="1" x14ac:dyDescent="0.25">
      <c r="B7530" s="26"/>
      <c r="C7530" s="89"/>
      <c r="D7530" s="63"/>
      <c r="E7530" s="30"/>
      <c r="F7530" s="179" t="s">
        <v>643</v>
      </c>
      <c r="G7530" s="310"/>
      <c r="H7530" s="124">
        <f>SUM(H7529:H7529)</f>
        <v>280450</v>
      </c>
      <c r="M7530" s="179" t="s">
        <v>643</v>
      </c>
    </row>
    <row r="7531" spans="2:13" ht="18.75" customHeight="1" x14ac:dyDescent="0.25">
      <c r="B7531" s="26"/>
      <c r="C7531" s="89"/>
      <c r="D7531" s="64"/>
      <c r="E7531" s="31"/>
      <c r="F7531" s="180"/>
      <c r="G7531" s="75"/>
      <c r="H7531" s="125"/>
      <c r="M7531" s="180"/>
    </row>
    <row r="7532" spans="2:13" ht="18.75" customHeight="1" x14ac:dyDescent="0.25">
      <c r="B7532" s="26" t="s">
        <v>644</v>
      </c>
      <c r="C7532" s="89" t="s">
        <v>645</v>
      </c>
      <c r="D7532" s="56"/>
      <c r="E7532" s="36"/>
      <c r="F7532" s="194"/>
      <c r="G7532" s="88"/>
      <c r="H7532" s="127"/>
      <c r="M7532" s="194"/>
    </row>
    <row r="7533" spans="2:13" ht="18.75" customHeight="1" x14ac:dyDescent="0.25">
      <c r="B7533" s="35"/>
      <c r="C7533" s="97"/>
      <c r="D7533" s="63"/>
      <c r="E7533" s="30"/>
      <c r="F7533" s="179" t="s">
        <v>646</v>
      </c>
      <c r="G7533" s="310"/>
      <c r="H7533" s="128"/>
      <c r="M7533" s="179" t="s">
        <v>646</v>
      </c>
    </row>
    <row r="7534" spans="2:13" ht="18.75" customHeight="1" x14ac:dyDescent="0.25">
      <c r="B7534" s="37"/>
      <c r="C7534" s="98"/>
      <c r="D7534" s="411"/>
      <c r="E7534" s="42"/>
      <c r="F7534" s="181"/>
      <c r="G7534" s="311"/>
      <c r="H7534" s="129"/>
      <c r="M7534" s="181"/>
    </row>
    <row r="7535" spans="2:13" ht="18.75" customHeight="1" x14ac:dyDescent="0.25">
      <c r="B7535" s="50"/>
      <c r="C7535" s="100"/>
      <c r="E7535" s="21"/>
      <c r="F7535" s="189"/>
      <c r="G7535" s="90"/>
      <c r="H7535" s="137"/>
      <c r="M7535" s="189"/>
    </row>
    <row r="7536" spans="2:13" ht="18.75" customHeight="1" x14ac:dyDescent="0.25">
      <c r="B7536" s="46" t="s">
        <v>647</v>
      </c>
      <c r="C7536" s="101" t="s">
        <v>648</v>
      </c>
      <c r="E7536" s="22"/>
      <c r="F7536" s="189"/>
      <c r="G7536" s="308"/>
      <c r="H7536" s="131">
        <f>+H7533+H7530+H7526</f>
        <v>423292.5</v>
      </c>
      <c r="M7536" s="189"/>
    </row>
    <row r="7537" spans="2:13" ht="18.75" customHeight="1" x14ac:dyDescent="0.25">
      <c r="B7537" s="356" t="s">
        <v>649</v>
      </c>
      <c r="C7537" s="364" t="s">
        <v>650</v>
      </c>
      <c r="D7537" s="435"/>
      <c r="E7537" s="92"/>
      <c r="F7537" s="184" t="str">
        <f>$J$5</f>
        <v>8,0 % x D</v>
      </c>
      <c r="G7537" s="295"/>
      <c r="H7537" s="358">
        <f>+H7536*$K$5</f>
        <v>33863.4</v>
      </c>
      <c r="M7537" s="184" t="str">
        <f>$J$5</f>
        <v>8,0 % x D</v>
      </c>
    </row>
    <row r="7538" spans="2:13" ht="18.75" customHeight="1" x14ac:dyDescent="0.25">
      <c r="B7538" s="356" t="s">
        <v>651</v>
      </c>
      <c r="C7538" s="365" t="s">
        <v>652</v>
      </c>
      <c r="D7538" s="435"/>
      <c r="E7538" s="91"/>
      <c r="F7538" s="185"/>
      <c r="G7538" s="296"/>
      <c r="H7538" s="359">
        <f>ROUNDUP((H7537+H7536)/100,0)*100</f>
        <v>457200</v>
      </c>
      <c r="M7538" s="185"/>
    </row>
    <row r="7539" spans="2:13" ht="18.75" customHeight="1" thickBot="1" x14ac:dyDescent="0.3">
      <c r="B7539" s="47"/>
      <c r="C7539" s="103"/>
      <c r="D7539" s="48"/>
      <c r="E7539" s="49"/>
      <c r="F7539" s="186"/>
      <c r="G7539" s="309"/>
      <c r="H7539" s="136"/>
      <c r="M7539" s="186"/>
    </row>
    <row r="7540" spans="2:13" ht="18.75" customHeight="1" x14ac:dyDescent="0.25">
      <c r="B7540" s="92"/>
      <c r="C7540" s="104"/>
      <c r="D7540" s="435"/>
      <c r="E7540" s="91"/>
      <c r="F7540" s="185"/>
      <c r="G7540" s="168"/>
      <c r="H7540" s="139"/>
      <c r="M7540" s="185"/>
    </row>
    <row r="7541" spans="2:13" ht="18.75" customHeight="1" x14ac:dyDescent="0.25">
      <c r="B7541" s="19">
        <f>B7517+1</f>
        <v>38</v>
      </c>
      <c r="C7541" s="93" t="s">
        <v>1821</v>
      </c>
      <c r="D7541" s="19"/>
      <c r="E7541" s="21"/>
      <c r="F7541" s="176"/>
      <c r="G7541" s="165"/>
      <c r="H7541" s="119"/>
      <c r="M7541" s="176"/>
    </row>
    <row r="7542" spans="2:13" ht="18.75" customHeight="1" x14ac:dyDescent="0.25">
      <c r="B7542" s="618" t="s">
        <v>620</v>
      </c>
      <c r="C7542" s="620" t="s">
        <v>621</v>
      </c>
      <c r="D7542" s="618" t="s">
        <v>622</v>
      </c>
      <c r="E7542" s="618" t="s">
        <v>2</v>
      </c>
      <c r="F7542" s="615" t="s">
        <v>623</v>
      </c>
      <c r="G7542" s="289" t="s">
        <v>624</v>
      </c>
      <c r="H7542" s="256" t="s">
        <v>625</v>
      </c>
      <c r="M7542" s="615" t="s">
        <v>623</v>
      </c>
    </row>
    <row r="7543" spans="2:13" ht="18.75" customHeight="1" x14ac:dyDescent="0.25">
      <c r="B7543" s="619"/>
      <c r="C7543" s="621"/>
      <c r="D7543" s="619"/>
      <c r="E7543" s="619"/>
      <c r="F7543" s="616"/>
      <c r="G7543" s="289" t="s">
        <v>626</v>
      </c>
      <c r="H7543" s="256" t="s">
        <v>626</v>
      </c>
      <c r="M7543" s="616"/>
    </row>
    <row r="7544" spans="2:13" ht="18.75" customHeight="1" x14ac:dyDescent="0.25">
      <c r="B7544" s="23"/>
      <c r="C7544" s="95"/>
      <c r="D7544" s="24"/>
      <c r="E7544" s="25"/>
      <c r="F7544" s="177"/>
      <c r="G7544" s="166"/>
      <c r="H7544" s="120"/>
      <c r="M7544" s="177"/>
    </row>
    <row r="7545" spans="2:13" ht="18.75" customHeight="1" x14ac:dyDescent="0.25">
      <c r="B7545" s="26" t="s">
        <v>627</v>
      </c>
      <c r="C7545" s="89" t="s">
        <v>628</v>
      </c>
      <c r="D7545" s="27"/>
      <c r="E7545" s="28"/>
      <c r="F7545" s="178"/>
      <c r="G7545" s="72"/>
      <c r="H7545" s="121"/>
      <c r="M7545" s="178"/>
    </row>
    <row r="7546" spans="2:13" ht="18.75" customHeight="1" x14ac:dyDescent="0.25">
      <c r="B7546" s="26"/>
      <c r="C7546" s="96" t="s">
        <v>629</v>
      </c>
      <c r="D7546" s="27" t="s">
        <v>630</v>
      </c>
      <c r="E7546" s="28" t="s">
        <v>631</v>
      </c>
      <c r="F7546" s="61">
        <v>1.5</v>
      </c>
      <c r="G7546" s="29">
        <f>G7522</f>
        <v>95000</v>
      </c>
      <c r="H7546" s="122">
        <f>+G7546*F7546</f>
        <v>142500</v>
      </c>
      <c r="M7546" s="61">
        <v>1.5</v>
      </c>
    </row>
    <row r="7547" spans="2:13" ht="18.75" customHeight="1" x14ac:dyDescent="0.25">
      <c r="B7547" s="26"/>
      <c r="C7547" s="96" t="s">
        <v>1508</v>
      </c>
      <c r="D7547" s="27" t="s">
        <v>634</v>
      </c>
      <c r="E7547" s="28" t="s">
        <v>631</v>
      </c>
      <c r="F7547" s="61">
        <v>3.2</v>
      </c>
      <c r="G7547" s="29">
        <f>G7523</f>
        <v>110000</v>
      </c>
      <c r="H7547" s="122">
        <f>+G7547*F7547</f>
        <v>352000</v>
      </c>
      <c r="M7547" s="61">
        <v>3.2</v>
      </c>
    </row>
    <row r="7548" spans="2:13" ht="18.75" customHeight="1" x14ac:dyDescent="0.25">
      <c r="B7548" s="26"/>
      <c r="C7548" s="96" t="s">
        <v>633</v>
      </c>
      <c r="D7548" s="27" t="s">
        <v>634</v>
      </c>
      <c r="E7548" s="28" t="s">
        <v>631</v>
      </c>
      <c r="F7548" s="61">
        <v>0.4</v>
      </c>
      <c r="G7548" s="29">
        <f>G7524</f>
        <v>115000</v>
      </c>
      <c r="H7548" s="122">
        <f>+G7548*F7548</f>
        <v>46000</v>
      </c>
      <c r="M7548" s="61">
        <v>0.4</v>
      </c>
    </row>
    <row r="7549" spans="2:13" ht="18.75" customHeight="1" x14ac:dyDescent="0.25">
      <c r="B7549" s="26"/>
      <c r="C7549" s="96" t="s">
        <v>600</v>
      </c>
      <c r="D7549" s="27" t="s">
        <v>635</v>
      </c>
      <c r="E7549" s="36" t="s">
        <v>631</v>
      </c>
      <c r="F7549" s="193">
        <v>4.0000000000000001E-3</v>
      </c>
      <c r="G7549" s="29">
        <f>G7525</f>
        <v>140000</v>
      </c>
      <c r="H7549" s="123">
        <f>+G7549*F7549</f>
        <v>560</v>
      </c>
      <c r="M7549" s="193">
        <v>4.0000000000000001E-3</v>
      </c>
    </row>
    <row r="7550" spans="2:13" ht="18.75" customHeight="1" x14ac:dyDescent="0.25">
      <c r="B7550" s="26"/>
      <c r="C7550" s="89"/>
      <c r="D7550" s="63"/>
      <c r="E7550" s="30"/>
      <c r="F7550" s="192" t="s">
        <v>636</v>
      </c>
      <c r="G7550" s="310"/>
      <c r="H7550" s="124">
        <f>SUM(H7546:H7549)</f>
        <v>541060</v>
      </c>
      <c r="M7550" s="192" t="s">
        <v>636</v>
      </c>
    </row>
    <row r="7551" spans="2:13" ht="18.75" customHeight="1" x14ac:dyDescent="0.25">
      <c r="B7551" s="26"/>
      <c r="C7551" s="89"/>
      <c r="D7551" s="58"/>
      <c r="E7551" s="62"/>
      <c r="F7551" s="52"/>
      <c r="G7551" s="76"/>
      <c r="H7551" s="140"/>
      <c r="M7551" s="52"/>
    </row>
    <row r="7552" spans="2:13" ht="18.75" customHeight="1" x14ac:dyDescent="0.25">
      <c r="B7552" s="26" t="s">
        <v>637</v>
      </c>
      <c r="C7552" s="89" t="s">
        <v>638</v>
      </c>
      <c r="D7552" s="64"/>
      <c r="E7552" s="31"/>
      <c r="F7552" s="180"/>
      <c r="G7552" s="75"/>
      <c r="H7552" s="125"/>
      <c r="M7552" s="180"/>
    </row>
    <row r="7553" spans="2:13" ht="18.75" customHeight="1" x14ac:dyDescent="0.25">
      <c r="B7553" s="26"/>
      <c r="C7553" s="89" t="s">
        <v>1245</v>
      </c>
      <c r="D7553" s="64"/>
      <c r="E7553" s="64" t="s">
        <v>52</v>
      </c>
      <c r="F7553" s="205">
        <v>2.5000000000000001E-2</v>
      </c>
      <c r="G7553" s="84">
        <f>G7505</f>
        <v>33850000</v>
      </c>
      <c r="H7553" s="122">
        <f>+G7553*F7553</f>
        <v>846250</v>
      </c>
      <c r="M7553" s="205">
        <v>2.5000000000000001E-2</v>
      </c>
    </row>
    <row r="7554" spans="2:13" ht="18.75" customHeight="1" x14ac:dyDescent="0.25">
      <c r="B7554" s="26"/>
      <c r="C7554" s="89"/>
      <c r="D7554" s="63"/>
      <c r="E7554" s="30"/>
      <c r="F7554" s="179" t="s">
        <v>643</v>
      </c>
      <c r="G7554" s="310"/>
      <c r="H7554" s="124">
        <f>SUM(H7553:H7553)</f>
        <v>846250</v>
      </c>
      <c r="M7554" s="179" t="s">
        <v>643</v>
      </c>
    </row>
    <row r="7555" spans="2:13" ht="18.75" customHeight="1" x14ac:dyDescent="0.25">
      <c r="B7555" s="26"/>
      <c r="C7555" s="89"/>
      <c r="D7555" s="64"/>
      <c r="E7555" s="31"/>
      <c r="F7555" s="180"/>
      <c r="G7555" s="75"/>
      <c r="H7555" s="125"/>
      <c r="M7555" s="180"/>
    </row>
    <row r="7556" spans="2:13" ht="18.75" customHeight="1" x14ac:dyDescent="0.25">
      <c r="B7556" s="26" t="s">
        <v>644</v>
      </c>
      <c r="C7556" s="89" t="s">
        <v>645</v>
      </c>
      <c r="D7556" s="56"/>
      <c r="E7556" s="36"/>
      <c r="F7556" s="194"/>
      <c r="G7556" s="88"/>
      <c r="H7556" s="127"/>
      <c r="M7556" s="194"/>
    </row>
    <row r="7557" spans="2:13" ht="18.75" customHeight="1" x14ac:dyDescent="0.25">
      <c r="B7557" s="35"/>
      <c r="C7557" s="97"/>
      <c r="D7557" s="63"/>
      <c r="E7557" s="30"/>
      <c r="F7557" s="179" t="s">
        <v>646</v>
      </c>
      <c r="G7557" s="310"/>
      <c r="H7557" s="128"/>
      <c r="M7557" s="179" t="s">
        <v>646</v>
      </c>
    </row>
    <row r="7558" spans="2:13" ht="18.75" customHeight="1" x14ac:dyDescent="0.25">
      <c r="B7558" s="37"/>
      <c r="C7558" s="98"/>
      <c r="D7558" s="411"/>
      <c r="E7558" s="42"/>
      <c r="F7558" s="181"/>
      <c r="G7558" s="311"/>
      <c r="H7558" s="129"/>
      <c r="M7558" s="181"/>
    </row>
    <row r="7559" spans="2:13" ht="18.75" customHeight="1" x14ac:dyDescent="0.25">
      <c r="B7559" s="50"/>
      <c r="C7559" s="100"/>
      <c r="E7559" s="21"/>
      <c r="F7559" s="189"/>
      <c r="G7559" s="90"/>
      <c r="H7559" s="137"/>
      <c r="M7559" s="189"/>
    </row>
    <row r="7560" spans="2:13" ht="18.75" customHeight="1" x14ac:dyDescent="0.25">
      <c r="B7560" s="46" t="s">
        <v>647</v>
      </c>
      <c r="C7560" s="101" t="s">
        <v>648</v>
      </c>
      <c r="E7560" s="22"/>
      <c r="F7560" s="189"/>
      <c r="G7560" s="308"/>
      <c r="H7560" s="131">
        <f>+H7557+H7554+H7550</f>
        <v>1387310</v>
      </c>
      <c r="M7560" s="189"/>
    </row>
    <row r="7561" spans="2:13" ht="18.75" customHeight="1" x14ac:dyDescent="0.25">
      <c r="B7561" s="356" t="s">
        <v>649</v>
      </c>
      <c r="C7561" s="364" t="s">
        <v>650</v>
      </c>
      <c r="D7561" s="435"/>
      <c r="E7561" s="92"/>
      <c r="F7561" s="184" t="str">
        <f>$J$5</f>
        <v>8,0 % x D</v>
      </c>
      <c r="G7561" s="295"/>
      <c r="H7561" s="358">
        <f>+H7560*$K$5</f>
        <v>110984.8</v>
      </c>
      <c r="M7561" s="184" t="str">
        <f>$J$5</f>
        <v>8,0 % x D</v>
      </c>
    </row>
    <row r="7562" spans="2:13" ht="18.75" customHeight="1" x14ac:dyDescent="0.25">
      <c r="B7562" s="356" t="s">
        <v>651</v>
      </c>
      <c r="C7562" s="365" t="s">
        <v>652</v>
      </c>
      <c r="D7562" s="435"/>
      <c r="E7562" s="91"/>
      <c r="F7562" s="185"/>
      <c r="G7562" s="296"/>
      <c r="H7562" s="359">
        <f>ROUNDUP((H7561+H7560)/100,0)*100</f>
        <v>1498300</v>
      </c>
      <c r="M7562" s="185"/>
    </row>
    <row r="7563" spans="2:13" ht="18.75" customHeight="1" thickBot="1" x14ac:dyDescent="0.3">
      <c r="B7563" s="47"/>
      <c r="C7563" s="103"/>
      <c r="D7563" s="48"/>
      <c r="E7563" s="49"/>
      <c r="F7563" s="186"/>
      <c r="G7563" s="309"/>
      <c r="H7563" s="136"/>
      <c r="M7563" s="186"/>
    </row>
    <row r="7564" spans="2:13" ht="18.75" customHeight="1" x14ac:dyDescent="0.25">
      <c r="B7564" s="22"/>
      <c r="C7564" s="104"/>
      <c r="E7564" s="21"/>
      <c r="F7564" s="176"/>
      <c r="G7564" s="165"/>
      <c r="H7564" s="119"/>
      <c r="M7564" s="176"/>
    </row>
    <row r="7565" spans="2:13" ht="18.75" customHeight="1" x14ac:dyDescent="0.25">
      <c r="B7565" s="19">
        <f>B7541+1</f>
        <v>39</v>
      </c>
      <c r="C7565" s="93" t="s">
        <v>1248</v>
      </c>
      <c r="D7565" s="19"/>
      <c r="E7565" s="21"/>
      <c r="F7565" s="176"/>
      <c r="G7565" s="165"/>
      <c r="H7565" s="119"/>
      <c r="M7565" s="176"/>
    </row>
    <row r="7566" spans="2:13" ht="18.75" customHeight="1" x14ac:dyDescent="0.25">
      <c r="B7566" s="618" t="s">
        <v>620</v>
      </c>
      <c r="C7566" s="620" t="s">
        <v>621</v>
      </c>
      <c r="D7566" s="618" t="s">
        <v>622</v>
      </c>
      <c r="E7566" s="618" t="s">
        <v>2</v>
      </c>
      <c r="F7566" s="615" t="s">
        <v>623</v>
      </c>
      <c r="G7566" s="289" t="s">
        <v>624</v>
      </c>
      <c r="H7566" s="256" t="s">
        <v>625</v>
      </c>
      <c r="M7566" s="615" t="s">
        <v>623</v>
      </c>
    </row>
    <row r="7567" spans="2:13" ht="18.75" customHeight="1" x14ac:dyDescent="0.25">
      <c r="B7567" s="619"/>
      <c r="C7567" s="621"/>
      <c r="D7567" s="619"/>
      <c r="E7567" s="619"/>
      <c r="F7567" s="616"/>
      <c r="G7567" s="289" t="s">
        <v>626</v>
      </c>
      <c r="H7567" s="256" t="s">
        <v>626</v>
      </c>
      <c r="M7567" s="616"/>
    </row>
    <row r="7568" spans="2:13" ht="18.75" customHeight="1" x14ac:dyDescent="0.25">
      <c r="B7568" s="23"/>
      <c r="C7568" s="95"/>
      <c r="D7568" s="24"/>
      <c r="E7568" s="25"/>
      <c r="F7568" s="177"/>
      <c r="G7568" s="166"/>
      <c r="H7568" s="120"/>
      <c r="M7568" s="177"/>
    </row>
    <row r="7569" spans="2:13" ht="18.75" customHeight="1" x14ac:dyDescent="0.25">
      <c r="B7569" s="26" t="s">
        <v>627</v>
      </c>
      <c r="C7569" s="89" t="s">
        <v>628</v>
      </c>
      <c r="D7569" s="27"/>
      <c r="E7569" s="28"/>
      <c r="F7569" s="178"/>
      <c r="G7569" s="72"/>
      <c r="H7569" s="121"/>
      <c r="M7569" s="178"/>
    </row>
    <row r="7570" spans="2:13" ht="18.75" customHeight="1" x14ac:dyDescent="0.25">
      <c r="B7570" s="26"/>
      <c r="C7570" s="96" t="s">
        <v>629</v>
      </c>
      <c r="D7570" s="27" t="s">
        <v>630</v>
      </c>
      <c r="E7570" s="28" t="s">
        <v>631</v>
      </c>
      <c r="F7570" s="61">
        <v>0.1</v>
      </c>
      <c r="G7570" s="29">
        <f>G7546</f>
        <v>95000</v>
      </c>
      <c r="H7570" s="122">
        <f>+G7570*F7570</f>
        <v>9500</v>
      </c>
      <c r="M7570" s="61">
        <v>0.1</v>
      </c>
    </row>
    <row r="7571" spans="2:13" ht="18.75" customHeight="1" x14ac:dyDescent="0.25">
      <c r="B7571" s="26"/>
      <c r="C7571" s="96" t="s">
        <v>1508</v>
      </c>
      <c r="D7571" s="27" t="s">
        <v>634</v>
      </c>
      <c r="E7571" s="28" t="s">
        <v>631</v>
      </c>
      <c r="F7571" s="61">
        <v>0.23</v>
      </c>
      <c r="G7571" s="29">
        <f>G7547</f>
        <v>110000</v>
      </c>
      <c r="H7571" s="122">
        <f>+G7571*F7571</f>
        <v>25300</v>
      </c>
      <c r="M7571" s="61">
        <v>0.23</v>
      </c>
    </row>
    <row r="7572" spans="2:13" ht="18.75" customHeight="1" x14ac:dyDescent="0.25">
      <c r="B7572" s="26"/>
      <c r="C7572" s="96" t="s">
        <v>633</v>
      </c>
      <c r="D7572" s="27" t="s">
        <v>634</v>
      </c>
      <c r="E7572" s="28" t="s">
        <v>631</v>
      </c>
      <c r="F7572" s="61">
        <v>2.5000000000000001E-2</v>
      </c>
      <c r="G7572" s="29">
        <f>G7548</f>
        <v>115000</v>
      </c>
      <c r="H7572" s="122">
        <f>+G7572*F7572</f>
        <v>2875</v>
      </c>
      <c r="M7572" s="61">
        <v>2.5000000000000001E-2</v>
      </c>
    </row>
    <row r="7573" spans="2:13" ht="18.75" customHeight="1" x14ac:dyDescent="0.25">
      <c r="B7573" s="26"/>
      <c r="C7573" s="96" t="s">
        <v>600</v>
      </c>
      <c r="D7573" s="27" t="s">
        <v>635</v>
      </c>
      <c r="E7573" s="36" t="s">
        <v>631</v>
      </c>
      <c r="F7573" s="193">
        <v>2.5000000000000001E-3</v>
      </c>
      <c r="G7573" s="29">
        <f>G7549</f>
        <v>140000</v>
      </c>
      <c r="H7573" s="123">
        <f>+G7573*F7573</f>
        <v>350</v>
      </c>
      <c r="M7573" s="193">
        <v>2.5000000000000001E-3</v>
      </c>
    </row>
    <row r="7574" spans="2:13" ht="18.75" customHeight="1" x14ac:dyDescent="0.25">
      <c r="B7574" s="26"/>
      <c r="C7574" s="89"/>
      <c r="D7574" s="63"/>
      <c r="E7574" s="30"/>
      <c r="F7574" s="192" t="s">
        <v>636</v>
      </c>
      <c r="G7574" s="310"/>
      <c r="H7574" s="124">
        <f>SUM(H7570:H7573)</f>
        <v>38025</v>
      </c>
      <c r="M7574" s="192" t="s">
        <v>636</v>
      </c>
    </row>
    <row r="7575" spans="2:13" ht="18.75" customHeight="1" x14ac:dyDescent="0.25">
      <c r="B7575" s="26"/>
      <c r="C7575" s="89"/>
      <c r="D7575" s="58"/>
      <c r="E7575" s="62"/>
      <c r="F7575" s="52"/>
      <c r="G7575" s="76"/>
      <c r="H7575" s="140"/>
      <c r="M7575" s="52"/>
    </row>
    <row r="7576" spans="2:13" ht="18.75" customHeight="1" x14ac:dyDescent="0.25">
      <c r="B7576" s="26" t="s">
        <v>637</v>
      </c>
      <c r="C7576" s="89" t="s">
        <v>638</v>
      </c>
      <c r="D7576" s="64"/>
      <c r="E7576" s="31"/>
      <c r="F7576" s="180"/>
      <c r="G7576" s="75"/>
      <c r="H7576" s="125"/>
      <c r="M7576" s="180"/>
    </row>
    <row r="7577" spans="2:13" ht="18.75" customHeight="1" x14ac:dyDescent="0.25">
      <c r="B7577" s="26"/>
      <c r="C7577" s="89" t="s">
        <v>1249</v>
      </c>
      <c r="D7577" s="64"/>
      <c r="E7577" s="64" t="s">
        <v>52</v>
      </c>
      <c r="F7577" s="205">
        <v>4.0000000000000001E-3</v>
      </c>
      <c r="G7577" s="84">
        <f>Bahan!D250</f>
        <v>10720000</v>
      </c>
      <c r="H7577" s="122">
        <f>+G7577*F7577</f>
        <v>42880</v>
      </c>
      <c r="M7577" s="205">
        <v>4.0000000000000001E-3</v>
      </c>
    </row>
    <row r="7578" spans="2:13" ht="18.75" customHeight="1" x14ac:dyDescent="0.25">
      <c r="B7578" s="26"/>
      <c r="C7578" s="89" t="s">
        <v>1250</v>
      </c>
      <c r="D7578" s="64"/>
      <c r="E7578" s="64" t="s">
        <v>62</v>
      </c>
      <c r="F7578" s="205">
        <v>7.4999999999999997E-2</v>
      </c>
      <c r="G7578" s="84">
        <f>G7479</f>
        <v>25000</v>
      </c>
      <c r="H7578" s="122">
        <f>+G7578*F7578</f>
        <v>1875</v>
      </c>
      <c r="M7578" s="205">
        <v>7.4999999999999997E-2</v>
      </c>
    </row>
    <row r="7579" spans="2:13" ht="18.75" customHeight="1" x14ac:dyDescent="0.25">
      <c r="B7579" s="26"/>
      <c r="C7579" s="89" t="s">
        <v>1251</v>
      </c>
      <c r="D7579" s="64"/>
      <c r="E7579" s="64" t="s">
        <v>14</v>
      </c>
      <c r="F7579" s="205">
        <v>1</v>
      </c>
      <c r="G7579" s="84">
        <v>4000</v>
      </c>
      <c r="H7579" s="122">
        <f>+G7579*F7579</f>
        <v>4000</v>
      </c>
      <c r="J7579" s="219" t="s">
        <v>1630</v>
      </c>
      <c r="M7579" s="205">
        <v>1</v>
      </c>
    </row>
    <row r="7580" spans="2:13" ht="18.75" customHeight="1" x14ac:dyDescent="0.25">
      <c r="B7580" s="26"/>
      <c r="C7580" s="89"/>
      <c r="D7580" s="63"/>
      <c r="E7580" s="30"/>
      <c r="F7580" s="179" t="s">
        <v>643</v>
      </c>
      <c r="G7580" s="310"/>
      <c r="H7580" s="124">
        <f>SUM(H7577:H7579)</f>
        <v>48755</v>
      </c>
      <c r="M7580" s="179" t="s">
        <v>643</v>
      </c>
    </row>
    <row r="7581" spans="2:13" ht="18.75" customHeight="1" x14ac:dyDescent="0.25">
      <c r="B7581" s="26"/>
      <c r="C7581" s="89"/>
      <c r="D7581" s="64"/>
      <c r="E7581" s="31"/>
      <c r="F7581" s="180"/>
      <c r="G7581" s="75"/>
      <c r="H7581" s="125"/>
      <c r="M7581" s="180"/>
    </row>
    <row r="7582" spans="2:13" ht="18.75" customHeight="1" x14ac:dyDescent="0.25">
      <c r="B7582" s="26" t="s">
        <v>644</v>
      </c>
      <c r="C7582" s="89" t="s">
        <v>645</v>
      </c>
      <c r="D7582" s="56"/>
      <c r="E7582" s="36"/>
      <c r="F7582" s="194"/>
      <c r="G7582" s="88"/>
      <c r="H7582" s="127"/>
      <c r="M7582" s="194"/>
    </row>
    <row r="7583" spans="2:13" ht="18.75" customHeight="1" x14ac:dyDescent="0.25">
      <c r="B7583" s="35"/>
      <c r="C7583" s="97"/>
      <c r="D7583" s="63"/>
      <c r="E7583" s="30"/>
      <c r="F7583" s="179" t="s">
        <v>646</v>
      </c>
      <c r="G7583" s="310"/>
      <c r="H7583" s="128"/>
      <c r="M7583" s="179" t="s">
        <v>646</v>
      </c>
    </row>
    <row r="7584" spans="2:13" ht="18.75" customHeight="1" x14ac:dyDescent="0.25">
      <c r="B7584" s="37"/>
      <c r="C7584" s="98"/>
      <c r="D7584" s="411"/>
      <c r="E7584" s="42"/>
      <c r="F7584" s="181"/>
      <c r="G7584" s="311"/>
      <c r="H7584" s="129"/>
      <c r="M7584" s="181"/>
    </row>
    <row r="7585" spans="2:13" ht="18.75" customHeight="1" x14ac:dyDescent="0.25">
      <c r="B7585" s="50"/>
      <c r="C7585" s="100"/>
      <c r="E7585" s="21"/>
      <c r="F7585" s="189"/>
      <c r="G7585" s="90"/>
      <c r="H7585" s="137"/>
      <c r="M7585" s="189"/>
    </row>
    <row r="7586" spans="2:13" ht="18.75" customHeight="1" x14ac:dyDescent="0.25">
      <c r="B7586" s="46" t="s">
        <v>647</v>
      </c>
      <c r="C7586" s="101" t="s">
        <v>648</v>
      </c>
      <c r="E7586" s="22"/>
      <c r="F7586" s="189"/>
      <c r="G7586" s="308"/>
      <c r="H7586" s="131">
        <f>+H7583+H7580+H7574</f>
        <v>86780</v>
      </c>
      <c r="M7586" s="189"/>
    </row>
    <row r="7587" spans="2:13" ht="18.75" customHeight="1" x14ac:dyDescent="0.25">
      <c r="B7587" s="356" t="s">
        <v>649</v>
      </c>
      <c r="C7587" s="364" t="s">
        <v>650</v>
      </c>
      <c r="D7587" s="435"/>
      <c r="E7587" s="92"/>
      <c r="F7587" s="184" t="str">
        <f>$J$5</f>
        <v>8,0 % x D</v>
      </c>
      <c r="G7587" s="295"/>
      <c r="H7587" s="358">
        <f>+H7586*$K$5</f>
        <v>6942.4000000000005</v>
      </c>
      <c r="M7587" s="184" t="str">
        <f>$J$5</f>
        <v>8,0 % x D</v>
      </c>
    </row>
    <row r="7588" spans="2:13" ht="18.75" customHeight="1" x14ac:dyDescent="0.25">
      <c r="B7588" s="356" t="s">
        <v>651</v>
      </c>
      <c r="C7588" s="365" t="s">
        <v>652</v>
      </c>
      <c r="D7588" s="435"/>
      <c r="E7588" s="91"/>
      <c r="F7588" s="185"/>
      <c r="G7588" s="296"/>
      <c r="H7588" s="359">
        <f>ROUNDUP((H7587+H7586)/100,0)*100</f>
        <v>93800</v>
      </c>
      <c r="M7588" s="185"/>
    </row>
    <row r="7589" spans="2:13" ht="18.75" customHeight="1" thickBot="1" x14ac:dyDescent="0.3">
      <c r="B7589" s="47"/>
      <c r="C7589" s="103"/>
      <c r="D7589" s="48"/>
      <c r="E7589" s="49"/>
      <c r="F7589" s="186"/>
      <c r="G7589" s="309"/>
      <c r="H7589" s="136"/>
      <c r="M7589" s="186"/>
    </row>
    <row r="7590" spans="2:13" ht="18.75" customHeight="1" x14ac:dyDescent="0.25">
      <c r="B7590" s="92"/>
      <c r="C7590" s="104"/>
      <c r="D7590" s="435"/>
      <c r="E7590" s="91"/>
      <c r="F7590" s="185"/>
      <c r="G7590" s="168"/>
      <c r="H7590" s="139"/>
      <c r="M7590" s="185"/>
    </row>
    <row r="7591" spans="2:13" ht="18.75" customHeight="1" x14ac:dyDescent="0.25">
      <c r="B7591" s="19">
        <f>B7565+1</f>
        <v>40</v>
      </c>
      <c r="C7591" s="93" t="s">
        <v>1252</v>
      </c>
      <c r="D7591" s="19"/>
      <c r="E7591" s="21"/>
      <c r="F7591" s="176"/>
      <c r="G7591" s="165"/>
      <c r="H7591" s="119"/>
      <c r="M7591" s="176"/>
    </row>
    <row r="7592" spans="2:13" ht="18.75" customHeight="1" x14ac:dyDescent="0.25">
      <c r="B7592" s="618" t="s">
        <v>620</v>
      </c>
      <c r="C7592" s="620" t="s">
        <v>621</v>
      </c>
      <c r="D7592" s="618" t="s">
        <v>622</v>
      </c>
      <c r="E7592" s="618" t="s">
        <v>2</v>
      </c>
      <c r="F7592" s="615" t="s">
        <v>623</v>
      </c>
      <c r="G7592" s="289" t="s">
        <v>624</v>
      </c>
      <c r="H7592" s="256" t="s">
        <v>625</v>
      </c>
      <c r="M7592" s="615" t="s">
        <v>623</v>
      </c>
    </row>
    <row r="7593" spans="2:13" ht="18.75" customHeight="1" x14ac:dyDescent="0.25">
      <c r="B7593" s="619"/>
      <c r="C7593" s="621"/>
      <c r="D7593" s="619"/>
      <c r="E7593" s="619"/>
      <c r="F7593" s="616"/>
      <c r="G7593" s="289" t="s">
        <v>626</v>
      </c>
      <c r="H7593" s="256" t="s">
        <v>626</v>
      </c>
      <c r="M7593" s="616"/>
    </row>
    <row r="7594" spans="2:13" ht="18.75" customHeight="1" x14ac:dyDescent="0.25">
      <c r="B7594" s="23"/>
      <c r="C7594" s="95"/>
      <c r="D7594" s="24"/>
      <c r="E7594" s="25"/>
      <c r="F7594" s="177"/>
      <c r="G7594" s="166"/>
      <c r="H7594" s="120"/>
      <c r="M7594" s="177"/>
    </row>
    <row r="7595" spans="2:13" ht="18.75" customHeight="1" x14ac:dyDescent="0.25">
      <c r="B7595" s="26" t="s">
        <v>627</v>
      </c>
      <c r="C7595" s="89" t="s">
        <v>628</v>
      </c>
      <c r="D7595" s="27"/>
      <c r="E7595" s="28"/>
      <c r="F7595" s="178"/>
      <c r="G7595" s="72"/>
      <c r="H7595" s="121"/>
      <c r="M7595" s="178"/>
    </row>
    <row r="7596" spans="2:13" ht="18.75" customHeight="1" x14ac:dyDescent="0.25">
      <c r="B7596" s="26"/>
      <c r="C7596" s="96" t="s">
        <v>629</v>
      </c>
      <c r="D7596" s="27" t="s">
        <v>630</v>
      </c>
      <c r="E7596" s="28" t="s">
        <v>631</v>
      </c>
      <c r="F7596" s="61">
        <v>0.1</v>
      </c>
      <c r="G7596" s="29">
        <f>G7570</f>
        <v>95000</v>
      </c>
      <c r="H7596" s="122">
        <f>+G7596*F7596</f>
        <v>9500</v>
      </c>
      <c r="M7596" s="61">
        <v>0.1</v>
      </c>
    </row>
    <row r="7597" spans="2:13" ht="18.75" customHeight="1" x14ac:dyDescent="0.25">
      <c r="B7597" s="26"/>
      <c r="C7597" s="96" t="s">
        <v>1508</v>
      </c>
      <c r="D7597" s="27" t="s">
        <v>634</v>
      </c>
      <c r="E7597" s="28" t="s">
        <v>631</v>
      </c>
      <c r="F7597" s="61">
        <v>0.35</v>
      </c>
      <c r="G7597" s="29">
        <f>G7571</f>
        <v>110000</v>
      </c>
      <c r="H7597" s="122">
        <f>+G7597*F7597</f>
        <v>38500</v>
      </c>
      <c r="M7597" s="61">
        <v>0.35</v>
      </c>
    </row>
    <row r="7598" spans="2:13" ht="18.75" customHeight="1" x14ac:dyDescent="0.25">
      <c r="B7598" s="26"/>
      <c r="C7598" s="96" t="s">
        <v>633</v>
      </c>
      <c r="D7598" s="27" t="s">
        <v>634</v>
      </c>
      <c r="E7598" s="28" t="s">
        <v>631</v>
      </c>
      <c r="F7598" s="61">
        <v>3.5000000000000003E-2</v>
      </c>
      <c r="G7598" s="29">
        <f>G7572</f>
        <v>115000</v>
      </c>
      <c r="H7598" s="122">
        <f>+G7598*F7598</f>
        <v>4025.0000000000005</v>
      </c>
      <c r="M7598" s="61">
        <v>3.5000000000000003E-2</v>
      </c>
    </row>
    <row r="7599" spans="2:13" ht="18.75" customHeight="1" x14ac:dyDescent="0.25">
      <c r="B7599" s="26"/>
      <c r="C7599" s="96" t="s">
        <v>600</v>
      </c>
      <c r="D7599" s="27" t="s">
        <v>635</v>
      </c>
      <c r="E7599" s="36" t="s">
        <v>631</v>
      </c>
      <c r="F7599" s="193">
        <v>3.5000000000000001E-3</v>
      </c>
      <c r="G7599" s="29">
        <f>G7573</f>
        <v>140000</v>
      </c>
      <c r="H7599" s="123">
        <f>+G7599*F7599</f>
        <v>490</v>
      </c>
      <c r="M7599" s="193">
        <v>3.5000000000000001E-3</v>
      </c>
    </row>
    <row r="7600" spans="2:13" ht="18.75" customHeight="1" x14ac:dyDescent="0.25">
      <c r="B7600" s="26"/>
      <c r="C7600" s="89"/>
      <c r="D7600" s="63"/>
      <c r="E7600" s="30"/>
      <c r="F7600" s="192" t="s">
        <v>636</v>
      </c>
      <c r="G7600" s="310"/>
      <c r="H7600" s="124">
        <f>SUM(H7596:H7599)</f>
        <v>52515</v>
      </c>
      <c r="M7600" s="192" t="s">
        <v>636</v>
      </c>
    </row>
    <row r="7601" spans="2:13" ht="18.75" customHeight="1" x14ac:dyDescent="0.25">
      <c r="B7601" s="26"/>
      <c r="C7601" s="89"/>
      <c r="D7601" s="58"/>
      <c r="E7601" s="62"/>
      <c r="F7601" s="52"/>
      <c r="G7601" s="76"/>
      <c r="H7601" s="140"/>
      <c r="M7601" s="52"/>
    </row>
    <row r="7602" spans="2:13" ht="18.75" customHeight="1" x14ac:dyDescent="0.25">
      <c r="B7602" s="26" t="s">
        <v>637</v>
      </c>
      <c r="C7602" s="89" t="s">
        <v>638</v>
      </c>
      <c r="D7602" s="64"/>
      <c r="E7602" s="31"/>
      <c r="F7602" s="180"/>
      <c r="G7602" s="75"/>
      <c r="H7602" s="125"/>
      <c r="M7602" s="180"/>
    </row>
    <row r="7603" spans="2:13" ht="18.75" customHeight="1" x14ac:dyDescent="0.25">
      <c r="B7603" s="26"/>
      <c r="C7603" s="89" t="s">
        <v>1247</v>
      </c>
      <c r="D7603" s="64"/>
      <c r="E7603" s="64" t="s">
        <v>52</v>
      </c>
      <c r="F7603" s="205">
        <v>1.6E-2</v>
      </c>
      <c r="G7603" s="84">
        <f>G7529</f>
        <v>39500000</v>
      </c>
      <c r="H7603" s="122">
        <f>+G7603*F7603</f>
        <v>632000</v>
      </c>
      <c r="M7603" s="205">
        <v>1.6E-2</v>
      </c>
    </row>
    <row r="7604" spans="2:13" ht="18.75" customHeight="1" x14ac:dyDescent="0.25">
      <c r="B7604" s="26"/>
      <c r="C7604" s="89" t="s">
        <v>1250</v>
      </c>
      <c r="D7604" s="64"/>
      <c r="E7604" s="64" t="s">
        <v>62</v>
      </c>
      <c r="F7604" s="205">
        <v>7.4999999999999997E-2</v>
      </c>
      <c r="G7604" s="84">
        <f>G7578</f>
        <v>25000</v>
      </c>
      <c r="H7604" s="122">
        <f>+G7604*F7604</f>
        <v>1875</v>
      </c>
      <c r="M7604" s="205">
        <v>7.4999999999999997E-2</v>
      </c>
    </row>
    <row r="7605" spans="2:13" ht="18.75" customHeight="1" x14ac:dyDescent="0.25">
      <c r="B7605" s="26"/>
      <c r="C7605" s="89" t="s">
        <v>1241</v>
      </c>
      <c r="D7605" s="64"/>
      <c r="E7605" s="64" t="s">
        <v>62</v>
      </c>
      <c r="F7605" s="205">
        <v>0.03</v>
      </c>
      <c r="G7605" s="84">
        <f>G7481</f>
        <v>15000</v>
      </c>
      <c r="H7605" s="122">
        <f>+G7605*F7605</f>
        <v>450</v>
      </c>
      <c r="M7605" s="205">
        <v>0.03</v>
      </c>
    </row>
    <row r="7606" spans="2:13" ht="18.75" customHeight="1" x14ac:dyDescent="0.25">
      <c r="B7606" s="26"/>
      <c r="C7606" s="89" t="s">
        <v>1631</v>
      </c>
      <c r="D7606" s="64"/>
      <c r="E7606" s="64" t="s">
        <v>14</v>
      </c>
      <c r="F7606" s="205">
        <v>2.4</v>
      </c>
      <c r="G7606" s="84">
        <f>Bahan!D264</f>
        <v>41000</v>
      </c>
      <c r="H7606" s="122">
        <f>+G7606*F7606</f>
        <v>98400</v>
      </c>
      <c r="M7606" s="205">
        <v>2.4</v>
      </c>
    </row>
    <row r="7607" spans="2:13" ht="18.75" customHeight="1" x14ac:dyDescent="0.25">
      <c r="B7607" s="26"/>
      <c r="C7607" s="89"/>
      <c r="D7607" s="64"/>
      <c r="E7607" s="64"/>
      <c r="F7607" s="205"/>
      <c r="G7607" s="34"/>
      <c r="H7607" s="122"/>
      <c r="M7607" s="205"/>
    </row>
    <row r="7608" spans="2:13" ht="18.75" customHeight="1" x14ac:dyDescent="0.25">
      <c r="B7608" s="26"/>
      <c r="C7608" s="89"/>
      <c r="D7608" s="63"/>
      <c r="E7608" s="30"/>
      <c r="F7608" s="179" t="s">
        <v>643</v>
      </c>
      <c r="G7608" s="310"/>
      <c r="H7608" s="124">
        <f>SUM(H7603:H7607)</f>
        <v>732725</v>
      </c>
      <c r="M7608" s="179" t="s">
        <v>643</v>
      </c>
    </row>
    <row r="7609" spans="2:13" ht="18.75" customHeight="1" x14ac:dyDescent="0.25">
      <c r="B7609" s="26"/>
      <c r="C7609" s="89"/>
      <c r="D7609" s="64"/>
      <c r="E7609" s="31"/>
      <c r="F7609" s="180"/>
      <c r="G7609" s="75"/>
      <c r="H7609" s="125"/>
      <c r="M7609" s="180"/>
    </row>
    <row r="7610" spans="2:13" ht="18.75" customHeight="1" x14ac:dyDescent="0.25">
      <c r="B7610" s="26" t="s">
        <v>644</v>
      </c>
      <c r="C7610" s="89" t="s">
        <v>645</v>
      </c>
      <c r="D7610" s="56"/>
      <c r="E7610" s="36"/>
      <c r="F7610" s="194"/>
      <c r="G7610" s="88"/>
      <c r="H7610" s="127"/>
      <c r="M7610" s="194"/>
    </row>
    <row r="7611" spans="2:13" ht="18.75" customHeight="1" x14ac:dyDescent="0.25">
      <c r="B7611" s="35"/>
      <c r="C7611" s="97"/>
      <c r="D7611" s="63"/>
      <c r="E7611" s="30"/>
      <c r="F7611" s="179" t="s">
        <v>646</v>
      </c>
      <c r="G7611" s="310"/>
      <c r="H7611" s="128"/>
      <c r="M7611" s="179" t="s">
        <v>646</v>
      </c>
    </row>
    <row r="7612" spans="2:13" ht="18.75" customHeight="1" x14ac:dyDescent="0.25">
      <c r="B7612" s="37"/>
      <c r="C7612" s="98"/>
      <c r="D7612" s="411"/>
      <c r="E7612" s="42"/>
      <c r="F7612" s="181"/>
      <c r="G7612" s="311"/>
      <c r="H7612" s="129"/>
      <c r="M7612" s="181"/>
    </row>
    <row r="7613" spans="2:13" ht="18.75" customHeight="1" x14ac:dyDescent="0.25">
      <c r="B7613" s="50"/>
      <c r="C7613" s="100"/>
      <c r="E7613" s="21"/>
      <c r="F7613" s="189"/>
      <c r="G7613" s="90"/>
      <c r="H7613" s="137"/>
      <c r="M7613" s="189"/>
    </row>
    <row r="7614" spans="2:13" ht="18.75" customHeight="1" x14ac:dyDescent="0.25">
      <c r="B7614" s="46" t="s">
        <v>647</v>
      </c>
      <c r="C7614" s="101" t="s">
        <v>648</v>
      </c>
      <c r="E7614" s="22"/>
      <c r="F7614" s="189"/>
      <c r="G7614" s="308"/>
      <c r="H7614" s="131">
        <f>+H7611+H7608+H7600</f>
        <v>785240</v>
      </c>
      <c r="M7614" s="189"/>
    </row>
    <row r="7615" spans="2:13" ht="18.75" customHeight="1" x14ac:dyDescent="0.25">
      <c r="B7615" s="356" t="s">
        <v>649</v>
      </c>
      <c r="C7615" s="364" t="s">
        <v>650</v>
      </c>
      <c r="D7615" s="435"/>
      <c r="E7615" s="92"/>
      <c r="F7615" s="184" t="str">
        <f>$J$5</f>
        <v>8,0 % x D</v>
      </c>
      <c r="G7615" s="295"/>
      <c r="H7615" s="358">
        <f>+H7614*$K$5</f>
        <v>62819.200000000004</v>
      </c>
      <c r="M7615" s="184" t="str">
        <f>$J$5</f>
        <v>8,0 % x D</v>
      </c>
    </row>
    <row r="7616" spans="2:13" ht="18.75" customHeight="1" x14ac:dyDescent="0.25">
      <c r="B7616" s="356" t="s">
        <v>651</v>
      </c>
      <c r="C7616" s="365" t="s">
        <v>652</v>
      </c>
      <c r="D7616" s="435"/>
      <c r="E7616" s="91"/>
      <c r="F7616" s="185"/>
      <c r="G7616" s="296"/>
      <c r="H7616" s="359">
        <f>ROUNDUP((H7615+H7614)/100,0)*100</f>
        <v>848100</v>
      </c>
      <c r="M7616" s="185"/>
    </row>
    <row r="7617" spans="2:13" ht="18.75" customHeight="1" thickBot="1" x14ac:dyDescent="0.3">
      <c r="B7617" s="47"/>
      <c r="C7617" s="103"/>
      <c r="D7617" s="48"/>
      <c r="E7617" s="49"/>
      <c r="F7617" s="186"/>
      <c r="G7617" s="309"/>
      <c r="H7617" s="136"/>
      <c r="M7617" s="186"/>
    </row>
    <row r="7618" spans="2:13" ht="18.75" customHeight="1" x14ac:dyDescent="0.25">
      <c r="B7618" s="22"/>
      <c r="C7618" s="104"/>
      <c r="E7618" s="21"/>
      <c r="F7618" s="176"/>
      <c r="G7618" s="165"/>
      <c r="H7618" s="119"/>
      <c r="M7618" s="176"/>
    </row>
    <row r="7619" spans="2:13" ht="18.75" customHeight="1" x14ac:dyDescent="0.25">
      <c r="B7619" s="19">
        <f>B7591+1</f>
        <v>41</v>
      </c>
      <c r="C7619" s="93" t="s">
        <v>1253</v>
      </c>
      <c r="D7619" s="19"/>
      <c r="E7619" s="21"/>
      <c r="F7619" s="176"/>
      <c r="G7619" s="165"/>
      <c r="H7619" s="119"/>
      <c r="M7619" s="176"/>
    </row>
    <row r="7620" spans="2:13" ht="18.75" customHeight="1" x14ac:dyDescent="0.25">
      <c r="B7620" s="618" t="s">
        <v>620</v>
      </c>
      <c r="C7620" s="620" t="s">
        <v>621</v>
      </c>
      <c r="D7620" s="618" t="s">
        <v>622</v>
      </c>
      <c r="E7620" s="618" t="s">
        <v>2</v>
      </c>
      <c r="F7620" s="615" t="s">
        <v>623</v>
      </c>
      <c r="G7620" s="289" t="s">
        <v>624</v>
      </c>
      <c r="H7620" s="256" t="s">
        <v>625</v>
      </c>
      <c r="M7620" s="615" t="s">
        <v>623</v>
      </c>
    </row>
    <row r="7621" spans="2:13" ht="18.75" customHeight="1" x14ac:dyDescent="0.25">
      <c r="B7621" s="619"/>
      <c r="C7621" s="621"/>
      <c r="D7621" s="619"/>
      <c r="E7621" s="619"/>
      <c r="F7621" s="616"/>
      <c r="G7621" s="289" t="s">
        <v>626</v>
      </c>
      <c r="H7621" s="256" t="s">
        <v>626</v>
      </c>
      <c r="M7621" s="616"/>
    </row>
    <row r="7622" spans="2:13" ht="18.75" customHeight="1" x14ac:dyDescent="0.25">
      <c r="B7622" s="23"/>
      <c r="C7622" s="95"/>
      <c r="D7622" s="24"/>
      <c r="E7622" s="25"/>
      <c r="F7622" s="177"/>
      <c r="G7622" s="166"/>
      <c r="H7622" s="120"/>
      <c r="M7622" s="177"/>
    </row>
    <row r="7623" spans="2:13" ht="18.75" customHeight="1" x14ac:dyDescent="0.25">
      <c r="B7623" s="26" t="s">
        <v>627</v>
      </c>
      <c r="C7623" s="89" t="s">
        <v>628</v>
      </c>
      <c r="D7623" s="27"/>
      <c r="E7623" s="28"/>
      <c r="F7623" s="178"/>
      <c r="G7623" s="72"/>
      <c r="H7623" s="121"/>
      <c r="M7623" s="178"/>
    </row>
    <row r="7624" spans="2:13" ht="18.75" customHeight="1" x14ac:dyDescent="0.25">
      <c r="B7624" s="26"/>
      <c r="C7624" s="96" t="s">
        <v>629</v>
      </c>
      <c r="D7624" s="27" t="s">
        <v>630</v>
      </c>
      <c r="E7624" s="28" t="s">
        <v>631</v>
      </c>
      <c r="F7624" s="61">
        <v>0.27</v>
      </c>
      <c r="G7624" s="29">
        <f>G7596</f>
        <v>95000</v>
      </c>
      <c r="H7624" s="122">
        <f>+G7624*F7624</f>
        <v>25650</v>
      </c>
      <c r="M7624" s="61">
        <v>0.27</v>
      </c>
    </row>
    <row r="7625" spans="2:13" ht="18.75" customHeight="1" x14ac:dyDescent="0.25">
      <c r="B7625" s="26"/>
      <c r="C7625" s="96" t="s">
        <v>1508</v>
      </c>
      <c r="D7625" s="27" t="s">
        <v>634</v>
      </c>
      <c r="E7625" s="28" t="s">
        <v>631</v>
      </c>
      <c r="F7625" s="61">
        <v>0.65</v>
      </c>
      <c r="G7625" s="29">
        <f>G7597</f>
        <v>110000</v>
      </c>
      <c r="H7625" s="122">
        <f>+G7625*F7625</f>
        <v>71500</v>
      </c>
      <c r="M7625" s="61">
        <v>0.65</v>
      </c>
    </row>
    <row r="7626" spans="2:13" ht="18.75" customHeight="1" x14ac:dyDescent="0.25">
      <c r="B7626" s="26"/>
      <c r="C7626" s="96" t="s">
        <v>633</v>
      </c>
      <c r="D7626" s="27" t="s">
        <v>634</v>
      </c>
      <c r="E7626" s="28" t="s">
        <v>631</v>
      </c>
      <c r="F7626" s="61">
        <v>0.41</v>
      </c>
      <c r="G7626" s="29">
        <f>G7598</f>
        <v>115000</v>
      </c>
      <c r="H7626" s="122">
        <f>+G7626*F7626</f>
        <v>47150</v>
      </c>
      <c r="M7626" s="61">
        <v>0.41</v>
      </c>
    </row>
    <row r="7627" spans="2:13" ht="18.75" customHeight="1" x14ac:dyDescent="0.25">
      <c r="B7627" s="26"/>
      <c r="C7627" s="96" t="s">
        <v>600</v>
      </c>
      <c r="D7627" s="27" t="s">
        <v>635</v>
      </c>
      <c r="E7627" s="36" t="s">
        <v>631</v>
      </c>
      <c r="F7627" s="193">
        <v>7.4999999999999997E-2</v>
      </c>
      <c r="G7627" s="29">
        <f>G7599</f>
        <v>140000</v>
      </c>
      <c r="H7627" s="123">
        <f>+G7627*F7627</f>
        <v>10500</v>
      </c>
      <c r="M7627" s="193">
        <v>7.4999999999999997E-2</v>
      </c>
    </row>
    <row r="7628" spans="2:13" ht="18.75" customHeight="1" x14ac:dyDescent="0.25">
      <c r="B7628" s="26"/>
      <c r="C7628" s="89"/>
      <c r="D7628" s="63"/>
      <c r="E7628" s="30"/>
      <c r="F7628" s="192" t="s">
        <v>636</v>
      </c>
      <c r="G7628" s="310"/>
      <c r="H7628" s="124">
        <f>SUM(H7624:H7627)</f>
        <v>154800</v>
      </c>
      <c r="M7628" s="192" t="s">
        <v>636</v>
      </c>
    </row>
    <row r="7629" spans="2:13" ht="18.75" customHeight="1" x14ac:dyDescent="0.25">
      <c r="B7629" s="26"/>
      <c r="C7629" s="89"/>
      <c r="D7629" s="58"/>
      <c r="E7629" s="62"/>
      <c r="F7629" s="52"/>
      <c r="G7629" s="76"/>
      <c r="H7629" s="140"/>
      <c r="M7629" s="52"/>
    </row>
    <row r="7630" spans="2:13" ht="18.75" customHeight="1" x14ac:dyDescent="0.25">
      <c r="B7630" s="26" t="s">
        <v>637</v>
      </c>
      <c r="C7630" s="89" t="s">
        <v>638</v>
      </c>
      <c r="D7630" s="64"/>
      <c r="E7630" s="31"/>
      <c r="F7630" s="180"/>
      <c r="G7630" s="75"/>
      <c r="H7630" s="125"/>
      <c r="M7630" s="180"/>
    </row>
    <row r="7631" spans="2:13" ht="18.75" customHeight="1" x14ac:dyDescent="0.25">
      <c r="B7631" s="26"/>
      <c r="C7631" s="89" t="s">
        <v>1245</v>
      </c>
      <c r="D7631" s="64"/>
      <c r="E7631" s="64" t="s">
        <v>52</v>
      </c>
      <c r="F7631" s="205">
        <v>5.4999999999999997E-3</v>
      </c>
      <c r="G7631" s="84">
        <f>G7553</f>
        <v>33850000</v>
      </c>
      <c r="H7631" s="122">
        <f>+G7631*F7631</f>
        <v>186175</v>
      </c>
      <c r="M7631" s="205">
        <v>5.4999999999999997E-3</v>
      </c>
    </row>
    <row r="7632" spans="2:13" ht="18.75" customHeight="1" x14ac:dyDescent="0.25">
      <c r="B7632" s="26"/>
      <c r="C7632" s="89"/>
      <c r="D7632" s="63"/>
      <c r="E7632" s="30"/>
      <c r="F7632" s="179" t="s">
        <v>643</v>
      </c>
      <c r="G7632" s="310"/>
      <c r="H7632" s="124">
        <f>SUM(H7631:H7631)</f>
        <v>186175</v>
      </c>
      <c r="M7632" s="179" t="s">
        <v>643</v>
      </c>
    </row>
    <row r="7633" spans="2:13" ht="18.75" customHeight="1" x14ac:dyDescent="0.25">
      <c r="B7633" s="26"/>
      <c r="C7633" s="89"/>
      <c r="D7633" s="64"/>
      <c r="E7633" s="31"/>
      <c r="F7633" s="180"/>
      <c r="G7633" s="75"/>
      <c r="H7633" s="125"/>
      <c r="M7633" s="180"/>
    </row>
    <row r="7634" spans="2:13" ht="18.75" customHeight="1" x14ac:dyDescent="0.25">
      <c r="B7634" s="26" t="s">
        <v>644</v>
      </c>
      <c r="C7634" s="89" t="s">
        <v>645</v>
      </c>
      <c r="D7634" s="56"/>
      <c r="E7634" s="36"/>
      <c r="F7634" s="194"/>
      <c r="G7634" s="88"/>
      <c r="H7634" s="127"/>
      <c r="M7634" s="194"/>
    </row>
    <row r="7635" spans="2:13" ht="18.75" customHeight="1" x14ac:dyDescent="0.25">
      <c r="B7635" s="35"/>
      <c r="C7635" s="97"/>
      <c r="D7635" s="63"/>
      <c r="E7635" s="30"/>
      <c r="F7635" s="179" t="s">
        <v>646</v>
      </c>
      <c r="G7635" s="310"/>
      <c r="H7635" s="128"/>
      <c r="M7635" s="179" t="s">
        <v>646</v>
      </c>
    </row>
    <row r="7636" spans="2:13" ht="18.75" customHeight="1" x14ac:dyDescent="0.25">
      <c r="B7636" s="37"/>
      <c r="C7636" s="98"/>
      <c r="D7636" s="411"/>
      <c r="E7636" s="42"/>
      <c r="F7636" s="181"/>
      <c r="G7636" s="311"/>
      <c r="H7636" s="129"/>
      <c r="M7636" s="181"/>
    </row>
    <row r="7637" spans="2:13" ht="18.75" customHeight="1" x14ac:dyDescent="0.25">
      <c r="B7637" s="50"/>
      <c r="C7637" s="100"/>
      <c r="E7637" s="21"/>
      <c r="F7637" s="189"/>
      <c r="G7637" s="90"/>
      <c r="H7637" s="137"/>
      <c r="M7637" s="189"/>
    </row>
    <row r="7638" spans="2:13" ht="18.75" customHeight="1" x14ac:dyDescent="0.25">
      <c r="B7638" s="46" t="s">
        <v>647</v>
      </c>
      <c r="C7638" s="101" t="s">
        <v>648</v>
      </c>
      <c r="E7638" s="22"/>
      <c r="F7638" s="189"/>
      <c r="G7638" s="308"/>
      <c r="H7638" s="131">
        <f>+H7635+H7632+H7628</f>
        <v>340975</v>
      </c>
      <c r="M7638" s="189"/>
    </row>
    <row r="7639" spans="2:13" ht="18.75" customHeight="1" x14ac:dyDescent="0.25">
      <c r="B7639" s="356" t="s">
        <v>649</v>
      </c>
      <c r="C7639" s="364" t="s">
        <v>650</v>
      </c>
      <c r="D7639" s="435"/>
      <c r="E7639" s="92"/>
      <c r="F7639" s="184" t="str">
        <f>$J$5</f>
        <v>8,0 % x D</v>
      </c>
      <c r="G7639" s="295"/>
      <c r="H7639" s="358">
        <f>+H7638*$K$5</f>
        <v>27278</v>
      </c>
      <c r="M7639" s="184" t="str">
        <f>$J$5</f>
        <v>8,0 % x D</v>
      </c>
    </row>
    <row r="7640" spans="2:13" ht="18.75" customHeight="1" x14ac:dyDescent="0.25">
      <c r="B7640" s="356" t="s">
        <v>651</v>
      </c>
      <c r="C7640" s="365" t="s">
        <v>652</v>
      </c>
      <c r="D7640" s="435"/>
      <c r="E7640" s="91"/>
      <c r="F7640" s="185"/>
      <c r="G7640" s="296"/>
      <c r="H7640" s="359">
        <f>ROUNDUP((H7639+H7638)/100,0)*100</f>
        <v>368300</v>
      </c>
      <c r="M7640" s="185"/>
    </row>
    <row r="7641" spans="2:13" ht="18.75" customHeight="1" thickBot="1" x14ac:dyDescent="0.3">
      <c r="B7641" s="47"/>
      <c r="C7641" s="103"/>
      <c r="D7641" s="48"/>
      <c r="E7641" s="49"/>
      <c r="F7641" s="186"/>
      <c r="G7641" s="309"/>
      <c r="H7641" s="136"/>
      <c r="M7641" s="186"/>
    </row>
    <row r="7642" spans="2:13" ht="18.75" customHeight="1" x14ac:dyDescent="0.25">
      <c r="B7642" s="92"/>
      <c r="C7642" s="104"/>
      <c r="D7642" s="435"/>
      <c r="E7642" s="91"/>
      <c r="F7642" s="185"/>
      <c r="G7642" s="168"/>
      <c r="H7642" s="139"/>
      <c r="M7642" s="185"/>
    </row>
    <row r="7643" spans="2:13" ht="18.75" customHeight="1" x14ac:dyDescent="0.25">
      <c r="B7643" s="19">
        <f>B7619+1</f>
        <v>42</v>
      </c>
      <c r="C7643" s="93" t="s">
        <v>1254</v>
      </c>
      <c r="D7643" s="19"/>
      <c r="E7643" s="21"/>
      <c r="F7643" s="176"/>
      <c r="G7643" s="165"/>
      <c r="H7643" s="119"/>
      <c r="M7643" s="176"/>
    </row>
    <row r="7644" spans="2:13" ht="18.75" customHeight="1" x14ac:dyDescent="0.25">
      <c r="B7644" s="618" t="s">
        <v>620</v>
      </c>
      <c r="C7644" s="620" t="s">
        <v>621</v>
      </c>
      <c r="D7644" s="618" t="s">
        <v>622</v>
      </c>
      <c r="E7644" s="618" t="s">
        <v>2</v>
      </c>
      <c r="F7644" s="615" t="s">
        <v>623</v>
      </c>
      <c r="G7644" s="289" t="s">
        <v>624</v>
      </c>
      <c r="H7644" s="256" t="s">
        <v>625</v>
      </c>
      <c r="M7644" s="615" t="s">
        <v>623</v>
      </c>
    </row>
    <row r="7645" spans="2:13" ht="18.75" customHeight="1" x14ac:dyDescent="0.25">
      <c r="B7645" s="619"/>
      <c r="C7645" s="621"/>
      <c r="D7645" s="619"/>
      <c r="E7645" s="619"/>
      <c r="F7645" s="616"/>
      <c r="G7645" s="289" t="s">
        <v>626</v>
      </c>
      <c r="H7645" s="256" t="s">
        <v>626</v>
      </c>
      <c r="M7645" s="616"/>
    </row>
    <row r="7646" spans="2:13" ht="18.75" customHeight="1" x14ac:dyDescent="0.25">
      <c r="B7646" s="23"/>
      <c r="C7646" s="95"/>
      <c r="D7646" s="24"/>
      <c r="E7646" s="25"/>
      <c r="F7646" s="177"/>
      <c r="G7646" s="166"/>
      <c r="H7646" s="120"/>
      <c r="M7646" s="177"/>
    </row>
    <row r="7647" spans="2:13" ht="18.75" customHeight="1" x14ac:dyDescent="0.25">
      <c r="B7647" s="26" t="s">
        <v>627</v>
      </c>
      <c r="C7647" s="89" t="s">
        <v>628</v>
      </c>
      <c r="D7647" s="27"/>
      <c r="E7647" s="28"/>
      <c r="F7647" s="178"/>
      <c r="G7647" s="72"/>
      <c r="H7647" s="121"/>
      <c r="M7647" s="178"/>
    </row>
    <row r="7648" spans="2:13" ht="18.75" customHeight="1" x14ac:dyDescent="0.25">
      <c r="B7648" s="26"/>
      <c r="C7648" s="96" t="s">
        <v>629</v>
      </c>
      <c r="D7648" s="27" t="s">
        <v>630</v>
      </c>
      <c r="E7648" s="28" t="s">
        <v>631</v>
      </c>
      <c r="F7648" s="61">
        <v>0.17499999999999999</v>
      </c>
      <c r="G7648" s="29">
        <f>G7624</f>
        <v>95000</v>
      </c>
      <c r="H7648" s="122">
        <f>+G7648*F7648</f>
        <v>16625</v>
      </c>
      <c r="M7648" s="61">
        <v>0.17499999999999999</v>
      </c>
    </row>
    <row r="7649" spans="2:13" ht="18.75" customHeight="1" x14ac:dyDescent="0.25">
      <c r="B7649" s="26"/>
      <c r="C7649" s="96" t="s">
        <v>1508</v>
      </c>
      <c r="D7649" s="27" t="s">
        <v>634</v>
      </c>
      <c r="E7649" s="28" t="s">
        <v>631</v>
      </c>
      <c r="F7649" s="61">
        <v>0.75</v>
      </c>
      <c r="G7649" s="29">
        <f>G7625</f>
        <v>110000</v>
      </c>
      <c r="H7649" s="122">
        <f>+G7649*F7649</f>
        <v>82500</v>
      </c>
      <c r="M7649" s="61">
        <v>0.75</v>
      </c>
    </row>
    <row r="7650" spans="2:13" ht="18.75" customHeight="1" x14ac:dyDescent="0.25">
      <c r="B7650" s="26"/>
      <c r="C7650" s="96" t="s">
        <v>633</v>
      </c>
      <c r="D7650" s="27" t="s">
        <v>634</v>
      </c>
      <c r="E7650" s="28" t="s">
        <v>631</v>
      </c>
      <c r="F7650" s="61">
        <v>0.115</v>
      </c>
      <c r="G7650" s="29">
        <f>G7626</f>
        <v>115000</v>
      </c>
      <c r="H7650" s="122">
        <f>+G7650*F7650</f>
        <v>13225</v>
      </c>
      <c r="M7650" s="61">
        <v>0.115</v>
      </c>
    </row>
    <row r="7651" spans="2:13" ht="18.75" customHeight="1" x14ac:dyDescent="0.25">
      <c r="B7651" s="26"/>
      <c r="C7651" s="96" t="s">
        <v>600</v>
      </c>
      <c r="D7651" s="27" t="s">
        <v>635</v>
      </c>
      <c r="E7651" s="36" t="s">
        <v>631</v>
      </c>
      <c r="F7651" s="193">
        <v>7.4999999999999997E-2</v>
      </c>
      <c r="G7651" s="29">
        <f>G7627</f>
        <v>140000</v>
      </c>
      <c r="H7651" s="123">
        <f>+G7651*F7651</f>
        <v>10500</v>
      </c>
      <c r="M7651" s="193">
        <v>7.4999999999999997E-2</v>
      </c>
    </row>
    <row r="7652" spans="2:13" ht="18.75" customHeight="1" x14ac:dyDescent="0.25">
      <c r="B7652" s="26"/>
      <c r="C7652" s="89"/>
      <c r="D7652" s="63"/>
      <c r="E7652" s="30"/>
      <c r="F7652" s="192" t="s">
        <v>636</v>
      </c>
      <c r="G7652" s="310"/>
      <c r="H7652" s="124">
        <f>SUM(H7648:H7651)</f>
        <v>122850</v>
      </c>
      <c r="M7652" s="192" t="s">
        <v>636</v>
      </c>
    </row>
    <row r="7653" spans="2:13" ht="18.75" customHeight="1" x14ac:dyDescent="0.25">
      <c r="B7653" s="26"/>
      <c r="C7653" s="89"/>
      <c r="D7653" s="58"/>
      <c r="E7653" s="62"/>
      <c r="F7653" s="52"/>
      <c r="G7653" s="76"/>
      <c r="H7653" s="140"/>
      <c r="M7653" s="52"/>
    </row>
    <row r="7654" spans="2:13" ht="18.75" customHeight="1" x14ac:dyDescent="0.25">
      <c r="B7654" s="26" t="s">
        <v>637</v>
      </c>
      <c r="C7654" s="89" t="s">
        <v>638</v>
      </c>
      <c r="D7654" s="64"/>
      <c r="E7654" s="31"/>
      <c r="F7654" s="180"/>
      <c r="G7654" s="75"/>
      <c r="H7654" s="125"/>
      <c r="M7654" s="180"/>
    </row>
    <row r="7655" spans="2:13" ht="18.75" customHeight="1" x14ac:dyDescent="0.25">
      <c r="B7655" s="26"/>
      <c r="C7655" s="89" t="s">
        <v>1245</v>
      </c>
      <c r="D7655" s="64"/>
      <c r="E7655" s="64" t="s">
        <v>52</v>
      </c>
      <c r="F7655" s="205">
        <v>3.0000000000000001E-3</v>
      </c>
      <c r="G7655" s="84">
        <f>G7631</f>
        <v>33850000</v>
      </c>
      <c r="H7655" s="122">
        <f>+G7655*F7655</f>
        <v>101550</v>
      </c>
      <c r="M7655" s="205">
        <v>3.0000000000000001E-3</v>
      </c>
    </row>
    <row r="7656" spans="2:13" ht="18.75" customHeight="1" x14ac:dyDescent="0.25">
      <c r="B7656" s="26"/>
      <c r="C7656" s="89"/>
      <c r="D7656" s="63"/>
      <c r="E7656" s="30"/>
      <c r="F7656" s="179" t="s">
        <v>643</v>
      </c>
      <c r="G7656" s="310"/>
      <c r="H7656" s="124">
        <f>SUM(H7655:H7655)</f>
        <v>101550</v>
      </c>
      <c r="M7656" s="179" t="s">
        <v>643</v>
      </c>
    </row>
    <row r="7657" spans="2:13" ht="18.75" customHeight="1" x14ac:dyDescent="0.25">
      <c r="B7657" s="26"/>
      <c r="C7657" s="89"/>
      <c r="D7657" s="64"/>
      <c r="E7657" s="31"/>
      <c r="F7657" s="180"/>
      <c r="G7657" s="75"/>
      <c r="H7657" s="125"/>
      <c r="M7657" s="180"/>
    </row>
    <row r="7658" spans="2:13" ht="18.75" customHeight="1" x14ac:dyDescent="0.25">
      <c r="B7658" s="26" t="s">
        <v>644</v>
      </c>
      <c r="C7658" s="89" t="s">
        <v>645</v>
      </c>
      <c r="D7658" s="56"/>
      <c r="E7658" s="36"/>
      <c r="F7658" s="194"/>
      <c r="G7658" s="88"/>
      <c r="H7658" s="127"/>
      <c r="M7658" s="194"/>
    </row>
    <row r="7659" spans="2:13" ht="18.75" customHeight="1" x14ac:dyDescent="0.25">
      <c r="B7659" s="35"/>
      <c r="C7659" s="97"/>
      <c r="D7659" s="63"/>
      <c r="E7659" s="30"/>
      <c r="F7659" s="179" t="s">
        <v>646</v>
      </c>
      <c r="G7659" s="310"/>
      <c r="H7659" s="128"/>
      <c r="M7659" s="179" t="s">
        <v>646</v>
      </c>
    </row>
    <row r="7660" spans="2:13" ht="18.75" customHeight="1" x14ac:dyDescent="0.25">
      <c r="B7660" s="37"/>
      <c r="C7660" s="98"/>
      <c r="D7660" s="411"/>
      <c r="E7660" s="42"/>
      <c r="F7660" s="181"/>
      <c r="G7660" s="311"/>
      <c r="H7660" s="129"/>
      <c r="M7660" s="181"/>
    </row>
    <row r="7661" spans="2:13" ht="18.75" customHeight="1" x14ac:dyDescent="0.25">
      <c r="B7661" s="50"/>
      <c r="C7661" s="100"/>
      <c r="E7661" s="21"/>
      <c r="F7661" s="189"/>
      <c r="G7661" s="90"/>
      <c r="H7661" s="137"/>
      <c r="M7661" s="189"/>
    </row>
    <row r="7662" spans="2:13" ht="18.75" customHeight="1" x14ac:dyDescent="0.25">
      <c r="B7662" s="46" t="s">
        <v>647</v>
      </c>
      <c r="C7662" s="101" t="s">
        <v>648</v>
      </c>
      <c r="E7662" s="22"/>
      <c r="F7662" s="189"/>
      <c r="G7662" s="308"/>
      <c r="H7662" s="131">
        <f>+H7659+H7656+H7652</f>
        <v>224400</v>
      </c>
      <c r="M7662" s="189"/>
    </row>
    <row r="7663" spans="2:13" ht="18.75" customHeight="1" x14ac:dyDescent="0.25">
      <c r="B7663" s="356" t="s">
        <v>649</v>
      </c>
      <c r="C7663" s="364" t="s">
        <v>650</v>
      </c>
      <c r="D7663" s="435"/>
      <c r="E7663" s="92"/>
      <c r="F7663" s="184" t="str">
        <f>$J$5</f>
        <v>8,0 % x D</v>
      </c>
      <c r="G7663" s="295"/>
      <c r="H7663" s="358">
        <f>+H7662*$K$5</f>
        <v>17952</v>
      </c>
      <c r="M7663" s="184" t="str">
        <f>$J$5</f>
        <v>8,0 % x D</v>
      </c>
    </row>
    <row r="7664" spans="2:13" ht="18.75" customHeight="1" x14ac:dyDescent="0.25">
      <c r="B7664" s="356" t="s">
        <v>651</v>
      </c>
      <c r="C7664" s="365" t="s">
        <v>652</v>
      </c>
      <c r="D7664" s="435"/>
      <c r="E7664" s="91"/>
      <c r="F7664" s="185"/>
      <c r="G7664" s="296"/>
      <c r="H7664" s="359">
        <f>ROUNDUP((H7663+H7662)/100,0)*100</f>
        <v>242400</v>
      </c>
      <c r="M7664" s="185"/>
    </row>
    <row r="7665" spans="2:13" ht="18.75" customHeight="1" thickBot="1" x14ac:dyDescent="0.3">
      <c r="B7665" s="47"/>
      <c r="C7665" s="103"/>
      <c r="D7665" s="48"/>
      <c r="E7665" s="49"/>
      <c r="F7665" s="186"/>
      <c r="G7665" s="309"/>
      <c r="H7665" s="136"/>
      <c r="M7665" s="186"/>
    </row>
    <row r="7666" spans="2:13" ht="18.75" customHeight="1" x14ac:dyDescent="0.25">
      <c r="B7666" s="22"/>
      <c r="C7666" s="104"/>
      <c r="E7666" s="21"/>
      <c r="F7666" s="176"/>
      <c r="G7666" s="165"/>
      <c r="H7666" s="119"/>
      <c r="M7666" s="176"/>
    </row>
    <row r="7667" spans="2:13" ht="18.75" customHeight="1" x14ac:dyDescent="0.25">
      <c r="B7667" s="19">
        <f>B7643+1</f>
        <v>43</v>
      </c>
      <c r="C7667" s="93" t="s">
        <v>1255</v>
      </c>
      <c r="D7667" s="19"/>
      <c r="E7667" s="21"/>
      <c r="F7667" s="176"/>
      <c r="G7667" s="165"/>
      <c r="H7667" s="119"/>
      <c r="M7667" s="176"/>
    </row>
    <row r="7668" spans="2:13" ht="18.75" customHeight="1" x14ac:dyDescent="0.25">
      <c r="B7668" s="618" t="s">
        <v>620</v>
      </c>
      <c r="C7668" s="620" t="s">
        <v>621</v>
      </c>
      <c r="D7668" s="618" t="s">
        <v>622</v>
      </c>
      <c r="E7668" s="618" t="s">
        <v>2</v>
      </c>
      <c r="F7668" s="615" t="s">
        <v>623</v>
      </c>
      <c r="G7668" s="289" t="s">
        <v>624</v>
      </c>
      <c r="H7668" s="256" t="s">
        <v>625</v>
      </c>
      <c r="M7668" s="615" t="s">
        <v>623</v>
      </c>
    </row>
    <row r="7669" spans="2:13" ht="18.75" customHeight="1" x14ac:dyDescent="0.25">
      <c r="B7669" s="619"/>
      <c r="C7669" s="621"/>
      <c r="D7669" s="619"/>
      <c r="E7669" s="619"/>
      <c r="F7669" s="616"/>
      <c r="G7669" s="289" t="s">
        <v>626</v>
      </c>
      <c r="H7669" s="256" t="s">
        <v>626</v>
      </c>
      <c r="M7669" s="616"/>
    </row>
    <row r="7670" spans="2:13" ht="18.75" customHeight="1" x14ac:dyDescent="0.25">
      <c r="B7670" s="23"/>
      <c r="C7670" s="95"/>
      <c r="D7670" s="24"/>
      <c r="E7670" s="25"/>
      <c r="F7670" s="177"/>
      <c r="G7670" s="166"/>
      <c r="H7670" s="120"/>
      <c r="M7670" s="177"/>
    </row>
    <row r="7671" spans="2:13" ht="18.75" customHeight="1" x14ac:dyDescent="0.25">
      <c r="B7671" s="26" t="s">
        <v>627</v>
      </c>
      <c r="C7671" s="89" t="s">
        <v>628</v>
      </c>
      <c r="D7671" s="27"/>
      <c r="E7671" s="28"/>
      <c r="F7671" s="178"/>
      <c r="G7671" s="72"/>
      <c r="H7671" s="121"/>
      <c r="M7671" s="178"/>
    </row>
    <row r="7672" spans="2:13" ht="18.75" customHeight="1" x14ac:dyDescent="0.25">
      <c r="B7672" s="26"/>
      <c r="C7672" s="96" t="s">
        <v>629</v>
      </c>
      <c r="D7672" s="27" t="s">
        <v>630</v>
      </c>
      <c r="E7672" s="28" t="s">
        <v>631</v>
      </c>
      <c r="F7672" s="61">
        <v>0.1</v>
      </c>
      <c r="G7672" s="29">
        <f>G7648</f>
        <v>95000</v>
      </c>
      <c r="H7672" s="122">
        <f>+G7672*F7672</f>
        <v>9500</v>
      </c>
      <c r="M7672" s="61">
        <v>0.1</v>
      </c>
    </row>
    <row r="7673" spans="2:13" ht="18.75" customHeight="1" x14ac:dyDescent="0.25">
      <c r="B7673" s="26"/>
      <c r="C7673" s="96" t="s">
        <v>1508</v>
      </c>
      <c r="D7673" s="27" t="s">
        <v>634</v>
      </c>
      <c r="E7673" s="28" t="s">
        <v>631</v>
      </c>
      <c r="F7673" s="61">
        <v>0.15</v>
      </c>
      <c r="G7673" s="29">
        <f>G7649</f>
        <v>110000</v>
      </c>
      <c r="H7673" s="122">
        <f>+G7673*F7673</f>
        <v>16500</v>
      </c>
      <c r="M7673" s="61">
        <v>0.15</v>
      </c>
    </row>
    <row r="7674" spans="2:13" ht="18.75" customHeight="1" x14ac:dyDescent="0.25">
      <c r="B7674" s="26"/>
      <c r="C7674" s="96" t="s">
        <v>633</v>
      </c>
      <c r="D7674" s="27" t="s">
        <v>634</v>
      </c>
      <c r="E7674" s="28" t="s">
        <v>631</v>
      </c>
      <c r="F7674" s="61">
        <v>1.4999999999999999E-2</v>
      </c>
      <c r="G7674" s="29">
        <f>G7650</f>
        <v>115000</v>
      </c>
      <c r="H7674" s="122">
        <f>+G7674*F7674</f>
        <v>1725</v>
      </c>
      <c r="M7674" s="61">
        <v>1.4999999999999999E-2</v>
      </c>
    </row>
    <row r="7675" spans="2:13" ht="18.75" customHeight="1" x14ac:dyDescent="0.25">
      <c r="B7675" s="26"/>
      <c r="C7675" s="96" t="s">
        <v>600</v>
      </c>
      <c r="D7675" s="27" t="s">
        <v>635</v>
      </c>
      <c r="E7675" s="36" t="s">
        <v>631</v>
      </c>
      <c r="F7675" s="193">
        <v>1.5E-3</v>
      </c>
      <c r="G7675" s="29">
        <f>G7651</f>
        <v>140000</v>
      </c>
      <c r="H7675" s="123">
        <f>+G7675*F7675</f>
        <v>210</v>
      </c>
      <c r="M7675" s="193">
        <v>1.5E-3</v>
      </c>
    </row>
    <row r="7676" spans="2:13" ht="18.75" customHeight="1" x14ac:dyDescent="0.25">
      <c r="B7676" s="26"/>
      <c r="C7676" s="89"/>
      <c r="D7676" s="63"/>
      <c r="E7676" s="30"/>
      <c r="F7676" s="192" t="s">
        <v>636</v>
      </c>
      <c r="G7676" s="310"/>
      <c r="H7676" s="124">
        <f>SUM(H7672:H7675)</f>
        <v>27935</v>
      </c>
      <c r="M7676" s="192" t="s">
        <v>636</v>
      </c>
    </row>
    <row r="7677" spans="2:13" ht="18.75" customHeight="1" x14ac:dyDescent="0.25">
      <c r="B7677" s="26"/>
      <c r="C7677" s="89"/>
      <c r="D7677" s="58"/>
      <c r="E7677" s="62"/>
      <c r="F7677" s="52"/>
      <c r="G7677" s="76"/>
      <c r="H7677" s="140"/>
      <c r="M7677" s="52"/>
    </row>
    <row r="7678" spans="2:13" ht="18.75" customHeight="1" x14ac:dyDescent="0.25">
      <c r="B7678" s="26" t="s">
        <v>637</v>
      </c>
      <c r="C7678" s="89" t="s">
        <v>638</v>
      </c>
      <c r="D7678" s="64"/>
      <c r="E7678" s="31"/>
      <c r="F7678" s="180"/>
      <c r="G7678" s="75"/>
      <c r="H7678" s="125"/>
      <c r="M7678" s="180"/>
    </row>
    <row r="7679" spans="2:13" ht="18.75" customHeight="1" x14ac:dyDescent="0.25">
      <c r="B7679" s="26"/>
      <c r="C7679" s="89" t="s">
        <v>1256</v>
      </c>
      <c r="D7679" s="64"/>
      <c r="E7679" s="64" t="s">
        <v>52</v>
      </c>
      <c r="F7679" s="205">
        <v>2.5000000000000001E-3</v>
      </c>
      <c r="G7679" s="84">
        <f>Bahan!D252</f>
        <v>13850000</v>
      </c>
      <c r="H7679" s="122">
        <f>+G7679*F7679</f>
        <v>34625</v>
      </c>
      <c r="M7679" s="205">
        <v>2.5000000000000001E-3</v>
      </c>
    </row>
    <row r="7680" spans="2:13" ht="18.75" customHeight="1" x14ac:dyDescent="0.25">
      <c r="B7680" s="26"/>
      <c r="C7680" s="89" t="s">
        <v>1241</v>
      </c>
      <c r="D7680" s="64"/>
      <c r="E7680" s="64" t="s">
        <v>62</v>
      </c>
      <c r="F7680" s="205">
        <v>1.4999999999999999E-2</v>
      </c>
      <c r="G7680" s="84">
        <f>G7605</f>
        <v>15000</v>
      </c>
      <c r="H7680" s="122">
        <f>+G7680*F7680</f>
        <v>225</v>
      </c>
      <c r="M7680" s="205">
        <v>1.4999999999999999E-2</v>
      </c>
    </row>
    <row r="7681" spans="2:13" ht="18.75" customHeight="1" x14ac:dyDescent="0.25">
      <c r="B7681" s="26"/>
      <c r="C7681" s="89" t="s">
        <v>1251</v>
      </c>
      <c r="D7681" s="64"/>
      <c r="E7681" s="64" t="s">
        <v>14</v>
      </c>
      <c r="F7681" s="205">
        <v>1</v>
      </c>
      <c r="G7681" s="84">
        <f>G7604</f>
        <v>25000</v>
      </c>
      <c r="H7681" s="122">
        <f>+G7681*F7681</f>
        <v>25000</v>
      </c>
      <c r="M7681" s="205">
        <v>1</v>
      </c>
    </row>
    <row r="7682" spans="2:13" ht="18.75" customHeight="1" x14ac:dyDescent="0.25">
      <c r="B7682" s="26"/>
      <c r="C7682" s="89"/>
      <c r="D7682" s="63"/>
      <c r="E7682" s="30"/>
      <c r="F7682" s="179" t="s">
        <v>643</v>
      </c>
      <c r="G7682" s="310"/>
      <c r="H7682" s="124">
        <f>SUM(H7679:H7681)</f>
        <v>59850</v>
      </c>
      <c r="M7682" s="179" t="s">
        <v>643</v>
      </c>
    </row>
    <row r="7683" spans="2:13" ht="18.75" customHeight="1" x14ac:dyDescent="0.25">
      <c r="B7683" s="26"/>
      <c r="C7683" s="89"/>
      <c r="D7683" s="64"/>
      <c r="E7683" s="31"/>
      <c r="F7683" s="180"/>
      <c r="G7683" s="75"/>
      <c r="H7683" s="125"/>
      <c r="M7683" s="180"/>
    </row>
    <row r="7684" spans="2:13" ht="18.75" customHeight="1" x14ac:dyDescent="0.25">
      <c r="B7684" s="26" t="s">
        <v>644</v>
      </c>
      <c r="C7684" s="89" t="s">
        <v>645</v>
      </c>
      <c r="D7684" s="56"/>
      <c r="E7684" s="36"/>
      <c r="F7684" s="194"/>
      <c r="G7684" s="88"/>
      <c r="H7684" s="127"/>
      <c r="M7684" s="194"/>
    </row>
    <row r="7685" spans="2:13" ht="18.75" customHeight="1" x14ac:dyDescent="0.25">
      <c r="B7685" s="35"/>
      <c r="C7685" s="97"/>
      <c r="D7685" s="63"/>
      <c r="E7685" s="30"/>
      <c r="F7685" s="179" t="s">
        <v>646</v>
      </c>
      <c r="G7685" s="310"/>
      <c r="H7685" s="128"/>
      <c r="M7685" s="179" t="s">
        <v>646</v>
      </c>
    </row>
    <row r="7686" spans="2:13" ht="18.75" customHeight="1" x14ac:dyDescent="0.25">
      <c r="B7686" s="37"/>
      <c r="C7686" s="98"/>
      <c r="D7686" s="411"/>
      <c r="E7686" s="42"/>
      <c r="F7686" s="181"/>
      <c r="G7686" s="311"/>
      <c r="H7686" s="129"/>
      <c r="M7686" s="181"/>
    </row>
    <row r="7687" spans="2:13" ht="18.75" customHeight="1" x14ac:dyDescent="0.25">
      <c r="B7687" s="50"/>
      <c r="C7687" s="100"/>
      <c r="E7687" s="21"/>
      <c r="F7687" s="189"/>
      <c r="G7687" s="90"/>
      <c r="H7687" s="137"/>
      <c r="M7687" s="189"/>
    </row>
    <row r="7688" spans="2:13" ht="18.75" customHeight="1" x14ac:dyDescent="0.25">
      <c r="B7688" s="46" t="s">
        <v>647</v>
      </c>
      <c r="C7688" s="101" t="s">
        <v>648</v>
      </c>
      <c r="E7688" s="22"/>
      <c r="F7688" s="189"/>
      <c r="G7688" s="308"/>
      <c r="H7688" s="131">
        <f>+H7685+H7682+H7676</f>
        <v>87785</v>
      </c>
      <c r="M7688" s="189"/>
    </row>
    <row r="7689" spans="2:13" ht="18.75" customHeight="1" x14ac:dyDescent="0.25">
      <c r="B7689" s="356" t="s">
        <v>649</v>
      </c>
      <c r="C7689" s="364" t="s">
        <v>650</v>
      </c>
      <c r="D7689" s="435"/>
      <c r="E7689" s="92"/>
      <c r="F7689" s="184" t="str">
        <f>$J$5</f>
        <v>8,0 % x D</v>
      </c>
      <c r="G7689" s="295"/>
      <c r="H7689" s="358">
        <f>+H7688*$K$5</f>
        <v>7022.8</v>
      </c>
      <c r="M7689" s="184" t="str">
        <f>$J$5</f>
        <v>8,0 % x D</v>
      </c>
    </row>
    <row r="7690" spans="2:13" ht="18.75" customHeight="1" x14ac:dyDescent="0.25">
      <c r="B7690" s="356" t="s">
        <v>651</v>
      </c>
      <c r="C7690" s="365" t="s">
        <v>652</v>
      </c>
      <c r="D7690" s="435"/>
      <c r="E7690" s="91"/>
      <c r="F7690" s="185"/>
      <c r="G7690" s="296"/>
      <c r="H7690" s="359">
        <f>ROUNDUP((H7689+H7688)/100,0)*100</f>
        <v>94900</v>
      </c>
      <c r="M7690" s="185"/>
    </row>
    <row r="7691" spans="2:13" ht="18.75" customHeight="1" thickBot="1" x14ac:dyDescent="0.3">
      <c r="B7691" s="47"/>
      <c r="C7691" s="103"/>
      <c r="D7691" s="48"/>
      <c r="E7691" s="49"/>
      <c r="F7691" s="186"/>
      <c r="G7691" s="309"/>
      <c r="H7691" s="136"/>
      <c r="M7691" s="186"/>
    </row>
    <row r="7692" spans="2:13" ht="18.75" customHeight="1" x14ac:dyDescent="0.25">
      <c r="B7692" s="92"/>
      <c r="C7692" s="104"/>
      <c r="D7692" s="435"/>
      <c r="E7692" s="91"/>
      <c r="F7692" s="185"/>
      <c r="G7692" s="168"/>
      <c r="H7692" s="139"/>
      <c r="M7692" s="185"/>
    </row>
    <row r="7693" spans="2:13" ht="18.75" customHeight="1" x14ac:dyDescent="0.25">
      <c r="B7693" s="19">
        <f>B7667+1</f>
        <v>44</v>
      </c>
      <c r="C7693" s="93" t="s">
        <v>1257</v>
      </c>
      <c r="D7693" s="19"/>
      <c r="E7693" s="21"/>
      <c r="F7693" s="176"/>
      <c r="G7693" s="165"/>
      <c r="H7693" s="119"/>
      <c r="M7693" s="176"/>
    </row>
    <row r="7694" spans="2:13" ht="18.75" customHeight="1" x14ac:dyDescent="0.25">
      <c r="B7694" s="618" t="s">
        <v>620</v>
      </c>
      <c r="C7694" s="620" t="s">
        <v>621</v>
      </c>
      <c r="D7694" s="618" t="s">
        <v>622</v>
      </c>
      <c r="E7694" s="618" t="s">
        <v>2</v>
      </c>
      <c r="F7694" s="615" t="s">
        <v>623</v>
      </c>
      <c r="G7694" s="289" t="s">
        <v>624</v>
      </c>
      <c r="H7694" s="256" t="s">
        <v>625</v>
      </c>
      <c r="M7694" s="615" t="s">
        <v>623</v>
      </c>
    </row>
    <row r="7695" spans="2:13" ht="18.75" customHeight="1" x14ac:dyDescent="0.25">
      <c r="B7695" s="619"/>
      <c r="C7695" s="621"/>
      <c r="D7695" s="619"/>
      <c r="E7695" s="619"/>
      <c r="F7695" s="616"/>
      <c r="G7695" s="289" t="s">
        <v>626</v>
      </c>
      <c r="H7695" s="256" t="s">
        <v>626</v>
      </c>
      <c r="M7695" s="616"/>
    </row>
    <row r="7696" spans="2:13" ht="18.75" customHeight="1" x14ac:dyDescent="0.25">
      <c r="B7696" s="23"/>
      <c r="C7696" s="95"/>
      <c r="D7696" s="24"/>
      <c r="E7696" s="25"/>
      <c r="F7696" s="177"/>
      <c r="G7696" s="166"/>
      <c r="H7696" s="120"/>
      <c r="M7696" s="177"/>
    </row>
    <row r="7697" spans="2:13" ht="18.75" customHeight="1" x14ac:dyDescent="0.25">
      <c r="B7697" s="26" t="s">
        <v>627</v>
      </c>
      <c r="C7697" s="89" t="s">
        <v>628</v>
      </c>
      <c r="D7697" s="27"/>
      <c r="E7697" s="28"/>
      <c r="F7697" s="178"/>
      <c r="G7697" s="72"/>
      <c r="H7697" s="121"/>
      <c r="M7697" s="178"/>
    </row>
    <row r="7698" spans="2:13" ht="18.75" customHeight="1" x14ac:dyDescent="0.25">
      <c r="B7698" s="26"/>
      <c r="C7698" s="96" t="s">
        <v>629</v>
      </c>
      <c r="D7698" s="27" t="s">
        <v>630</v>
      </c>
      <c r="E7698" s="28" t="s">
        <v>631</v>
      </c>
      <c r="F7698" s="61">
        <v>0.1</v>
      </c>
      <c r="G7698" s="29">
        <f>G7672</f>
        <v>95000</v>
      </c>
      <c r="H7698" s="122">
        <f>+G7698*F7698</f>
        <v>9500</v>
      </c>
      <c r="M7698" s="61">
        <v>0.1</v>
      </c>
    </row>
    <row r="7699" spans="2:13" ht="18.75" customHeight="1" x14ac:dyDescent="0.25">
      <c r="B7699" s="26"/>
      <c r="C7699" s="96" t="s">
        <v>1508</v>
      </c>
      <c r="D7699" s="27" t="s">
        <v>634</v>
      </c>
      <c r="E7699" s="28" t="s">
        <v>631</v>
      </c>
      <c r="F7699" s="61">
        <v>0.1</v>
      </c>
      <c r="G7699" s="29">
        <f>G7673</f>
        <v>110000</v>
      </c>
      <c r="H7699" s="122">
        <f>+G7699*F7699</f>
        <v>11000</v>
      </c>
      <c r="M7699" s="61">
        <v>0.1</v>
      </c>
    </row>
    <row r="7700" spans="2:13" ht="18.75" customHeight="1" x14ac:dyDescent="0.25">
      <c r="B7700" s="26"/>
      <c r="C7700" s="96" t="s">
        <v>633</v>
      </c>
      <c r="D7700" s="27" t="s">
        <v>634</v>
      </c>
      <c r="E7700" s="28" t="s">
        <v>631</v>
      </c>
      <c r="F7700" s="61">
        <v>5.0000000000000001E-3</v>
      </c>
      <c r="G7700" s="29">
        <f>G7674</f>
        <v>115000</v>
      </c>
      <c r="H7700" s="122">
        <f>+G7700*F7700</f>
        <v>575</v>
      </c>
      <c r="M7700" s="61">
        <v>5.0000000000000001E-3</v>
      </c>
    </row>
    <row r="7701" spans="2:13" ht="18.75" customHeight="1" x14ac:dyDescent="0.25">
      <c r="B7701" s="26"/>
      <c r="C7701" s="96" t="s">
        <v>600</v>
      </c>
      <c r="D7701" s="27" t="s">
        <v>635</v>
      </c>
      <c r="E7701" s="36" t="s">
        <v>631</v>
      </c>
      <c r="F7701" s="193">
        <v>0.1</v>
      </c>
      <c r="G7701" s="29">
        <f>G7675</f>
        <v>140000</v>
      </c>
      <c r="H7701" s="123">
        <f>+G7701*F7701</f>
        <v>14000</v>
      </c>
      <c r="M7701" s="193">
        <v>0.1</v>
      </c>
    </row>
    <row r="7702" spans="2:13" ht="18.75" customHeight="1" x14ac:dyDescent="0.25">
      <c r="B7702" s="26"/>
      <c r="C7702" s="89"/>
      <c r="D7702" s="63"/>
      <c r="E7702" s="30"/>
      <c r="F7702" s="192" t="s">
        <v>636</v>
      </c>
      <c r="G7702" s="310"/>
      <c r="H7702" s="124">
        <f>SUM(H7698:H7701)</f>
        <v>35075</v>
      </c>
      <c r="M7702" s="192" t="s">
        <v>636</v>
      </c>
    </row>
    <row r="7703" spans="2:13" ht="18.75" customHeight="1" x14ac:dyDescent="0.25">
      <c r="B7703" s="26"/>
      <c r="C7703" s="89"/>
      <c r="D7703" s="58"/>
      <c r="E7703" s="62"/>
      <c r="F7703" s="52"/>
      <c r="G7703" s="76"/>
      <c r="H7703" s="140"/>
      <c r="M7703" s="52"/>
    </row>
    <row r="7704" spans="2:13" ht="18.75" customHeight="1" x14ac:dyDescent="0.25">
      <c r="B7704" s="26" t="s">
        <v>637</v>
      </c>
      <c r="C7704" s="89" t="s">
        <v>638</v>
      </c>
      <c r="D7704" s="64"/>
      <c r="E7704" s="31"/>
      <c r="F7704" s="180"/>
      <c r="G7704" s="75"/>
      <c r="H7704" s="125"/>
      <c r="M7704" s="180"/>
    </row>
    <row r="7705" spans="2:13" ht="18.75" customHeight="1" x14ac:dyDescent="0.25">
      <c r="B7705" s="26"/>
      <c r="C7705" s="89" t="s">
        <v>1258</v>
      </c>
      <c r="D7705" s="64"/>
      <c r="E7705" s="64" t="s">
        <v>52</v>
      </c>
      <c r="F7705" s="205">
        <v>8.0000000000000002E-3</v>
      </c>
      <c r="G7705" s="84">
        <f>Bahan!D251</f>
        <v>10720000</v>
      </c>
      <c r="H7705" s="122">
        <f>+G7705*F7705</f>
        <v>85760</v>
      </c>
      <c r="M7705" s="205">
        <v>8.0000000000000002E-3</v>
      </c>
    </row>
    <row r="7706" spans="2:13" ht="18.75" customHeight="1" x14ac:dyDescent="0.25">
      <c r="B7706" s="26"/>
      <c r="C7706" s="89" t="s">
        <v>1259</v>
      </c>
      <c r="D7706" s="64"/>
      <c r="E7706" s="64" t="s">
        <v>62</v>
      </c>
      <c r="F7706" s="205">
        <v>3.5000000000000003E-2</v>
      </c>
      <c r="G7706" s="84">
        <f>G7604</f>
        <v>25000</v>
      </c>
      <c r="H7706" s="122">
        <f>+G7706*F7706</f>
        <v>875.00000000000011</v>
      </c>
      <c r="M7706" s="205">
        <v>3.5000000000000003E-2</v>
      </c>
    </row>
    <row r="7707" spans="2:13" ht="18.75" customHeight="1" x14ac:dyDescent="0.25">
      <c r="B7707" s="26"/>
      <c r="C7707" s="89"/>
      <c r="D7707" s="63"/>
      <c r="E7707" s="30"/>
      <c r="F7707" s="179" t="s">
        <v>643</v>
      </c>
      <c r="G7707" s="310"/>
      <c r="H7707" s="124">
        <f>SUM(H7705:H7706)</f>
        <v>86635</v>
      </c>
      <c r="M7707" s="179" t="s">
        <v>643</v>
      </c>
    </row>
    <row r="7708" spans="2:13" ht="18.75" customHeight="1" x14ac:dyDescent="0.25">
      <c r="B7708" s="26"/>
      <c r="C7708" s="89"/>
      <c r="D7708" s="64"/>
      <c r="E7708" s="31"/>
      <c r="F7708" s="180"/>
      <c r="G7708" s="75"/>
      <c r="H7708" s="125"/>
      <c r="M7708" s="180"/>
    </row>
    <row r="7709" spans="2:13" ht="18.75" customHeight="1" x14ac:dyDescent="0.25">
      <c r="B7709" s="26" t="s">
        <v>644</v>
      </c>
      <c r="C7709" s="89" t="s">
        <v>645</v>
      </c>
      <c r="D7709" s="56"/>
      <c r="E7709" s="36"/>
      <c r="F7709" s="194"/>
      <c r="G7709" s="88"/>
      <c r="H7709" s="127"/>
      <c r="M7709" s="194"/>
    </row>
    <row r="7710" spans="2:13" ht="18.75" customHeight="1" x14ac:dyDescent="0.25">
      <c r="B7710" s="35"/>
      <c r="C7710" s="97"/>
      <c r="D7710" s="63"/>
      <c r="E7710" s="30"/>
      <c r="F7710" s="179" t="s">
        <v>646</v>
      </c>
      <c r="G7710" s="310"/>
      <c r="H7710" s="128"/>
      <c r="M7710" s="179" t="s">
        <v>646</v>
      </c>
    </row>
    <row r="7711" spans="2:13" ht="18.75" customHeight="1" x14ac:dyDescent="0.25">
      <c r="B7711" s="37"/>
      <c r="C7711" s="98"/>
      <c r="D7711" s="411"/>
      <c r="E7711" s="42"/>
      <c r="F7711" s="181"/>
      <c r="G7711" s="311"/>
      <c r="H7711" s="129"/>
      <c r="M7711" s="181"/>
    </row>
    <row r="7712" spans="2:13" ht="18.75" customHeight="1" x14ac:dyDescent="0.25">
      <c r="B7712" s="50"/>
      <c r="C7712" s="100"/>
      <c r="E7712" s="21"/>
      <c r="F7712" s="189"/>
      <c r="G7712" s="90"/>
      <c r="H7712" s="137"/>
      <c r="M7712" s="189"/>
    </row>
    <row r="7713" spans="2:13" ht="18.75" customHeight="1" x14ac:dyDescent="0.25">
      <c r="B7713" s="46" t="s">
        <v>647</v>
      </c>
      <c r="C7713" s="101" t="s">
        <v>648</v>
      </c>
      <c r="E7713" s="22"/>
      <c r="F7713" s="189"/>
      <c r="G7713" s="308"/>
      <c r="H7713" s="131">
        <f>+H7710+H7707+H7702</f>
        <v>121710</v>
      </c>
      <c r="M7713" s="189"/>
    </row>
    <row r="7714" spans="2:13" ht="18.75" customHeight="1" x14ac:dyDescent="0.25">
      <c r="B7714" s="356" t="s">
        <v>649</v>
      </c>
      <c r="C7714" s="364" t="s">
        <v>650</v>
      </c>
      <c r="D7714" s="435"/>
      <c r="E7714" s="92"/>
      <c r="F7714" s="184" t="str">
        <f>$J$5</f>
        <v>8,0 % x D</v>
      </c>
      <c r="G7714" s="295"/>
      <c r="H7714" s="358">
        <f>+H7713*$K$5</f>
        <v>9736.8000000000011</v>
      </c>
      <c r="M7714" s="184" t="str">
        <f>$J$5</f>
        <v>8,0 % x D</v>
      </c>
    </row>
    <row r="7715" spans="2:13" ht="18.75" customHeight="1" x14ac:dyDescent="0.25">
      <c r="B7715" s="356" t="s">
        <v>651</v>
      </c>
      <c r="C7715" s="365" t="s">
        <v>652</v>
      </c>
      <c r="D7715" s="435"/>
      <c r="E7715" s="91"/>
      <c r="F7715" s="185"/>
      <c r="G7715" s="296"/>
      <c r="H7715" s="359">
        <f>ROUNDUP((H7714+H7713)/100,0)*100</f>
        <v>131500</v>
      </c>
      <c r="M7715" s="185"/>
    </row>
    <row r="7716" spans="2:13" ht="18.75" customHeight="1" thickBot="1" x14ac:dyDescent="0.3">
      <c r="B7716" s="47"/>
      <c r="C7716" s="103"/>
      <c r="D7716" s="48"/>
      <c r="E7716" s="49"/>
      <c r="F7716" s="186"/>
      <c r="G7716" s="309"/>
      <c r="H7716" s="136"/>
      <c r="M7716" s="186"/>
    </row>
    <row r="7717" spans="2:13" ht="18.75" customHeight="1" x14ac:dyDescent="0.25">
      <c r="B7717" s="22"/>
      <c r="C7717" s="104"/>
      <c r="E7717" s="21"/>
      <c r="F7717" s="176"/>
      <c r="G7717" s="165"/>
      <c r="H7717" s="119"/>
      <c r="M7717" s="176"/>
    </row>
    <row r="7718" spans="2:13" ht="18.75" customHeight="1" x14ac:dyDescent="0.25">
      <c r="B7718" s="19">
        <f>B7693+1</f>
        <v>45</v>
      </c>
      <c r="C7718" s="93" t="s">
        <v>1260</v>
      </c>
      <c r="D7718" s="19"/>
      <c r="E7718" s="21"/>
      <c r="F7718" s="176"/>
      <c r="G7718" s="165"/>
      <c r="H7718" s="119"/>
      <c r="M7718" s="176"/>
    </row>
    <row r="7719" spans="2:13" ht="18.75" customHeight="1" x14ac:dyDescent="0.25">
      <c r="B7719" s="618" t="s">
        <v>620</v>
      </c>
      <c r="C7719" s="620" t="s">
        <v>621</v>
      </c>
      <c r="D7719" s="618" t="s">
        <v>622</v>
      </c>
      <c r="E7719" s="618" t="s">
        <v>2</v>
      </c>
      <c r="F7719" s="615" t="s">
        <v>623</v>
      </c>
      <c r="G7719" s="289" t="s">
        <v>624</v>
      </c>
      <c r="H7719" s="256" t="s">
        <v>625</v>
      </c>
      <c r="M7719" s="615" t="s">
        <v>623</v>
      </c>
    </row>
    <row r="7720" spans="2:13" ht="18.75" customHeight="1" x14ac:dyDescent="0.25">
      <c r="B7720" s="619"/>
      <c r="C7720" s="621"/>
      <c r="D7720" s="619"/>
      <c r="E7720" s="619"/>
      <c r="F7720" s="616"/>
      <c r="G7720" s="289" t="s">
        <v>626</v>
      </c>
      <c r="H7720" s="256" t="s">
        <v>626</v>
      </c>
      <c r="M7720" s="616"/>
    </row>
    <row r="7721" spans="2:13" ht="18.75" customHeight="1" x14ac:dyDescent="0.25">
      <c r="B7721" s="23"/>
      <c r="C7721" s="95"/>
      <c r="D7721" s="24"/>
      <c r="E7721" s="25"/>
      <c r="F7721" s="177"/>
      <c r="G7721" s="166"/>
      <c r="H7721" s="120"/>
      <c r="M7721" s="177"/>
    </row>
    <row r="7722" spans="2:13" ht="18.75" customHeight="1" x14ac:dyDescent="0.25">
      <c r="B7722" s="26" t="s">
        <v>627</v>
      </c>
      <c r="C7722" s="89" t="s">
        <v>628</v>
      </c>
      <c r="D7722" s="27"/>
      <c r="E7722" s="28"/>
      <c r="F7722" s="178"/>
      <c r="G7722" s="72"/>
      <c r="H7722" s="121"/>
      <c r="M7722" s="178"/>
    </row>
    <row r="7723" spans="2:13" ht="18.75" customHeight="1" x14ac:dyDescent="0.25">
      <c r="B7723" s="26"/>
      <c r="C7723" s="96" t="s">
        <v>629</v>
      </c>
      <c r="D7723" s="27" t="s">
        <v>630</v>
      </c>
      <c r="E7723" s="28" t="s">
        <v>631</v>
      </c>
      <c r="F7723" s="228">
        <f t="shared" ref="F7723:F7726" si="344">$K$8*M7723</f>
        <v>0.2</v>
      </c>
      <c r="G7723" s="29">
        <f>G7698</f>
        <v>95000</v>
      </c>
      <c r="H7723" s="122">
        <f>+G7723*F7723</f>
        <v>19000</v>
      </c>
      <c r="M7723" s="61">
        <v>0.2</v>
      </c>
    </row>
    <row r="7724" spans="2:13" ht="18.75" customHeight="1" x14ac:dyDescent="0.25">
      <c r="B7724" s="26"/>
      <c r="C7724" s="96" t="s">
        <v>1508</v>
      </c>
      <c r="D7724" s="27" t="s">
        <v>634</v>
      </c>
      <c r="E7724" s="28" t="s">
        <v>631</v>
      </c>
      <c r="F7724" s="228">
        <f t="shared" si="344"/>
        <v>0.3</v>
      </c>
      <c r="G7724" s="29">
        <f>G7699</f>
        <v>110000</v>
      </c>
      <c r="H7724" s="122">
        <f>+G7724*F7724</f>
        <v>33000</v>
      </c>
      <c r="M7724" s="61">
        <v>0.3</v>
      </c>
    </row>
    <row r="7725" spans="2:13" ht="18.75" customHeight="1" x14ac:dyDescent="0.25">
      <c r="B7725" s="26"/>
      <c r="C7725" s="96" t="s">
        <v>633</v>
      </c>
      <c r="D7725" s="27" t="s">
        <v>634</v>
      </c>
      <c r="E7725" s="28" t="s">
        <v>631</v>
      </c>
      <c r="F7725" s="228">
        <f t="shared" si="344"/>
        <v>0.12</v>
      </c>
      <c r="G7725" s="29">
        <f>G7700</f>
        <v>115000</v>
      </c>
      <c r="H7725" s="122">
        <f>+G7725*F7725</f>
        <v>13800</v>
      </c>
      <c r="M7725" s="61">
        <v>0.12</v>
      </c>
    </row>
    <row r="7726" spans="2:13" ht="18.75" customHeight="1" x14ac:dyDescent="0.25">
      <c r="B7726" s="26"/>
      <c r="C7726" s="96" t="s">
        <v>600</v>
      </c>
      <c r="D7726" s="27" t="s">
        <v>635</v>
      </c>
      <c r="E7726" s="36" t="s">
        <v>631</v>
      </c>
      <c r="F7726" s="228">
        <f t="shared" si="344"/>
        <v>7.4999999999999997E-2</v>
      </c>
      <c r="G7726" s="29">
        <f>G7701</f>
        <v>140000</v>
      </c>
      <c r="H7726" s="123">
        <f>+G7726*F7726</f>
        <v>10500</v>
      </c>
      <c r="M7726" s="193">
        <v>7.4999999999999997E-2</v>
      </c>
    </row>
    <row r="7727" spans="2:13" ht="18.75" customHeight="1" x14ac:dyDescent="0.25">
      <c r="B7727" s="26"/>
      <c r="C7727" s="89"/>
      <c r="D7727" s="63"/>
      <c r="E7727" s="30"/>
      <c r="F7727" s="192" t="s">
        <v>636</v>
      </c>
      <c r="G7727" s="310"/>
      <c r="H7727" s="124">
        <f>SUM(H7723:H7726)</f>
        <v>76300</v>
      </c>
      <c r="M7727" s="192" t="s">
        <v>636</v>
      </c>
    </row>
    <row r="7728" spans="2:13" ht="18.75" customHeight="1" x14ac:dyDescent="0.25">
      <c r="B7728" s="26"/>
      <c r="C7728" s="89"/>
      <c r="D7728" s="58"/>
      <c r="E7728" s="62"/>
      <c r="F7728" s="52"/>
      <c r="G7728" s="76"/>
      <c r="H7728" s="140"/>
      <c r="M7728" s="52"/>
    </row>
    <row r="7729" spans="2:13" ht="18.75" customHeight="1" x14ac:dyDescent="0.25">
      <c r="B7729" s="26" t="s">
        <v>637</v>
      </c>
      <c r="C7729" s="89" t="s">
        <v>638</v>
      </c>
      <c r="D7729" s="64"/>
      <c r="E7729" s="31"/>
      <c r="F7729" s="180"/>
      <c r="G7729" s="75"/>
      <c r="H7729" s="125"/>
      <c r="M7729" s="180"/>
    </row>
    <row r="7730" spans="2:13" ht="18.75" customHeight="1" x14ac:dyDescent="0.25">
      <c r="B7730" s="26"/>
      <c r="C7730" s="89" t="s">
        <v>1256</v>
      </c>
      <c r="D7730" s="64"/>
      <c r="E7730" s="64" t="s">
        <v>52</v>
      </c>
      <c r="F7730" s="205">
        <v>1E-3</v>
      </c>
      <c r="G7730" s="84">
        <f>G7679</f>
        <v>13850000</v>
      </c>
      <c r="H7730" s="122">
        <f>+G7730*F7730</f>
        <v>13850</v>
      </c>
      <c r="M7730" s="205">
        <v>1E-3</v>
      </c>
    </row>
    <row r="7731" spans="2:13" ht="18.75" customHeight="1" x14ac:dyDescent="0.25">
      <c r="B7731" s="26"/>
      <c r="C7731" s="89"/>
      <c r="D7731" s="63"/>
      <c r="E7731" s="30"/>
      <c r="F7731" s="179" t="s">
        <v>643</v>
      </c>
      <c r="G7731" s="310"/>
      <c r="H7731" s="124">
        <f>SUM(H7730:H7730)</f>
        <v>13850</v>
      </c>
      <c r="M7731" s="179" t="s">
        <v>643</v>
      </c>
    </row>
    <row r="7732" spans="2:13" ht="18.75" customHeight="1" x14ac:dyDescent="0.25">
      <c r="B7732" s="26"/>
      <c r="C7732" s="89"/>
      <c r="D7732" s="64"/>
      <c r="E7732" s="31"/>
      <c r="F7732" s="180"/>
      <c r="G7732" s="75"/>
      <c r="H7732" s="125"/>
      <c r="M7732" s="180"/>
    </row>
    <row r="7733" spans="2:13" ht="18.75" customHeight="1" x14ac:dyDescent="0.25">
      <c r="B7733" s="26" t="s">
        <v>644</v>
      </c>
      <c r="C7733" s="89" t="s">
        <v>645</v>
      </c>
      <c r="D7733" s="56"/>
      <c r="E7733" s="36"/>
      <c r="F7733" s="194"/>
      <c r="G7733" s="88"/>
      <c r="H7733" s="127"/>
      <c r="M7733" s="194"/>
    </row>
    <row r="7734" spans="2:13" ht="18.75" customHeight="1" x14ac:dyDescent="0.25">
      <c r="B7734" s="35"/>
      <c r="C7734" s="97"/>
      <c r="D7734" s="63"/>
      <c r="E7734" s="30"/>
      <c r="F7734" s="179" t="s">
        <v>646</v>
      </c>
      <c r="G7734" s="310"/>
      <c r="H7734" s="128"/>
      <c r="M7734" s="179" t="s">
        <v>646</v>
      </c>
    </row>
    <row r="7735" spans="2:13" ht="18.75" customHeight="1" x14ac:dyDescent="0.25">
      <c r="B7735" s="37"/>
      <c r="C7735" s="98"/>
      <c r="D7735" s="411"/>
      <c r="E7735" s="42"/>
      <c r="F7735" s="181"/>
      <c r="G7735" s="311"/>
      <c r="H7735" s="129"/>
      <c r="M7735" s="181"/>
    </row>
    <row r="7736" spans="2:13" ht="18.75" customHeight="1" x14ac:dyDescent="0.25">
      <c r="B7736" s="50"/>
      <c r="C7736" s="100"/>
      <c r="E7736" s="21"/>
      <c r="F7736" s="189"/>
      <c r="G7736" s="90"/>
      <c r="H7736" s="137"/>
      <c r="M7736" s="189"/>
    </row>
    <row r="7737" spans="2:13" ht="18.75" customHeight="1" x14ac:dyDescent="0.25">
      <c r="B7737" s="46" t="s">
        <v>647</v>
      </c>
      <c r="C7737" s="101" t="s">
        <v>648</v>
      </c>
      <c r="E7737" s="22"/>
      <c r="F7737" s="189"/>
      <c r="G7737" s="308"/>
      <c r="H7737" s="131">
        <f>+H7734+H7731+H7727</f>
        <v>90150</v>
      </c>
      <c r="M7737" s="189"/>
    </row>
    <row r="7738" spans="2:13" ht="18.75" customHeight="1" x14ac:dyDescent="0.25">
      <c r="B7738" s="356" t="s">
        <v>649</v>
      </c>
      <c r="C7738" s="364" t="s">
        <v>650</v>
      </c>
      <c r="D7738" s="435"/>
      <c r="E7738" s="92"/>
      <c r="F7738" s="184" t="str">
        <f>$J$5</f>
        <v>8,0 % x D</v>
      </c>
      <c r="G7738" s="295"/>
      <c r="H7738" s="358">
        <f>+H7737*$K$5</f>
        <v>7212</v>
      </c>
      <c r="M7738" s="184" t="str">
        <f>$J$5</f>
        <v>8,0 % x D</v>
      </c>
    </row>
    <row r="7739" spans="2:13" ht="18.75" customHeight="1" x14ac:dyDescent="0.25">
      <c r="B7739" s="356" t="s">
        <v>651</v>
      </c>
      <c r="C7739" s="365" t="s">
        <v>652</v>
      </c>
      <c r="D7739" s="435"/>
      <c r="E7739" s="91"/>
      <c r="F7739" s="185"/>
      <c r="G7739" s="296"/>
      <c r="H7739" s="359">
        <f>ROUNDUP((H7738+H7737)/100,0)*100</f>
        <v>97400</v>
      </c>
      <c r="M7739" s="185"/>
    </row>
    <row r="7740" spans="2:13" ht="18.75" customHeight="1" thickBot="1" x14ac:dyDescent="0.3">
      <c r="B7740" s="53"/>
      <c r="C7740" s="113"/>
      <c r="D7740" s="48"/>
      <c r="E7740" s="49"/>
      <c r="F7740" s="186"/>
      <c r="G7740" s="169"/>
      <c r="H7740" s="134"/>
      <c r="M7740" s="186"/>
    </row>
    <row r="7741" spans="2:13" ht="18.75" customHeight="1" x14ac:dyDescent="0.25">
      <c r="B7741" s="435"/>
      <c r="C7741" s="111"/>
      <c r="D7741" s="435"/>
      <c r="E7741" s="91"/>
      <c r="F7741" s="185"/>
      <c r="G7741" s="168"/>
      <c r="H7741" s="211"/>
      <c r="M7741" s="185"/>
    </row>
    <row r="7742" spans="2:13" ht="18.75" customHeight="1" x14ac:dyDescent="0.25">
      <c r="B7742" s="19">
        <f>B7718+1</f>
        <v>46</v>
      </c>
      <c r="C7742" s="93" t="s">
        <v>1261</v>
      </c>
      <c r="D7742" s="19"/>
      <c r="E7742" s="21"/>
      <c r="F7742" s="176"/>
      <c r="G7742" s="165"/>
      <c r="H7742" s="119"/>
      <c r="M7742" s="176"/>
    </row>
    <row r="7743" spans="2:13" ht="18.75" customHeight="1" x14ac:dyDescent="0.25">
      <c r="B7743" s="618" t="s">
        <v>620</v>
      </c>
      <c r="C7743" s="620" t="s">
        <v>621</v>
      </c>
      <c r="D7743" s="618" t="s">
        <v>622</v>
      </c>
      <c r="E7743" s="618" t="s">
        <v>2</v>
      </c>
      <c r="F7743" s="615" t="s">
        <v>623</v>
      </c>
      <c r="G7743" s="289" t="s">
        <v>624</v>
      </c>
      <c r="H7743" s="256" t="s">
        <v>625</v>
      </c>
      <c r="M7743" s="615" t="s">
        <v>623</v>
      </c>
    </row>
    <row r="7744" spans="2:13" ht="18.75" customHeight="1" x14ac:dyDescent="0.25">
      <c r="B7744" s="619"/>
      <c r="C7744" s="621"/>
      <c r="D7744" s="619"/>
      <c r="E7744" s="619"/>
      <c r="F7744" s="616"/>
      <c r="G7744" s="289" t="s">
        <v>626</v>
      </c>
      <c r="H7744" s="256" t="s">
        <v>626</v>
      </c>
      <c r="M7744" s="616"/>
    </row>
    <row r="7745" spans="2:13" ht="18.75" customHeight="1" x14ac:dyDescent="0.25">
      <c r="B7745" s="23"/>
      <c r="C7745" s="95"/>
      <c r="D7745" s="24"/>
      <c r="E7745" s="25"/>
      <c r="F7745" s="177"/>
      <c r="G7745" s="166"/>
      <c r="H7745" s="120"/>
      <c r="M7745" s="177"/>
    </row>
    <row r="7746" spans="2:13" ht="18.75" customHeight="1" x14ac:dyDescent="0.25">
      <c r="B7746" s="26" t="s">
        <v>627</v>
      </c>
      <c r="C7746" s="89" t="s">
        <v>628</v>
      </c>
      <c r="D7746" s="27"/>
      <c r="E7746" s="28"/>
      <c r="F7746" s="178"/>
      <c r="G7746" s="72"/>
      <c r="H7746" s="121"/>
      <c r="M7746" s="178"/>
    </row>
    <row r="7747" spans="2:13" ht="18.75" customHeight="1" x14ac:dyDescent="0.25">
      <c r="B7747" s="26"/>
      <c r="C7747" s="96" t="s">
        <v>629</v>
      </c>
      <c r="D7747" s="27" t="s">
        <v>630</v>
      </c>
      <c r="E7747" s="28" t="s">
        <v>631</v>
      </c>
      <c r="F7747" s="228">
        <f t="shared" ref="F7747:F7750" si="345">$K$8*M7747</f>
        <v>0.25</v>
      </c>
      <c r="G7747" s="29">
        <f>G7723</f>
        <v>95000</v>
      </c>
      <c r="H7747" s="122">
        <f>+G7747*F7747</f>
        <v>23750</v>
      </c>
      <c r="M7747" s="61">
        <v>0.25</v>
      </c>
    </row>
    <row r="7748" spans="2:13" ht="18.75" customHeight="1" x14ac:dyDescent="0.25">
      <c r="B7748" s="26"/>
      <c r="C7748" s="96" t="s">
        <v>1508</v>
      </c>
      <c r="D7748" s="27" t="s">
        <v>634</v>
      </c>
      <c r="E7748" s="28" t="s">
        <v>631</v>
      </c>
      <c r="F7748" s="228">
        <f t="shared" si="345"/>
        <v>0.35</v>
      </c>
      <c r="G7748" s="29">
        <f>G7724</f>
        <v>110000</v>
      </c>
      <c r="H7748" s="122">
        <f>+G7748*F7748</f>
        <v>38500</v>
      </c>
      <c r="M7748" s="61">
        <v>0.35</v>
      </c>
    </row>
    <row r="7749" spans="2:13" ht="18.75" customHeight="1" x14ac:dyDescent="0.25">
      <c r="B7749" s="26"/>
      <c r="C7749" s="96" t="s">
        <v>633</v>
      </c>
      <c r="D7749" s="27" t="s">
        <v>634</v>
      </c>
      <c r="E7749" s="28" t="s">
        <v>631</v>
      </c>
      <c r="F7749" s="228">
        <f t="shared" si="345"/>
        <v>0.125</v>
      </c>
      <c r="G7749" s="29">
        <f>G7725</f>
        <v>115000</v>
      </c>
      <c r="H7749" s="122">
        <f>+G7749*F7749</f>
        <v>14375</v>
      </c>
      <c r="M7749" s="61">
        <v>0.125</v>
      </c>
    </row>
    <row r="7750" spans="2:13" ht="18.75" customHeight="1" x14ac:dyDescent="0.25">
      <c r="B7750" s="26"/>
      <c r="C7750" s="96" t="s">
        <v>600</v>
      </c>
      <c r="D7750" s="27" t="s">
        <v>635</v>
      </c>
      <c r="E7750" s="36" t="s">
        <v>631</v>
      </c>
      <c r="F7750" s="228">
        <f t="shared" si="345"/>
        <v>7.4999999999999997E-2</v>
      </c>
      <c r="G7750" s="29">
        <f>G7726</f>
        <v>140000</v>
      </c>
      <c r="H7750" s="123">
        <f>+G7750*F7750</f>
        <v>10500</v>
      </c>
      <c r="M7750" s="193">
        <v>7.4999999999999997E-2</v>
      </c>
    </row>
    <row r="7751" spans="2:13" ht="18.75" customHeight="1" x14ac:dyDescent="0.25">
      <c r="B7751" s="26"/>
      <c r="C7751" s="89"/>
      <c r="D7751" s="63"/>
      <c r="E7751" s="30"/>
      <c r="F7751" s="192" t="s">
        <v>636</v>
      </c>
      <c r="G7751" s="310"/>
      <c r="H7751" s="124">
        <f>SUM(H7747:H7750)</f>
        <v>87125</v>
      </c>
      <c r="M7751" s="192" t="s">
        <v>636</v>
      </c>
    </row>
    <row r="7752" spans="2:13" ht="18.75" customHeight="1" x14ac:dyDescent="0.25">
      <c r="B7752" s="26"/>
      <c r="C7752" s="89"/>
      <c r="D7752" s="58"/>
      <c r="E7752" s="62"/>
      <c r="F7752" s="52"/>
      <c r="G7752" s="76"/>
      <c r="H7752" s="140"/>
      <c r="M7752" s="52"/>
    </row>
    <row r="7753" spans="2:13" ht="18.75" customHeight="1" x14ac:dyDescent="0.25">
      <c r="B7753" s="26" t="s">
        <v>637</v>
      </c>
      <c r="C7753" s="89" t="s">
        <v>638</v>
      </c>
      <c r="D7753" s="64"/>
      <c r="E7753" s="31"/>
      <c r="F7753" s="180"/>
      <c r="G7753" s="75"/>
      <c r="H7753" s="125"/>
      <c r="M7753" s="180"/>
    </row>
    <row r="7754" spans="2:13" ht="18.75" customHeight="1" x14ac:dyDescent="0.25">
      <c r="B7754" s="26"/>
      <c r="C7754" s="89" t="s">
        <v>1256</v>
      </c>
      <c r="D7754" s="64"/>
      <c r="E7754" s="64" t="s">
        <v>52</v>
      </c>
      <c r="F7754" s="205">
        <v>1E-3</v>
      </c>
      <c r="G7754" s="84">
        <f>G7730</f>
        <v>13850000</v>
      </c>
      <c r="H7754" s="122">
        <f>+G7754*F7754</f>
        <v>13850</v>
      </c>
      <c r="M7754" s="205">
        <v>1E-3</v>
      </c>
    </row>
    <row r="7755" spans="2:13" ht="18.75" customHeight="1" x14ac:dyDescent="0.25">
      <c r="B7755" s="26"/>
      <c r="C7755" s="89" t="s">
        <v>453</v>
      </c>
      <c r="D7755" s="64"/>
      <c r="E7755" s="64" t="s">
        <v>62</v>
      </c>
      <c r="F7755" s="205">
        <v>0.5</v>
      </c>
      <c r="G7755" s="84">
        <f>Bahan!D473</f>
        <v>60000</v>
      </c>
      <c r="H7755" s="122">
        <f>+G7755*F7755</f>
        <v>30000</v>
      </c>
      <c r="M7755" s="205">
        <v>0.5</v>
      </c>
    </row>
    <row r="7756" spans="2:13" ht="18.75" customHeight="1" x14ac:dyDescent="0.25">
      <c r="B7756" s="26"/>
      <c r="C7756" s="89"/>
      <c r="D7756" s="63"/>
      <c r="E7756" s="30"/>
      <c r="F7756" s="179" t="s">
        <v>643</v>
      </c>
      <c r="G7756" s="310"/>
      <c r="H7756" s="124">
        <f>SUM(H7754:H7755)</f>
        <v>43850</v>
      </c>
      <c r="M7756" s="179" t="s">
        <v>643</v>
      </c>
    </row>
    <row r="7757" spans="2:13" ht="18.75" customHeight="1" x14ac:dyDescent="0.25">
      <c r="B7757" s="26"/>
      <c r="C7757" s="89"/>
      <c r="D7757" s="64"/>
      <c r="E7757" s="31"/>
      <c r="F7757" s="180"/>
      <c r="G7757" s="75"/>
      <c r="H7757" s="125"/>
      <c r="M7757" s="180"/>
    </row>
    <row r="7758" spans="2:13" ht="18.75" customHeight="1" x14ac:dyDescent="0.25">
      <c r="B7758" s="26" t="s">
        <v>644</v>
      </c>
      <c r="C7758" s="89" t="s">
        <v>645</v>
      </c>
      <c r="D7758" s="56"/>
      <c r="E7758" s="36"/>
      <c r="F7758" s="194"/>
      <c r="G7758" s="88"/>
      <c r="H7758" s="127"/>
      <c r="M7758" s="194"/>
    </row>
    <row r="7759" spans="2:13" ht="18.75" customHeight="1" x14ac:dyDescent="0.25">
      <c r="B7759" s="35"/>
      <c r="C7759" s="97"/>
      <c r="D7759" s="63"/>
      <c r="E7759" s="30"/>
      <c r="F7759" s="179" t="s">
        <v>646</v>
      </c>
      <c r="G7759" s="310"/>
      <c r="H7759" s="128"/>
      <c r="M7759" s="179" t="s">
        <v>646</v>
      </c>
    </row>
    <row r="7760" spans="2:13" ht="18.75" customHeight="1" x14ac:dyDescent="0.25">
      <c r="B7760" s="37"/>
      <c r="C7760" s="98"/>
      <c r="D7760" s="411"/>
      <c r="E7760" s="42"/>
      <c r="F7760" s="181"/>
      <c r="G7760" s="311"/>
      <c r="H7760" s="129"/>
      <c r="M7760" s="181"/>
    </row>
    <row r="7761" spans="2:13" ht="18.75" customHeight="1" x14ac:dyDescent="0.25">
      <c r="B7761" s="50"/>
      <c r="C7761" s="100"/>
      <c r="E7761" s="21"/>
      <c r="F7761" s="189"/>
      <c r="G7761" s="90"/>
      <c r="H7761" s="137"/>
      <c r="M7761" s="189"/>
    </row>
    <row r="7762" spans="2:13" ht="18.75" customHeight="1" x14ac:dyDescent="0.25">
      <c r="B7762" s="46" t="s">
        <v>647</v>
      </c>
      <c r="C7762" s="101" t="s">
        <v>648</v>
      </c>
      <c r="E7762" s="22"/>
      <c r="F7762" s="189"/>
      <c r="G7762" s="308"/>
      <c r="H7762" s="131">
        <f>+H7759+H7756+H7751</f>
        <v>130975</v>
      </c>
      <c r="M7762" s="189"/>
    </row>
    <row r="7763" spans="2:13" ht="18.75" customHeight="1" x14ac:dyDescent="0.25">
      <c r="B7763" s="356" t="s">
        <v>649</v>
      </c>
      <c r="C7763" s="364" t="s">
        <v>650</v>
      </c>
      <c r="D7763" s="435"/>
      <c r="E7763" s="92"/>
      <c r="F7763" s="184" t="str">
        <f>$J$5</f>
        <v>8,0 % x D</v>
      </c>
      <c r="G7763" s="295"/>
      <c r="H7763" s="358">
        <f>+H7762*$K$5</f>
        <v>10478</v>
      </c>
      <c r="M7763" s="184" t="str">
        <f>$J$5</f>
        <v>8,0 % x D</v>
      </c>
    </row>
    <row r="7764" spans="2:13" ht="18.75" customHeight="1" x14ac:dyDescent="0.25">
      <c r="B7764" s="356" t="s">
        <v>651</v>
      </c>
      <c r="C7764" s="365" t="s">
        <v>652</v>
      </c>
      <c r="D7764" s="435"/>
      <c r="E7764" s="91"/>
      <c r="F7764" s="185"/>
      <c r="G7764" s="296"/>
      <c r="H7764" s="359">
        <f>ROUNDUP((H7763+H7762)/100,0)*100</f>
        <v>141500</v>
      </c>
      <c r="M7764" s="185"/>
    </row>
    <row r="7765" spans="2:13" ht="18.75" customHeight="1" thickBot="1" x14ac:dyDescent="0.3">
      <c r="B7765" s="47"/>
      <c r="C7765" s="103"/>
      <c r="D7765" s="48"/>
      <c r="E7765" s="49"/>
      <c r="F7765" s="186"/>
      <c r="G7765" s="309"/>
      <c r="H7765" s="136"/>
      <c r="M7765" s="186"/>
    </row>
    <row r="7766" spans="2:13" ht="18.75" customHeight="1" x14ac:dyDescent="0.25">
      <c r="B7766" s="22"/>
      <c r="C7766" s="104"/>
      <c r="E7766" s="21"/>
      <c r="F7766" s="176"/>
      <c r="G7766" s="165"/>
      <c r="H7766" s="119"/>
      <c r="M7766" s="176"/>
    </row>
    <row r="7767" spans="2:13" ht="18.75" customHeight="1" x14ac:dyDescent="0.25">
      <c r="B7767" s="19">
        <f>B7742+1</f>
        <v>47</v>
      </c>
      <c r="C7767" s="93" t="s">
        <v>1262</v>
      </c>
      <c r="D7767" s="19"/>
      <c r="E7767" s="21"/>
      <c r="F7767" s="176"/>
      <c r="G7767" s="165"/>
      <c r="H7767" s="119"/>
      <c r="M7767" s="176"/>
    </row>
    <row r="7768" spans="2:13" ht="18.75" customHeight="1" x14ac:dyDescent="0.25">
      <c r="B7768" s="618" t="s">
        <v>620</v>
      </c>
      <c r="C7768" s="620" t="s">
        <v>621</v>
      </c>
      <c r="D7768" s="618" t="s">
        <v>622</v>
      </c>
      <c r="E7768" s="618" t="s">
        <v>2</v>
      </c>
      <c r="F7768" s="615" t="s">
        <v>623</v>
      </c>
      <c r="G7768" s="289" t="s">
        <v>624</v>
      </c>
      <c r="H7768" s="256" t="s">
        <v>625</v>
      </c>
      <c r="M7768" s="615" t="s">
        <v>623</v>
      </c>
    </row>
    <row r="7769" spans="2:13" ht="18.75" customHeight="1" x14ac:dyDescent="0.25">
      <c r="B7769" s="619"/>
      <c r="C7769" s="621"/>
      <c r="D7769" s="619"/>
      <c r="E7769" s="619"/>
      <c r="F7769" s="616"/>
      <c r="G7769" s="289" t="s">
        <v>626</v>
      </c>
      <c r="H7769" s="256" t="s">
        <v>626</v>
      </c>
      <c r="M7769" s="616"/>
    </row>
    <row r="7770" spans="2:13" ht="18.75" customHeight="1" x14ac:dyDescent="0.25">
      <c r="B7770" s="23"/>
      <c r="C7770" s="95"/>
      <c r="D7770" s="24"/>
      <c r="E7770" s="25"/>
      <c r="F7770" s="177"/>
      <c r="G7770" s="166"/>
      <c r="H7770" s="120"/>
      <c r="M7770" s="177"/>
    </row>
    <row r="7771" spans="2:13" ht="18.75" customHeight="1" x14ac:dyDescent="0.25">
      <c r="B7771" s="26" t="s">
        <v>627</v>
      </c>
      <c r="C7771" s="89" t="s">
        <v>628</v>
      </c>
      <c r="D7771" s="27"/>
      <c r="E7771" s="28"/>
      <c r="F7771" s="178"/>
      <c r="G7771" s="72"/>
      <c r="H7771" s="121"/>
      <c r="M7771" s="178"/>
    </row>
    <row r="7772" spans="2:13" ht="18.75" customHeight="1" x14ac:dyDescent="0.25">
      <c r="B7772" s="26"/>
      <c r="C7772" s="96" t="s">
        <v>629</v>
      </c>
      <c r="D7772" s="27" t="s">
        <v>630</v>
      </c>
      <c r="E7772" s="28" t="s">
        <v>631</v>
      </c>
      <c r="F7772" s="61">
        <v>0.1</v>
      </c>
      <c r="G7772" s="29">
        <f>G7747</f>
        <v>95000</v>
      </c>
      <c r="H7772" s="122">
        <f>+G7772*F7772</f>
        <v>9500</v>
      </c>
      <c r="M7772" s="61">
        <v>0.1</v>
      </c>
    </row>
    <row r="7773" spans="2:13" ht="18.75" customHeight="1" x14ac:dyDescent="0.25">
      <c r="B7773" s="26"/>
      <c r="C7773" s="96" t="s">
        <v>1508</v>
      </c>
      <c r="D7773" s="27" t="s">
        <v>634</v>
      </c>
      <c r="E7773" s="28" t="s">
        <v>631</v>
      </c>
      <c r="F7773" s="61">
        <v>0.2</v>
      </c>
      <c r="G7773" s="29">
        <f>G7748</f>
        <v>110000</v>
      </c>
      <c r="H7773" s="122">
        <f>+G7773*F7773</f>
        <v>22000</v>
      </c>
      <c r="M7773" s="61">
        <v>0.2</v>
      </c>
    </row>
    <row r="7774" spans="2:13" ht="18.75" customHeight="1" x14ac:dyDescent="0.25">
      <c r="B7774" s="26"/>
      <c r="C7774" s="96" t="s">
        <v>633</v>
      </c>
      <c r="D7774" s="27" t="s">
        <v>634</v>
      </c>
      <c r="E7774" s="28" t="s">
        <v>631</v>
      </c>
      <c r="F7774" s="61">
        <v>0.02</v>
      </c>
      <c r="G7774" s="29">
        <f>G7749</f>
        <v>115000</v>
      </c>
      <c r="H7774" s="122">
        <f>+G7774*F7774</f>
        <v>2300</v>
      </c>
      <c r="M7774" s="61">
        <v>0.02</v>
      </c>
    </row>
    <row r="7775" spans="2:13" ht="18.75" customHeight="1" x14ac:dyDescent="0.25">
      <c r="B7775" s="26"/>
      <c r="C7775" s="96" t="s">
        <v>600</v>
      </c>
      <c r="D7775" s="27" t="s">
        <v>635</v>
      </c>
      <c r="E7775" s="36" t="s">
        <v>631</v>
      </c>
      <c r="F7775" s="193">
        <v>2E-3</v>
      </c>
      <c r="G7775" s="29">
        <f>G7750</f>
        <v>140000</v>
      </c>
      <c r="H7775" s="123">
        <f>+G7775*F7775</f>
        <v>280</v>
      </c>
      <c r="M7775" s="193">
        <v>2E-3</v>
      </c>
    </row>
    <row r="7776" spans="2:13" ht="18.75" customHeight="1" x14ac:dyDescent="0.25">
      <c r="B7776" s="26"/>
      <c r="C7776" s="89"/>
      <c r="D7776" s="63"/>
      <c r="E7776" s="30"/>
      <c r="F7776" s="192" t="s">
        <v>636</v>
      </c>
      <c r="G7776" s="310"/>
      <c r="H7776" s="124">
        <f>SUM(H7772:H7775)</f>
        <v>34080</v>
      </c>
      <c r="M7776" s="192" t="s">
        <v>636</v>
      </c>
    </row>
    <row r="7777" spans="2:13" ht="18.75" customHeight="1" x14ac:dyDescent="0.25">
      <c r="B7777" s="26"/>
      <c r="C7777" s="89"/>
      <c r="D7777" s="58"/>
      <c r="E7777" s="62"/>
      <c r="F7777" s="52"/>
      <c r="G7777" s="76"/>
      <c r="H7777" s="140"/>
      <c r="M7777" s="52"/>
    </row>
    <row r="7778" spans="2:13" ht="18.75" customHeight="1" x14ac:dyDescent="0.25">
      <c r="B7778" s="26" t="s">
        <v>637</v>
      </c>
      <c r="C7778" s="89" t="s">
        <v>638</v>
      </c>
      <c r="D7778" s="64"/>
      <c r="E7778" s="31"/>
      <c r="F7778" s="180"/>
      <c r="G7778" s="75"/>
      <c r="H7778" s="125"/>
      <c r="M7778" s="180"/>
    </row>
    <row r="7779" spans="2:13" ht="18.75" customHeight="1" x14ac:dyDescent="0.25">
      <c r="B7779" s="26"/>
      <c r="C7779" s="89" t="s">
        <v>1263</v>
      </c>
      <c r="D7779" s="64"/>
      <c r="E7779" s="64" t="s">
        <v>52</v>
      </c>
      <c r="F7779" s="205">
        <v>6.0000000000000001E-3</v>
      </c>
      <c r="G7779" s="84">
        <f>Bahan!D248</f>
        <v>12850000</v>
      </c>
      <c r="H7779" s="122">
        <f>+G7779*F7779</f>
        <v>77100</v>
      </c>
      <c r="M7779" s="205">
        <v>6.0000000000000001E-3</v>
      </c>
    </row>
    <row r="7780" spans="2:13" ht="18.75" customHeight="1" x14ac:dyDescent="0.25">
      <c r="B7780" s="26"/>
      <c r="C7780" s="89" t="s">
        <v>289</v>
      </c>
      <c r="D7780" s="64"/>
      <c r="E7780" s="64" t="s">
        <v>62</v>
      </c>
      <c r="F7780" s="205">
        <v>1.2</v>
      </c>
      <c r="G7780" s="84">
        <f>G7706</f>
        <v>25000</v>
      </c>
      <c r="H7780" s="122">
        <f>+G7780*F7780</f>
        <v>30000</v>
      </c>
      <c r="M7780" s="205">
        <v>1.2</v>
      </c>
    </row>
    <row r="7781" spans="2:13" ht="18.75" customHeight="1" x14ac:dyDescent="0.25">
      <c r="B7781" s="26"/>
      <c r="C7781" s="89" t="s">
        <v>1241</v>
      </c>
      <c r="D7781" s="64"/>
      <c r="E7781" s="64" t="s">
        <v>62</v>
      </c>
      <c r="F7781" s="205">
        <v>0.2</v>
      </c>
      <c r="G7781" s="84">
        <f>G7680</f>
        <v>15000</v>
      </c>
      <c r="H7781" s="122">
        <f>+G7781*F7781</f>
        <v>3000</v>
      </c>
      <c r="M7781" s="205">
        <v>0.2</v>
      </c>
    </row>
    <row r="7782" spans="2:13" ht="18.75" customHeight="1" x14ac:dyDescent="0.25">
      <c r="B7782" s="26"/>
      <c r="C7782" s="89" t="s">
        <v>1251</v>
      </c>
      <c r="D7782" s="64"/>
      <c r="E7782" s="64" t="s">
        <v>14</v>
      </c>
      <c r="F7782" s="205">
        <v>1</v>
      </c>
      <c r="G7782" s="84">
        <f>G7681</f>
        <v>25000</v>
      </c>
      <c r="H7782" s="122">
        <f>+G7782*F7782</f>
        <v>25000</v>
      </c>
      <c r="M7782" s="205">
        <v>1</v>
      </c>
    </row>
    <row r="7783" spans="2:13" ht="18.75" customHeight="1" x14ac:dyDescent="0.25">
      <c r="B7783" s="26"/>
      <c r="C7783" s="89"/>
      <c r="D7783" s="63"/>
      <c r="E7783" s="30"/>
      <c r="F7783" s="179" t="s">
        <v>643</v>
      </c>
      <c r="G7783" s="310"/>
      <c r="H7783" s="124">
        <f>SUM(H7779:H7782)</f>
        <v>135100</v>
      </c>
      <c r="M7783" s="179" t="s">
        <v>643</v>
      </c>
    </row>
    <row r="7784" spans="2:13" ht="18.75" customHeight="1" x14ac:dyDescent="0.25">
      <c r="B7784" s="26"/>
      <c r="C7784" s="89"/>
      <c r="D7784" s="64"/>
      <c r="E7784" s="31"/>
      <c r="F7784" s="180"/>
      <c r="G7784" s="75"/>
      <c r="H7784" s="125"/>
      <c r="M7784" s="180"/>
    </row>
    <row r="7785" spans="2:13" ht="18.75" customHeight="1" x14ac:dyDescent="0.25">
      <c r="B7785" s="26" t="s">
        <v>644</v>
      </c>
      <c r="C7785" s="89" t="s">
        <v>645</v>
      </c>
      <c r="D7785" s="56"/>
      <c r="E7785" s="36"/>
      <c r="F7785" s="194"/>
      <c r="G7785" s="88"/>
      <c r="H7785" s="127"/>
      <c r="M7785" s="194"/>
    </row>
    <row r="7786" spans="2:13" ht="18.75" customHeight="1" x14ac:dyDescent="0.25">
      <c r="B7786" s="35"/>
      <c r="C7786" s="97"/>
      <c r="D7786" s="63"/>
      <c r="E7786" s="30"/>
      <c r="F7786" s="179" t="s">
        <v>646</v>
      </c>
      <c r="G7786" s="310"/>
      <c r="H7786" s="128"/>
      <c r="M7786" s="179" t="s">
        <v>646</v>
      </c>
    </row>
    <row r="7787" spans="2:13" ht="18.75" customHeight="1" x14ac:dyDescent="0.25">
      <c r="B7787" s="37"/>
      <c r="C7787" s="98"/>
      <c r="D7787" s="411"/>
      <c r="E7787" s="42"/>
      <c r="F7787" s="181"/>
      <c r="G7787" s="311"/>
      <c r="H7787" s="129"/>
      <c r="M7787" s="181"/>
    </row>
    <row r="7788" spans="2:13" ht="18.75" customHeight="1" x14ac:dyDescent="0.25">
      <c r="B7788" s="50"/>
      <c r="C7788" s="100"/>
      <c r="E7788" s="21"/>
      <c r="F7788" s="189"/>
      <c r="G7788" s="90"/>
      <c r="H7788" s="137"/>
      <c r="M7788" s="189"/>
    </row>
    <row r="7789" spans="2:13" ht="18.75" customHeight="1" x14ac:dyDescent="0.25">
      <c r="B7789" s="46" t="s">
        <v>647</v>
      </c>
      <c r="C7789" s="101" t="s">
        <v>648</v>
      </c>
      <c r="E7789" s="22"/>
      <c r="F7789" s="189"/>
      <c r="G7789" s="308"/>
      <c r="H7789" s="131">
        <f>+H7786+H7783+H7776</f>
        <v>169180</v>
      </c>
      <c r="M7789" s="189"/>
    </row>
    <row r="7790" spans="2:13" ht="18.75" customHeight="1" x14ac:dyDescent="0.25">
      <c r="B7790" s="356" t="s">
        <v>649</v>
      </c>
      <c r="C7790" s="364" t="s">
        <v>650</v>
      </c>
      <c r="D7790" s="435"/>
      <c r="E7790" s="92"/>
      <c r="F7790" s="184" t="str">
        <f>$J$5</f>
        <v>8,0 % x D</v>
      </c>
      <c r="G7790" s="295"/>
      <c r="H7790" s="358">
        <f>+H7789*$K$5</f>
        <v>13534.4</v>
      </c>
      <c r="M7790" s="184" t="str">
        <f>$J$5</f>
        <v>8,0 % x D</v>
      </c>
    </row>
    <row r="7791" spans="2:13" ht="18.75" customHeight="1" x14ac:dyDescent="0.25">
      <c r="B7791" s="356" t="s">
        <v>651</v>
      </c>
      <c r="C7791" s="365" t="s">
        <v>652</v>
      </c>
      <c r="D7791" s="435"/>
      <c r="E7791" s="91"/>
      <c r="F7791" s="185"/>
      <c r="G7791" s="296"/>
      <c r="H7791" s="359">
        <f>ROUNDUP((H7790+H7789)/100,0)*100</f>
        <v>182800</v>
      </c>
      <c r="M7791" s="185"/>
    </row>
    <row r="7792" spans="2:13" ht="18.75" customHeight="1" thickBot="1" x14ac:dyDescent="0.3">
      <c r="B7792" s="47"/>
      <c r="C7792" s="103"/>
      <c r="D7792" s="48"/>
      <c r="E7792" s="49"/>
      <c r="F7792" s="186"/>
      <c r="G7792" s="309"/>
      <c r="H7792" s="136"/>
      <c r="M7792" s="186"/>
    </row>
    <row r="7793" spans="2:13" ht="18.75" customHeight="1" x14ac:dyDescent="0.25">
      <c r="B7793" s="92"/>
      <c r="C7793" s="104"/>
      <c r="D7793" s="435"/>
      <c r="E7793" s="91"/>
      <c r="F7793" s="185"/>
      <c r="G7793" s="168"/>
      <c r="H7793" s="139"/>
      <c r="M7793" s="185"/>
    </row>
    <row r="7794" spans="2:13" ht="18.75" customHeight="1" x14ac:dyDescent="0.25">
      <c r="B7794" s="19">
        <f>B7767+1</f>
        <v>48</v>
      </c>
      <c r="C7794" s="93" t="s">
        <v>1264</v>
      </c>
      <c r="D7794" s="19"/>
      <c r="E7794" s="21"/>
      <c r="F7794" s="176"/>
      <c r="G7794" s="165"/>
      <c r="H7794" s="119"/>
      <c r="M7794" s="176"/>
    </row>
    <row r="7795" spans="2:13" ht="18.75" customHeight="1" x14ac:dyDescent="0.25">
      <c r="B7795" s="618" t="s">
        <v>620</v>
      </c>
      <c r="C7795" s="620" t="s">
        <v>621</v>
      </c>
      <c r="D7795" s="618" t="s">
        <v>622</v>
      </c>
      <c r="E7795" s="618" t="s">
        <v>2</v>
      </c>
      <c r="F7795" s="615" t="s">
        <v>623</v>
      </c>
      <c r="G7795" s="289" t="s">
        <v>624</v>
      </c>
      <c r="H7795" s="256" t="s">
        <v>625</v>
      </c>
      <c r="M7795" s="615" t="s">
        <v>623</v>
      </c>
    </row>
    <row r="7796" spans="2:13" ht="18.75" customHeight="1" x14ac:dyDescent="0.25">
      <c r="B7796" s="619"/>
      <c r="C7796" s="621"/>
      <c r="D7796" s="619"/>
      <c r="E7796" s="619"/>
      <c r="F7796" s="616"/>
      <c r="G7796" s="289" t="s">
        <v>626</v>
      </c>
      <c r="H7796" s="256" t="s">
        <v>626</v>
      </c>
      <c r="M7796" s="616"/>
    </row>
    <row r="7797" spans="2:13" ht="18.75" customHeight="1" x14ac:dyDescent="0.25">
      <c r="B7797" s="23"/>
      <c r="C7797" s="95"/>
      <c r="D7797" s="24"/>
      <c r="E7797" s="25"/>
      <c r="F7797" s="177"/>
      <c r="G7797" s="166"/>
      <c r="H7797" s="120"/>
      <c r="M7797" s="177"/>
    </row>
    <row r="7798" spans="2:13" ht="18.75" customHeight="1" x14ac:dyDescent="0.25">
      <c r="B7798" s="26" t="s">
        <v>627</v>
      </c>
      <c r="C7798" s="89" t="s">
        <v>628</v>
      </c>
      <c r="D7798" s="27"/>
      <c r="E7798" s="28"/>
      <c r="F7798" s="178"/>
      <c r="G7798" s="72"/>
      <c r="H7798" s="121"/>
      <c r="M7798" s="178"/>
    </row>
    <row r="7799" spans="2:13" ht="18.75" customHeight="1" x14ac:dyDescent="0.25">
      <c r="B7799" s="26"/>
      <c r="C7799" s="96" t="s">
        <v>629</v>
      </c>
      <c r="D7799" s="27" t="s">
        <v>630</v>
      </c>
      <c r="E7799" s="28" t="s">
        <v>631</v>
      </c>
      <c r="F7799" s="61">
        <v>0.1</v>
      </c>
      <c r="G7799" s="29">
        <f>G7772</f>
        <v>95000</v>
      </c>
      <c r="H7799" s="122">
        <f>+G7799*F7799</f>
        <v>9500</v>
      </c>
      <c r="M7799" s="61">
        <v>0.1</v>
      </c>
    </row>
    <row r="7800" spans="2:13" ht="18.75" customHeight="1" x14ac:dyDescent="0.25">
      <c r="B7800" s="26"/>
      <c r="C7800" s="96" t="s">
        <v>1508</v>
      </c>
      <c r="D7800" s="27" t="s">
        <v>634</v>
      </c>
      <c r="E7800" s="28" t="s">
        <v>631</v>
      </c>
      <c r="F7800" s="61">
        <v>0.25</v>
      </c>
      <c r="G7800" s="29">
        <f>G7773</f>
        <v>110000</v>
      </c>
      <c r="H7800" s="122">
        <f>+G7800*F7800</f>
        <v>27500</v>
      </c>
      <c r="M7800" s="61">
        <v>0.25</v>
      </c>
    </row>
    <row r="7801" spans="2:13" ht="18.75" customHeight="1" x14ac:dyDescent="0.25">
      <c r="B7801" s="26"/>
      <c r="C7801" s="96" t="s">
        <v>633</v>
      </c>
      <c r="D7801" s="27" t="s">
        <v>634</v>
      </c>
      <c r="E7801" s="28" t="s">
        <v>631</v>
      </c>
      <c r="F7801" s="61">
        <v>0.1</v>
      </c>
      <c r="G7801" s="29">
        <f>G7774</f>
        <v>115000</v>
      </c>
      <c r="H7801" s="122">
        <f>+G7801*F7801</f>
        <v>11500</v>
      </c>
      <c r="M7801" s="61">
        <v>0.1</v>
      </c>
    </row>
    <row r="7802" spans="2:13" ht="18.75" customHeight="1" x14ac:dyDescent="0.25">
      <c r="B7802" s="26"/>
      <c r="C7802" s="96" t="s">
        <v>600</v>
      </c>
      <c r="D7802" s="27" t="s">
        <v>635</v>
      </c>
      <c r="E7802" s="36" t="s">
        <v>631</v>
      </c>
      <c r="F7802" s="193">
        <v>0.01</v>
      </c>
      <c r="G7802" s="29">
        <f>G7775</f>
        <v>140000</v>
      </c>
      <c r="H7802" s="123">
        <f>+G7802*F7802</f>
        <v>1400</v>
      </c>
      <c r="M7802" s="193">
        <v>0.01</v>
      </c>
    </row>
    <row r="7803" spans="2:13" ht="18.75" customHeight="1" x14ac:dyDescent="0.25">
      <c r="B7803" s="26"/>
      <c r="C7803" s="89"/>
      <c r="D7803" s="63"/>
      <c r="E7803" s="30"/>
      <c r="F7803" s="192" t="s">
        <v>636</v>
      </c>
      <c r="G7803" s="310"/>
      <c r="H7803" s="124">
        <f>SUM(H7799:H7802)</f>
        <v>49900</v>
      </c>
      <c r="M7803" s="192" t="s">
        <v>636</v>
      </c>
    </row>
    <row r="7804" spans="2:13" ht="18.75" customHeight="1" x14ac:dyDescent="0.25">
      <c r="B7804" s="26"/>
      <c r="C7804" s="89"/>
      <c r="D7804" s="58"/>
      <c r="E7804" s="62"/>
      <c r="F7804" s="52"/>
      <c r="G7804" s="76"/>
      <c r="H7804" s="140"/>
      <c r="M7804" s="52"/>
    </row>
    <row r="7805" spans="2:13" ht="18.75" customHeight="1" x14ac:dyDescent="0.25">
      <c r="B7805" s="26" t="s">
        <v>637</v>
      </c>
      <c r="C7805" s="89" t="s">
        <v>638</v>
      </c>
      <c r="D7805" s="64"/>
      <c r="E7805" s="31"/>
      <c r="F7805" s="180"/>
      <c r="G7805" s="75"/>
      <c r="H7805" s="125"/>
      <c r="M7805" s="180"/>
    </row>
    <row r="7806" spans="2:13" ht="18.75" customHeight="1" x14ac:dyDescent="0.25">
      <c r="B7806" s="26"/>
      <c r="C7806" s="89" t="s">
        <v>1249</v>
      </c>
      <c r="D7806" s="64"/>
      <c r="E7806" s="64" t="s">
        <v>52</v>
      </c>
      <c r="F7806" s="205">
        <v>0.1</v>
      </c>
      <c r="G7806" s="84">
        <f>G7577</f>
        <v>10720000</v>
      </c>
      <c r="H7806" s="122">
        <f>+G7806*F7806</f>
        <v>1072000</v>
      </c>
      <c r="M7806" s="205">
        <v>0.1</v>
      </c>
    </row>
    <row r="7807" spans="2:13" ht="18.75" customHeight="1" x14ac:dyDescent="0.25">
      <c r="B7807" s="26"/>
      <c r="C7807" s="89" t="s">
        <v>1265</v>
      </c>
      <c r="D7807" s="64"/>
      <c r="E7807" s="64" t="s">
        <v>62</v>
      </c>
      <c r="F7807" s="205">
        <v>0.25</v>
      </c>
      <c r="G7807" s="84">
        <f>G7780</f>
        <v>25000</v>
      </c>
      <c r="H7807" s="122">
        <f>+G7807*F7807</f>
        <v>6250</v>
      </c>
      <c r="M7807" s="205">
        <v>0.25</v>
      </c>
    </row>
    <row r="7808" spans="2:13" ht="18.75" customHeight="1" x14ac:dyDescent="0.25">
      <c r="B7808" s="26"/>
      <c r="C7808" s="89" t="s">
        <v>1251</v>
      </c>
      <c r="D7808" s="64"/>
      <c r="E7808" s="64" t="s">
        <v>14</v>
      </c>
      <c r="F7808" s="205">
        <v>4</v>
      </c>
      <c r="G7808" s="84">
        <f>G7782</f>
        <v>25000</v>
      </c>
      <c r="H7808" s="122">
        <f>+G7808*F7808</f>
        <v>100000</v>
      </c>
      <c r="M7808" s="205">
        <v>4</v>
      </c>
    </row>
    <row r="7809" spans="2:13" ht="18.75" customHeight="1" x14ac:dyDescent="0.25">
      <c r="B7809" s="26"/>
      <c r="C7809" s="89"/>
      <c r="D7809" s="63"/>
      <c r="E7809" s="30"/>
      <c r="F7809" s="179" t="s">
        <v>643</v>
      </c>
      <c r="G7809" s="310"/>
      <c r="H7809" s="124">
        <f>SUM(H7806:H7808)</f>
        <v>1178250</v>
      </c>
      <c r="M7809" s="179" t="s">
        <v>643</v>
      </c>
    </row>
    <row r="7810" spans="2:13" ht="18.75" customHeight="1" x14ac:dyDescent="0.25">
      <c r="B7810" s="26"/>
      <c r="C7810" s="89"/>
      <c r="D7810" s="64"/>
      <c r="E7810" s="31"/>
      <c r="F7810" s="180"/>
      <c r="G7810" s="75"/>
      <c r="H7810" s="125"/>
      <c r="M7810" s="180"/>
    </row>
    <row r="7811" spans="2:13" ht="18.75" customHeight="1" x14ac:dyDescent="0.25">
      <c r="B7811" s="26" t="s">
        <v>644</v>
      </c>
      <c r="C7811" s="89" t="s">
        <v>645</v>
      </c>
      <c r="D7811" s="56"/>
      <c r="E7811" s="36"/>
      <c r="F7811" s="194"/>
      <c r="G7811" s="88"/>
      <c r="H7811" s="127"/>
      <c r="M7811" s="194"/>
    </row>
    <row r="7812" spans="2:13" ht="18.75" customHeight="1" x14ac:dyDescent="0.25">
      <c r="B7812" s="35"/>
      <c r="C7812" s="97"/>
      <c r="D7812" s="63"/>
      <c r="E7812" s="30"/>
      <c r="F7812" s="179" t="s">
        <v>646</v>
      </c>
      <c r="G7812" s="310"/>
      <c r="H7812" s="128"/>
      <c r="M7812" s="179" t="s">
        <v>646</v>
      </c>
    </row>
    <row r="7813" spans="2:13" ht="18.75" customHeight="1" x14ac:dyDescent="0.25">
      <c r="B7813" s="37"/>
      <c r="C7813" s="98"/>
      <c r="D7813" s="411"/>
      <c r="E7813" s="42"/>
      <c r="F7813" s="181"/>
      <c r="G7813" s="311"/>
      <c r="H7813" s="129"/>
      <c r="M7813" s="181"/>
    </row>
    <row r="7814" spans="2:13" ht="18.75" customHeight="1" x14ac:dyDescent="0.25">
      <c r="B7814" s="50"/>
      <c r="C7814" s="100"/>
      <c r="E7814" s="21"/>
      <c r="F7814" s="189"/>
      <c r="G7814" s="90"/>
      <c r="H7814" s="137"/>
      <c r="M7814" s="189"/>
    </row>
    <row r="7815" spans="2:13" ht="18.75" customHeight="1" x14ac:dyDescent="0.25">
      <c r="B7815" s="46" t="s">
        <v>647</v>
      </c>
      <c r="C7815" s="101" t="s">
        <v>648</v>
      </c>
      <c r="E7815" s="22"/>
      <c r="F7815" s="189"/>
      <c r="G7815" s="308"/>
      <c r="H7815" s="131">
        <f>+H7812+H7809+H7803</f>
        <v>1228150</v>
      </c>
      <c r="M7815" s="189"/>
    </row>
    <row r="7816" spans="2:13" ht="18.75" customHeight="1" x14ac:dyDescent="0.25">
      <c r="B7816" s="356" t="s">
        <v>649</v>
      </c>
      <c r="C7816" s="364" t="s">
        <v>650</v>
      </c>
      <c r="D7816" s="435"/>
      <c r="E7816" s="92"/>
      <c r="F7816" s="184" t="str">
        <f>$J$5</f>
        <v>8,0 % x D</v>
      </c>
      <c r="G7816" s="295"/>
      <c r="H7816" s="358">
        <f>+H7815*$K$5</f>
        <v>98252</v>
      </c>
      <c r="M7816" s="184" t="str">
        <f>$J$5</f>
        <v>8,0 % x D</v>
      </c>
    </row>
    <row r="7817" spans="2:13" ht="18.75" customHeight="1" x14ac:dyDescent="0.25">
      <c r="B7817" s="356" t="s">
        <v>651</v>
      </c>
      <c r="C7817" s="365" t="s">
        <v>652</v>
      </c>
      <c r="D7817" s="435"/>
      <c r="E7817" s="91"/>
      <c r="F7817" s="185"/>
      <c r="G7817" s="296"/>
      <c r="H7817" s="359">
        <f>ROUNDUP((H7816+H7815)/100,0)*100</f>
        <v>1326500</v>
      </c>
      <c r="M7817" s="185"/>
    </row>
    <row r="7818" spans="2:13" ht="18.75" customHeight="1" thickBot="1" x14ac:dyDescent="0.3">
      <c r="B7818" s="47"/>
      <c r="C7818" s="103"/>
      <c r="D7818" s="48"/>
      <c r="E7818" s="49"/>
      <c r="F7818" s="186"/>
      <c r="G7818" s="309"/>
      <c r="H7818" s="136"/>
      <c r="M7818" s="186"/>
    </row>
    <row r="7819" spans="2:13" ht="18.75" customHeight="1" x14ac:dyDescent="0.25">
      <c r="B7819" s="22"/>
      <c r="C7819" s="114"/>
      <c r="D7819" s="74"/>
      <c r="E7819" s="71"/>
      <c r="F7819" s="204"/>
      <c r="G7819" s="174"/>
      <c r="H7819" s="119"/>
      <c r="M7819" s="204"/>
    </row>
    <row r="7820" spans="2:13" ht="18.75" customHeight="1" x14ac:dyDescent="0.25">
      <c r="B7820" s="19">
        <f>B7794+1</f>
        <v>49</v>
      </c>
      <c r="C7820" s="93" t="s">
        <v>1266</v>
      </c>
      <c r="D7820" s="19"/>
      <c r="E7820" s="21"/>
      <c r="F7820" s="176"/>
      <c r="G7820" s="165"/>
      <c r="H7820" s="119"/>
      <c r="M7820" s="176"/>
    </row>
    <row r="7821" spans="2:13" ht="18.75" customHeight="1" x14ac:dyDescent="0.25">
      <c r="B7821" s="618" t="s">
        <v>620</v>
      </c>
      <c r="C7821" s="620" t="s">
        <v>621</v>
      </c>
      <c r="D7821" s="618" t="s">
        <v>622</v>
      </c>
      <c r="E7821" s="618" t="s">
        <v>2</v>
      </c>
      <c r="F7821" s="615" t="s">
        <v>623</v>
      </c>
      <c r="G7821" s="289" t="s">
        <v>624</v>
      </c>
      <c r="H7821" s="256" t="s">
        <v>625</v>
      </c>
      <c r="M7821" s="615" t="s">
        <v>623</v>
      </c>
    </row>
    <row r="7822" spans="2:13" ht="18.75" customHeight="1" x14ac:dyDescent="0.25">
      <c r="B7822" s="619"/>
      <c r="C7822" s="621"/>
      <c r="D7822" s="619"/>
      <c r="E7822" s="619"/>
      <c r="F7822" s="616"/>
      <c r="G7822" s="289" t="s">
        <v>626</v>
      </c>
      <c r="H7822" s="256" t="s">
        <v>626</v>
      </c>
      <c r="M7822" s="616"/>
    </row>
    <row r="7823" spans="2:13" ht="18.75" customHeight="1" x14ac:dyDescent="0.25">
      <c r="B7823" s="23"/>
      <c r="C7823" s="95"/>
      <c r="D7823" s="24"/>
      <c r="E7823" s="25"/>
      <c r="F7823" s="177"/>
      <c r="G7823" s="166"/>
      <c r="H7823" s="120"/>
      <c r="M7823" s="177"/>
    </row>
    <row r="7824" spans="2:13" ht="18.75" customHeight="1" x14ac:dyDescent="0.25">
      <c r="B7824" s="26" t="s">
        <v>627</v>
      </c>
      <c r="C7824" s="89" t="s">
        <v>628</v>
      </c>
      <c r="D7824" s="27"/>
      <c r="E7824" s="28"/>
      <c r="F7824" s="178"/>
      <c r="G7824" s="72"/>
      <c r="H7824" s="121"/>
      <c r="M7824" s="178"/>
    </row>
    <row r="7825" spans="2:13" ht="18.75" customHeight="1" x14ac:dyDescent="0.25">
      <c r="B7825" s="26"/>
      <c r="C7825" s="96" t="s">
        <v>629</v>
      </c>
      <c r="D7825" s="27" t="s">
        <v>630</v>
      </c>
      <c r="E7825" s="28" t="s">
        <v>631</v>
      </c>
      <c r="F7825" s="61">
        <v>0.01</v>
      </c>
      <c r="G7825" s="29">
        <f>G7799</f>
        <v>95000</v>
      </c>
      <c r="H7825" s="122">
        <f>+G7825*F7825</f>
        <v>950</v>
      </c>
      <c r="M7825" s="61">
        <v>0.01</v>
      </c>
    </row>
    <row r="7826" spans="2:13" ht="18.75" customHeight="1" x14ac:dyDescent="0.25">
      <c r="B7826" s="26"/>
      <c r="C7826" s="96" t="s">
        <v>1508</v>
      </c>
      <c r="D7826" s="27" t="s">
        <v>634</v>
      </c>
      <c r="E7826" s="28" t="s">
        <v>631</v>
      </c>
      <c r="F7826" s="61">
        <v>0.1</v>
      </c>
      <c r="G7826" s="29">
        <f>G7800</f>
        <v>110000</v>
      </c>
      <c r="H7826" s="122">
        <f>+G7826*F7826</f>
        <v>11000</v>
      </c>
      <c r="M7826" s="61">
        <v>0.1</v>
      </c>
    </row>
    <row r="7827" spans="2:13" ht="18.75" customHeight="1" x14ac:dyDescent="0.25">
      <c r="B7827" s="26"/>
      <c r="C7827" s="96" t="s">
        <v>633</v>
      </c>
      <c r="D7827" s="27" t="s">
        <v>634</v>
      </c>
      <c r="E7827" s="28" t="s">
        <v>631</v>
      </c>
      <c r="F7827" s="61">
        <v>0.01</v>
      </c>
      <c r="G7827" s="29">
        <f>G7801</f>
        <v>115000</v>
      </c>
      <c r="H7827" s="122">
        <f>+G7827*F7827</f>
        <v>1150</v>
      </c>
      <c r="M7827" s="61">
        <v>0.01</v>
      </c>
    </row>
    <row r="7828" spans="2:13" ht="18.75" customHeight="1" x14ac:dyDescent="0.25">
      <c r="B7828" s="26"/>
      <c r="C7828" s="96" t="s">
        <v>600</v>
      </c>
      <c r="D7828" s="27" t="s">
        <v>635</v>
      </c>
      <c r="E7828" s="36" t="s">
        <v>631</v>
      </c>
      <c r="F7828" s="193">
        <v>5.0000000000000001E-3</v>
      </c>
      <c r="G7828" s="29">
        <f>G7802</f>
        <v>140000</v>
      </c>
      <c r="H7828" s="123">
        <f>+G7828*F7828</f>
        <v>700</v>
      </c>
      <c r="M7828" s="193">
        <v>5.0000000000000001E-3</v>
      </c>
    </row>
    <row r="7829" spans="2:13" ht="18.75" customHeight="1" x14ac:dyDescent="0.25">
      <c r="B7829" s="26"/>
      <c r="C7829" s="89"/>
      <c r="D7829" s="63"/>
      <c r="E7829" s="30"/>
      <c r="F7829" s="192" t="s">
        <v>636</v>
      </c>
      <c r="G7829" s="310"/>
      <c r="H7829" s="124">
        <f>SUM(H7825:H7828)</f>
        <v>13800</v>
      </c>
      <c r="M7829" s="192" t="s">
        <v>636</v>
      </c>
    </row>
    <row r="7830" spans="2:13" ht="18.75" customHeight="1" x14ac:dyDescent="0.25">
      <c r="B7830" s="26" t="s">
        <v>637</v>
      </c>
      <c r="C7830" s="89" t="s">
        <v>638</v>
      </c>
      <c r="D7830" s="64"/>
      <c r="E7830" s="31"/>
      <c r="F7830" s="180"/>
      <c r="G7830" s="75"/>
      <c r="H7830" s="125"/>
      <c r="M7830" s="180"/>
    </row>
    <row r="7831" spans="2:13" ht="18.75" customHeight="1" x14ac:dyDescent="0.25">
      <c r="B7831" s="26"/>
      <c r="C7831" s="89" t="s">
        <v>1249</v>
      </c>
      <c r="D7831" s="64"/>
      <c r="E7831" s="64" t="s">
        <v>52</v>
      </c>
      <c r="F7831" s="205">
        <v>1.0500000000000001E-2</v>
      </c>
      <c r="G7831" s="84">
        <f>G7806</f>
        <v>10720000</v>
      </c>
      <c r="H7831" s="122">
        <f>+G7831*F7831</f>
        <v>112560</v>
      </c>
      <c r="M7831" s="205">
        <v>1.0500000000000001E-2</v>
      </c>
    </row>
    <row r="7832" spans="2:13" ht="18.75" customHeight="1" x14ac:dyDescent="0.25">
      <c r="B7832" s="26"/>
      <c r="C7832" s="89" t="s">
        <v>1265</v>
      </c>
      <c r="D7832" s="64"/>
      <c r="E7832" s="64" t="s">
        <v>62</v>
      </c>
      <c r="F7832" s="205">
        <v>0.25</v>
      </c>
      <c r="G7832" s="84">
        <f>G7807</f>
        <v>25000</v>
      </c>
      <c r="H7832" s="122">
        <f>+G7832*F7832</f>
        <v>6250</v>
      </c>
      <c r="M7832" s="205">
        <v>0.25</v>
      </c>
    </row>
    <row r="7833" spans="2:13" ht="18.75" customHeight="1" x14ac:dyDescent="0.25">
      <c r="B7833" s="26"/>
      <c r="C7833" s="89"/>
      <c r="D7833" s="63"/>
      <c r="E7833" s="30"/>
      <c r="F7833" s="179" t="s">
        <v>643</v>
      </c>
      <c r="G7833" s="310"/>
      <c r="H7833" s="124">
        <f>SUM(H7831:H7832)</f>
        <v>118810</v>
      </c>
      <c r="M7833" s="179" t="s">
        <v>643</v>
      </c>
    </row>
    <row r="7834" spans="2:13" ht="18.75" customHeight="1" x14ac:dyDescent="0.25">
      <c r="B7834" s="26"/>
      <c r="C7834" s="89"/>
      <c r="D7834" s="64"/>
      <c r="E7834" s="31"/>
      <c r="F7834" s="180"/>
      <c r="G7834" s="75"/>
      <c r="H7834" s="125"/>
      <c r="M7834" s="180"/>
    </row>
    <row r="7835" spans="2:13" ht="18.75" customHeight="1" x14ac:dyDescent="0.25">
      <c r="B7835" s="26" t="s">
        <v>644</v>
      </c>
      <c r="C7835" s="89" t="s">
        <v>645</v>
      </c>
      <c r="D7835" s="56"/>
      <c r="E7835" s="36"/>
      <c r="F7835" s="194"/>
      <c r="G7835" s="88"/>
      <c r="H7835" s="127"/>
      <c r="M7835" s="194"/>
    </row>
    <row r="7836" spans="2:13" ht="18.75" customHeight="1" x14ac:dyDescent="0.25">
      <c r="B7836" s="35"/>
      <c r="C7836" s="97"/>
      <c r="D7836" s="63"/>
      <c r="E7836" s="30"/>
      <c r="F7836" s="179" t="s">
        <v>646</v>
      </c>
      <c r="G7836" s="310"/>
      <c r="H7836" s="128"/>
      <c r="M7836" s="179" t="s">
        <v>646</v>
      </c>
    </row>
    <row r="7837" spans="2:13" ht="18.75" customHeight="1" x14ac:dyDescent="0.25">
      <c r="B7837" s="37"/>
      <c r="C7837" s="98"/>
      <c r="D7837" s="411"/>
      <c r="E7837" s="42"/>
      <c r="F7837" s="181"/>
      <c r="G7837" s="311"/>
      <c r="H7837" s="129"/>
      <c r="M7837" s="181"/>
    </row>
    <row r="7838" spans="2:13" ht="18.75" customHeight="1" x14ac:dyDescent="0.25">
      <c r="B7838" s="50"/>
      <c r="C7838" s="100"/>
      <c r="E7838" s="21"/>
      <c r="F7838" s="189"/>
      <c r="G7838" s="90"/>
      <c r="H7838" s="137"/>
      <c r="M7838" s="189"/>
    </row>
    <row r="7839" spans="2:13" ht="18.75" customHeight="1" x14ac:dyDescent="0.25">
      <c r="B7839" s="46" t="s">
        <v>647</v>
      </c>
      <c r="C7839" s="101" t="s">
        <v>648</v>
      </c>
      <c r="E7839" s="22"/>
      <c r="F7839" s="189"/>
      <c r="G7839" s="308"/>
      <c r="H7839" s="131">
        <f>+H7836+H7833+H7829</f>
        <v>132610</v>
      </c>
      <c r="M7839" s="189"/>
    </row>
    <row r="7840" spans="2:13" ht="18.75" customHeight="1" x14ac:dyDescent="0.25">
      <c r="B7840" s="356" t="s">
        <v>649</v>
      </c>
      <c r="C7840" s="364" t="s">
        <v>650</v>
      </c>
      <c r="D7840" s="435"/>
      <c r="E7840" s="92"/>
      <c r="F7840" s="184" t="str">
        <f>$J$5</f>
        <v>8,0 % x D</v>
      </c>
      <c r="G7840" s="295"/>
      <c r="H7840" s="358">
        <f>+H7839*$K$5</f>
        <v>10608.800000000001</v>
      </c>
      <c r="M7840" s="184" t="str">
        <f>$J$5</f>
        <v>8,0 % x D</v>
      </c>
    </row>
    <row r="7841" spans="2:13" ht="18.75" customHeight="1" x14ac:dyDescent="0.25">
      <c r="B7841" s="356" t="s">
        <v>651</v>
      </c>
      <c r="C7841" s="365" t="s">
        <v>652</v>
      </c>
      <c r="D7841" s="435"/>
      <c r="E7841" s="91"/>
      <c r="F7841" s="185"/>
      <c r="G7841" s="296"/>
      <c r="H7841" s="359">
        <f>ROUNDUP((H7840+H7839)/100,0)*100</f>
        <v>143300</v>
      </c>
      <c r="M7841" s="185"/>
    </row>
    <row r="7842" spans="2:13" ht="18.75" customHeight="1" thickBot="1" x14ac:dyDescent="0.3">
      <c r="B7842" s="47"/>
      <c r="C7842" s="103"/>
      <c r="D7842" s="48"/>
      <c r="E7842" s="49"/>
      <c r="F7842" s="186"/>
      <c r="G7842" s="309"/>
      <c r="H7842" s="136"/>
      <c r="M7842" s="186"/>
    </row>
    <row r="7843" spans="2:13" ht="18.75" customHeight="1" x14ac:dyDescent="0.25">
      <c r="B7843" s="92"/>
      <c r="C7843" s="104"/>
      <c r="D7843" s="435"/>
      <c r="E7843" s="91"/>
      <c r="F7843" s="185"/>
      <c r="G7843" s="168"/>
      <c r="H7843" s="139"/>
      <c r="M7843" s="185"/>
    </row>
    <row r="7844" spans="2:13" ht="18.75" customHeight="1" x14ac:dyDescent="0.25">
      <c r="B7844" s="19">
        <f>B7820+1</f>
        <v>50</v>
      </c>
      <c r="C7844" s="93" t="s">
        <v>1267</v>
      </c>
      <c r="D7844" s="19"/>
      <c r="E7844" s="21"/>
      <c r="F7844" s="176"/>
      <c r="G7844" s="165"/>
      <c r="H7844" s="119"/>
      <c r="M7844" s="176"/>
    </row>
    <row r="7845" spans="2:13" ht="18.75" customHeight="1" x14ac:dyDescent="0.25">
      <c r="B7845" s="618" t="s">
        <v>620</v>
      </c>
      <c r="C7845" s="620" t="s">
        <v>621</v>
      </c>
      <c r="D7845" s="618" t="s">
        <v>622</v>
      </c>
      <c r="E7845" s="618" t="s">
        <v>2</v>
      </c>
      <c r="F7845" s="615" t="s">
        <v>623</v>
      </c>
      <c r="G7845" s="289" t="s">
        <v>624</v>
      </c>
      <c r="H7845" s="256" t="s">
        <v>625</v>
      </c>
      <c r="M7845" s="615" t="s">
        <v>623</v>
      </c>
    </row>
    <row r="7846" spans="2:13" ht="18.75" customHeight="1" x14ac:dyDescent="0.25">
      <c r="B7846" s="619"/>
      <c r="C7846" s="621"/>
      <c r="D7846" s="619"/>
      <c r="E7846" s="619"/>
      <c r="F7846" s="616"/>
      <c r="G7846" s="289" t="s">
        <v>626</v>
      </c>
      <c r="H7846" s="256" t="s">
        <v>626</v>
      </c>
      <c r="M7846" s="616"/>
    </row>
    <row r="7847" spans="2:13" ht="18.75" customHeight="1" x14ac:dyDescent="0.25">
      <c r="B7847" s="23"/>
      <c r="C7847" s="95"/>
      <c r="D7847" s="24"/>
      <c r="E7847" s="25"/>
      <c r="F7847" s="177"/>
      <c r="G7847" s="166"/>
      <c r="H7847" s="120"/>
      <c r="M7847" s="177"/>
    </row>
    <row r="7848" spans="2:13" ht="18.75" customHeight="1" x14ac:dyDescent="0.25">
      <c r="B7848" s="26" t="s">
        <v>627</v>
      </c>
      <c r="C7848" s="89" t="s">
        <v>628</v>
      </c>
      <c r="D7848" s="27"/>
      <c r="E7848" s="28"/>
      <c r="F7848" s="178"/>
      <c r="G7848" s="72"/>
      <c r="H7848" s="121"/>
      <c r="M7848" s="178"/>
    </row>
    <row r="7849" spans="2:13" ht="18.75" customHeight="1" x14ac:dyDescent="0.25">
      <c r="B7849" s="26"/>
      <c r="C7849" s="96" t="s">
        <v>629</v>
      </c>
      <c r="D7849" s="27" t="s">
        <v>630</v>
      </c>
      <c r="E7849" s="28" t="s">
        <v>631</v>
      </c>
      <c r="F7849" s="61">
        <v>0.02</v>
      </c>
      <c r="G7849" s="29">
        <f>G7825</f>
        <v>95000</v>
      </c>
      <c r="H7849" s="122">
        <f>+G7849*F7849</f>
        <v>1900</v>
      </c>
      <c r="M7849" s="61">
        <v>0.02</v>
      </c>
    </row>
    <row r="7850" spans="2:13" ht="18.75" customHeight="1" x14ac:dyDescent="0.25">
      <c r="B7850" s="26"/>
      <c r="C7850" s="96" t="s">
        <v>1508</v>
      </c>
      <c r="D7850" s="27" t="s">
        <v>634</v>
      </c>
      <c r="E7850" s="28" t="s">
        <v>631</v>
      </c>
      <c r="F7850" s="61">
        <v>0.1</v>
      </c>
      <c r="G7850" s="29">
        <f>G7826</f>
        <v>110000</v>
      </c>
      <c r="H7850" s="122">
        <f>+G7850*F7850</f>
        <v>11000</v>
      </c>
      <c r="M7850" s="61">
        <v>0.1</v>
      </c>
    </row>
    <row r="7851" spans="2:13" ht="18.75" customHeight="1" x14ac:dyDescent="0.25">
      <c r="B7851" s="26"/>
      <c r="C7851" s="96" t="s">
        <v>633</v>
      </c>
      <c r="D7851" s="27" t="s">
        <v>634</v>
      </c>
      <c r="E7851" s="28" t="s">
        <v>631</v>
      </c>
      <c r="F7851" s="61">
        <v>0.2</v>
      </c>
      <c r="G7851" s="29">
        <f>G7827</f>
        <v>115000</v>
      </c>
      <c r="H7851" s="122">
        <f>+G7851*F7851</f>
        <v>23000</v>
      </c>
      <c r="M7851" s="61">
        <v>0.2</v>
      </c>
    </row>
    <row r="7852" spans="2:13" ht="18.75" customHeight="1" x14ac:dyDescent="0.25">
      <c r="B7852" s="26"/>
      <c r="C7852" s="96" t="s">
        <v>600</v>
      </c>
      <c r="D7852" s="27" t="s">
        <v>635</v>
      </c>
      <c r="E7852" s="36" t="s">
        <v>631</v>
      </c>
      <c r="F7852" s="193">
        <v>5.0000000000000001E-3</v>
      </c>
      <c r="G7852" s="29">
        <f>G7828</f>
        <v>140000</v>
      </c>
      <c r="H7852" s="123">
        <f>+G7852*F7852</f>
        <v>700</v>
      </c>
      <c r="M7852" s="193">
        <v>5.0000000000000001E-3</v>
      </c>
    </row>
    <row r="7853" spans="2:13" ht="18.75" customHeight="1" x14ac:dyDescent="0.25">
      <c r="B7853" s="26"/>
      <c r="C7853" s="89"/>
      <c r="D7853" s="63"/>
      <c r="E7853" s="30"/>
      <c r="F7853" s="192" t="s">
        <v>636</v>
      </c>
      <c r="G7853" s="310"/>
      <c r="H7853" s="124">
        <f>SUM(H7849:H7852)</f>
        <v>36600</v>
      </c>
      <c r="M7853" s="192" t="s">
        <v>636</v>
      </c>
    </row>
    <row r="7854" spans="2:13" ht="18.75" customHeight="1" x14ac:dyDescent="0.25">
      <c r="B7854" s="26"/>
      <c r="C7854" s="89"/>
      <c r="D7854" s="58"/>
      <c r="E7854" s="62"/>
      <c r="F7854" s="52"/>
      <c r="G7854" s="76"/>
      <c r="H7854" s="140"/>
      <c r="M7854" s="52"/>
    </row>
    <row r="7855" spans="2:13" ht="18.75" customHeight="1" x14ac:dyDescent="0.25">
      <c r="B7855" s="26"/>
      <c r="C7855" s="89"/>
      <c r="D7855" s="58"/>
      <c r="E7855" s="62"/>
      <c r="F7855" s="52"/>
      <c r="G7855" s="76"/>
      <c r="H7855" s="140"/>
      <c r="M7855" s="52"/>
    </row>
    <row r="7856" spans="2:13" ht="18.75" customHeight="1" x14ac:dyDescent="0.25">
      <c r="B7856" s="26" t="s">
        <v>637</v>
      </c>
      <c r="C7856" s="89" t="s">
        <v>638</v>
      </c>
      <c r="D7856" s="64"/>
      <c r="E7856" s="31"/>
      <c r="F7856" s="180"/>
      <c r="G7856" s="75"/>
      <c r="H7856" s="125"/>
      <c r="M7856" s="180"/>
    </row>
    <row r="7857" spans="2:13" ht="18.75" customHeight="1" x14ac:dyDescent="0.25">
      <c r="B7857" s="26"/>
      <c r="C7857" s="89" t="s">
        <v>1249</v>
      </c>
      <c r="D7857" s="64"/>
      <c r="E7857" s="64" t="s">
        <v>52</v>
      </c>
      <c r="F7857" s="205">
        <v>1.0999999999999999E-2</v>
      </c>
      <c r="G7857" s="84">
        <f>G7831</f>
        <v>10720000</v>
      </c>
      <c r="H7857" s="122">
        <f>+G7857*F7857</f>
        <v>117920</v>
      </c>
      <c r="M7857" s="205">
        <v>1.0999999999999999E-2</v>
      </c>
    </row>
    <row r="7858" spans="2:13" ht="18.75" customHeight="1" x14ac:dyDescent="0.25">
      <c r="B7858" s="26"/>
      <c r="C7858" s="89" t="s">
        <v>1259</v>
      </c>
      <c r="D7858" s="64"/>
      <c r="E7858" s="64" t="s">
        <v>62</v>
      </c>
      <c r="F7858" s="205">
        <v>0.1</v>
      </c>
      <c r="G7858" s="84">
        <f>G7832</f>
        <v>25000</v>
      </c>
      <c r="H7858" s="122">
        <f>+G7858*F7858</f>
        <v>2500</v>
      </c>
      <c r="M7858" s="205">
        <v>0.1</v>
      </c>
    </row>
    <row r="7859" spans="2:13" ht="18.75" customHeight="1" x14ac:dyDescent="0.25">
      <c r="B7859" s="26"/>
      <c r="C7859" s="89"/>
      <c r="D7859" s="63"/>
      <c r="E7859" s="30"/>
      <c r="F7859" s="179" t="s">
        <v>643</v>
      </c>
      <c r="G7859" s="310"/>
      <c r="H7859" s="124">
        <f>SUM(H7857:H7858)</f>
        <v>120420</v>
      </c>
      <c r="M7859" s="179" t="s">
        <v>643</v>
      </c>
    </row>
    <row r="7860" spans="2:13" ht="18.75" customHeight="1" x14ac:dyDescent="0.25">
      <c r="B7860" s="26"/>
      <c r="C7860" s="89"/>
      <c r="D7860" s="64"/>
      <c r="E7860" s="31"/>
      <c r="F7860" s="180"/>
      <c r="G7860" s="75"/>
      <c r="H7860" s="125"/>
      <c r="M7860" s="180"/>
    </row>
    <row r="7861" spans="2:13" ht="18.75" customHeight="1" x14ac:dyDescent="0.25">
      <c r="B7861" s="26" t="s">
        <v>644</v>
      </c>
      <c r="C7861" s="89" t="s">
        <v>645</v>
      </c>
      <c r="D7861" s="56"/>
      <c r="E7861" s="36"/>
      <c r="F7861" s="194"/>
      <c r="G7861" s="88"/>
      <c r="H7861" s="127"/>
      <c r="M7861" s="194"/>
    </row>
    <row r="7862" spans="2:13" ht="18.75" customHeight="1" x14ac:dyDescent="0.25">
      <c r="B7862" s="35"/>
      <c r="C7862" s="97"/>
      <c r="D7862" s="63"/>
      <c r="E7862" s="30"/>
      <c r="F7862" s="179" t="s">
        <v>646</v>
      </c>
      <c r="G7862" s="310"/>
      <c r="H7862" s="128"/>
      <c r="M7862" s="179" t="s">
        <v>646</v>
      </c>
    </row>
    <row r="7863" spans="2:13" ht="18.75" customHeight="1" x14ac:dyDescent="0.25">
      <c r="B7863" s="37"/>
      <c r="C7863" s="98"/>
      <c r="D7863" s="411"/>
      <c r="E7863" s="42"/>
      <c r="F7863" s="181"/>
      <c r="G7863" s="311"/>
      <c r="H7863" s="129"/>
      <c r="M7863" s="181"/>
    </row>
    <row r="7864" spans="2:13" ht="18.75" customHeight="1" x14ac:dyDescent="0.25">
      <c r="B7864" s="50"/>
      <c r="C7864" s="100"/>
      <c r="E7864" s="21"/>
      <c r="F7864" s="189"/>
      <c r="G7864" s="90"/>
      <c r="H7864" s="137"/>
      <c r="M7864" s="189"/>
    </row>
    <row r="7865" spans="2:13" ht="18.75" customHeight="1" x14ac:dyDescent="0.25">
      <c r="B7865" s="46" t="s">
        <v>647</v>
      </c>
      <c r="C7865" s="101" t="s">
        <v>648</v>
      </c>
      <c r="E7865" s="22"/>
      <c r="F7865" s="189"/>
      <c r="G7865" s="308"/>
      <c r="H7865" s="131">
        <f>+H7862+H7859+H7853</f>
        <v>157020</v>
      </c>
      <c r="M7865" s="189"/>
    </row>
    <row r="7866" spans="2:13" ht="18.75" customHeight="1" x14ac:dyDescent="0.25">
      <c r="B7866" s="356" t="s">
        <v>649</v>
      </c>
      <c r="C7866" s="364" t="s">
        <v>650</v>
      </c>
      <c r="D7866" s="435"/>
      <c r="E7866" s="92"/>
      <c r="F7866" s="184" t="str">
        <f>$J$5</f>
        <v>8,0 % x D</v>
      </c>
      <c r="G7866" s="295"/>
      <c r="H7866" s="358">
        <f>+H7865*$K$5</f>
        <v>12561.6</v>
      </c>
      <c r="M7866" s="184" t="str">
        <f>$J$5</f>
        <v>8,0 % x D</v>
      </c>
    </row>
    <row r="7867" spans="2:13" ht="18.75" customHeight="1" x14ac:dyDescent="0.25">
      <c r="B7867" s="356" t="s">
        <v>651</v>
      </c>
      <c r="C7867" s="365" t="s">
        <v>652</v>
      </c>
      <c r="D7867" s="435"/>
      <c r="E7867" s="91"/>
      <c r="F7867" s="185"/>
      <c r="G7867" s="296"/>
      <c r="H7867" s="359">
        <f>ROUNDUP((H7866+H7865)/100,0)*100</f>
        <v>169600</v>
      </c>
      <c r="M7867" s="185"/>
    </row>
    <row r="7868" spans="2:13" ht="18.75" customHeight="1" thickBot="1" x14ac:dyDescent="0.3">
      <c r="B7868" s="47"/>
      <c r="C7868" s="103"/>
      <c r="D7868" s="48"/>
      <c r="E7868" s="49"/>
      <c r="F7868" s="186"/>
      <c r="G7868" s="309"/>
      <c r="H7868" s="136"/>
      <c r="M7868" s="186"/>
    </row>
    <row r="7869" spans="2:13" ht="18.75" customHeight="1" x14ac:dyDescent="0.25">
      <c r="B7869" s="22"/>
      <c r="C7869" s="104"/>
      <c r="E7869" s="21"/>
      <c r="F7869" s="176"/>
      <c r="G7869" s="165"/>
      <c r="H7869" s="119"/>
      <c r="M7869" s="176"/>
    </row>
    <row r="7870" spans="2:13" ht="18.75" customHeight="1" x14ac:dyDescent="0.25">
      <c r="B7870" s="19">
        <f>B7844+1</f>
        <v>51</v>
      </c>
      <c r="C7870" s="93" t="s">
        <v>1268</v>
      </c>
      <c r="D7870" s="19"/>
      <c r="E7870" s="21"/>
      <c r="F7870" s="176"/>
      <c r="G7870" s="165"/>
      <c r="H7870" s="119"/>
      <c r="M7870" s="176"/>
    </row>
    <row r="7871" spans="2:13" ht="18.75" customHeight="1" x14ac:dyDescent="0.25">
      <c r="B7871" s="618" t="s">
        <v>620</v>
      </c>
      <c r="C7871" s="620" t="s">
        <v>621</v>
      </c>
      <c r="D7871" s="618" t="s">
        <v>622</v>
      </c>
      <c r="E7871" s="618" t="s">
        <v>2</v>
      </c>
      <c r="F7871" s="615" t="s">
        <v>623</v>
      </c>
      <c r="G7871" s="289" t="s">
        <v>624</v>
      </c>
      <c r="H7871" s="256" t="s">
        <v>625</v>
      </c>
      <c r="M7871" s="615" t="s">
        <v>623</v>
      </c>
    </row>
    <row r="7872" spans="2:13" ht="18.75" customHeight="1" x14ac:dyDescent="0.25">
      <c r="B7872" s="619"/>
      <c r="C7872" s="621"/>
      <c r="D7872" s="619"/>
      <c r="E7872" s="619"/>
      <c r="F7872" s="616"/>
      <c r="G7872" s="289" t="s">
        <v>626</v>
      </c>
      <c r="H7872" s="256" t="s">
        <v>626</v>
      </c>
      <c r="M7872" s="616"/>
    </row>
    <row r="7873" spans="2:13" ht="18.75" customHeight="1" x14ac:dyDescent="0.25">
      <c r="B7873" s="23"/>
      <c r="C7873" s="95"/>
      <c r="D7873" s="24"/>
      <c r="E7873" s="25"/>
      <c r="F7873" s="177"/>
      <c r="G7873" s="166"/>
      <c r="H7873" s="120"/>
      <c r="M7873" s="177"/>
    </row>
    <row r="7874" spans="2:13" ht="18.75" customHeight="1" x14ac:dyDescent="0.25">
      <c r="B7874" s="26" t="s">
        <v>627</v>
      </c>
      <c r="C7874" s="89" t="s">
        <v>628</v>
      </c>
      <c r="D7874" s="27"/>
      <c r="E7874" s="28"/>
      <c r="F7874" s="178"/>
      <c r="G7874" s="72"/>
      <c r="H7874" s="121"/>
      <c r="M7874" s="178"/>
    </row>
    <row r="7875" spans="2:13" ht="18.75" customHeight="1" x14ac:dyDescent="0.25">
      <c r="B7875" s="26"/>
      <c r="C7875" s="96" t="s">
        <v>629</v>
      </c>
      <c r="D7875" s="27" t="s">
        <v>630</v>
      </c>
      <c r="E7875" s="28" t="s">
        <v>631</v>
      </c>
      <c r="F7875" s="61">
        <v>0.1</v>
      </c>
      <c r="G7875" s="29">
        <f>G7849</f>
        <v>95000</v>
      </c>
      <c r="H7875" s="122">
        <f>+G7875*F7875</f>
        <v>9500</v>
      </c>
      <c r="M7875" s="61">
        <v>0.1</v>
      </c>
    </row>
    <row r="7876" spans="2:13" ht="18.75" customHeight="1" x14ac:dyDescent="0.25">
      <c r="B7876" s="26"/>
      <c r="C7876" s="96" t="s">
        <v>1508</v>
      </c>
      <c r="D7876" s="27" t="s">
        <v>634</v>
      </c>
      <c r="E7876" s="28" t="s">
        <v>631</v>
      </c>
      <c r="F7876" s="61">
        <v>0.2</v>
      </c>
      <c r="G7876" s="29">
        <f>G7850</f>
        <v>110000</v>
      </c>
      <c r="H7876" s="122">
        <f>+G7876*F7876</f>
        <v>22000</v>
      </c>
      <c r="M7876" s="61">
        <v>0.2</v>
      </c>
    </row>
    <row r="7877" spans="2:13" ht="18.75" customHeight="1" x14ac:dyDescent="0.25">
      <c r="B7877" s="26"/>
      <c r="C7877" s="96" t="s">
        <v>633</v>
      </c>
      <c r="D7877" s="27" t="s">
        <v>634</v>
      </c>
      <c r="E7877" s="28" t="s">
        <v>631</v>
      </c>
      <c r="F7877" s="61">
        <v>0.02</v>
      </c>
      <c r="G7877" s="29">
        <f>G7851</f>
        <v>115000</v>
      </c>
      <c r="H7877" s="122">
        <f>+G7877*F7877</f>
        <v>2300</v>
      </c>
      <c r="M7877" s="61">
        <v>0.02</v>
      </c>
    </row>
    <row r="7878" spans="2:13" ht="18.75" customHeight="1" x14ac:dyDescent="0.25">
      <c r="B7878" s="26"/>
      <c r="C7878" s="96" t="s">
        <v>600</v>
      </c>
      <c r="D7878" s="27" t="s">
        <v>635</v>
      </c>
      <c r="E7878" s="36" t="s">
        <v>631</v>
      </c>
      <c r="F7878" s="193">
        <v>2E-3</v>
      </c>
      <c r="G7878" s="29">
        <f>G7852</f>
        <v>140000</v>
      </c>
      <c r="H7878" s="123">
        <f>+G7878*F7878</f>
        <v>280</v>
      </c>
      <c r="M7878" s="193">
        <v>2E-3</v>
      </c>
    </row>
    <row r="7879" spans="2:13" ht="18.75" customHeight="1" x14ac:dyDescent="0.25">
      <c r="B7879" s="26"/>
      <c r="C7879" s="89"/>
      <c r="D7879" s="63"/>
      <c r="E7879" s="30"/>
      <c r="F7879" s="192" t="s">
        <v>636</v>
      </c>
      <c r="G7879" s="310"/>
      <c r="H7879" s="124">
        <f>SUM(H7875:H7878)</f>
        <v>34080</v>
      </c>
      <c r="M7879" s="192" t="s">
        <v>636</v>
      </c>
    </row>
    <row r="7880" spans="2:13" ht="18.75" customHeight="1" x14ac:dyDescent="0.25">
      <c r="B7880" s="26" t="s">
        <v>637</v>
      </c>
      <c r="C7880" s="89" t="s">
        <v>638</v>
      </c>
      <c r="D7880" s="64"/>
      <c r="E7880" s="31"/>
      <c r="F7880" s="180"/>
      <c r="G7880" s="75"/>
      <c r="H7880" s="125"/>
      <c r="M7880" s="180"/>
    </row>
    <row r="7881" spans="2:13" ht="18.75" customHeight="1" x14ac:dyDescent="0.25">
      <c r="B7881" s="26"/>
      <c r="C7881" s="89" t="s">
        <v>1269</v>
      </c>
      <c r="D7881" s="64"/>
      <c r="E7881" s="64" t="s">
        <v>52</v>
      </c>
      <c r="F7881" s="205">
        <v>4.1000000000000003E-3</v>
      </c>
      <c r="G7881" s="84">
        <f>G7603</f>
        <v>39500000</v>
      </c>
      <c r="H7881" s="122">
        <f>+G7881*F7881</f>
        <v>161950</v>
      </c>
      <c r="M7881" s="205">
        <v>4.1000000000000003E-3</v>
      </c>
    </row>
    <row r="7882" spans="2:13" ht="18.75" customHeight="1" x14ac:dyDescent="0.25">
      <c r="B7882" s="26"/>
      <c r="C7882" s="89" t="s">
        <v>1241</v>
      </c>
      <c r="D7882" s="64"/>
      <c r="E7882" s="64" t="s">
        <v>62</v>
      </c>
      <c r="F7882" s="205">
        <v>0.3</v>
      </c>
      <c r="G7882" s="84">
        <f>G7781</f>
        <v>15000</v>
      </c>
      <c r="H7882" s="122">
        <f>+G7882*F7882</f>
        <v>4500</v>
      </c>
      <c r="M7882" s="205">
        <v>0.3</v>
      </c>
    </row>
    <row r="7883" spans="2:13" ht="18.75" customHeight="1" x14ac:dyDescent="0.25">
      <c r="B7883" s="26"/>
      <c r="C7883" s="89"/>
      <c r="D7883" s="63"/>
      <c r="E7883" s="30"/>
      <c r="F7883" s="179" t="s">
        <v>643</v>
      </c>
      <c r="G7883" s="310"/>
      <c r="H7883" s="124">
        <f>SUM(H7881:H7882)</f>
        <v>166450</v>
      </c>
      <c r="M7883" s="179" t="s">
        <v>643</v>
      </c>
    </row>
    <row r="7884" spans="2:13" ht="18.75" customHeight="1" x14ac:dyDescent="0.25">
      <c r="B7884" s="26"/>
      <c r="C7884" s="89"/>
      <c r="D7884" s="64"/>
      <c r="E7884" s="31"/>
      <c r="F7884" s="180"/>
      <c r="G7884" s="75"/>
      <c r="H7884" s="125"/>
      <c r="M7884" s="180"/>
    </row>
    <row r="7885" spans="2:13" ht="18.75" customHeight="1" x14ac:dyDescent="0.25">
      <c r="B7885" s="26" t="s">
        <v>644</v>
      </c>
      <c r="C7885" s="89" t="s">
        <v>645</v>
      </c>
      <c r="D7885" s="56"/>
      <c r="E7885" s="36"/>
      <c r="F7885" s="194"/>
      <c r="G7885" s="88"/>
      <c r="H7885" s="127"/>
      <c r="M7885" s="194"/>
    </row>
    <row r="7886" spans="2:13" ht="18.75" customHeight="1" x14ac:dyDescent="0.25">
      <c r="B7886" s="35"/>
      <c r="C7886" s="97"/>
      <c r="D7886" s="63"/>
      <c r="E7886" s="30"/>
      <c r="F7886" s="179" t="s">
        <v>646</v>
      </c>
      <c r="G7886" s="310"/>
      <c r="H7886" s="128"/>
      <c r="M7886" s="179" t="s">
        <v>646</v>
      </c>
    </row>
    <row r="7887" spans="2:13" ht="18.75" customHeight="1" x14ac:dyDescent="0.25">
      <c r="B7887" s="37"/>
      <c r="C7887" s="98"/>
      <c r="D7887" s="411"/>
      <c r="E7887" s="42"/>
      <c r="F7887" s="181"/>
      <c r="G7887" s="311"/>
      <c r="H7887" s="129"/>
      <c r="M7887" s="181"/>
    </row>
    <row r="7888" spans="2:13" ht="18.75" customHeight="1" x14ac:dyDescent="0.25">
      <c r="B7888" s="50"/>
      <c r="C7888" s="100"/>
      <c r="E7888" s="21"/>
      <c r="F7888" s="189"/>
      <c r="G7888" s="90"/>
      <c r="H7888" s="137"/>
      <c r="M7888" s="189"/>
    </row>
    <row r="7889" spans="2:13" ht="18.75" customHeight="1" x14ac:dyDescent="0.25">
      <c r="B7889" s="46" t="s">
        <v>647</v>
      </c>
      <c r="C7889" s="101" t="s">
        <v>648</v>
      </c>
      <c r="E7889" s="22"/>
      <c r="F7889" s="189"/>
      <c r="G7889" s="308"/>
      <c r="H7889" s="131">
        <f>+H7886+H7883+H7879</f>
        <v>200530</v>
      </c>
      <c r="M7889" s="189"/>
    </row>
    <row r="7890" spans="2:13" ht="18.75" customHeight="1" x14ac:dyDescent="0.25">
      <c r="B7890" s="356" t="s">
        <v>649</v>
      </c>
      <c r="C7890" s="364" t="s">
        <v>650</v>
      </c>
      <c r="D7890" s="435"/>
      <c r="E7890" s="92"/>
      <c r="F7890" s="184" t="str">
        <f>$J$5</f>
        <v>8,0 % x D</v>
      </c>
      <c r="G7890" s="295"/>
      <c r="H7890" s="358">
        <f>+H7889*$K$5</f>
        <v>16042.4</v>
      </c>
      <c r="M7890" s="184" t="str">
        <f>$J$5</f>
        <v>8,0 % x D</v>
      </c>
    </row>
    <row r="7891" spans="2:13" ht="18.75" customHeight="1" x14ac:dyDescent="0.25">
      <c r="B7891" s="356" t="s">
        <v>651</v>
      </c>
      <c r="C7891" s="365" t="s">
        <v>652</v>
      </c>
      <c r="D7891" s="435"/>
      <c r="E7891" s="91"/>
      <c r="F7891" s="185"/>
      <c r="G7891" s="296"/>
      <c r="H7891" s="359">
        <f>ROUNDUP((H7890+H7889)/100,0)*100</f>
        <v>216600</v>
      </c>
      <c r="M7891" s="185"/>
    </row>
    <row r="7892" spans="2:13" ht="18.75" customHeight="1" thickBot="1" x14ac:dyDescent="0.3">
      <c r="B7892" s="47"/>
      <c r="C7892" s="103"/>
      <c r="D7892" s="48"/>
      <c r="E7892" s="49"/>
      <c r="F7892" s="186"/>
      <c r="G7892" s="309"/>
      <c r="H7892" s="136"/>
      <c r="M7892" s="186"/>
    </row>
    <row r="7893" spans="2:13" ht="18.75" customHeight="1" x14ac:dyDescent="0.25">
      <c r="B7893" s="92"/>
      <c r="C7893" s="104"/>
      <c r="D7893" s="435"/>
      <c r="E7893" s="91"/>
      <c r="F7893" s="185"/>
      <c r="G7893" s="168"/>
      <c r="H7893" s="139"/>
      <c r="M7893" s="185"/>
    </row>
    <row r="7894" spans="2:13" ht="18.75" customHeight="1" x14ac:dyDescent="0.25">
      <c r="B7894" s="19"/>
      <c r="C7894" s="93" t="s">
        <v>1270</v>
      </c>
      <c r="D7894" s="19"/>
      <c r="E7894" s="21"/>
      <c r="F7894" s="176"/>
      <c r="G7894" s="165"/>
      <c r="H7894" s="119"/>
      <c r="M7894" s="176"/>
    </row>
    <row r="7895" spans="2:13" ht="18.75" customHeight="1" x14ac:dyDescent="0.25">
      <c r="B7895" s="19">
        <f>B7870+1</f>
        <v>52</v>
      </c>
      <c r="C7895" s="93" t="s">
        <v>1271</v>
      </c>
      <c r="D7895" s="19"/>
      <c r="E7895" s="21"/>
      <c r="F7895" s="176"/>
      <c r="G7895" s="165"/>
      <c r="H7895" s="119"/>
      <c r="M7895" s="176"/>
    </row>
    <row r="7896" spans="2:13" ht="18.75" customHeight="1" x14ac:dyDescent="0.25">
      <c r="B7896" s="618" t="s">
        <v>620</v>
      </c>
      <c r="C7896" s="620" t="s">
        <v>621</v>
      </c>
      <c r="D7896" s="618" t="s">
        <v>622</v>
      </c>
      <c r="E7896" s="618" t="s">
        <v>2</v>
      </c>
      <c r="F7896" s="615" t="s">
        <v>623</v>
      </c>
      <c r="G7896" s="289" t="s">
        <v>624</v>
      </c>
      <c r="H7896" s="256" t="s">
        <v>625</v>
      </c>
      <c r="M7896" s="615" t="s">
        <v>623</v>
      </c>
    </row>
    <row r="7897" spans="2:13" ht="18.75" customHeight="1" x14ac:dyDescent="0.25">
      <c r="B7897" s="619"/>
      <c r="C7897" s="621"/>
      <c r="D7897" s="619"/>
      <c r="E7897" s="619"/>
      <c r="F7897" s="616"/>
      <c r="G7897" s="289" t="s">
        <v>626</v>
      </c>
      <c r="H7897" s="256" t="s">
        <v>626</v>
      </c>
      <c r="M7897" s="616"/>
    </row>
    <row r="7898" spans="2:13" ht="18.75" customHeight="1" x14ac:dyDescent="0.25">
      <c r="B7898" s="23"/>
      <c r="C7898" s="95"/>
      <c r="D7898" s="24"/>
      <c r="E7898" s="25"/>
      <c r="F7898" s="177"/>
      <c r="G7898" s="166"/>
      <c r="H7898" s="120"/>
      <c r="M7898" s="177"/>
    </row>
    <row r="7899" spans="2:13" ht="18.75" customHeight="1" x14ac:dyDescent="0.25">
      <c r="B7899" s="26" t="s">
        <v>627</v>
      </c>
      <c r="C7899" s="89" t="s">
        <v>628</v>
      </c>
      <c r="D7899" s="27"/>
      <c r="E7899" s="28"/>
      <c r="F7899" s="178"/>
      <c r="G7899" s="72"/>
      <c r="H7899" s="121"/>
      <c r="M7899" s="178"/>
    </row>
    <row r="7900" spans="2:13" ht="18.75" customHeight="1" x14ac:dyDescent="0.25">
      <c r="B7900" s="26"/>
      <c r="C7900" s="96" t="s">
        <v>1509</v>
      </c>
      <c r="D7900" s="27" t="s">
        <v>634</v>
      </c>
      <c r="E7900" s="28" t="s">
        <v>631</v>
      </c>
      <c r="F7900" s="61">
        <v>2.2000000000000002</v>
      </c>
      <c r="G7900" s="29">
        <f>Upah!E14</f>
        <v>170000</v>
      </c>
      <c r="H7900" s="122">
        <f>+G7900*F7900</f>
        <v>374000.00000000006</v>
      </c>
      <c r="M7900" s="61">
        <v>2.2000000000000002</v>
      </c>
    </row>
    <row r="7901" spans="2:13" ht="18.75" customHeight="1" x14ac:dyDescent="0.25">
      <c r="B7901" s="26"/>
      <c r="C7901" s="96" t="s">
        <v>1272</v>
      </c>
      <c r="D7901" s="27" t="s">
        <v>634</v>
      </c>
      <c r="E7901" s="28" t="s">
        <v>631</v>
      </c>
      <c r="F7901" s="61">
        <v>0.42</v>
      </c>
      <c r="G7901" s="29">
        <f>Upah!E12</f>
        <v>185000</v>
      </c>
      <c r="H7901" s="122">
        <f>+G7901*F7901</f>
        <v>77700</v>
      </c>
      <c r="M7901" s="61">
        <v>0.42</v>
      </c>
    </row>
    <row r="7902" spans="2:13" ht="18.75" customHeight="1" x14ac:dyDescent="0.25">
      <c r="B7902" s="26"/>
      <c r="C7902" s="96" t="s">
        <v>600</v>
      </c>
      <c r="D7902" s="27" t="s">
        <v>635</v>
      </c>
      <c r="E7902" s="36" t="s">
        <v>631</v>
      </c>
      <c r="F7902" s="193">
        <v>0.42</v>
      </c>
      <c r="G7902" s="29">
        <f>Upah!E10</f>
        <v>185000</v>
      </c>
      <c r="H7902" s="123">
        <f>+G7902*F7902</f>
        <v>77700</v>
      </c>
      <c r="M7902" s="193">
        <v>0.42</v>
      </c>
    </row>
    <row r="7903" spans="2:13" ht="18.75" customHeight="1" x14ac:dyDescent="0.25">
      <c r="B7903" s="26"/>
      <c r="C7903" s="89"/>
      <c r="D7903" s="63"/>
      <c r="E7903" s="30"/>
      <c r="F7903" s="192" t="s">
        <v>636</v>
      </c>
      <c r="G7903" s="310"/>
      <c r="H7903" s="124">
        <f>SUM(H7900:H7902)</f>
        <v>529400</v>
      </c>
      <c r="M7903" s="192" t="s">
        <v>636</v>
      </c>
    </row>
    <row r="7904" spans="2:13" ht="18.75" customHeight="1" x14ac:dyDescent="0.25">
      <c r="B7904" s="26"/>
      <c r="C7904" s="89"/>
      <c r="D7904" s="58"/>
      <c r="E7904" s="62"/>
      <c r="F7904" s="52"/>
      <c r="G7904" s="76"/>
      <c r="H7904" s="140"/>
      <c r="M7904" s="52"/>
    </row>
    <row r="7905" spans="2:13" ht="18.75" customHeight="1" x14ac:dyDescent="0.25">
      <c r="B7905" s="26" t="s">
        <v>637</v>
      </c>
      <c r="C7905" s="89" t="s">
        <v>638</v>
      </c>
      <c r="D7905" s="64"/>
      <c r="E7905" s="31"/>
      <c r="F7905" s="180"/>
      <c r="G7905" s="75"/>
      <c r="H7905" s="125"/>
      <c r="M7905" s="180"/>
    </row>
    <row r="7906" spans="2:13" ht="18.75" customHeight="1" x14ac:dyDescent="0.25">
      <c r="B7906" s="26"/>
      <c r="C7906" s="89"/>
      <c r="D7906" s="63"/>
      <c r="E7906" s="30"/>
      <c r="F7906" s="179" t="s">
        <v>643</v>
      </c>
      <c r="G7906" s="310"/>
      <c r="H7906" s="128">
        <f>H7905</f>
        <v>0</v>
      </c>
      <c r="M7906" s="179" t="s">
        <v>643</v>
      </c>
    </row>
    <row r="7907" spans="2:13" ht="18.75" customHeight="1" x14ac:dyDescent="0.25">
      <c r="B7907" s="26"/>
      <c r="C7907" s="89"/>
      <c r="D7907" s="64"/>
      <c r="E7907" s="31"/>
      <c r="F7907" s="180"/>
      <c r="G7907" s="75"/>
      <c r="H7907" s="125"/>
      <c r="M7907" s="180"/>
    </row>
    <row r="7908" spans="2:13" ht="18.75" customHeight="1" x14ac:dyDescent="0.25">
      <c r="B7908" s="26" t="s">
        <v>644</v>
      </c>
      <c r="C7908" s="89" t="s">
        <v>645</v>
      </c>
      <c r="D7908" s="56"/>
      <c r="E7908" s="36"/>
      <c r="F7908" s="194"/>
      <c r="G7908" s="88"/>
      <c r="H7908" s="127"/>
      <c r="M7908" s="194"/>
    </row>
    <row r="7909" spans="2:13" ht="18.75" customHeight="1" x14ac:dyDescent="0.25">
      <c r="B7909" s="35"/>
      <c r="C7909" s="97"/>
      <c r="D7909" s="63"/>
      <c r="E7909" s="30"/>
      <c r="F7909" s="179" t="s">
        <v>646</v>
      </c>
      <c r="G7909" s="310"/>
      <c r="H7909" s="128">
        <f>H7908</f>
        <v>0</v>
      </c>
      <c r="M7909" s="179" t="s">
        <v>646</v>
      </c>
    </row>
    <row r="7910" spans="2:13" ht="18.75" customHeight="1" x14ac:dyDescent="0.25">
      <c r="B7910" s="37"/>
      <c r="C7910" s="98"/>
      <c r="D7910" s="411"/>
      <c r="E7910" s="42"/>
      <c r="F7910" s="181"/>
      <c r="G7910" s="311"/>
      <c r="H7910" s="129"/>
      <c r="M7910" s="181"/>
    </row>
    <row r="7911" spans="2:13" ht="18.75" customHeight="1" x14ac:dyDescent="0.25">
      <c r="B7911" s="50"/>
      <c r="C7911" s="100"/>
      <c r="E7911" s="21"/>
      <c r="F7911" s="189"/>
      <c r="G7911" s="90"/>
      <c r="H7911" s="137"/>
      <c r="M7911" s="189"/>
    </row>
    <row r="7912" spans="2:13" ht="18.75" customHeight="1" x14ac:dyDescent="0.25">
      <c r="B7912" s="46" t="s">
        <v>647</v>
      </c>
      <c r="C7912" s="101" t="s">
        <v>648</v>
      </c>
      <c r="E7912" s="22"/>
      <c r="F7912" s="189"/>
      <c r="G7912" s="308"/>
      <c r="H7912" s="131">
        <f>+H7909+H7906+H7903</f>
        <v>529400</v>
      </c>
      <c r="M7912" s="189"/>
    </row>
    <row r="7913" spans="2:13" ht="18.75" customHeight="1" x14ac:dyDescent="0.25">
      <c r="B7913" s="356" t="s">
        <v>649</v>
      </c>
      <c r="C7913" s="364" t="s">
        <v>650</v>
      </c>
      <c r="D7913" s="435"/>
      <c r="E7913" s="92"/>
      <c r="F7913" s="184" t="str">
        <f>$J$5</f>
        <v>8,0 % x D</v>
      </c>
      <c r="G7913" s="295"/>
      <c r="H7913" s="358">
        <f>+H7912*$K$5</f>
        <v>42352</v>
      </c>
      <c r="M7913" s="184" t="str">
        <f>$J$5</f>
        <v>8,0 % x D</v>
      </c>
    </row>
    <row r="7914" spans="2:13" ht="18.75" customHeight="1" x14ac:dyDescent="0.25">
      <c r="B7914" s="356" t="s">
        <v>651</v>
      </c>
      <c r="C7914" s="365" t="s">
        <v>652</v>
      </c>
      <c r="D7914" s="435"/>
      <c r="E7914" s="91"/>
      <c r="F7914" s="185"/>
      <c r="G7914" s="296"/>
      <c r="H7914" s="359">
        <f>ROUNDUP((H7913+H7912)/100,0)*100</f>
        <v>571800</v>
      </c>
      <c r="M7914" s="185"/>
    </row>
    <row r="7915" spans="2:13" ht="18.75" customHeight="1" thickBot="1" x14ac:dyDescent="0.3">
      <c r="B7915" s="47"/>
      <c r="C7915" s="103"/>
      <c r="D7915" s="48"/>
      <c r="E7915" s="49"/>
      <c r="F7915" s="186"/>
      <c r="G7915" s="309"/>
      <c r="H7915" s="136"/>
      <c r="M7915" s="186"/>
    </row>
    <row r="7916" spans="2:13" ht="18.75" customHeight="1" x14ac:dyDescent="0.25">
      <c r="B7916" s="22"/>
      <c r="C7916" s="104"/>
      <c r="E7916" s="21"/>
      <c r="F7916" s="176"/>
      <c r="G7916" s="165"/>
      <c r="H7916" s="119"/>
      <c r="M7916" s="176"/>
    </row>
    <row r="7917" spans="2:13" ht="18.75" customHeight="1" x14ac:dyDescent="0.25">
      <c r="B7917" s="19">
        <f>B7895+1</f>
        <v>53</v>
      </c>
      <c r="C7917" s="93" t="s">
        <v>1273</v>
      </c>
      <c r="D7917" s="19"/>
      <c r="E7917" s="21"/>
      <c r="F7917" s="176"/>
      <c r="G7917" s="165"/>
      <c r="H7917" s="119"/>
      <c r="M7917" s="176"/>
    </row>
    <row r="7918" spans="2:13" ht="18.75" customHeight="1" x14ac:dyDescent="0.25">
      <c r="B7918" s="618" t="s">
        <v>620</v>
      </c>
      <c r="C7918" s="620" t="s">
        <v>621</v>
      </c>
      <c r="D7918" s="618" t="s">
        <v>622</v>
      </c>
      <c r="E7918" s="618" t="s">
        <v>2</v>
      </c>
      <c r="F7918" s="615" t="s">
        <v>623</v>
      </c>
      <c r="G7918" s="289" t="s">
        <v>624</v>
      </c>
      <c r="H7918" s="256" t="s">
        <v>625</v>
      </c>
      <c r="M7918" s="615" t="s">
        <v>623</v>
      </c>
    </row>
    <row r="7919" spans="2:13" ht="18.75" customHeight="1" x14ac:dyDescent="0.25">
      <c r="B7919" s="619"/>
      <c r="C7919" s="621"/>
      <c r="D7919" s="619"/>
      <c r="E7919" s="619"/>
      <c r="F7919" s="616"/>
      <c r="G7919" s="289" t="s">
        <v>626</v>
      </c>
      <c r="H7919" s="256" t="s">
        <v>626</v>
      </c>
      <c r="M7919" s="616"/>
    </row>
    <row r="7920" spans="2:13" ht="18.75" customHeight="1" x14ac:dyDescent="0.25">
      <c r="B7920" s="23"/>
      <c r="C7920" s="95"/>
      <c r="D7920" s="24"/>
      <c r="E7920" s="25"/>
      <c r="F7920" s="177"/>
      <c r="G7920" s="166"/>
      <c r="H7920" s="120"/>
      <c r="M7920" s="177"/>
    </row>
    <row r="7921" spans="2:13" ht="18.75" customHeight="1" x14ac:dyDescent="0.25">
      <c r="B7921" s="26" t="s">
        <v>627</v>
      </c>
      <c r="C7921" s="89" t="s">
        <v>628</v>
      </c>
      <c r="D7921" s="27"/>
      <c r="E7921" s="28"/>
      <c r="F7921" s="178"/>
      <c r="G7921" s="72"/>
      <c r="H7921" s="121"/>
      <c r="M7921" s="178"/>
    </row>
    <row r="7922" spans="2:13" ht="18.75" customHeight="1" x14ac:dyDescent="0.25">
      <c r="B7922" s="26"/>
      <c r="C7922" s="96" t="s">
        <v>1509</v>
      </c>
      <c r="D7922" s="27" t="s">
        <v>634</v>
      </c>
      <c r="E7922" s="28" t="s">
        <v>631</v>
      </c>
      <c r="F7922" s="61">
        <v>1.8</v>
      </c>
      <c r="G7922" s="29">
        <f>G7900</f>
        <v>170000</v>
      </c>
      <c r="H7922" s="122">
        <f>+G7922*F7922</f>
        <v>306000</v>
      </c>
      <c r="M7922" s="61">
        <v>1.8</v>
      </c>
    </row>
    <row r="7923" spans="2:13" ht="18.75" customHeight="1" x14ac:dyDescent="0.25">
      <c r="B7923" s="26"/>
      <c r="C7923" s="96" t="s">
        <v>1272</v>
      </c>
      <c r="D7923" s="27" t="s">
        <v>634</v>
      </c>
      <c r="E7923" s="28" t="s">
        <v>631</v>
      </c>
      <c r="F7923" s="61">
        <v>0.3</v>
      </c>
      <c r="G7923" s="29">
        <f>G7901</f>
        <v>185000</v>
      </c>
      <c r="H7923" s="122">
        <f>+G7923*F7923</f>
        <v>55500</v>
      </c>
      <c r="M7923" s="61">
        <v>0.3</v>
      </c>
    </row>
    <row r="7924" spans="2:13" ht="18.75" customHeight="1" x14ac:dyDescent="0.25">
      <c r="B7924" s="26"/>
      <c r="C7924" s="96" t="s">
        <v>600</v>
      </c>
      <c r="D7924" s="27" t="s">
        <v>635</v>
      </c>
      <c r="E7924" s="36" t="s">
        <v>631</v>
      </c>
      <c r="F7924" s="193">
        <v>0.2</v>
      </c>
      <c r="G7924" s="29">
        <f>G7902</f>
        <v>185000</v>
      </c>
      <c r="H7924" s="123">
        <f>+G7924*F7924</f>
        <v>37000</v>
      </c>
      <c r="M7924" s="193">
        <v>0.2</v>
      </c>
    </row>
    <row r="7925" spans="2:13" ht="18.75" customHeight="1" x14ac:dyDescent="0.25">
      <c r="B7925" s="26"/>
      <c r="C7925" s="89"/>
      <c r="D7925" s="63"/>
      <c r="E7925" s="30"/>
      <c r="F7925" s="192" t="s">
        <v>636</v>
      </c>
      <c r="G7925" s="310"/>
      <c r="H7925" s="124">
        <f>SUM(H7922:H7924)</f>
        <v>398500</v>
      </c>
      <c r="M7925" s="192" t="s">
        <v>636</v>
      </c>
    </row>
    <row r="7926" spans="2:13" ht="18.75" customHeight="1" x14ac:dyDescent="0.25">
      <c r="B7926" s="26"/>
      <c r="C7926" s="89"/>
      <c r="D7926" s="58"/>
      <c r="E7926" s="62"/>
      <c r="F7926" s="52"/>
      <c r="G7926" s="76"/>
      <c r="H7926" s="140"/>
      <c r="M7926" s="52"/>
    </row>
    <row r="7927" spans="2:13" ht="18.75" customHeight="1" x14ac:dyDescent="0.25">
      <c r="B7927" s="26" t="s">
        <v>637</v>
      </c>
      <c r="C7927" s="89" t="s">
        <v>638</v>
      </c>
      <c r="D7927" s="64"/>
      <c r="E7927" s="31"/>
      <c r="F7927" s="180"/>
      <c r="G7927" s="75"/>
      <c r="H7927" s="125"/>
      <c r="M7927" s="180"/>
    </row>
    <row r="7928" spans="2:13" ht="18.75" customHeight="1" x14ac:dyDescent="0.25">
      <c r="B7928" s="26"/>
      <c r="C7928" s="89"/>
      <c r="D7928" s="63"/>
      <c r="E7928" s="30"/>
      <c r="F7928" s="179" t="s">
        <v>643</v>
      </c>
      <c r="G7928" s="310"/>
      <c r="H7928" s="128">
        <f>H7927</f>
        <v>0</v>
      </c>
      <c r="M7928" s="179" t="s">
        <v>643</v>
      </c>
    </row>
    <row r="7929" spans="2:13" ht="18.75" customHeight="1" x14ac:dyDescent="0.25">
      <c r="B7929" s="26"/>
      <c r="C7929" s="89"/>
      <c r="D7929" s="64"/>
      <c r="E7929" s="31"/>
      <c r="F7929" s="180"/>
      <c r="G7929" s="75"/>
      <c r="H7929" s="125"/>
      <c r="M7929" s="180"/>
    </row>
    <row r="7930" spans="2:13" ht="18.75" customHeight="1" x14ac:dyDescent="0.25">
      <c r="B7930" s="26" t="s">
        <v>644</v>
      </c>
      <c r="C7930" s="89" t="s">
        <v>645</v>
      </c>
      <c r="D7930" s="56"/>
      <c r="E7930" s="36"/>
      <c r="F7930" s="194"/>
      <c r="G7930" s="88"/>
      <c r="H7930" s="127"/>
      <c r="M7930" s="194"/>
    </row>
    <row r="7931" spans="2:13" ht="18.75" customHeight="1" x14ac:dyDescent="0.25">
      <c r="B7931" s="35"/>
      <c r="C7931" s="97"/>
      <c r="D7931" s="63"/>
      <c r="E7931" s="30"/>
      <c r="F7931" s="179" t="s">
        <v>646</v>
      </c>
      <c r="G7931" s="310"/>
      <c r="H7931" s="128">
        <f>H7930</f>
        <v>0</v>
      </c>
      <c r="M7931" s="179" t="s">
        <v>646</v>
      </c>
    </row>
    <row r="7932" spans="2:13" ht="18.75" customHeight="1" x14ac:dyDescent="0.25">
      <c r="B7932" s="37"/>
      <c r="C7932" s="98"/>
      <c r="D7932" s="411"/>
      <c r="E7932" s="42"/>
      <c r="F7932" s="181"/>
      <c r="G7932" s="311"/>
      <c r="H7932" s="129"/>
      <c r="M7932" s="181"/>
    </row>
    <row r="7933" spans="2:13" ht="18.75" customHeight="1" x14ac:dyDescent="0.25">
      <c r="B7933" s="50"/>
      <c r="C7933" s="100"/>
      <c r="E7933" s="21"/>
      <c r="F7933" s="189"/>
      <c r="G7933" s="90"/>
      <c r="H7933" s="137"/>
      <c r="M7933" s="189"/>
    </row>
    <row r="7934" spans="2:13" ht="18.75" customHeight="1" x14ac:dyDescent="0.25">
      <c r="B7934" s="46" t="s">
        <v>647</v>
      </c>
      <c r="C7934" s="101" t="s">
        <v>648</v>
      </c>
      <c r="E7934" s="22"/>
      <c r="F7934" s="189"/>
      <c r="G7934" s="308"/>
      <c r="H7934" s="131">
        <f>+H7931+H7928+H7925</f>
        <v>398500</v>
      </c>
      <c r="M7934" s="189"/>
    </row>
    <row r="7935" spans="2:13" ht="18.75" customHeight="1" x14ac:dyDescent="0.25">
      <c r="B7935" s="356" t="s">
        <v>649</v>
      </c>
      <c r="C7935" s="364" t="s">
        <v>650</v>
      </c>
      <c r="D7935" s="435"/>
      <c r="E7935" s="92"/>
      <c r="F7935" s="184" t="str">
        <f>$J$5</f>
        <v>8,0 % x D</v>
      </c>
      <c r="G7935" s="295"/>
      <c r="H7935" s="358">
        <f>+H7934*$K$5</f>
        <v>31880</v>
      </c>
      <c r="M7935" s="184" t="str">
        <f>$J$5</f>
        <v>8,0 % x D</v>
      </c>
    </row>
    <row r="7936" spans="2:13" ht="18.75" customHeight="1" x14ac:dyDescent="0.25">
      <c r="B7936" s="356" t="s">
        <v>651</v>
      </c>
      <c r="C7936" s="365" t="s">
        <v>652</v>
      </c>
      <c r="D7936" s="435"/>
      <c r="E7936" s="91"/>
      <c r="F7936" s="185"/>
      <c r="G7936" s="296"/>
      <c r="H7936" s="359">
        <f>ROUNDUP((H7935+H7934)/100,0)*100</f>
        <v>430400</v>
      </c>
      <c r="M7936" s="185"/>
    </row>
    <row r="7937" spans="2:13" ht="18.75" customHeight="1" thickBot="1" x14ac:dyDescent="0.3">
      <c r="B7937" s="47"/>
      <c r="C7937" s="103"/>
      <c r="D7937" s="48"/>
      <c r="E7937" s="49"/>
      <c r="F7937" s="186"/>
      <c r="G7937" s="309"/>
      <c r="H7937" s="136"/>
      <c r="M7937" s="186"/>
    </row>
    <row r="7938" spans="2:13" ht="18.75" customHeight="1" x14ac:dyDescent="0.25">
      <c r="B7938" s="92"/>
      <c r="C7938" s="104"/>
      <c r="D7938" s="435"/>
      <c r="E7938" s="91"/>
      <c r="F7938" s="185"/>
      <c r="G7938" s="168"/>
      <c r="H7938" s="139"/>
      <c r="M7938" s="185"/>
    </row>
    <row r="7939" spans="2:13" ht="18.75" customHeight="1" x14ac:dyDescent="0.25">
      <c r="B7939" s="19">
        <f>B7917+1</f>
        <v>54</v>
      </c>
      <c r="C7939" s="93" t="s">
        <v>1274</v>
      </c>
      <c r="D7939" s="19"/>
      <c r="E7939" s="21"/>
      <c r="F7939" s="176"/>
      <c r="G7939" s="165"/>
      <c r="H7939" s="119"/>
      <c r="M7939" s="176"/>
    </row>
    <row r="7940" spans="2:13" ht="18.75" customHeight="1" x14ac:dyDescent="0.25">
      <c r="B7940" s="618" t="s">
        <v>620</v>
      </c>
      <c r="C7940" s="620" t="s">
        <v>621</v>
      </c>
      <c r="D7940" s="618" t="s">
        <v>622</v>
      </c>
      <c r="E7940" s="618" t="s">
        <v>2</v>
      </c>
      <c r="F7940" s="615" t="s">
        <v>623</v>
      </c>
      <c r="G7940" s="289" t="s">
        <v>624</v>
      </c>
      <c r="H7940" s="256" t="s">
        <v>625</v>
      </c>
      <c r="M7940" s="615" t="s">
        <v>623</v>
      </c>
    </row>
    <row r="7941" spans="2:13" ht="18.75" customHeight="1" x14ac:dyDescent="0.25">
      <c r="B7941" s="619"/>
      <c r="C7941" s="621"/>
      <c r="D7941" s="619"/>
      <c r="E7941" s="619"/>
      <c r="F7941" s="616"/>
      <c r="G7941" s="289" t="s">
        <v>626</v>
      </c>
      <c r="H7941" s="256" t="s">
        <v>626</v>
      </c>
      <c r="M7941" s="616"/>
    </row>
    <row r="7942" spans="2:13" ht="18.75" customHeight="1" x14ac:dyDescent="0.25">
      <c r="B7942" s="23"/>
      <c r="C7942" s="95"/>
      <c r="D7942" s="24"/>
      <c r="E7942" s="25"/>
      <c r="F7942" s="177"/>
      <c r="G7942" s="166"/>
      <c r="H7942" s="120"/>
      <c r="M7942" s="177"/>
    </row>
    <row r="7943" spans="2:13" ht="18.75" customHeight="1" x14ac:dyDescent="0.25">
      <c r="B7943" s="26" t="s">
        <v>627</v>
      </c>
      <c r="C7943" s="89" t="s">
        <v>628</v>
      </c>
      <c r="D7943" s="27"/>
      <c r="E7943" s="28"/>
      <c r="F7943" s="178"/>
      <c r="G7943" s="72"/>
      <c r="H7943" s="121"/>
      <c r="M7943" s="178"/>
    </row>
    <row r="7944" spans="2:13" ht="18.75" customHeight="1" x14ac:dyDescent="0.25">
      <c r="B7944" s="26"/>
      <c r="C7944" s="96" t="s">
        <v>1509</v>
      </c>
      <c r="D7944" s="27" t="s">
        <v>634</v>
      </c>
      <c r="E7944" s="28" t="s">
        <v>631</v>
      </c>
      <c r="F7944" s="61">
        <v>4.55</v>
      </c>
      <c r="G7944" s="29">
        <f>G7922</f>
        <v>170000</v>
      </c>
      <c r="H7944" s="122">
        <f>+G7944*F7944</f>
        <v>773500</v>
      </c>
      <c r="M7944" s="61">
        <v>4.55</v>
      </c>
    </row>
    <row r="7945" spans="2:13" ht="18.75" customHeight="1" x14ac:dyDescent="0.25">
      <c r="B7945" s="26"/>
      <c r="C7945" s="96" t="s">
        <v>1272</v>
      </c>
      <c r="D7945" s="27" t="s">
        <v>634</v>
      </c>
      <c r="E7945" s="28" t="s">
        <v>631</v>
      </c>
      <c r="F7945" s="61">
        <v>0.46500000000000002</v>
      </c>
      <c r="G7945" s="29">
        <f>G7923</f>
        <v>185000</v>
      </c>
      <c r="H7945" s="122">
        <f>+G7945*F7945</f>
        <v>86025</v>
      </c>
      <c r="M7945" s="61">
        <v>0.46500000000000002</v>
      </c>
    </row>
    <row r="7946" spans="2:13" ht="18.75" customHeight="1" x14ac:dyDescent="0.25">
      <c r="B7946" s="26"/>
      <c r="C7946" s="96" t="s">
        <v>600</v>
      </c>
      <c r="D7946" s="27" t="s">
        <v>635</v>
      </c>
      <c r="E7946" s="36" t="s">
        <v>631</v>
      </c>
      <c r="F7946" s="193">
        <v>5.0000000000000001E-3</v>
      </c>
      <c r="G7946" s="29">
        <f>G7924</f>
        <v>185000</v>
      </c>
      <c r="H7946" s="123">
        <f>+G7946*F7946</f>
        <v>925</v>
      </c>
      <c r="M7946" s="193">
        <v>5.0000000000000001E-3</v>
      </c>
    </row>
    <row r="7947" spans="2:13" ht="18.75" customHeight="1" x14ac:dyDescent="0.25">
      <c r="B7947" s="26"/>
      <c r="C7947" s="89"/>
      <c r="D7947" s="63"/>
      <c r="E7947" s="30"/>
      <c r="F7947" s="192" t="s">
        <v>636</v>
      </c>
      <c r="G7947" s="310"/>
      <c r="H7947" s="124">
        <f>SUM(H7944:H7946)</f>
        <v>860450</v>
      </c>
      <c r="M7947" s="192" t="s">
        <v>636</v>
      </c>
    </row>
    <row r="7948" spans="2:13" ht="18.75" customHeight="1" x14ac:dyDescent="0.25">
      <c r="B7948" s="26"/>
      <c r="C7948" s="89"/>
      <c r="D7948" s="58"/>
      <c r="E7948" s="62"/>
      <c r="F7948" s="52"/>
      <c r="G7948" s="76"/>
      <c r="H7948" s="140"/>
      <c r="M7948" s="52"/>
    </row>
    <row r="7949" spans="2:13" ht="18.75" customHeight="1" x14ac:dyDescent="0.25">
      <c r="B7949" s="26" t="s">
        <v>637</v>
      </c>
      <c r="C7949" s="89" t="s">
        <v>638</v>
      </c>
      <c r="D7949" s="64"/>
      <c r="E7949" s="31"/>
      <c r="F7949" s="180"/>
      <c r="G7949" s="75"/>
      <c r="H7949" s="125"/>
      <c r="M7949" s="180"/>
    </row>
    <row r="7950" spans="2:13" ht="18.75" customHeight="1" x14ac:dyDescent="0.25">
      <c r="B7950" s="26"/>
      <c r="C7950" s="89"/>
      <c r="D7950" s="63"/>
      <c r="E7950" s="30"/>
      <c r="F7950" s="179" t="s">
        <v>643</v>
      </c>
      <c r="G7950" s="310"/>
      <c r="H7950" s="128">
        <f>H7949</f>
        <v>0</v>
      </c>
      <c r="M7950" s="179" t="s">
        <v>643</v>
      </c>
    </row>
    <row r="7951" spans="2:13" ht="18.75" customHeight="1" x14ac:dyDescent="0.25">
      <c r="B7951" s="26"/>
      <c r="C7951" s="89"/>
      <c r="D7951" s="64"/>
      <c r="E7951" s="31"/>
      <c r="F7951" s="180"/>
      <c r="G7951" s="75"/>
      <c r="H7951" s="125"/>
      <c r="M7951" s="180"/>
    </row>
    <row r="7952" spans="2:13" ht="18.75" customHeight="1" x14ac:dyDescent="0.25">
      <c r="B7952" s="26" t="s">
        <v>644</v>
      </c>
      <c r="C7952" s="89" t="s">
        <v>645</v>
      </c>
      <c r="D7952" s="56"/>
      <c r="E7952" s="36"/>
      <c r="F7952" s="194"/>
      <c r="G7952" s="88"/>
      <c r="H7952" s="127"/>
      <c r="M7952" s="194"/>
    </row>
    <row r="7953" spans="2:13" ht="18.75" customHeight="1" x14ac:dyDescent="0.25">
      <c r="B7953" s="35"/>
      <c r="C7953" s="97"/>
      <c r="D7953" s="63"/>
      <c r="E7953" s="30"/>
      <c r="F7953" s="179" t="s">
        <v>646</v>
      </c>
      <c r="G7953" s="310"/>
      <c r="H7953" s="128">
        <f>H7952</f>
        <v>0</v>
      </c>
      <c r="M7953" s="179" t="s">
        <v>646</v>
      </c>
    </row>
    <row r="7954" spans="2:13" ht="18.75" customHeight="1" x14ac:dyDescent="0.25">
      <c r="B7954" s="37"/>
      <c r="C7954" s="98"/>
      <c r="D7954" s="411"/>
      <c r="E7954" s="42"/>
      <c r="F7954" s="181"/>
      <c r="G7954" s="311"/>
      <c r="H7954" s="129"/>
      <c r="M7954" s="181"/>
    </row>
    <row r="7955" spans="2:13" ht="18.75" customHeight="1" x14ac:dyDescent="0.25">
      <c r="B7955" s="50"/>
      <c r="C7955" s="100"/>
      <c r="E7955" s="21"/>
      <c r="F7955" s="189"/>
      <c r="G7955" s="90"/>
      <c r="H7955" s="137"/>
      <c r="M7955" s="189"/>
    </row>
    <row r="7956" spans="2:13" ht="18.75" customHeight="1" x14ac:dyDescent="0.25">
      <c r="B7956" s="46" t="s">
        <v>647</v>
      </c>
      <c r="C7956" s="101" t="s">
        <v>648</v>
      </c>
      <c r="E7956" s="22"/>
      <c r="F7956" s="189"/>
      <c r="G7956" s="308"/>
      <c r="H7956" s="131">
        <f>+H7953+H7950+H7947</f>
        <v>860450</v>
      </c>
      <c r="M7956" s="189"/>
    </row>
    <row r="7957" spans="2:13" ht="18.75" customHeight="1" x14ac:dyDescent="0.25">
      <c r="B7957" s="356" t="s">
        <v>649</v>
      </c>
      <c r="C7957" s="364" t="s">
        <v>650</v>
      </c>
      <c r="D7957" s="435"/>
      <c r="E7957" s="92"/>
      <c r="F7957" s="184" t="str">
        <f>$J$5</f>
        <v>8,0 % x D</v>
      </c>
      <c r="G7957" s="295"/>
      <c r="H7957" s="358">
        <f>+H7956*$K$5</f>
        <v>68836</v>
      </c>
      <c r="M7957" s="184" t="str">
        <f>$J$5</f>
        <v>8,0 % x D</v>
      </c>
    </row>
    <row r="7958" spans="2:13" ht="18.75" customHeight="1" x14ac:dyDescent="0.25">
      <c r="B7958" s="356" t="s">
        <v>651</v>
      </c>
      <c r="C7958" s="365" t="s">
        <v>652</v>
      </c>
      <c r="D7958" s="435"/>
      <c r="E7958" s="91"/>
      <c r="F7958" s="185"/>
      <c r="G7958" s="296"/>
      <c r="H7958" s="359">
        <f>ROUNDUP((H7957+H7956)/100,0)*100</f>
        <v>929300</v>
      </c>
      <c r="M7958" s="185"/>
    </row>
    <row r="7959" spans="2:13" ht="18.75" customHeight="1" thickBot="1" x14ac:dyDescent="0.3">
      <c r="B7959" s="47"/>
      <c r="C7959" s="103"/>
      <c r="D7959" s="48"/>
      <c r="E7959" s="49"/>
      <c r="F7959" s="186"/>
      <c r="G7959" s="309"/>
      <c r="H7959" s="136"/>
      <c r="M7959" s="186"/>
    </row>
    <row r="7960" spans="2:13" ht="18.75" customHeight="1" x14ac:dyDescent="0.25">
      <c r="B7960" s="22"/>
      <c r="C7960" s="104"/>
      <c r="E7960" s="21"/>
      <c r="F7960" s="176"/>
      <c r="G7960" s="165"/>
      <c r="H7960" s="119"/>
      <c r="M7960" s="176"/>
    </row>
    <row r="7961" spans="2:13" ht="18.75" customHeight="1" x14ac:dyDescent="0.25">
      <c r="B7961" s="19">
        <f>B7939+1</f>
        <v>55</v>
      </c>
      <c r="C7961" s="93" t="s">
        <v>1275</v>
      </c>
      <c r="D7961" s="19"/>
      <c r="E7961" s="21"/>
      <c r="F7961" s="176"/>
      <c r="G7961" s="165"/>
      <c r="H7961" s="119"/>
      <c r="M7961" s="176"/>
    </row>
    <row r="7962" spans="2:13" ht="18.75" customHeight="1" x14ac:dyDescent="0.25">
      <c r="B7962" s="618" t="s">
        <v>620</v>
      </c>
      <c r="C7962" s="620" t="s">
        <v>621</v>
      </c>
      <c r="D7962" s="618" t="s">
        <v>622</v>
      </c>
      <c r="E7962" s="618" t="s">
        <v>2</v>
      </c>
      <c r="F7962" s="615" t="s">
        <v>623</v>
      </c>
      <c r="G7962" s="289" t="s">
        <v>624</v>
      </c>
      <c r="H7962" s="256" t="s">
        <v>625</v>
      </c>
      <c r="M7962" s="615" t="s">
        <v>623</v>
      </c>
    </row>
    <row r="7963" spans="2:13" ht="18.75" customHeight="1" x14ac:dyDescent="0.25">
      <c r="B7963" s="619"/>
      <c r="C7963" s="621"/>
      <c r="D7963" s="619"/>
      <c r="E7963" s="619"/>
      <c r="F7963" s="616"/>
      <c r="G7963" s="289" t="s">
        <v>626</v>
      </c>
      <c r="H7963" s="256" t="s">
        <v>626</v>
      </c>
      <c r="M7963" s="616"/>
    </row>
    <row r="7964" spans="2:13" ht="18.75" customHeight="1" x14ac:dyDescent="0.25">
      <c r="B7964" s="23"/>
      <c r="C7964" s="95"/>
      <c r="D7964" s="24"/>
      <c r="E7964" s="25"/>
      <c r="F7964" s="177"/>
      <c r="G7964" s="166"/>
      <c r="H7964" s="120"/>
      <c r="M7964" s="177"/>
    </row>
    <row r="7965" spans="2:13" ht="18.75" customHeight="1" x14ac:dyDescent="0.25">
      <c r="B7965" s="26" t="s">
        <v>627</v>
      </c>
      <c r="C7965" s="89" t="s">
        <v>628</v>
      </c>
      <c r="D7965" s="27"/>
      <c r="E7965" s="28"/>
      <c r="F7965" s="178"/>
      <c r="G7965" s="72"/>
      <c r="H7965" s="121"/>
      <c r="M7965" s="178"/>
    </row>
    <row r="7966" spans="2:13" ht="18.75" customHeight="1" x14ac:dyDescent="0.25">
      <c r="B7966" s="26"/>
      <c r="C7966" s="96" t="s">
        <v>1509</v>
      </c>
      <c r="D7966" s="27" t="s">
        <v>634</v>
      </c>
      <c r="E7966" s="28" t="s">
        <v>631</v>
      </c>
      <c r="F7966" s="61">
        <v>3.85</v>
      </c>
      <c r="G7966" s="29">
        <f>G7944</f>
        <v>170000</v>
      </c>
      <c r="H7966" s="122">
        <f>+G7966*F7966</f>
        <v>654500</v>
      </c>
      <c r="M7966" s="61">
        <v>3.85</v>
      </c>
    </row>
    <row r="7967" spans="2:13" ht="18.75" customHeight="1" x14ac:dyDescent="0.25">
      <c r="B7967" s="26"/>
      <c r="C7967" s="96" t="s">
        <v>1272</v>
      </c>
      <c r="D7967" s="27" t="s">
        <v>634</v>
      </c>
      <c r="E7967" s="28" t="s">
        <v>631</v>
      </c>
      <c r="F7967" s="61">
        <v>0.45</v>
      </c>
      <c r="G7967" s="29">
        <f>G7945</f>
        <v>185000</v>
      </c>
      <c r="H7967" s="122">
        <f>+G7967*F7967</f>
        <v>83250</v>
      </c>
      <c r="M7967" s="61">
        <v>0.45</v>
      </c>
    </row>
    <row r="7968" spans="2:13" ht="18.75" customHeight="1" x14ac:dyDescent="0.25">
      <c r="B7968" s="26"/>
      <c r="C7968" s="96" t="s">
        <v>600</v>
      </c>
      <c r="D7968" s="27" t="s">
        <v>635</v>
      </c>
      <c r="E7968" s="36" t="s">
        <v>631</v>
      </c>
      <c r="F7968" s="193">
        <v>5.0000000000000001E-3</v>
      </c>
      <c r="G7968" s="29">
        <f>G7946</f>
        <v>185000</v>
      </c>
      <c r="H7968" s="123">
        <f>+G7968*F7968</f>
        <v>925</v>
      </c>
      <c r="M7968" s="193">
        <v>5.0000000000000001E-3</v>
      </c>
    </row>
    <row r="7969" spans="2:13" ht="18.75" customHeight="1" x14ac:dyDescent="0.25">
      <c r="B7969" s="26"/>
      <c r="C7969" s="89"/>
      <c r="D7969" s="63"/>
      <c r="E7969" s="30"/>
      <c r="F7969" s="192" t="s">
        <v>636</v>
      </c>
      <c r="G7969" s="310"/>
      <c r="H7969" s="124">
        <f>SUM(H7966:H7968)</f>
        <v>738675</v>
      </c>
      <c r="M7969" s="192" t="s">
        <v>636</v>
      </c>
    </row>
    <row r="7970" spans="2:13" ht="18.75" customHeight="1" x14ac:dyDescent="0.25">
      <c r="B7970" s="26"/>
      <c r="C7970" s="89"/>
      <c r="D7970" s="58"/>
      <c r="E7970" s="62"/>
      <c r="F7970" s="52"/>
      <c r="G7970" s="76"/>
      <c r="H7970" s="140"/>
      <c r="M7970" s="52"/>
    </row>
    <row r="7971" spans="2:13" ht="18.75" customHeight="1" x14ac:dyDescent="0.25">
      <c r="B7971" s="26" t="s">
        <v>637</v>
      </c>
      <c r="C7971" s="89" t="s">
        <v>638</v>
      </c>
      <c r="D7971" s="64"/>
      <c r="E7971" s="31"/>
      <c r="F7971" s="180"/>
      <c r="G7971" s="75"/>
      <c r="H7971" s="125"/>
      <c r="M7971" s="180"/>
    </row>
    <row r="7972" spans="2:13" ht="18.75" customHeight="1" x14ac:dyDescent="0.25">
      <c r="B7972" s="26"/>
      <c r="C7972" s="89"/>
      <c r="D7972" s="63"/>
      <c r="E7972" s="30"/>
      <c r="F7972" s="179" t="s">
        <v>643</v>
      </c>
      <c r="G7972" s="310"/>
      <c r="H7972" s="128">
        <f>H7971</f>
        <v>0</v>
      </c>
      <c r="M7972" s="179" t="s">
        <v>643</v>
      </c>
    </row>
    <row r="7973" spans="2:13" ht="18.75" customHeight="1" x14ac:dyDescent="0.25">
      <c r="B7973" s="26"/>
      <c r="C7973" s="89"/>
      <c r="D7973" s="64"/>
      <c r="E7973" s="31"/>
      <c r="F7973" s="180"/>
      <c r="G7973" s="75"/>
      <c r="H7973" s="125"/>
      <c r="M7973" s="180"/>
    </row>
    <row r="7974" spans="2:13" ht="18.75" customHeight="1" x14ac:dyDescent="0.25">
      <c r="B7974" s="26" t="s">
        <v>644</v>
      </c>
      <c r="C7974" s="89" t="s">
        <v>645</v>
      </c>
      <c r="D7974" s="56"/>
      <c r="E7974" s="36"/>
      <c r="F7974" s="194"/>
      <c r="G7974" s="88"/>
      <c r="H7974" s="127"/>
      <c r="M7974" s="194"/>
    </row>
    <row r="7975" spans="2:13" ht="18.75" customHeight="1" x14ac:dyDescent="0.25">
      <c r="B7975" s="35"/>
      <c r="C7975" s="97"/>
      <c r="D7975" s="63"/>
      <c r="E7975" s="30"/>
      <c r="F7975" s="179" t="s">
        <v>646</v>
      </c>
      <c r="G7975" s="310"/>
      <c r="H7975" s="128">
        <f>H7974</f>
        <v>0</v>
      </c>
      <c r="M7975" s="179" t="s">
        <v>646</v>
      </c>
    </row>
    <row r="7976" spans="2:13" ht="18.75" customHeight="1" x14ac:dyDescent="0.25">
      <c r="B7976" s="37"/>
      <c r="C7976" s="98"/>
      <c r="D7976" s="411"/>
      <c r="E7976" s="42"/>
      <c r="F7976" s="181"/>
      <c r="G7976" s="311"/>
      <c r="H7976" s="129"/>
      <c r="M7976" s="181"/>
    </row>
    <row r="7977" spans="2:13" ht="18.75" customHeight="1" x14ac:dyDescent="0.25">
      <c r="B7977" s="50"/>
      <c r="C7977" s="100"/>
      <c r="E7977" s="21"/>
      <c r="F7977" s="189"/>
      <c r="G7977" s="90"/>
      <c r="H7977" s="137"/>
      <c r="M7977" s="189"/>
    </row>
    <row r="7978" spans="2:13" ht="18.75" customHeight="1" x14ac:dyDescent="0.25">
      <c r="B7978" s="46" t="s">
        <v>647</v>
      </c>
      <c r="C7978" s="101" t="s">
        <v>648</v>
      </c>
      <c r="E7978" s="22"/>
      <c r="F7978" s="189"/>
      <c r="G7978" s="308"/>
      <c r="H7978" s="131">
        <f>+H7975+H7972+H7969</f>
        <v>738675</v>
      </c>
      <c r="M7978" s="189"/>
    </row>
    <row r="7979" spans="2:13" ht="18.75" customHeight="1" x14ac:dyDescent="0.25">
      <c r="B7979" s="356" t="s">
        <v>649</v>
      </c>
      <c r="C7979" s="364" t="s">
        <v>650</v>
      </c>
      <c r="D7979" s="435"/>
      <c r="E7979" s="92"/>
      <c r="F7979" s="184" t="str">
        <f>$J$5</f>
        <v>8,0 % x D</v>
      </c>
      <c r="G7979" s="295"/>
      <c r="H7979" s="358">
        <f>+H7978*$K$5</f>
        <v>59094</v>
      </c>
      <c r="M7979" s="184" t="str">
        <f>$J$5</f>
        <v>8,0 % x D</v>
      </c>
    </row>
    <row r="7980" spans="2:13" ht="18.75" customHeight="1" x14ac:dyDescent="0.25">
      <c r="B7980" s="356" t="s">
        <v>651</v>
      </c>
      <c r="C7980" s="365" t="s">
        <v>652</v>
      </c>
      <c r="D7980" s="435"/>
      <c r="E7980" s="91"/>
      <c r="F7980" s="185"/>
      <c r="G7980" s="296"/>
      <c r="H7980" s="359">
        <f>ROUNDUP((H7979+H7978)/100,0)*100</f>
        <v>797800</v>
      </c>
      <c r="M7980" s="185"/>
    </row>
    <row r="7981" spans="2:13" ht="18.75" customHeight="1" thickBot="1" x14ac:dyDescent="0.3">
      <c r="B7981" s="47"/>
      <c r="C7981" s="103"/>
      <c r="D7981" s="48"/>
      <c r="E7981" s="49"/>
      <c r="F7981" s="186"/>
      <c r="G7981" s="309"/>
      <c r="H7981" s="136"/>
      <c r="M7981" s="186"/>
    </row>
    <row r="7982" spans="2:13" ht="18.75" customHeight="1" x14ac:dyDescent="0.25">
      <c r="B7982" s="92"/>
      <c r="C7982" s="104"/>
      <c r="D7982" s="435"/>
      <c r="E7982" s="91"/>
      <c r="F7982" s="185"/>
      <c r="G7982" s="168"/>
      <c r="H7982" s="139"/>
      <c r="M7982" s="185"/>
    </row>
    <row r="7983" spans="2:13" ht="18.75" customHeight="1" x14ac:dyDescent="0.25">
      <c r="B7983" s="19">
        <f>B7961+1</f>
        <v>56</v>
      </c>
      <c r="C7983" s="93" t="s">
        <v>1276</v>
      </c>
      <c r="D7983" s="19"/>
      <c r="E7983" s="21"/>
      <c r="F7983" s="176"/>
      <c r="G7983" s="165"/>
      <c r="H7983" s="119"/>
      <c r="M7983" s="176"/>
    </row>
    <row r="7984" spans="2:13" ht="18.75" customHeight="1" x14ac:dyDescent="0.25">
      <c r="B7984" s="618" t="s">
        <v>620</v>
      </c>
      <c r="C7984" s="620" t="s">
        <v>621</v>
      </c>
      <c r="D7984" s="618" t="s">
        <v>622</v>
      </c>
      <c r="E7984" s="618" t="s">
        <v>2</v>
      </c>
      <c r="F7984" s="615" t="s">
        <v>623</v>
      </c>
      <c r="G7984" s="289" t="s">
        <v>624</v>
      </c>
      <c r="H7984" s="256" t="s">
        <v>625</v>
      </c>
      <c r="M7984" s="615" t="s">
        <v>623</v>
      </c>
    </row>
    <row r="7985" spans="2:13" ht="18.75" customHeight="1" x14ac:dyDescent="0.25">
      <c r="B7985" s="619"/>
      <c r="C7985" s="621"/>
      <c r="D7985" s="619"/>
      <c r="E7985" s="619"/>
      <c r="F7985" s="616"/>
      <c r="G7985" s="289" t="s">
        <v>626</v>
      </c>
      <c r="H7985" s="256" t="s">
        <v>626</v>
      </c>
      <c r="M7985" s="616"/>
    </row>
    <row r="7986" spans="2:13" ht="18.75" customHeight="1" x14ac:dyDescent="0.25">
      <c r="B7986" s="23"/>
      <c r="C7986" s="95"/>
      <c r="D7986" s="24"/>
      <c r="E7986" s="25"/>
      <c r="F7986" s="177"/>
      <c r="G7986" s="166"/>
      <c r="H7986" s="120"/>
      <c r="M7986" s="177"/>
    </row>
    <row r="7987" spans="2:13" ht="18.75" customHeight="1" x14ac:dyDescent="0.25">
      <c r="B7987" s="26" t="s">
        <v>627</v>
      </c>
      <c r="C7987" s="89" t="s">
        <v>628</v>
      </c>
      <c r="D7987" s="27"/>
      <c r="E7987" s="28"/>
      <c r="F7987" s="178"/>
      <c r="G7987" s="72"/>
      <c r="H7987" s="121"/>
      <c r="M7987" s="178"/>
    </row>
    <row r="7988" spans="2:13" ht="18.75" customHeight="1" x14ac:dyDescent="0.25">
      <c r="B7988" s="26"/>
      <c r="C7988" s="96" t="s">
        <v>1509</v>
      </c>
      <c r="D7988" s="27" t="s">
        <v>634</v>
      </c>
      <c r="E7988" s="28" t="s">
        <v>631</v>
      </c>
      <c r="F7988" s="61">
        <v>3.25</v>
      </c>
      <c r="G7988" s="29">
        <f>G7966</f>
        <v>170000</v>
      </c>
      <c r="H7988" s="122">
        <f>+G7988*F7988</f>
        <v>552500</v>
      </c>
      <c r="M7988" s="61">
        <v>3.25</v>
      </c>
    </row>
    <row r="7989" spans="2:13" ht="18.75" customHeight="1" x14ac:dyDescent="0.25">
      <c r="B7989" s="26"/>
      <c r="C7989" s="96" t="s">
        <v>1272</v>
      </c>
      <c r="D7989" s="27" t="s">
        <v>634</v>
      </c>
      <c r="E7989" s="28" t="s">
        <v>631</v>
      </c>
      <c r="F7989" s="61">
        <v>0.22</v>
      </c>
      <c r="G7989" s="29">
        <f>G7967</f>
        <v>185000</v>
      </c>
      <c r="H7989" s="122">
        <f>+G7989*F7989</f>
        <v>40700</v>
      </c>
      <c r="M7989" s="61">
        <v>0.22</v>
      </c>
    </row>
    <row r="7990" spans="2:13" ht="18.75" customHeight="1" x14ac:dyDescent="0.25">
      <c r="B7990" s="26"/>
      <c r="C7990" s="96" t="s">
        <v>600</v>
      </c>
      <c r="D7990" s="27" t="s">
        <v>635</v>
      </c>
      <c r="E7990" s="36" t="s">
        <v>631</v>
      </c>
      <c r="F7990" s="193">
        <v>4.0000000000000001E-3</v>
      </c>
      <c r="G7990" s="29">
        <f>G7968</f>
        <v>185000</v>
      </c>
      <c r="H7990" s="123">
        <f>+G7990*F7990</f>
        <v>740</v>
      </c>
      <c r="M7990" s="193">
        <v>4.0000000000000001E-3</v>
      </c>
    </row>
    <row r="7991" spans="2:13" ht="18.75" customHeight="1" x14ac:dyDescent="0.25">
      <c r="B7991" s="26"/>
      <c r="C7991" s="89"/>
      <c r="D7991" s="63"/>
      <c r="E7991" s="30"/>
      <c r="F7991" s="192" t="s">
        <v>636</v>
      </c>
      <c r="G7991" s="310"/>
      <c r="H7991" s="124">
        <f>SUM(H7988:H7990)</f>
        <v>593940</v>
      </c>
      <c r="M7991" s="192" t="s">
        <v>636</v>
      </c>
    </row>
    <row r="7992" spans="2:13" ht="18.75" customHeight="1" x14ac:dyDescent="0.25">
      <c r="B7992" s="26"/>
      <c r="C7992" s="89"/>
      <c r="D7992" s="58"/>
      <c r="E7992" s="62"/>
      <c r="F7992" s="52"/>
      <c r="G7992" s="76"/>
      <c r="H7992" s="140"/>
      <c r="M7992" s="52"/>
    </row>
    <row r="7993" spans="2:13" ht="18.75" customHeight="1" x14ac:dyDescent="0.25">
      <c r="B7993" s="26" t="s">
        <v>637</v>
      </c>
      <c r="C7993" s="89" t="s">
        <v>638</v>
      </c>
      <c r="D7993" s="64"/>
      <c r="E7993" s="31"/>
      <c r="F7993" s="180"/>
      <c r="G7993" s="75"/>
      <c r="H7993" s="125"/>
      <c r="M7993" s="180"/>
    </row>
    <row r="7994" spans="2:13" ht="18.75" customHeight="1" x14ac:dyDescent="0.25">
      <c r="B7994" s="26"/>
      <c r="C7994" s="89"/>
      <c r="D7994" s="63"/>
      <c r="E7994" s="30"/>
      <c r="F7994" s="179" t="s">
        <v>643</v>
      </c>
      <c r="G7994" s="310"/>
      <c r="H7994" s="128">
        <f>H7993</f>
        <v>0</v>
      </c>
      <c r="M7994" s="179" t="s">
        <v>643</v>
      </c>
    </row>
    <row r="7995" spans="2:13" ht="18.75" customHeight="1" x14ac:dyDescent="0.25">
      <c r="B7995" s="26"/>
      <c r="C7995" s="89"/>
      <c r="D7995" s="64"/>
      <c r="E7995" s="31"/>
      <c r="F7995" s="180"/>
      <c r="G7995" s="75"/>
      <c r="H7995" s="125"/>
      <c r="M7995" s="180"/>
    </row>
    <row r="7996" spans="2:13" ht="18.75" customHeight="1" x14ac:dyDescent="0.25">
      <c r="B7996" s="26" t="s">
        <v>644</v>
      </c>
      <c r="C7996" s="89" t="s">
        <v>645</v>
      </c>
      <c r="D7996" s="56"/>
      <c r="E7996" s="36"/>
      <c r="F7996" s="194"/>
      <c r="G7996" s="88"/>
      <c r="H7996" s="127"/>
      <c r="M7996" s="194"/>
    </row>
    <row r="7997" spans="2:13" ht="18.75" customHeight="1" x14ac:dyDescent="0.25">
      <c r="B7997" s="35"/>
      <c r="C7997" s="97"/>
      <c r="D7997" s="63"/>
      <c r="E7997" s="30"/>
      <c r="F7997" s="179" t="s">
        <v>646</v>
      </c>
      <c r="G7997" s="310"/>
      <c r="H7997" s="128">
        <f>H7996</f>
        <v>0</v>
      </c>
      <c r="M7997" s="179" t="s">
        <v>646</v>
      </c>
    </row>
    <row r="7998" spans="2:13" ht="18.75" customHeight="1" x14ac:dyDescent="0.25">
      <c r="B7998" s="37"/>
      <c r="C7998" s="98"/>
      <c r="D7998" s="411"/>
      <c r="E7998" s="42"/>
      <c r="F7998" s="181"/>
      <c r="G7998" s="311"/>
      <c r="H7998" s="129"/>
      <c r="M7998" s="181"/>
    </row>
    <row r="7999" spans="2:13" ht="18.75" customHeight="1" x14ac:dyDescent="0.25">
      <c r="B7999" s="50"/>
      <c r="C7999" s="100"/>
      <c r="E7999" s="21"/>
      <c r="F7999" s="189"/>
      <c r="G7999" s="90"/>
      <c r="H7999" s="137"/>
      <c r="M7999" s="189"/>
    </row>
    <row r="8000" spans="2:13" ht="18.75" customHeight="1" x14ac:dyDescent="0.25">
      <c r="B8000" s="46" t="s">
        <v>647</v>
      </c>
      <c r="C8000" s="101" t="s">
        <v>648</v>
      </c>
      <c r="E8000" s="22"/>
      <c r="F8000" s="189"/>
      <c r="G8000" s="308"/>
      <c r="H8000" s="131">
        <f>+H7997+H7994+H7991</f>
        <v>593940</v>
      </c>
      <c r="M8000" s="189"/>
    </row>
    <row r="8001" spans="2:13" ht="18.75" customHeight="1" x14ac:dyDescent="0.25">
      <c r="B8001" s="356" t="s">
        <v>649</v>
      </c>
      <c r="C8001" s="364" t="s">
        <v>650</v>
      </c>
      <c r="D8001" s="435"/>
      <c r="E8001" s="92"/>
      <c r="F8001" s="184" t="str">
        <f>$J$5</f>
        <v>8,0 % x D</v>
      </c>
      <c r="G8001" s="295"/>
      <c r="H8001" s="358">
        <f>+H8000*$K$5</f>
        <v>47515.200000000004</v>
      </c>
      <c r="M8001" s="184" t="str">
        <f>$J$5</f>
        <v>8,0 % x D</v>
      </c>
    </row>
    <row r="8002" spans="2:13" ht="18.75" customHeight="1" x14ac:dyDescent="0.25">
      <c r="B8002" s="356" t="s">
        <v>651</v>
      </c>
      <c r="C8002" s="365" t="s">
        <v>652</v>
      </c>
      <c r="D8002" s="435"/>
      <c r="E8002" s="91"/>
      <c r="F8002" s="185"/>
      <c r="G8002" s="296"/>
      <c r="H8002" s="359">
        <f>ROUNDUP((H8001+H8000)/100,0)*100</f>
        <v>641500</v>
      </c>
      <c r="M8002" s="185"/>
    </row>
    <row r="8003" spans="2:13" ht="18.75" customHeight="1" thickBot="1" x14ac:dyDescent="0.3">
      <c r="B8003" s="47"/>
      <c r="C8003" s="103"/>
      <c r="D8003" s="48"/>
      <c r="E8003" s="49"/>
      <c r="F8003" s="186"/>
      <c r="G8003" s="309"/>
      <c r="H8003" s="136"/>
      <c r="M8003" s="186"/>
    </row>
    <row r="8004" spans="2:13" ht="18.75" customHeight="1" x14ac:dyDescent="0.25">
      <c r="B8004" s="22"/>
      <c r="C8004" s="104"/>
      <c r="E8004" s="21"/>
      <c r="F8004" s="176"/>
      <c r="G8004" s="165"/>
      <c r="H8004" s="119"/>
      <c r="M8004" s="176"/>
    </row>
    <row r="8005" spans="2:13" ht="18.75" customHeight="1" x14ac:dyDescent="0.25">
      <c r="B8005" s="19">
        <f>B7983+1</f>
        <v>57</v>
      </c>
      <c r="C8005" s="93" t="s">
        <v>1277</v>
      </c>
      <c r="D8005" s="19"/>
      <c r="E8005" s="21"/>
      <c r="F8005" s="176"/>
      <c r="G8005" s="165"/>
      <c r="H8005" s="119"/>
      <c r="M8005" s="176"/>
    </row>
    <row r="8006" spans="2:13" ht="18.75" customHeight="1" x14ac:dyDescent="0.25">
      <c r="B8006" s="618" t="s">
        <v>620</v>
      </c>
      <c r="C8006" s="620" t="s">
        <v>621</v>
      </c>
      <c r="D8006" s="618" t="s">
        <v>622</v>
      </c>
      <c r="E8006" s="618" t="s">
        <v>2</v>
      </c>
      <c r="F8006" s="615" t="s">
        <v>623</v>
      </c>
      <c r="G8006" s="289" t="s">
        <v>624</v>
      </c>
      <c r="H8006" s="256" t="s">
        <v>625</v>
      </c>
      <c r="M8006" s="615" t="s">
        <v>623</v>
      </c>
    </row>
    <row r="8007" spans="2:13" ht="18.75" customHeight="1" x14ac:dyDescent="0.25">
      <c r="B8007" s="619"/>
      <c r="C8007" s="621"/>
      <c r="D8007" s="619"/>
      <c r="E8007" s="619"/>
      <c r="F8007" s="616"/>
      <c r="G8007" s="289" t="s">
        <v>626</v>
      </c>
      <c r="H8007" s="256" t="s">
        <v>626</v>
      </c>
      <c r="M8007" s="616"/>
    </row>
    <row r="8008" spans="2:13" ht="18.75" customHeight="1" x14ac:dyDescent="0.25">
      <c r="B8008" s="23"/>
      <c r="C8008" s="95"/>
      <c r="D8008" s="24"/>
      <c r="E8008" s="25"/>
      <c r="F8008" s="177"/>
      <c r="G8008" s="166"/>
      <c r="H8008" s="120"/>
      <c r="M8008" s="177"/>
    </row>
    <row r="8009" spans="2:13" ht="18.75" customHeight="1" x14ac:dyDescent="0.25">
      <c r="B8009" s="26" t="s">
        <v>627</v>
      </c>
      <c r="C8009" s="89" t="s">
        <v>628</v>
      </c>
      <c r="D8009" s="27"/>
      <c r="E8009" s="28"/>
      <c r="F8009" s="178"/>
      <c r="G8009" s="72"/>
      <c r="H8009" s="121"/>
      <c r="M8009" s="178"/>
    </row>
    <row r="8010" spans="2:13" ht="18.75" customHeight="1" x14ac:dyDescent="0.25">
      <c r="B8010" s="26"/>
      <c r="C8010" s="96" t="s">
        <v>1509</v>
      </c>
      <c r="D8010" s="27" t="s">
        <v>634</v>
      </c>
      <c r="E8010" s="28" t="s">
        <v>631</v>
      </c>
      <c r="F8010" s="61">
        <v>8</v>
      </c>
      <c r="G8010" s="29">
        <f>G7988</f>
        <v>170000</v>
      </c>
      <c r="H8010" s="122">
        <f>+G8010*F8010</f>
        <v>1360000</v>
      </c>
      <c r="M8010" s="61">
        <v>8</v>
      </c>
    </row>
    <row r="8011" spans="2:13" ht="18.75" customHeight="1" x14ac:dyDescent="0.25">
      <c r="B8011" s="26"/>
      <c r="C8011" s="96" t="s">
        <v>1272</v>
      </c>
      <c r="D8011" s="27" t="s">
        <v>634</v>
      </c>
      <c r="E8011" s="28" t="s">
        <v>631</v>
      </c>
      <c r="F8011" s="61">
        <v>0.9</v>
      </c>
      <c r="G8011" s="29">
        <f>G7989</f>
        <v>185000</v>
      </c>
      <c r="H8011" s="122">
        <f>+G8011*F8011</f>
        <v>166500</v>
      </c>
      <c r="M8011" s="61">
        <v>0.9</v>
      </c>
    </row>
    <row r="8012" spans="2:13" ht="18.75" customHeight="1" x14ac:dyDescent="0.25">
      <c r="B8012" s="26"/>
      <c r="C8012" s="96" t="s">
        <v>600</v>
      </c>
      <c r="D8012" s="27" t="s">
        <v>635</v>
      </c>
      <c r="E8012" s="36" t="s">
        <v>631</v>
      </c>
      <c r="F8012" s="193">
        <v>8.9999999999999993E-3</v>
      </c>
      <c r="G8012" s="29">
        <f>G7990</f>
        <v>185000</v>
      </c>
      <c r="H8012" s="123">
        <f>+G8012*F8012</f>
        <v>1664.9999999999998</v>
      </c>
      <c r="M8012" s="193">
        <v>8.9999999999999993E-3</v>
      </c>
    </row>
    <row r="8013" spans="2:13" ht="18.75" customHeight="1" x14ac:dyDescent="0.25">
      <c r="B8013" s="26"/>
      <c r="C8013" s="89"/>
      <c r="D8013" s="63"/>
      <c r="E8013" s="30"/>
      <c r="F8013" s="192" t="s">
        <v>636</v>
      </c>
      <c r="G8013" s="310"/>
      <c r="H8013" s="124">
        <f>SUM(H8010:H8012)</f>
        <v>1528165</v>
      </c>
      <c r="M8013" s="192" t="s">
        <v>636</v>
      </c>
    </row>
    <row r="8014" spans="2:13" ht="18.75" customHeight="1" x14ac:dyDescent="0.25">
      <c r="B8014" s="26"/>
      <c r="C8014" s="89"/>
      <c r="D8014" s="58"/>
      <c r="E8014" s="62"/>
      <c r="F8014" s="52"/>
      <c r="G8014" s="76"/>
      <c r="H8014" s="140"/>
      <c r="M8014" s="52"/>
    </row>
    <row r="8015" spans="2:13" ht="18.75" customHeight="1" x14ac:dyDescent="0.25">
      <c r="B8015" s="26" t="s">
        <v>637</v>
      </c>
      <c r="C8015" s="89" t="s">
        <v>638</v>
      </c>
      <c r="D8015" s="64"/>
      <c r="E8015" s="31"/>
      <c r="F8015" s="180"/>
      <c r="G8015" s="75"/>
      <c r="H8015" s="125"/>
      <c r="M8015" s="180"/>
    </row>
    <row r="8016" spans="2:13" ht="18.75" customHeight="1" x14ac:dyDescent="0.25">
      <c r="B8016" s="26"/>
      <c r="C8016" s="89"/>
      <c r="D8016" s="63"/>
      <c r="E8016" s="30"/>
      <c r="F8016" s="179" t="s">
        <v>643</v>
      </c>
      <c r="G8016" s="310"/>
      <c r="H8016" s="128">
        <f>H8015</f>
        <v>0</v>
      </c>
      <c r="M8016" s="179" t="s">
        <v>643</v>
      </c>
    </row>
    <row r="8017" spans="2:13" ht="18.75" customHeight="1" x14ac:dyDescent="0.25">
      <c r="B8017" s="26"/>
      <c r="C8017" s="89"/>
      <c r="D8017" s="64"/>
      <c r="E8017" s="31"/>
      <c r="F8017" s="180"/>
      <c r="G8017" s="75"/>
      <c r="H8017" s="125"/>
      <c r="M8017" s="180"/>
    </row>
    <row r="8018" spans="2:13" ht="18.75" customHeight="1" x14ac:dyDescent="0.25">
      <c r="B8018" s="26" t="s">
        <v>644</v>
      </c>
      <c r="C8018" s="89" t="s">
        <v>645</v>
      </c>
      <c r="D8018" s="56"/>
      <c r="E8018" s="36"/>
      <c r="F8018" s="194"/>
      <c r="G8018" s="88"/>
      <c r="H8018" s="127"/>
      <c r="M8018" s="194"/>
    </row>
    <row r="8019" spans="2:13" ht="18.75" customHeight="1" x14ac:dyDescent="0.25">
      <c r="B8019" s="35"/>
      <c r="C8019" s="97"/>
      <c r="D8019" s="63"/>
      <c r="E8019" s="30"/>
      <c r="F8019" s="179" t="s">
        <v>646</v>
      </c>
      <c r="G8019" s="310"/>
      <c r="H8019" s="128">
        <f>H8018</f>
        <v>0</v>
      </c>
      <c r="M8019" s="179" t="s">
        <v>646</v>
      </c>
    </row>
    <row r="8020" spans="2:13" ht="18.75" customHeight="1" x14ac:dyDescent="0.25">
      <c r="B8020" s="37"/>
      <c r="C8020" s="98"/>
      <c r="D8020" s="411"/>
      <c r="E8020" s="42"/>
      <c r="F8020" s="181"/>
      <c r="G8020" s="311"/>
      <c r="H8020" s="129"/>
      <c r="M8020" s="181"/>
    </row>
    <row r="8021" spans="2:13" ht="18.75" customHeight="1" x14ac:dyDescent="0.25">
      <c r="B8021" s="50"/>
      <c r="C8021" s="100"/>
      <c r="E8021" s="21"/>
      <c r="F8021" s="189"/>
      <c r="G8021" s="90"/>
      <c r="H8021" s="137"/>
      <c r="M8021" s="189"/>
    </row>
    <row r="8022" spans="2:13" ht="18.75" customHeight="1" x14ac:dyDescent="0.25">
      <c r="B8022" s="46" t="s">
        <v>647</v>
      </c>
      <c r="C8022" s="101" t="s">
        <v>648</v>
      </c>
      <c r="E8022" s="22"/>
      <c r="F8022" s="189"/>
      <c r="G8022" s="308"/>
      <c r="H8022" s="131">
        <f>+H8019+H8016+H8013</f>
        <v>1528165</v>
      </c>
      <c r="M8022" s="189"/>
    </row>
    <row r="8023" spans="2:13" ht="18.75" customHeight="1" x14ac:dyDescent="0.25">
      <c r="B8023" s="356" t="s">
        <v>649</v>
      </c>
      <c r="C8023" s="364" t="s">
        <v>650</v>
      </c>
      <c r="D8023" s="435"/>
      <c r="E8023" s="92"/>
      <c r="F8023" s="184" t="str">
        <f>$J$5</f>
        <v>8,0 % x D</v>
      </c>
      <c r="G8023" s="295"/>
      <c r="H8023" s="358">
        <f>+H8022*$K$5</f>
        <v>122253.2</v>
      </c>
      <c r="M8023" s="184" t="str">
        <f>$J$5</f>
        <v>8,0 % x D</v>
      </c>
    </row>
    <row r="8024" spans="2:13" ht="18.75" customHeight="1" x14ac:dyDescent="0.25">
      <c r="B8024" s="356" t="s">
        <v>651</v>
      </c>
      <c r="C8024" s="365" t="s">
        <v>652</v>
      </c>
      <c r="D8024" s="435"/>
      <c r="E8024" s="91"/>
      <c r="F8024" s="185"/>
      <c r="G8024" s="296"/>
      <c r="H8024" s="359">
        <f>ROUNDUP((H8023+H8022)/100,0)*100</f>
        <v>1650500</v>
      </c>
      <c r="M8024" s="185"/>
    </row>
    <row r="8025" spans="2:13" ht="18.75" customHeight="1" thickBot="1" x14ac:dyDescent="0.3">
      <c r="B8025" s="47"/>
      <c r="C8025" s="103"/>
      <c r="D8025" s="48"/>
      <c r="E8025" s="49"/>
      <c r="F8025" s="186"/>
      <c r="G8025" s="309"/>
      <c r="H8025" s="136"/>
      <c r="M8025" s="186"/>
    </row>
    <row r="8026" spans="2:13" ht="18.75" customHeight="1" x14ac:dyDescent="0.25">
      <c r="B8026" s="92"/>
      <c r="C8026" s="104"/>
      <c r="D8026" s="435"/>
      <c r="E8026" s="91"/>
      <c r="F8026" s="185"/>
      <c r="G8026" s="168"/>
      <c r="H8026" s="139"/>
      <c r="M8026" s="185"/>
    </row>
    <row r="8027" spans="2:13" ht="18.75" customHeight="1" x14ac:dyDescent="0.25">
      <c r="B8027" s="19">
        <f>B8005+1</f>
        <v>58</v>
      </c>
      <c r="C8027" s="93" t="s">
        <v>1278</v>
      </c>
      <c r="D8027" s="19"/>
      <c r="E8027" s="21"/>
      <c r="F8027" s="176"/>
      <c r="G8027" s="165"/>
      <c r="H8027" s="119"/>
      <c r="M8027" s="176"/>
    </row>
    <row r="8028" spans="2:13" ht="18.75" customHeight="1" x14ac:dyDescent="0.25">
      <c r="B8028" s="618" t="s">
        <v>620</v>
      </c>
      <c r="C8028" s="620" t="s">
        <v>621</v>
      </c>
      <c r="D8028" s="618" t="s">
        <v>622</v>
      </c>
      <c r="E8028" s="618" t="s">
        <v>2</v>
      </c>
      <c r="F8028" s="615" t="s">
        <v>623</v>
      </c>
      <c r="G8028" s="289" t="s">
        <v>624</v>
      </c>
      <c r="H8028" s="256" t="s">
        <v>625</v>
      </c>
      <c r="M8028" s="615" t="s">
        <v>623</v>
      </c>
    </row>
    <row r="8029" spans="2:13" ht="18.75" customHeight="1" x14ac:dyDescent="0.25">
      <c r="B8029" s="619"/>
      <c r="C8029" s="621"/>
      <c r="D8029" s="619"/>
      <c r="E8029" s="619"/>
      <c r="F8029" s="616"/>
      <c r="G8029" s="289" t="s">
        <v>626</v>
      </c>
      <c r="H8029" s="256" t="s">
        <v>626</v>
      </c>
      <c r="M8029" s="616"/>
    </row>
    <row r="8030" spans="2:13" ht="18.75" customHeight="1" x14ac:dyDescent="0.25">
      <c r="B8030" s="23"/>
      <c r="C8030" s="95"/>
      <c r="D8030" s="24"/>
      <c r="E8030" s="25"/>
      <c r="F8030" s="177"/>
      <c r="G8030" s="166"/>
      <c r="H8030" s="120"/>
      <c r="M8030" s="177"/>
    </row>
    <row r="8031" spans="2:13" ht="18.75" customHeight="1" x14ac:dyDescent="0.25">
      <c r="B8031" s="26" t="s">
        <v>627</v>
      </c>
      <c r="C8031" s="89" t="s">
        <v>628</v>
      </c>
      <c r="D8031" s="27"/>
      <c r="E8031" s="28"/>
      <c r="F8031" s="178"/>
      <c r="G8031" s="72"/>
      <c r="H8031" s="121"/>
      <c r="M8031" s="178"/>
    </row>
    <row r="8032" spans="2:13" ht="18.75" customHeight="1" x14ac:dyDescent="0.25">
      <c r="B8032" s="26"/>
      <c r="C8032" s="96" t="s">
        <v>1509</v>
      </c>
      <c r="D8032" s="27" t="s">
        <v>634</v>
      </c>
      <c r="E8032" s="28" t="s">
        <v>631</v>
      </c>
      <c r="F8032" s="61">
        <v>6.3</v>
      </c>
      <c r="G8032" s="29">
        <f>G8010</f>
        <v>170000</v>
      </c>
      <c r="H8032" s="122">
        <f>+G8032*F8032</f>
        <v>1071000</v>
      </c>
      <c r="M8032" s="61">
        <v>6.3</v>
      </c>
    </row>
    <row r="8033" spans="2:13" ht="18.75" customHeight="1" x14ac:dyDescent="0.25">
      <c r="B8033" s="26"/>
      <c r="C8033" s="96" t="s">
        <v>1272</v>
      </c>
      <c r="D8033" s="27" t="s">
        <v>634</v>
      </c>
      <c r="E8033" s="28" t="s">
        <v>631</v>
      </c>
      <c r="F8033" s="61">
        <v>0.52500000000000002</v>
      </c>
      <c r="G8033" s="29">
        <f>G8011</f>
        <v>185000</v>
      </c>
      <c r="H8033" s="122">
        <f>+G8033*F8033</f>
        <v>97125</v>
      </c>
      <c r="M8033" s="61">
        <v>0.52500000000000002</v>
      </c>
    </row>
    <row r="8034" spans="2:13" ht="18.75" customHeight="1" x14ac:dyDescent="0.25">
      <c r="B8034" s="26"/>
      <c r="C8034" s="96" t="s">
        <v>600</v>
      </c>
      <c r="D8034" s="27" t="s">
        <v>635</v>
      </c>
      <c r="E8034" s="36" t="s">
        <v>631</v>
      </c>
      <c r="F8034" s="193">
        <v>7.0000000000000001E-3</v>
      </c>
      <c r="G8034" s="29">
        <f>G8012</f>
        <v>185000</v>
      </c>
      <c r="H8034" s="123">
        <f>+G8034*F8034</f>
        <v>1295</v>
      </c>
      <c r="M8034" s="193">
        <v>7.0000000000000001E-3</v>
      </c>
    </row>
    <row r="8035" spans="2:13" ht="18.75" customHeight="1" x14ac:dyDescent="0.25">
      <c r="B8035" s="26"/>
      <c r="C8035" s="89"/>
      <c r="D8035" s="63"/>
      <c r="E8035" s="30"/>
      <c r="F8035" s="192" t="s">
        <v>636</v>
      </c>
      <c r="G8035" s="310"/>
      <c r="H8035" s="124">
        <f>SUM(H8032:H8034)</f>
        <v>1169420</v>
      </c>
      <c r="M8035" s="192" t="s">
        <v>636</v>
      </c>
    </row>
    <row r="8036" spans="2:13" ht="18.75" customHeight="1" x14ac:dyDescent="0.25">
      <c r="B8036" s="26"/>
      <c r="C8036" s="89"/>
      <c r="D8036" s="58"/>
      <c r="E8036" s="62"/>
      <c r="F8036" s="52"/>
      <c r="G8036" s="76"/>
      <c r="H8036" s="140"/>
      <c r="M8036" s="52"/>
    </row>
    <row r="8037" spans="2:13" ht="18.75" customHeight="1" x14ac:dyDescent="0.25">
      <c r="B8037" s="26" t="s">
        <v>637</v>
      </c>
      <c r="C8037" s="89" t="s">
        <v>638</v>
      </c>
      <c r="D8037" s="64"/>
      <c r="E8037" s="31"/>
      <c r="F8037" s="180"/>
      <c r="G8037" s="75"/>
      <c r="H8037" s="125"/>
      <c r="M8037" s="180"/>
    </row>
    <row r="8038" spans="2:13" ht="18.75" customHeight="1" x14ac:dyDescent="0.25">
      <c r="B8038" s="26"/>
      <c r="C8038" s="89"/>
      <c r="D8038" s="63"/>
      <c r="E8038" s="30"/>
      <c r="F8038" s="179" t="s">
        <v>643</v>
      </c>
      <c r="G8038" s="310"/>
      <c r="H8038" s="128">
        <f>H8037</f>
        <v>0</v>
      </c>
      <c r="M8038" s="179" t="s">
        <v>643</v>
      </c>
    </row>
    <row r="8039" spans="2:13" ht="18.75" customHeight="1" x14ac:dyDescent="0.25">
      <c r="B8039" s="26"/>
      <c r="C8039" s="89"/>
      <c r="D8039" s="64"/>
      <c r="E8039" s="31"/>
      <c r="F8039" s="180"/>
      <c r="G8039" s="75"/>
      <c r="H8039" s="125"/>
      <c r="M8039" s="180"/>
    </row>
    <row r="8040" spans="2:13" ht="18.75" customHeight="1" x14ac:dyDescent="0.25">
      <c r="B8040" s="26" t="s">
        <v>644</v>
      </c>
      <c r="C8040" s="89" t="s">
        <v>645</v>
      </c>
      <c r="D8040" s="56"/>
      <c r="E8040" s="36"/>
      <c r="F8040" s="194"/>
      <c r="G8040" s="88"/>
      <c r="H8040" s="127"/>
      <c r="M8040" s="194"/>
    </row>
    <row r="8041" spans="2:13" ht="18.75" customHeight="1" x14ac:dyDescent="0.25">
      <c r="B8041" s="35"/>
      <c r="C8041" s="97"/>
      <c r="D8041" s="63"/>
      <c r="E8041" s="30"/>
      <c r="F8041" s="179" t="s">
        <v>646</v>
      </c>
      <c r="G8041" s="310"/>
      <c r="H8041" s="128">
        <f>H8040</f>
        <v>0</v>
      </c>
      <c r="M8041" s="179" t="s">
        <v>646</v>
      </c>
    </row>
    <row r="8042" spans="2:13" ht="18.75" customHeight="1" x14ac:dyDescent="0.25">
      <c r="B8042" s="37"/>
      <c r="C8042" s="98"/>
      <c r="D8042" s="411"/>
      <c r="E8042" s="42"/>
      <c r="F8042" s="181"/>
      <c r="G8042" s="311"/>
      <c r="H8042" s="129"/>
      <c r="M8042" s="181"/>
    </row>
    <row r="8043" spans="2:13" ht="18.75" customHeight="1" x14ac:dyDescent="0.25">
      <c r="B8043" s="50"/>
      <c r="C8043" s="100"/>
      <c r="E8043" s="21"/>
      <c r="F8043" s="189"/>
      <c r="G8043" s="90"/>
      <c r="H8043" s="137"/>
      <c r="M8043" s="189"/>
    </row>
    <row r="8044" spans="2:13" ht="18.75" customHeight="1" x14ac:dyDescent="0.25">
      <c r="B8044" s="46" t="s">
        <v>647</v>
      </c>
      <c r="C8044" s="101" t="s">
        <v>648</v>
      </c>
      <c r="E8044" s="22"/>
      <c r="F8044" s="189"/>
      <c r="G8044" s="308"/>
      <c r="H8044" s="131">
        <f>+H8041+H8038+H8035</f>
        <v>1169420</v>
      </c>
      <c r="M8044" s="189"/>
    </row>
    <row r="8045" spans="2:13" ht="18.75" customHeight="1" x14ac:dyDescent="0.25">
      <c r="B8045" s="356" t="s">
        <v>649</v>
      </c>
      <c r="C8045" s="364" t="s">
        <v>650</v>
      </c>
      <c r="D8045" s="435"/>
      <c r="E8045" s="92"/>
      <c r="F8045" s="184" t="str">
        <f>$J$5</f>
        <v>8,0 % x D</v>
      </c>
      <c r="G8045" s="295"/>
      <c r="H8045" s="358">
        <f>+H8044*$K$5</f>
        <v>93553.600000000006</v>
      </c>
      <c r="M8045" s="184" t="str">
        <f>$J$5</f>
        <v>8,0 % x D</v>
      </c>
    </row>
    <row r="8046" spans="2:13" ht="18.75" customHeight="1" x14ac:dyDescent="0.25">
      <c r="B8046" s="356" t="s">
        <v>651</v>
      </c>
      <c r="C8046" s="365" t="s">
        <v>652</v>
      </c>
      <c r="D8046" s="435"/>
      <c r="E8046" s="91"/>
      <c r="F8046" s="185"/>
      <c r="G8046" s="296"/>
      <c r="H8046" s="359">
        <f>ROUNDUP((H8045+H8044)/100,0)*100</f>
        <v>1263000</v>
      </c>
      <c r="M8046" s="185"/>
    </row>
    <row r="8047" spans="2:13" ht="18.75" customHeight="1" thickBot="1" x14ac:dyDescent="0.3">
      <c r="B8047" s="47"/>
      <c r="C8047" s="103"/>
      <c r="D8047" s="48"/>
      <c r="E8047" s="49"/>
      <c r="F8047" s="186"/>
      <c r="G8047" s="309"/>
      <c r="H8047" s="136"/>
      <c r="M8047" s="186"/>
    </row>
    <row r="8048" spans="2:13" ht="18.75" customHeight="1" x14ac:dyDescent="0.25">
      <c r="B8048" s="22"/>
      <c r="C8048" s="104"/>
      <c r="E8048" s="21"/>
      <c r="F8048" s="176"/>
      <c r="G8048" s="165"/>
      <c r="H8048" s="119"/>
      <c r="M8048" s="176"/>
    </row>
    <row r="8049" spans="2:13" ht="18.75" customHeight="1" x14ac:dyDescent="0.25">
      <c r="B8049" s="19">
        <f>B8027+1</f>
        <v>59</v>
      </c>
      <c r="C8049" s="93" t="s">
        <v>1279</v>
      </c>
      <c r="D8049" s="19"/>
      <c r="E8049" s="21"/>
      <c r="F8049" s="176"/>
      <c r="G8049" s="165"/>
      <c r="H8049" s="119"/>
      <c r="M8049" s="176"/>
    </row>
    <row r="8050" spans="2:13" ht="18.75" customHeight="1" x14ac:dyDescent="0.25">
      <c r="B8050" s="618" t="s">
        <v>620</v>
      </c>
      <c r="C8050" s="620" t="s">
        <v>621</v>
      </c>
      <c r="D8050" s="618" t="s">
        <v>622</v>
      </c>
      <c r="E8050" s="618" t="s">
        <v>2</v>
      </c>
      <c r="F8050" s="615" t="s">
        <v>623</v>
      </c>
      <c r="G8050" s="289" t="s">
        <v>624</v>
      </c>
      <c r="H8050" s="256" t="s">
        <v>625</v>
      </c>
      <c r="M8050" s="615" t="s">
        <v>623</v>
      </c>
    </row>
    <row r="8051" spans="2:13" ht="18.75" customHeight="1" x14ac:dyDescent="0.25">
      <c r="B8051" s="619"/>
      <c r="C8051" s="621"/>
      <c r="D8051" s="619"/>
      <c r="E8051" s="619"/>
      <c r="F8051" s="616"/>
      <c r="G8051" s="289" t="s">
        <v>626</v>
      </c>
      <c r="H8051" s="256" t="s">
        <v>626</v>
      </c>
      <c r="M8051" s="616"/>
    </row>
    <row r="8052" spans="2:13" ht="18.75" customHeight="1" x14ac:dyDescent="0.25">
      <c r="B8052" s="23"/>
      <c r="C8052" s="95"/>
      <c r="D8052" s="24"/>
      <c r="E8052" s="25"/>
      <c r="F8052" s="177"/>
      <c r="G8052" s="166"/>
      <c r="H8052" s="120"/>
      <c r="M8052" s="177"/>
    </row>
    <row r="8053" spans="2:13" ht="18.75" customHeight="1" x14ac:dyDescent="0.25">
      <c r="B8053" s="26" t="s">
        <v>627</v>
      </c>
      <c r="C8053" s="89" t="s">
        <v>628</v>
      </c>
      <c r="D8053" s="27"/>
      <c r="E8053" s="28"/>
      <c r="F8053" s="178"/>
      <c r="G8053" s="72"/>
      <c r="H8053" s="121"/>
      <c r="M8053" s="178"/>
    </row>
    <row r="8054" spans="2:13" ht="18.75" customHeight="1" x14ac:dyDescent="0.25">
      <c r="B8054" s="26"/>
      <c r="C8054" s="96" t="s">
        <v>1509</v>
      </c>
      <c r="D8054" s="27" t="s">
        <v>634</v>
      </c>
      <c r="E8054" s="28" t="s">
        <v>631</v>
      </c>
      <c r="F8054" s="61">
        <v>1.6</v>
      </c>
      <c r="G8054" s="29">
        <f>G8032</f>
        <v>170000</v>
      </c>
      <c r="H8054" s="122">
        <f>+G8054*F8054</f>
        <v>272000</v>
      </c>
      <c r="M8054" s="61">
        <v>1.6</v>
      </c>
    </row>
    <row r="8055" spans="2:13" ht="18.75" customHeight="1" x14ac:dyDescent="0.25">
      <c r="B8055" s="26"/>
      <c r="C8055" s="96" t="s">
        <v>1272</v>
      </c>
      <c r="D8055" s="27" t="s">
        <v>634</v>
      </c>
      <c r="E8055" s="28" t="s">
        <v>631</v>
      </c>
      <c r="F8055" s="61">
        <v>0.17499999999999999</v>
      </c>
      <c r="G8055" s="29">
        <f>G8033</f>
        <v>185000</v>
      </c>
      <c r="H8055" s="122">
        <f>+G8055*F8055</f>
        <v>32374.999999999996</v>
      </c>
      <c r="M8055" s="61">
        <v>0.17499999999999999</v>
      </c>
    </row>
    <row r="8056" spans="2:13" ht="18.75" customHeight="1" x14ac:dyDescent="0.25">
      <c r="B8056" s="26"/>
      <c r="C8056" s="96" t="s">
        <v>600</v>
      </c>
      <c r="D8056" s="27" t="s">
        <v>635</v>
      </c>
      <c r="E8056" s="36" t="s">
        <v>631</v>
      </c>
      <c r="F8056" s="193">
        <v>2E-3</v>
      </c>
      <c r="G8056" s="29">
        <f>G8034</f>
        <v>185000</v>
      </c>
      <c r="H8056" s="123">
        <f>+G8056*F8056</f>
        <v>370</v>
      </c>
      <c r="M8056" s="193">
        <v>2E-3</v>
      </c>
    </row>
    <row r="8057" spans="2:13" ht="18.75" customHeight="1" x14ac:dyDescent="0.25">
      <c r="B8057" s="26"/>
      <c r="C8057" s="89"/>
      <c r="D8057" s="63"/>
      <c r="E8057" s="30"/>
      <c r="F8057" s="192" t="s">
        <v>636</v>
      </c>
      <c r="G8057" s="310"/>
      <c r="H8057" s="124">
        <f>SUM(H8054:H8056)</f>
        <v>304745</v>
      </c>
      <c r="M8057" s="192" t="s">
        <v>636</v>
      </c>
    </row>
    <row r="8058" spans="2:13" ht="18.75" customHeight="1" x14ac:dyDescent="0.25">
      <c r="B8058" s="26"/>
      <c r="C8058" s="89"/>
      <c r="D8058" s="58"/>
      <c r="E8058" s="62"/>
      <c r="F8058" s="52"/>
      <c r="G8058" s="76"/>
      <c r="H8058" s="140"/>
      <c r="M8058" s="52"/>
    </row>
    <row r="8059" spans="2:13" ht="18.75" customHeight="1" x14ac:dyDescent="0.25">
      <c r="B8059" s="26" t="s">
        <v>637</v>
      </c>
      <c r="C8059" s="89" t="s">
        <v>638</v>
      </c>
      <c r="D8059" s="64"/>
      <c r="E8059" s="31"/>
      <c r="F8059" s="180"/>
      <c r="G8059" s="75"/>
      <c r="H8059" s="125"/>
      <c r="M8059" s="180"/>
    </row>
    <row r="8060" spans="2:13" ht="18.75" customHeight="1" x14ac:dyDescent="0.25">
      <c r="B8060" s="26"/>
      <c r="C8060" s="89"/>
      <c r="D8060" s="63"/>
      <c r="E8060" s="30"/>
      <c r="F8060" s="179" t="s">
        <v>643</v>
      </c>
      <c r="G8060" s="310"/>
      <c r="H8060" s="128">
        <f>H8059</f>
        <v>0</v>
      </c>
      <c r="M8060" s="179" t="s">
        <v>643</v>
      </c>
    </row>
    <row r="8061" spans="2:13" ht="18.75" customHeight="1" x14ac:dyDescent="0.25">
      <c r="B8061" s="26"/>
      <c r="C8061" s="89"/>
      <c r="D8061" s="64"/>
      <c r="E8061" s="31"/>
      <c r="F8061" s="180"/>
      <c r="G8061" s="75"/>
      <c r="H8061" s="125"/>
      <c r="M8061" s="180"/>
    </row>
    <row r="8062" spans="2:13" ht="18.75" customHeight="1" x14ac:dyDescent="0.25">
      <c r="B8062" s="26" t="s">
        <v>644</v>
      </c>
      <c r="C8062" s="89" t="s">
        <v>645</v>
      </c>
      <c r="D8062" s="56"/>
      <c r="E8062" s="36"/>
      <c r="F8062" s="194"/>
      <c r="G8062" s="88"/>
      <c r="H8062" s="127"/>
      <c r="M8062" s="194"/>
    </row>
    <row r="8063" spans="2:13" ht="18.75" customHeight="1" x14ac:dyDescent="0.25">
      <c r="B8063" s="35"/>
      <c r="C8063" s="97"/>
      <c r="D8063" s="63"/>
      <c r="E8063" s="30"/>
      <c r="F8063" s="179" t="s">
        <v>646</v>
      </c>
      <c r="G8063" s="310"/>
      <c r="H8063" s="128">
        <f>H8062</f>
        <v>0</v>
      </c>
      <c r="M8063" s="179" t="s">
        <v>646</v>
      </c>
    </row>
    <row r="8064" spans="2:13" ht="18.75" customHeight="1" x14ac:dyDescent="0.25">
      <c r="B8064" s="37"/>
      <c r="C8064" s="98"/>
      <c r="D8064" s="411"/>
      <c r="E8064" s="42"/>
      <c r="F8064" s="181"/>
      <c r="G8064" s="311"/>
      <c r="H8064" s="129"/>
      <c r="M8064" s="181"/>
    </row>
    <row r="8065" spans="2:13" ht="18.75" customHeight="1" x14ac:dyDescent="0.25">
      <c r="B8065" s="50"/>
      <c r="C8065" s="100"/>
      <c r="E8065" s="21"/>
      <c r="F8065" s="189"/>
      <c r="G8065" s="90"/>
      <c r="H8065" s="137"/>
      <c r="M8065" s="189"/>
    </row>
    <row r="8066" spans="2:13" ht="18.75" customHeight="1" x14ac:dyDescent="0.25">
      <c r="B8066" s="46" t="s">
        <v>647</v>
      </c>
      <c r="C8066" s="101" t="s">
        <v>648</v>
      </c>
      <c r="E8066" s="22"/>
      <c r="F8066" s="189"/>
      <c r="G8066" s="308"/>
      <c r="H8066" s="131">
        <f>+H8063+H8060+H8057</f>
        <v>304745</v>
      </c>
      <c r="M8066" s="189"/>
    </row>
    <row r="8067" spans="2:13" ht="18.75" customHeight="1" x14ac:dyDescent="0.25">
      <c r="B8067" s="356" t="s">
        <v>649</v>
      </c>
      <c r="C8067" s="364" t="s">
        <v>650</v>
      </c>
      <c r="D8067" s="435"/>
      <c r="E8067" s="92"/>
      <c r="F8067" s="184" t="str">
        <f>$J$5</f>
        <v>8,0 % x D</v>
      </c>
      <c r="G8067" s="295"/>
      <c r="H8067" s="358">
        <f>+H8066*$K$5</f>
        <v>24379.600000000002</v>
      </c>
      <c r="M8067" s="184" t="str">
        <f>$J$5</f>
        <v>8,0 % x D</v>
      </c>
    </row>
    <row r="8068" spans="2:13" ht="18.75" customHeight="1" x14ac:dyDescent="0.25">
      <c r="B8068" s="356" t="s">
        <v>651</v>
      </c>
      <c r="C8068" s="365" t="s">
        <v>652</v>
      </c>
      <c r="D8068" s="435"/>
      <c r="E8068" s="91"/>
      <c r="F8068" s="185"/>
      <c r="G8068" s="296"/>
      <c r="H8068" s="359">
        <f>ROUNDUP((H8067+H8066)/100,0)*100</f>
        <v>329200</v>
      </c>
      <c r="M8068" s="185"/>
    </row>
    <row r="8069" spans="2:13" ht="18.75" customHeight="1" thickBot="1" x14ac:dyDescent="0.3">
      <c r="B8069" s="47"/>
      <c r="C8069" s="103"/>
      <c r="D8069" s="48"/>
      <c r="E8069" s="49"/>
      <c r="F8069" s="186"/>
      <c r="G8069" s="309"/>
      <c r="H8069" s="136"/>
      <c r="M8069" s="186"/>
    </row>
    <row r="8070" spans="2:13" ht="18.75" customHeight="1" x14ac:dyDescent="0.25">
      <c r="B8070" s="92"/>
      <c r="C8070" s="104"/>
      <c r="D8070" s="435"/>
      <c r="E8070" s="91"/>
      <c r="F8070" s="185"/>
      <c r="G8070" s="168"/>
      <c r="H8070" s="139"/>
      <c r="M8070" s="185"/>
    </row>
    <row r="8071" spans="2:13" ht="18.75" customHeight="1" x14ac:dyDescent="0.25">
      <c r="B8071" s="19">
        <f>B8049+1</f>
        <v>60</v>
      </c>
      <c r="C8071" s="93" t="s">
        <v>1280</v>
      </c>
      <c r="D8071" s="19"/>
      <c r="E8071" s="21"/>
      <c r="F8071" s="176"/>
      <c r="G8071" s="165"/>
      <c r="H8071" s="119"/>
      <c r="M8071" s="176"/>
    </row>
    <row r="8072" spans="2:13" ht="18.75" customHeight="1" x14ac:dyDescent="0.25">
      <c r="B8072" s="618" t="s">
        <v>620</v>
      </c>
      <c r="C8072" s="620" t="s">
        <v>621</v>
      </c>
      <c r="D8072" s="618" t="s">
        <v>622</v>
      </c>
      <c r="E8072" s="618" t="s">
        <v>2</v>
      </c>
      <c r="F8072" s="615" t="s">
        <v>623</v>
      </c>
      <c r="G8072" s="289" t="s">
        <v>624</v>
      </c>
      <c r="H8072" s="256" t="s">
        <v>625</v>
      </c>
      <c r="M8072" s="615" t="s">
        <v>623</v>
      </c>
    </row>
    <row r="8073" spans="2:13" ht="18.75" customHeight="1" x14ac:dyDescent="0.25">
      <c r="B8073" s="619"/>
      <c r="C8073" s="621"/>
      <c r="D8073" s="619"/>
      <c r="E8073" s="619"/>
      <c r="F8073" s="616"/>
      <c r="G8073" s="289" t="s">
        <v>626</v>
      </c>
      <c r="H8073" s="256" t="s">
        <v>626</v>
      </c>
      <c r="M8073" s="616"/>
    </row>
    <row r="8074" spans="2:13" ht="18.75" customHeight="1" x14ac:dyDescent="0.25">
      <c r="B8074" s="23"/>
      <c r="C8074" s="95"/>
      <c r="D8074" s="24"/>
      <c r="E8074" s="25"/>
      <c r="F8074" s="177"/>
      <c r="G8074" s="166"/>
      <c r="H8074" s="120"/>
      <c r="M8074" s="177"/>
    </row>
    <row r="8075" spans="2:13" ht="18.75" customHeight="1" x14ac:dyDescent="0.25">
      <c r="B8075" s="26" t="s">
        <v>627</v>
      </c>
      <c r="C8075" s="89" t="s">
        <v>628</v>
      </c>
      <c r="D8075" s="27"/>
      <c r="E8075" s="28"/>
      <c r="F8075" s="178"/>
      <c r="G8075" s="72"/>
      <c r="H8075" s="121"/>
      <c r="M8075" s="178"/>
    </row>
    <row r="8076" spans="2:13" ht="18.75" customHeight="1" x14ac:dyDescent="0.25">
      <c r="B8076" s="26"/>
      <c r="C8076" s="96" t="s">
        <v>1509</v>
      </c>
      <c r="D8076" s="27" t="s">
        <v>634</v>
      </c>
      <c r="E8076" s="28" t="s">
        <v>631</v>
      </c>
      <c r="F8076" s="61">
        <v>1.6</v>
      </c>
      <c r="G8076" s="29">
        <f>G8054</f>
        <v>170000</v>
      </c>
      <c r="H8076" s="122">
        <f>+G8076*F8076</f>
        <v>272000</v>
      </c>
      <c r="M8076" s="61">
        <v>1.6</v>
      </c>
    </row>
    <row r="8077" spans="2:13" ht="18.75" customHeight="1" x14ac:dyDescent="0.25">
      <c r="B8077" s="26"/>
      <c r="C8077" s="96" t="s">
        <v>1272</v>
      </c>
      <c r="D8077" s="27" t="s">
        <v>634</v>
      </c>
      <c r="E8077" s="28" t="s">
        <v>631</v>
      </c>
      <c r="F8077" s="61">
        <v>0.17499999999999999</v>
      </c>
      <c r="G8077" s="29">
        <f>G8055</f>
        <v>185000</v>
      </c>
      <c r="H8077" s="122">
        <f>+G8077*F8077</f>
        <v>32374.999999999996</v>
      </c>
      <c r="M8077" s="61">
        <v>0.17499999999999999</v>
      </c>
    </row>
    <row r="8078" spans="2:13" ht="18.75" customHeight="1" x14ac:dyDescent="0.25">
      <c r="B8078" s="26"/>
      <c r="C8078" s="96" t="s">
        <v>600</v>
      </c>
      <c r="D8078" s="27" t="s">
        <v>635</v>
      </c>
      <c r="E8078" s="36" t="s">
        <v>631</v>
      </c>
      <c r="F8078" s="193">
        <v>2E-3</v>
      </c>
      <c r="G8078" s="29">
        <f>G8056</f>
        <v>185000</v>
      </c>
      <c r="H8078" s="123">
        <f>+G8078*F8078</f>
        <v>370</v>
      </c>
      <c r="M8078" s="193">
        <v>2E-3</v>
      </c>
    </row>
    <row r="8079" spans="2:13" ht="18.75" customHeight="1" x14ac:dyDescent="0.25">
      <c r="B8079" s="26"/>
      <c r="C8079" s="89"/>
      <c r="D8079" s="63"/>
      <c r="E8079" s="30"/>
      <c r="F8079" s="192" t="s">
        <v>636</v>
      </c>
      <c r="G8079" s="310"/>
      <c r="H8079" s="124">
        <f>SUM(H8076:H8078)</f>
        <v>304745</v>
      </c>
      <c r="M8079" s="192" t="s">
        <v>636</v>
      </c>
    </row>
    <row r="8080" spans="2:13" ht="18.75" customHeight="1" x14ac:dyDescent="0.25">
      <c r="B8080" s="26"/>
      <c r="C8080" s="89"/>
      <c r="D8080" s="58"/>
      <c r="E8080" s="62"/>
      <c r="F8080" s="52"/>
      <c r="G8080" s="76"/>
      <c r="H8080" s="140"/>
      <c r="M8080" s="52"/>
    </row>
    <row r="8081" spans="2:13" ht="18.75" customHeight="1" x14ac:dyDescent="0.25">
      <c r="B8081" s="26" t="s">
        <v>637</v>
      </c>
      <c r="C8081" s="89" t="s">
        <v>638</v>
      </c>
      <c r="D8081" s="64"/>
      <c r="E8081" s="31"/>
      <c r="F8081" s="180"/>
      <c r="G8081" s="75"/>
      <c r="H8081" s="125"/>
      <c r="M8081" s="180"/>
    </row>
    <row r="8082" spans="2:13" ht="18.75" customHeight="1" x14ac:dyDescent="0.25">
      <c r="B8082" s="26"/>
      <c r="C8082" s="89"/>
      <c r="D8082" s="63"/>
      <c r="E8082" s="30"/>
      <c r="F8082" s="179" t="s">
        <v>643</v>
      </c>
      <c r="G8082" s="310"/>
      <c r="H8082" s="128">
        <f>H8081</f>
        <v>0</v>
      </c>
      <c r="M8082" s="179" t="s">
        <v>643</v>
      </c>
    </row>
    <row r="8083" spans="2:13" ht="18.75" customHeight="1" x14ac:dyDescent="0.25">
      <c r="B8083" s="26"/>
      <c r="C8083" s="89"/>
      <c r="D8083" s="64"/>
      <c r="E8083" s="31"/>
      <c r="F8083" s="180"/>
      <c r="G8083" s="75"/>
      <c r="H8083" s="125"/>
      <c r="M8083" s="180"/>
    </row>
    <row r="8084" spans="2:13" ht="18.75" customHeight="1" x14ac:dyDescent="0.25">
      <c r="B8084" s="26" t="s">
        <v>644</v>
      </c>
      <c r="C8084" s="89" t="s">
        <v>645</v>
      </c>
      <c r="D8084" s="56"/>
      <c r="E8084" s="36"/>
      <c r="F8084" s="194"/>
      <c r="G8084" s="88"/>
      <c r="H8084" s="127"/>
      <c r="M8084" s="194"/>
    </row>
    <row r="8085" spans="2:13" ht="18.75" customHeight="1" x14ac:dyDescent="0.25">
      <c r="B8085" s="35"/>
      <c r="C8085" s="97"/>
      <c r="D8085" s="63"/>
      <c r="E8085" s="30"/>
      <c r="F8085" s="179" t="s">
        <v>646</v>
      </c>
      <c r="G8085" s="310"/>
      <c r="H8085" s="128">
        <f>H8084</f>
        <v>0</v>
      </c>
      <c r="M8085" s="179" t="s">
        <v>646</v>
      </c>
    </row>
    <row r="8086" spans="2:13" ht="18.75" customHeight="1" x14ac:dyDescent="0.25">
      <c r="B8086" s="55"/>
      <c r="C8086" s="105"/>
      <c r="D8086" s="411"/>
      <c r="E8086" s="42"/>
      <c r="F8086" s="181"/>
      <c r="G8086" s="311"/>
      <c r="H8086" s="141"/>
      <c r="M8086" s="181"/>
    </row>
    <row r="8087" spans="2:13" ht="18.75" customHeight="1" x14ac:dyDescent="0.25">
      <c r="B8087" s="37"/>
      <c r="C8087" s="98"/>
      <c r="D8087" s="411"/>
      <c r="E8087" s="42"/>
      <c r="F8087" s="181"/>
      <c r="G8087" s="311"/>
      <c r="H8087" s="129"/>
      <c r="M8087" s="181"/>
    </row>
    <row r="8088" spans="2:13" ht="18.75" customHeight="1" x14ac:dyDescent="0.25">
      <c r="B8088" s="50"/>
      <c r="C8088" s="100"/>
      <c r="E8088" s="21"/>
      <c r="F8088" s="189"/>
      <c r="G8088" s="90"/>
      <c r="H8088" s="137"/>
      <c r="M8088" s="189"/>
    </row>
    <row r="8089" spans="2:13" ht="18.75" customHeight="1" x14ac:dyDescent="0.25">
      <c r="B8089" s="46" t="s">
        <v>647</v>
      </c>
      <c r="C8089" s="101" t="s">
        <v>648</v>
      </c>
      <c r="E8089" s="22"/>
      <c r="F8089" s="189"/>
      <c r="G8089" s="308"/>
      <c r="H8089" s="131">
        <f>+H8085+H8082+H8079</f>
        <v>304745</v>
      </c>
      <c r="M8089" s="189"/>
    </row>
    <row r="8090" spans="2:13" ht="18.75" customHeight="1" x14ac:dyDescent="0.25">
      <c r="B8090" s="356" t="s">
        <v>649</v>
      </c>
      <c r="C8090" s="364" t="s">
        <v>650</v>
      </c>
      <c r="D8090" s="435"/>
      <c r="E8090" s="92"/>
      <c r="F8090" s="184" t="str">
        <f>$J$5</f>
        <v>8,0 % x D</v>
      </c>
      <c r="G8090" s="295"/>
      <c r="H8090" s="358">
        <f>+H8089*$K$5</f>
        <v>24379.600000000002</v>
      </c>
      <c r="M8090" s="184" t="str">
        <f>$J$5</f>
        <v>8,0 % x D</v>
      </c>
    </row>
    <row r="8091" spans="2:13" ht="18.75" customHeight="1" x14ac:dyDescent="0.25">
      <c r="B8091" s="356" t="s">
        <v>651</v>
      </c>
      <c r="C8091" s="365" t="s">
        <v>652</v>
      </c>
      <c r="D8091" s="435"/>
      <c r="E8091" s="91"/>
      <c r="F8091" s="185"/>
      <c r="G8091" s="296"/>
      <c r="H8091" s="359">
        <f>ROUNDUP((H8090+H8089)/100,0)*100</f>
        <v>329200</v>
      </c>
      <c r="M8091" s="185"/>
    </row>
    <row r="8092" spans="2:13" ht="18.75" customHeight="1" thickBot="1" x14ac:dyDescent="0.3">
      <c r="B8092" s="47"/>
      <c r="C8092" s="103"/>
      <c r="D8092" s="48"/>
      <c r="E8092" s="49"/>
      <c r="F8092" s="186"/>
      <c r="G8092" s="309"/>
      <c r="H8092" s="136"/>
      <c r="M8092" s="186"/>
    </row>
    <row r="8093" spans="2:13" ht="18.75" customHeight="1" x14ac:dyDescent="0.25">
      <c r="B8093" s="22"/>
      <c r="C8093" s="104"/>
      <c r="E8093" s="21"/>
      <c r="F8093" s="176"/>
      <c r="G8093" s="165"/>
      <c r="H8093" s="119"/>
      <c r="M8093" s="176"/>
    </row>
    <row r="8094" spans="2:13" ht="18.75" customHeight="1" x14ac:dyDescent="0.25">
      <c r="B8094" s="19">
        <f>B8071+1</f>
        <v>61</v>
      </c>
      <c r="C8094" s="93" t="s">
        <v>1281</v>
      </c>
      <c r="D8094" s="19"/>
      <c r="E8094" s="21"/>
      <c r="F8094" s="176"/>
      <c r="G8094" s="165"/>
      <c r="H8094" s="119"/>
      <c r="M8094" s="176"/>
    </row>
    <row r="8095" spans="2:13" ht="18.75" customHeight="1" x14ac:dyDescent="0.25">
      <c r="B8095" s="618" t="s">
        <v>620</v>
      </c>
      <c r="C8095" s="620" t="s">
        <v>621</v>
      </c>
      <c r="D8095" s="618" t="s">
        <v>622</v>
      </c>
      <c r="E8095" s="618" t="s">
        <v>2</v>
      </c>
      <c r="F8095" s="615" t="s">
        <v>623</v>
      </c>
      <c r="G8095" s="289" t="s">
        <v>624</v>
      </c>
      <c r="H8095" s="256" t="s">
        <v>625</v>
      </c>
      <c r="M8095" s="615" t="s">
        <v>623</v>
      </c>
    </row>
    <row r="8096" spans="2:13" ht="18.75" customHeight="1" x14ac:dyDescent="0.25">
      <c r="B8096" s="619"/>
      <c r="C8096" s="621"/>
      <c r="D8096" s="619"/>
      <c r="E8096" s="619"/>
      <c r="F8096" s="616"/>
      <c r="G8096" s="289" t="s">
        <v>626</v>
      </c>
      <c r="H8096" s="256" t="s">
        <v>626</v>
      </c>
      <c r="M8096" s="616"/>
    </row>
    <row r="8097" spans="2:13" ht="18.75" customHeight="1" x14ac:dyDescent="0.25">
      <c r="B8097" s="23"/>
      <c r="C8097" s="95"/>
      <c r="D8097" s="24"/>
      <c r="E8097" s="25"/>
      <c r="F8097" s="177"/>
      <c r="G8097" s="166"/>
      <c r="H8097" s="120"/>
      <c r="M8097" s="177"/>
    </row>
    <row r="8098" spans="2:13" ht="18.75" customHeight="1" x14ac:dyDescent="0.25">
      <c r="B8098" s="26" t="s">
        <v>627</v>
      </c>
      <c r="C8098" s="89" t="s">
        <v>628</v>
      </c>
      <c r="D8098" s="27"/>
      <c r="E8098" s="28"/>
      <c r="F8098" s="178"/>
      <c r="G8098" s="72"/>
      <c r="H8098" s="121"/>
      <c r="M8098" s="178"/>
    </row>
    <row r="8099" spans="2:13" ht="18.75" customHeight="1" x14ac:dyDescent="0.25">
      <c r="B8099" s="26"/>
      <c r="C8099" s="96" t="s">
        <v>1509</v>
      </c>
      <c r="D8099" s="27" t="s">
        <v>634</v>
      </c>
      <c r="E8099" s="28" t="s">
        <v>631</v>
      </c>
      <c r="F8099" s="61">
        <v>1.1000000000000001</v>
      </c>
      <c r="G8099" s="29">
        <f>G8076</f>
        <v>170000</v>
      </c>
      <c r="H8099" s="122">
        <f>+G8099*F8099</f>
        <v>187000.00000000003</v>
      </c>
      <c r="M8099" s="61">
        <v>1.1000000000000001</v>
      </c>
    </row>
    <row r="8100" spans="2:13" ht="18.75" customHeight="1" x14ac:dyDescent="0.25">
      <c r="B8100" s="26"/>
      <c r="C8100" s="96" t="s">
        <v>1272</v>
      </c>
      <c r="D8100" s="27" t="s">
        <v>634</v>
      </c>
      <c r="E8100" s="28" t="s">
        <v>631</v>
      </c>
      <c r="F8100" s="61">
        <v>0.13</v>
      </c>
      <c r="G8100" s="29">
        <f>G8077</f>
        <v>185000</v>
      </c>
      <c r="H8100" s="122">
        <f>+G8100*F8100</f>
        <v>24050</v>
      </c>
      <c r="M8100" s="61">
        <v>0.13</v>
      </c>
    </row>
    <row r="8101" spans="2:13" ht="18.75" customHeight="1" x14ac:dyDescent="0.25">
      <c r="B8101" s="26"/>
      <c r="C8101" s="96" t="s">
        <v>600</v>
      </c>
      <c r="D8101" s="27" t="s">
        <v>635</v>
      </c>
      <c r="E8101" s="36" t="s">
        <v>631</v>
      </c>
      <c r="F8101" s="193">
        <v>1.1999999999999999E-3</v>
      </c>
      <c r="G8101" s="29">
        <f>G8078</f>
        <v>185000</v>
      </c>
      <c r="H8101" s="123">
        <f>+G8101*F8101</f>
        <v>221.99999999999997</v>
      </c>
      <c r="M8101" s="193">
        <v>1.1999999999999999E-3</v>
      </c>
    </row>
    <row r="8102" spans="2:13" ht="18.75" customHeight="1" x14ac:dyDescent="0.25">
      <c r="B8102" s="26"/>
      <c r="C8102" s="89"/>
      <c r="D8102" s="63"/>
      <c r="E8102" s="30"/>
      <c r="F8102" s="192" t="s">
        <v>636</v>
      </c>
      <c r="G8102" s="310"/>
      <c r="H8102" s="124">
        <f>SUM(H8099:H8101)</f>
        <v>211272.00000000003</v>
      </c>
      <c r="M8102" s="192" t="s">
        <v>636</v>
      </c>
    </row>
    <row r="8103" spans="2:13" ht="18.75" customHeight="1" x14ac:dyDescent="0.25">
      <c r="B8103" s="26"/>
      <c r="C8103" s="89"/>
      <c r="D8103" s="58"/>
      <c r="E8103" s="62"/>
      <c r="F8103" s="52"/>
      <c r="G8103" s="76"/>
      <c r="H8103" s="140"/>
      <c r="M8103" s="52"/>
    </row>
    <row r="8104" spans="2:13" ht="18.75" customHeight="1" x14ac:dyDescent="0.25">
      <c r="B8104" s="26" t="s">
        <v>637</v>
      </c>
      <c r="C8104" s="89" t="s">
        <v>638</v>
      </c>
      <c r="D8104" s="64"/>
      <c r="E8104" s="31"/>
      <c r="F8104" s="180"/>
      <c r="G8104" s="75"/>
      <c r="H8104" s="125"/>
      <c r="M8104" s="180"/>
    </row>
    <row r="8105" spans="2:13" ht="18.75" customHeight="1" x14ac:dyDescent="0.25">
      <c r="B8105" s="26"/>
      <c r="C8105" s="89"/>
      <c r="D8105" s="63"/>
      <c r="E8105" s="30"/>
      <c r="F8105" s="179" t="s">
        <v>643</v>
      </c>
      <c r="G8105" s="310"/>
      <c r="H8105" s="128">
        <f>H8104</f>
        <v>0</v>
      </c>
      <c r="M8105" s="179" t="s">
        <v>643</v>
      </c>
    </row>
    <row r="8106" spans="2:13" ht="18.75" customHeight="1" x14ac:dyDescent="0.25">
      <c r="B8106" s="26"/>
      <c r="C8106" s="89"/>
      <c r="D8106" s="64"/>
      <c r="E8106" s="31"/>
      <c r="F8106" s="180"/>
      <c r="G8106" s="75"/>
      <c r="H8106" s="125"/>
      <c r="M8106" s="180"/>
    </row>
    <row r="8107" spans="2:13" ht="18.75" customHeight="1" x14ac:dyDescent="0.25">
      <c r="B8107" s="26" t="s">
        <v>644</v>
      </c>
      <c r="C8107" s="89" t="s">
        <v>645</v>
      </c>
      <c r="D8107" s="56"/>
      <c r="E8107" s="36"/>
      <c r="F8107" s="194"/>
      <c r="G8107" s="88"/>
      <c r="H8107" s="127"/>
      <c r="M8107" s="194"/>
    </row>
    <row r="8108" spans="2:13" ht="18.75" customHeight="1" x14ac:dyDescent="0.25">
      <c r="B8108" s="35"/>
      <c r="C8108" s="97"/>
      <c r="D8108" s="63"/>
      <c r="E8108" s="30"/>
      <c r="F8108" s="179" t="s">
        <v>646</v>
      </c>
      <c r="G8108" s="310"/>
      <c r="H8108" s="128">
        <f>H8107</f>
        <v>0</v>
      </c>
      <c r="M8108" s="179" t="s">
        <v>646</v>
      </c>
    </row>
    <row r="8109" spans="2:13" ht="18.75" customHeight="1" x14ac:dyDescent="0.25">
      <c r="B8109" s="37"/>
      <c r="C8109" s="98"/>
      <c r="D8109" s="411"/>
      <c r="E8109" s="42"/>
      <c r="F8109" s="181"/>
      <c r="G8109" s="311"/>
      <c r="H8109" s="129"/>
      <c r="M8109" s="181"/>
    </row>
    <row r="8110" spans="2:13" ht="18.75" customHeight="1" x14ac:dyDescent="0.25">
      <c r="B8110" s="50"/>
      <c r="C8110" s="100"/>
      <c r="E8110" s="21"/>
      <c r="F8110" s="189"/>
      <c r="G8110" s="90"/>
      <c r="H8110" s="137"/>
      <c r="M8110" s="189"/>
    </row>
    <row r="8111" spans="2:13" ht="18.75" customHeight="1" x14ac:dyDescent="0.25">
      <c r="B8111" s="46" t="s">
        <v>647</v>
      </c>
      <c r="C8111" s="101" t="s">
        <v>648</v>
      </c>
      <c r="E8111" s="22"/>
      <c r="F8111" s="189"/>
      <c r="G8111" s="308"/>
      <c r="H8111" s="131">
        <f>+H8108+H8105+H8102</f>
        <v>211272.00000000003</v>
      </c>
      <c r="M8111" s="189"/>
    </row>
    <row r="8112" spans="2:13" ht="18.75" customHeight="1" x14ac:dyDescent="0.25">
      <c r="B8112" s="356" t="s">
        <v>649</v>
      </c>
      <c r="C8112" s="364" t="s">
        <v>650</v>
      </c>
      <c r="D8112" s="435"/>
      <c r="E8112" s="92"/>
      <c r="F8112" s="184" t="str">
        <f>$J$5</f>
        <v>8,0 % x D</v>
      </c>
      <c r="G8112" s="295"/>
      <c r="H8112" s="358">
        <f>+H8111*$K$5</f>
        <v>16901.760000000002</v>
      </c>
      <c r="M8112" s="184" t="str">
        <f>$J$5</f>
        <v>8,0 % x D</v>
      </c>
    </row>
    <row r="8113" spans="2:13" ht="18.75" customHeight="1" x14ac:dyDescent="0.25">
      <c r="B8113" s="356" t="s">
        <v>651</v>
      </c>
      <c r="C8113" s="365" t="s">
        <v>652</v>
      </c>
      <c r="D8113" s="435"/>
      <c r="E8113" s="91"/>
      <c r="F8113" s="185"/>
      <c r="G8113" s="296"/>
      <c r="H8113" s="359">
        <f>ROUNDUP((H8112+H8111)/100,0)*100</f>
        <v>228200</v>
      </c>
      <c r="M8113" s="185"/>
    </row>
    <row r="8114" spans="2:13" ht="18.75" customHeight="1" thickBot="1" x14ac:dyDescent="0.3">
      <c r="B8114" s="47"/>
      <c r="C8114" s="103"/>
      <c r="D8114" s="48"/>
      <c r="E8114" s="49"/>
      <c r="F8114" s="186"/>
      <c r="G8114" s="309"/>
      <c r="H8114" s="136"/>
      <c r="M8114" s="186"/>
    </row>
    <row r="8115" spans="2:13" ht="18.75" customHeight="1" x14ac:dyDescent="0.25">
      <c r="B8115" s="92"/>
      <c r="C8115" s="104"/>
      <c r="D8115" s="435"/>
      <c r="E8115" s="91"/>
      <c r="F8115" s="185"/>
      <c r="G8115" s="168"/>
      <c r="H8115" s="139"/>
      <c r="M8115" s="185"/>
    </row>
    <row r="8116" spans="2:13" ht="18.75" customHeight="1" x14ac:dyDescent="0.25">
      <c r="B8116" s="19">
        <f>B8094+1</f>
        <v>62</v>
      </c>
      <c r="C8116" s="93" t="s">
        <v>1282</v>
      </c>
      <c r="D8116" s="19"/>
      <c r="E8116" s="21"/>
      <c r="F8116" s="176"/>
      <c r="G8116" s="165"/>
      <c r="H8116" s="119"/>
      <c r="M8116" s="176"/>
    </row>
    <row r="8117" spans="2:13" ht="18.75" customHeight="1" x14ac:dyDescent="0.25">
      <c r="B8117" s="618" t="s">
        <v>620</v>
      </c>
      <c r="C8117" s="620" t="s">
        <v>621</v>
      </c>
      <c r="D8117" s="618" t="s">
        <v>622</v>
      </c>
      <c r="E8117" s="618" t="s">
        <v>2</v>
      </c>
      <c r="F8117" s="615" t="s">
        <v>623</v>
      </c>
      <c r="G8117" s="289" t="s">
        <v>624</v>
      </c>
      <c r="H8117" s="256" t="s">
        <v>625</v>
      </c>
      <c r="M8117" s="615" t="s">
        <v>623</v>
      </c>
    </row>
    <row r="8118" spans="2:13" ht="18.75" customHeight="1" x14ac:dyDescent="0.25">
      <c r="B8118" s="619"/>
      <c r="C8118" s="621"/>
      <c r="D8118" s="619"/>
      <c r="E8118" s="619"/>
      <c r="F8118" s="616"/>
      <c r="G8118" s="289" t="s">
        <v>626</v>
      </c>
      <c r="H8118" s="256" t="s">
        <v>626</v>
      </c>
      <c r="M8118" s="616"/>
    </row>
    <row r="8119" spans="2:13" ht="18.75" customHeight="1" x14ac:dyDescent="0.25">
      <c r="B8119" s="23"/>
      <c r="C8119" s="95"/>
      <c r="D8119" s="24"/>
      <c r="E8119" s="25"/>
      <c r="F8119" s="177"/>
      <c r="G8119" s="166"/>
      <c r="H8119" s="120"/>
      <c r="M8119" s="177"/>
    </row>
    <row r="8120" spans="2:13" ht="18.75" customHeight="1" x14ac:dyDescent="0.25">
      <c r="B8120" s="26" t="s">
        <v>627</v>
      </c>
      <c r="C8120" s="89" t="s">
        <v>628</v>
      </c>
      <c r="D8120" s="27"/>
      <c r="E8120" s="28"/>
      <c r="F8120" s="178"/>
      <c r="G8120" s="72"/>
      <c r="H8120" s="121"/>
      <c r="M8120" s="178"/>
    </row>
    <row r="8121" spans="2:13" ht="18.75" customHeight="1" x14ac:dyDescent="0.25">
      <c r="B8121" s="26"/>
      <c r="C8121" s="96" t="s">
        <v>1509</v>
      </c>
      <c r="D8121" s="27" t="s">
        <v>634</v>
      </c>
      <c r="E8121" s="28" t="s">
        <v>631</v>
      </c>
      <c r="F8121" s="61">
        <v>1.58</v>
      </c>
      <c r="G8121" s="29">
        <f>G8099</f>
        <v>170000</v>
      </c>
      <c r="H8121" s="122">
        <f>+G8121*F8121</f>
        <v>268600</v>
      </c>
      <c r="M8121" s="61">
        <v>1.58</v>
      </c>
    </row>
    <row r="8122" spans="2:13" ht="18.75" customHeight="1" x14ac:dyDescent="0.25">
      <c r="B8122" s="26"/>
      <c r="C8122" s="96" t="s">
        <v>1272</v>
      </c>
      <c r="D8122" s="27" t="s">
        <v>634</v>
      </c>
      <c r="E8122" s="28" t="s">
        <v>631</v>
      </c>
      <c r="F8122" s="61">
        <v>0.158</v>
      </c>
      <c r="G8122" s="29">
        <f>G8100</f>
        <v>185000</v>
      </c>
      <c r="H8122" s="122">
        <f>+G8122*F8122</f>
        <v>29230</v>
      </c>
      <c r="M8122" s="61">
        <v>0.158</v>
      </c>
    </row>
    <row r="8123" spans="2:13" ht="18.75" customHeight="1" x14ac:dyDescent="0.25">
      <c r="B8123" s="26"/>
      <c r="C8123" s="96" t="s">
        <v>600</v>
      </c>
      <c r="D8123" s="27" t="s">
        <v>635</v>
      </c>
      <c r="E8123" s="36" t="s">
        <v>631</v>
      </c>
      <c r="F8123" s="193">
        <v>1.6999999999999999E-3</v>
      </c>
      <c r="G8123" s="29">
        <f>G8101</f>
        <v>185000</v>
      </c>
      <c r="H8123" s="123">
        <f>+G8123*F8123</f>
        <v>314.5</v>
      </c>
      <c r="M8123" s="193">
        <v>1.6999999999999999E-3</v>
      </c>
    </row>
    <row r="8124" spans="2:13" ht="18.75" customHeight="1" x14ac:dyDescent="0.25">
      <c r="B8124" s="26"/>
      <c r="C8124" s="89"/>
      <c r="D8124" s="63"/>
      <c r="E8124" s="30"/>
      <c r="F8124" s="192" t="s">
        <v>636</v>
      </c>
      <c r="G8124" s="310"/>
      <c r="H8124" s="124">
        <f>SUM(H8121:H8123)</f>
        <v>298144.5</v>
      </c>
      <c r="M8124" s="192" t="s">
        <v>636</v>
      </c>
    </row>
    <row r="8125" spans="2:13" ht="18.75" customHeight="1" x14ac:dyDescent="0.25">
      <c r="B8125" s="26"/>
      <c r="C8125" s="89"/>
      <c r="D8125" s="58"/>
      <c r="E8125" s="62"/>
      <c r="F8125" s="52"/>
      <c r="G8125" s="76"/>
      <c r="H8125" s="140"/>
      <c r="M8125" s="52"/>
    </row>
    <row r="8126" spans="2:13" ht="18.75" customHeight="1" x14ac:dyDescent="0.25">
      <c r="B8126" s="26" t="s">
        <v>637</v>
      </c>
      <c r="C8126" s="89" t="s">
        <v>638</v>
      </c>
      <c r="D8126" s="64"/>
      <c r="E8126" s="31"/>
      <c r="F8126" s="180"/>
      <c r="G8126" s="75"/>
      <c r="H8126" s="125"/>
      <c r="M8126" s="180"/>
    </row>
    <row r="8127" spans="2:13" ht="18.75" customHeight="1" x14ac:dyDescent="0.25">
      <c r="B8127" s="26"/>
      <c r="C8127" s="89"/>
      <c r="D8127" s="63"/>
      <c r="E8127" s="30"/>
      <c r="F8127" s="179" t="s">
        <v>643</v>
      </c>
      <c r="G8127" s="310"/>
      <c r="H8127" s="128">
        <f>H8126</f>
        <v>0</v>
      </c>
      <c r="M8127" s="179" t="s">
        <v>643</v>
      </c>
    </row>
    <row r="8128" spans="2:13" ht="18.75" customHeight="1" x14ac:dyDescent="0.25">
      <c r="B8128" s="26"/>
      <c r="C8128" s="89"/>
      <c r="D8128" s="58"/>
      <c r="E8128" s="62"/>
      <c r="F8128" s="200"/>
      <c r="G8128" s="76"/>
      <c r="H8128" s="137"/>
      <c r="M8128" s="200"/>
    </row>
    <row r="8129" spans="2:13" ht="18.75" customHeight="1" x14ac:dyDescent="0.25">
      <c r="B8129" s="26" t="s">
        <v>644</v>
      </c>
      <c r="C8129" s="89" t="s">
        <v>645</v>
      </c>
      <c r="D8129" s="56"/>
      <c r="E8129" s="36"/>
      <c r="F8129" s="194"/>
      <c r="G8129" s="88"/>
      <c r="H8129" s="127"/>
      <c r="M8129" s="194"/>
    </row>
    <row r="8130" spans="2:13" ht="18.75" customHeight="1" x14ac:dyDescent="0.25">
      <c r="B8130" s="35"/>
      <c r="C8130" s="97"/>
      <c r="D8130" s="63"/>
      <c r="E8130" s="30"/>
      <c r="F8130" s="179" t="s">
        <v>646</v>
      </c>
      <c r="G8130" s="310"/>
      <c r="H8130" s="128">
        <f>H8129</f>
        <v>0</v>
      </c>
      <c r="M8130" s="179" t="s">
        <v>646</v>
      </c>
    </row>
    <row r="8131" spans="2:13" ht="18.75" customHeight="1" x14ac:dyDescent="0.25">
      <c r="B8131" s="37"/>
      <c r="C8131" s="98"/>
      <c r="D8131" s="411"/>
      <c r="E8131" s="42"/>
      <c r="F8131" s="181"/>
      <c r="G8131" s="311"/>
      <c r="H8131" s="129"/>
      <c r="M8131" s="181"/>
    </row>
    <row r="8132" spans="2:13" ht="18.75" customHeight="1" x14ac:dyDescent="0.25">
      <c r="B8132" s="50"/>
      <c r="C8132" s="100"/>
      <c r="E8132" s="21"/>
      <c r="F8132" s="189"/>
      <c r="G8132" s="90"/>
      <c r="H8132" s="137"/>
      <c r="M8132" s="189"/>
    </row>
    <row r="8133" spans="2:13" ht="18.75" customHeight="1" x14ac:dyDescent="0.25">
      <c r="B8133" s="46" t="s">
        <v>647</v>
      </c>
      <c r="C8133" s="101" t="s">
        <v>648</v>
      </c>
      <c r="E8133" s="22"/>
      <c r="F8133" s="189"/>
      <c r="G8133" s="308"/>
      <c r="H8133" s="131">
        <f>+H8130+H8127+H8124</f>
        <v>298144.5</v>
      </c>
      <c r="M8133" s="189"/>
    </row>
    <row r="8134" spans="2:13" ht="18.75" customHeight="1" x14ac:dyDescent="0.25">
      <c r="B8134" s="356" t="s">
        <v>649</v>
      </c>
      <c r="C8134" s="364" t="s">
        <v>650</v>
      </c>
      <c r="D8134" s="435"/>
      <c r="E8134" s="92"/>
      <c r="F8134" s="184" t="str">
        <f>$J$5</f>
        <v>8,0 % x D</v>
      </c>
      <c r="G8134" s="295"/>
      <c r="H8134" s="358">
        <f>+H8133*$K$5</f>
        <v>23851.56</v>
      </c>
      <c r="M8134" s="184" t="str">
        <f>$J$5</f>
        <v>8,0 % x D</v>
      </c>
    </row>
    <row r="8135" spans="2:13" ht="18.75" customHeight="1" x14ac:dyDescent="0.25">
      <c r="B8135" s="356" t="s">
        <v>651</v>
      </c>
      <c r="C8135" s="365" t="s">
        <v>652</v>
      </c>
      <c r="D8135" s="435"/>
      <c r="E8135" s="91"/>
      <c r="F8135" s="185"/>
      <c r="G8135" s="296"/>
      <c r="H8135" s="359">
        <f>ROUNDUP((H8134+H8133)/100,0)*100</f>
        <v>322000</v>
      </c>
      <c r="M8135" s="185"/>
    </row>
    <row r="8136" spans="2:13" ht="18.75" customHeight="1" thickBot="1" x14ac:dyDescent="0.3">
      <c r="B8136" s="47"/>
      <c r="C8136" s="103"/>
      <c r="D8136" s="48"/>
      <c r="E8136" s="49"/>
      <c r="F8136" s="186"/>
      <c r="G8136" s="309"/>
      <c r="H8136" s="136"/>
      <c r="M8136" s="186"/>
    </row>
    <row r="8137" spans="2:13" ht="18.75" customHeight="1" x14ac:dyDescent="0.25">
      <c r="B8137" s="22"/>
      <c r="C8137" s="104"/>
      <c r="E8137" s="21"/>
      <c r="F8137" s="176"/>
      <c r="G8137" s="165"/>
      <c r="H8137" s="119"/>
      <c r="M8137" s="176"/>
    </row>
    <row r="8138" spans="2:13" ht="18.75" customHeight="1" x14ac:dyDescent="0.25">
      <c r="B8138" s="19">
        <f>B8116+1</f>
        <v>63</v>
      </c>
      <c r="C8138" s="93" t="s">
        <v>1283</v>
      </c>
      <c r="D8138" s="19"/>
      <c r="E8138" s="21"/>
      <c r="F8138" s="176"/>
      <c r="G8138" s="165"/>
      <c r="H8138" s="119"/>
      <c r="M8138" s="176"/>
    </row>
    <row r="8139" spans="2:13" ht="18.75" customHeight="1" x14ac:dyDescent="0.25">
      <c r="B8139" s="618" t="s">
        <v>620</v>
      </c>
      <c r="C8139" s="620" t="s">
        <v>621</v>
      </c>
      <c r="D8139" s="618" t="s">
        <v>622</v>
      </c>
      <c r="E8139" s="618" t="s">
        <v>2</v>
      </c>
      <c r="F8139" s="615" t="s">
        <v>623</v>
      </c>
      <c r="G8139" s="289" t="s">
        <v>624</v>
      </c>
      <c r="H8139" s="256" t="s">
        <v>625</v>
      </c>
      <c r="M8139" s="615" t="s">
        <v>623</v>
      </c>
    </row>
    <row r="8140" spans="2:13" ht="18.75" customHeight="1" x14ac:dyDescent="0.25">
      <c r="B8140" s="619"/>
      <c r="C8140" s="621"/>
      <c r="D8140" s="619"/>
      <c r="E8140" s="619"/>
      <c r="F8140" s="616"/>
      <c r="G8140" s="289" t="s">
        <v>626</v>
      </c>
      <c r="H8140" s="256" t="s">
        <v>626</v>
      </c>
      <c r="M8140" s="616"/>
    </row>
    <row r="8141" spans="2:13" ht="18.75" customHeight="1" x14ac:dyDescent="0.25">
      <c r="B8141" s="23"/>
      <c r="C8141" s="95"/>
      <c r="D8141" s="24"/>
      <c r="E8141" s="25"/>
      <c r="F8141" s="177"/>
      <c r="G8141" s="166"/>
      <c r="H8141" s="120"/>
      <c r="M8141" s="177"/>
    </row>
    <row r="8142" spans="2:13" ht="18.75" customHeight="1" x14ac:dyDescent="0.25">
      <c r="B8142" s="26" t="s">
        <v>627</v>
      </c>
      <c r="C8142" s="89" t="s">
        <v>628</v>
      </c>
      <c r="D8142" s="27"/>
      <c r="E8142" s="28"/>
      <c r="F8142" s="178"/>
      <c r="G8142" s="72"/>
      <c r="H8142" s="121"/>
      <c r="M8142" s="178"/>
    </row>
    <row r="8143" spans="2:13" ht="18.75" customHeight="1" x14ac:dyDescent="0.25">
      <c r="B8143" s="26"/>
      <c r="C8143" s="96" t="s">
        <v>1509</v>
      </c>
      <c r="D8143" s="27" t="s">
        <v>634</v>
      </c>
      <c r="E8143" s="28" t="s">
        <v>631</v>
      </c>
      <c r="F8143" s="61">
        <v>1.43</v>
      </c>
      <c r="G8143" s="29">
        <f>G8121</f>
        <v>170000</v>
      </c>
      <c r="H8143" s="122">
        <f>+G8143*F8143</f>
        <v>243100</v>
      </c>
      <c r="M8143" s="61">
        <v>1.43</v>
      </c>
    </row>
    <row r="8144" spans="2:13" ht="18.75" customHeight="1" x14ac:dyDescent="0.25">
      <c r="B8144" s="26"/>
      <c r="C8144" s="96" t="s">
        <v>1272</v>
      </c>
      <c r="D8144" s="27" t="s">
        <v>634</v>
      </c>
      <c r="E8144" s="28" t="s">
        <v>631</v>
      </c>
      <c r="F8144" s="61">
        <v>0.14499999999999999</v>
      </c>
      <c r="G8144" s="29">
        <f>G8122</f>
        <v>185000</v>
      </c>
      <c r="H8144" s="122">
        <f>+G8144*F8144</f>
        <v>26824.999999999996</v>
      </c>
      <c r="M8144" s="61">
        <v>0.14499999999999999</v>
      </c>
    </row>
    <row r="8145" spans="2:13" ht="18.75" customHeight="1" x14ac:dyDescent="0.25">
      <c r="B8145" s="26"/>
      <c r="C8145" s="96" t="s">
        <v>600</v>
      </c>
      <c r="D8145" s="27" t="s">
        <v>635</v>
      </c>
      <c r="E8145" s="36" t="s">
        <v>631</v>
      </c>
      <c r="F8145" s="193">
        <v>1.5E-3</v>
      </c>
      <c r="G8145" s="29">
        <f>G8123</f>
        <v>185000</v>
      </c>
      <c r="H8145" s="123">
        <f>+G8145*F8145</f>
        <v>277.5</v>
      </c>
      <c r="M8145" s="193">
        <v>1.5E-3</v>
      </c>
    </row>
    <row r="8146" spans="2:13" ht="18.75" customHeight="1" x14ac:dyDescent="0.25">
      <c r="B8146" s="26"/>
      <c r="C8146" s="89"/>
      <c r="D8146" s="63"/>
      <c r="E8146" s="30"/>
      <c r="F8146" s="192" t="s">
        <v>636</v>
      </c>
      <c r="G8146" s="310"/>
      <c r="H8146" s="124">
        <f>SUM(H8143:H8145)</f>
        <v>270202.5</v>
      </c>
      <c r="M8146" s="192" t="s">
        <v>636</v>
      </c>
    </row>
    <row r="8147" spans="2:13" ht="18.75" customHeight="1" x14ac:dyDescent="0.25">
      <c r="B8147" s="26"/>
      <c r="C8147" s="89"/>
      <c r="D8147" s="58"/>
      <c r="E8147" s="62"/>
      <c r="F8147" s="52"/>
      <c r="G8147" s="76"/>
      <c r="H8147" s="140"/>
      <c r="M8147" s="52"/>
    </row>
    <row r="8148" spans="2:13" ht="18.75" customHeight="1" x14ac:dyDescent="0.25">
      <c r="B8148" s="26" t="s">
        <v>637</v>
      </c>
      <c r="C8148" s="89" t="s">
        <v>638</v>
      </c>
      <c r="D8148" s="64"/>
      <c r="E8148" s="31"/>
      <c r="F8148" s="180"/>
      <c r="G8148" s="75"/>
      <c r="H8148" s="125"/>
      <c r="M8148" s="180"/>
    </row>
    <row r="8149" spans="2:13" ht="18.75" customHeight="1" x14ac:dyDescent="0.25">
      <c r="B8149" s="26"/>
      <c r="C8149" s="89"/>
      <c r="D8149" s="63"/>
      <c r="E8149" s="30"/>
      <c r="F8149" s="179" t="s">
        <v>643</v>
      </c>
      <c r="G8149" s="310"/>
      <c r="H8149" s="128">
        <f>H8148</f>
        <v>0</v>
      </c>
      <c r="M8149" s="179" t="s">
        <v>643</v>
      </c>
    </row>
    <row r="8150" spans="2:13" ht="18.75" customHeight="1" x14ac:dyDescent="0.25">
      <c r="B8150" s="26"/>
      <c r="C8150" s="89"/>
      <c r="D8150" s="64"/>
      <c r="E8150" s="31"/>
      <c r="F8150" s="180"/>
      <c r="G8150" s="75"/>
      <c r="H8150" s="125"/>
      <c r="M8150" s="180"/>
    </row>
    <row r="8151" spans="2:13" ht="18.75" customHeight="1" x14ac:dyDescent="0.25">
      <c r="B8151" s="26" t="s">
        <v>644</v>
      </c>
      <c r="C8151" s="89" t="s">
        <v>645</v>
      </c>
      <c r="D8151" s="56"/>
      <c r="E8151" s="36"/>
      <c r="F8151" s="194"/>
      <c r="G8151" s="88"/>
      <c r="H8151" s="127"/>
      <c r="M8151" s="194"/>
    </row>
    <row r="8152" spans="2:13" ht="18.75" customHeight="1" x14ac:dyDescent="0.25">
      <c r="B8152" s="35"/>
      <c r="C8152" s="97"/>
      <c r="D8152" s="63"/>
      <c r="E8152" s="30"/>
      <c r="F8152" s="179" t="s">
        <v>646</v>
      </c>
      <c r="G8152" s="310"/>
      <c r="H8152" s="128">
        <f>H8151</f>
        <v>0</v>
      </c>
      <c r="M8152" s="179" t="s">
        <v>646</v>
      </c>
    </row>
    <row r="8153" spans="2:13" ht="18.75" customHeight="1" x14ac:dyDescent="0.25">
      <c r="B8153" s="37"/>
      <c r="C8153" s="98"/>
      <c r="D8153" s="411"/>
      <c r="E8153" s="42"/>
      <c r="F8153" s="181"/>
      <c r="G8153" s="311"/>
      <c r="H8153" s="129"/>
      <c r="M8153" s="181"/>
    </row>
    <row r="8154" spans="2:13" ht="18.75" customHeight="1" x14ac:dyDescent="0.25">
      <c r="B8154" s="50"/>
      <c r="C8154" s="100"/>
      <c r="E8154" s="21"/>
      <c r="F8154" s="189"/>
      <c r="G8154" s="90"/>
      <c r="H8154" s="137"/>
      <c r="M8154" s="189"/>
    </row>
    <row r="8155" spans="2:13" ht="18.75" customHeight="1" x14ac:dyDescent="0.25">
      <c r="B8155" s="46" t="s">
        <v>647</v>
      </c>
      <c r="C8155" s="101" t="s">
        <v>648</v>
      </c>
      <c r="E8155" s="22"/>
      <c r="F8155" s="189"/>
      <c r="G8155" s="308"/>
      <c r="H8155" s="131">
        <f>+H8152+H8149+H8146</f>
        <v>270202.5</v>
      </c>
      <c r="M8155" s="189"/>
    </row>
    <row r="8156" spans="2:13" ht="18.75" customHeight="1" x14ac:dyDescent="0.25">
      <c r="B8156" s="356" t="s">
        <v>649</v>
      </c>
      <c r="C8156" s="364" t="s">
        <v>650</v>
      </c>
      <c r="D8156" s="435"/>
      <c r="E8156" s="92"/>
      <c r="F8156" s="184" t="str">
        <f>$J$5</f>
        <v>8,0 % x D</v>
      </c>
      <c r="G8156" s="295"/>
      <c r="H8156" s="358">
        <f>+H8155*$K$5</f>
        <v>21616.2</v>
      </c>
      <c r="M8156" s="184" t="str">
        <f>$J$5</f>
        <v>8,0 % x D</v>
      </c>
    </row>
    <row r="8157" spans="2:13" ht="18.75" customHeight="1" x14ac:dyDescent="0.25">
      <c r="B8157" s="356" t="s">
        <v>651</v>
      </c>
      <c r="C8157" s="365" t="s">
        <v>652</v>
      </c>
      <c r="D8157" s="435"/>
      <c r="E8157" s="91"/>
      <c r="F8157" s="185"/>
      <c r="G8157" s="296"/>
      <c r="H8157" s="359">
        <f>ROUNDUP((H8156+H8155)/100,0)*100</f>
        <v>291900</v>
      </c>
      <c r="M8157" s="185"/>
    </row>
    <row r="8158" spans="2:13" ht="18.75" customHeight="1" thickBot="1" x14ac:dyDescent="0.3">
      <c r="B8158" s="47"/>
      <c r="C8158" s="103"/>
      <c r="D8158" s="48"/>
      <c r="E8158" s="49"/>
      <c r="F8158" s="186"/>
      <c r="G8158" s="309"/>
      <c r="H8158" s="136"/>
      <c r="M8158" s="186"/>
    </row>
    <row r="8159" spans="2:13" ht="18.75" customHeight="1" x14ac:dyDescent="0.25">
      <c r="B8159" s="92"/>
      <c r="C8159" s="104"/>
      <c r="D8159" s="435"/>
      <c r="E8159" s="91"/>
      <c r="F8159" s="185"/>
      <c r="G8159" s="168"/>
      <c r="H8159" s="139"/>
      <c r="M8159" s="185"/>
    </row>
    <row r="8160" spans="2:13" ht="18.75" customHeight="1" x14ac:dyDescent="0.25">
      <c r="B8160" s="19">
        <f>B8138+1</f>
        <v>64</v>
      </c>
      <c r="C8160" s="93" t="s">
        <v>1284</v>
      </c>
      <c r="D8160" s="19"/>
      <c r="E8160" s="21"/>
      <c r="F8160" s="176"/>
      <c r="G8160" s="165"/>
      <c r="H8160" s="119"/>
      <c r="M8160" s="176"/>
    </row>
    <row r="8161" spans="2:13" ht="18.75" customHeight="1" x14ac:dyDescent="0.25">
      <c r="B8161" s="618" t="s">
        <v>620</v>
      </c>
      <c r="C8161" s="620" t="s">
        <v>621</v>
      </c>
      <c r="D8161" s="618" t="s">
        <v>622</v>
      </c>
      <c r="E8161" s="618" t="s">
        <v>2</v>
      </c>
      <c r="F8161" s="615" t="s">
        <v>623</v>
      </c>
      <c r="G8161" s="289" t="s">
        <v>624</v>
      </c>
      <c r="H8161" s="256" t="s">
        <v>625</v>
      </c>
      <c r="M8161" s="615" t="s">
        <v>623</v>
      </c>
    </row>
    <row r="8162" spans="2:13" ht="18.75" customHeight="1" x14ac:dyDescent="0.25">
      <c r="B8162" s="619"/>
      <c r="C8162" s="621"/>
      <c r="D8162" s="619"/>
      <c r="E8162" s="619"/>
      <c r="F8162" s="616"/>
      <c r="G8162" s="289" t="s">
        <v>626</v>
      </c>
      <c r="H8162" s="256" t="s">
        <v>626</v>
      </c>
      <c r="M8162" s="616"/>
    </row>
    <row r="8163" spans="2:13" ht="18.75" customHeight="1" x14ac:dyDescent="0.25">
      <c r="B8163" s="23"/>
      <c r="C8163" s="95"/>
      <c r="D8163" s="24"/>
      <c r="E8163" s="25"/>
      <c r="F8163" s="177"/>
      <c r="G8163" s="166"/>
      <c r="H8163" s="120"/>
      <c r="M8163" s="177"/>
    </row>
    <row r="8164" spans="2:13" ht="18.75" customHeight="1" x14ac:dyDescent="0.25">
      <c r="B8164" s="26" t="s">
        <v>627</v>
      </c>
      <c r="C8164" s="89" t="s">
        <v>628</v>
      </c>
      <c r="D8164" s="27"/>
      <c r="E8164" s="28"/>
      <c r="F8164" s="178"/>
      <c r="G8164" s="72"/>
      <c r="H8164" s="121"/>
      <c r="M8164" s="178"/>
    </row>
    <row r="8165" spans="2:13" ht="18.75" customHeight="1" x14ac:dyDescent="0.25">
      <c r="B8165" s="26"/>
      <c r="C8165" s="96" t="s">
        <v>1509</v>
      </c>
      <c r="D8165" s="27" t="s">
        <v>634</v>
      </c>
      <c r="E8165" s="28" t="s">
        <v>631</v>
      </c>
      <c r="F8165" s="61">
        <v>1</v>
      </c>
      <c r="G8165" s="29">
        <f>G8143</f>
        <v>170000</v>
      </c>
      <c r="H8165" s="122">
        <f>+G8165*F8165</f>
        <v>170000</v>
      </c>
      <c r="M8165" s="61">
        <v>1</v>
      </c>
    </row>
    <row r="8166" spans="2:13" ht="18.75" customHeight="1" x14ac:dyDescent="0.25">
      <c r="B8166" s="26"/>
      <c r="C8166" s="96" t="s">
        <v>1272</v>
      </c>
      <c r="D8166" s="27" t="s">
        <v>634</v>
      </c>
      <c r="E8166" s="28" t="s">
        <v>631</v>
      </c>
      <c r="F8166" s="61">
        <v>0.1</v>
      </c>
      <c r="G8166" s="29">
        <f>G8144</f>
        <v>185000</v>
      </c>
      <c r="H8166" s="122">
        <f>+G8166*F8166</f>
        <v>18500</v>
      </c>
      <c r="M8166" s="61">
        <v>0.1</v>
      </c>
    </row>
    <row r="8167" spans="2:13" ht="18.75" customHeight="1" x14ac:dyDescent="0.25">
      <c r="B8167" s="26"/>
      <c r="C8167" s="96" t="s">
        <v>600</v>
      </c>
      <c r="D8167" s="27" t="s">
        <v>635</v>
      </c>
      <c r="E8167" s="36" t="s">
        <v>631</v>
      </c>
      <c r="F8167" s="193">
        <v>1.1000000000000001E-3</v>
      </c>
      <c r="G8167" s="29">
        <f>G8145</f>
        <v>185000</v>
      </c>
      <c r="H8167" s="123">
        <f>+G8167*F8167</f>
        <v>203.5</v>
      </c>
      <c r="M8167" s="193">
        <v>1.1000000000000001E-3</v>
      </c>
    </row>
    <row r="8168" spans="2:13" ht="18.75" customHeight="1" x14ac:dyDescent="0.25">
      <c r="B8168" s="26"/>
      <c r="C8168" s="89"/>
      <c r="D8168" s="63"/>
      <c r="E8168" s="30"/>
      <c r="F8168" s="192" t="s">
        <v>636</v>
      </c>
      <c r="G8168" s="310"/>
      <c r="H8168" s="124">
        <f>SUM(H8165:H8167)</f>
        <v>188703.5</v>
      </c>
      <c r="M8168" s="192" t="s">
        <v>636</v>
      </c>
    </row>
    <row r="8169" spans="2:13" ht="18.75" customHeight="1" x14ac:dyDescent="0.25">
      <c r="B8169" s="26"/>
      <c r="C8169" s="89"/>
      <c r="D8169" s="58"/>
      <c r="E8169" s="62"/>
      <c r="F8169" s="52"/>
      <c r="G8169" s="76"/>
      <c r="H8169" s="140"/>
      <c r="M8169" s="52"/>
    </row>
    <row r="8170" spans="2:13" ht="18.75" customHeight="1" x14ac:dyDescent="0.25">
      <c r="B8170" s="26" t="s">
        <v>637</v>
      </c>
      <c r="C8170" s="89" t="s">
        <v>638</v>
      </c>
      <c r="D8170" s="64"/>
      <c r="E8170" s="31"/>
      <c r="F8170" s="180"/>
      <c r="G8170" s="75"/>
      <c r="H8170" s="125"/>
      <c r="M8170" s="180"/>
    </row>
    <row r="8171" spans="2:13" ht="18.75" customHeight="1" x14ac:dyDescent="0.25">
      <c r="B8171" s="26"/>
      <c r="C8171" s="89"/>
      <c r="D8171" s="63"/>
      <c r="E8171" s="30"/>
      <c r="F8171" s="179" t="s">
        <v>643</v>
      </c>
      <c r="G8171" s="310"/>
      <c r="H8171" s="128">
        <f>H8170</f>
        <v>0</v>
      </c>
      <c r="M8171" s="179" t="s">
        <v>643</v>
      </c>
    </row>
    <row r="8172" spans="2:13" ht="18.75" customHeight="1" x14ac:dyDescent="0.25">
      <c r="B8172" s="26"/>
      <c r="C8172" s="89"/>
      <c r="D8172" s="64"/>
      <c r="E8172" s="31"/>
      <c r="F8172" s="180"/>
      <c r="G8172" s="75"/>
      <c r="H8172" s="125"/>
      <c r="M8172" s="180"/>
    </row>
    <row r="8173" spans="2:13" ht="18.75" customHeight="1" x14ac:dyDescent="0.25">
      <c r="B8173" s="26" t="s">
        <v>644</v>
      </c>
      <c r="C8173" s="89" t="s">
        <v>645</v>
      </c>
      <c r="D8173" s="56"/>
      <c r="E8173" s="36"/>
      <c r="F8173" s="194"/>
      <c r="G8173" s="88"/>
      <c r="H8173" s="127"/>
      <c r="M8173" s="194"/>
    </row>
    <row r="8174" spans="2:13" ht="18.75" customHeight="1" x14ac:dyDescent="0.25">
      <c r="B8174" s="35"/>
      <c r="C8174" s="97"/>
      <c r="D8174" s="63"/>
      <c r="E8174" s="30"/>
      <c r="F8174" s="179" t="s">
        <v>646</v>
      </c>
      <c r="G8174" s="310"/>
      <c r="H8174" s="128">
        <f>H8173</f>
        <v>0</v>
      </c>
      <c r="M8174" s="179" t="s">
        <v>646</v>
      </c>
    </row>
    <row r="8175" spans="2:13" ht="18.75" customHeight="1" x14ac:dyDescent="0.25">
      <c r="B8175" s="37"/>
      <c r="C8175" s="98"/>
      <c r="D8175" s="411"/>
      <c r="E8175" s="42"/>
      <c r="F8175" s="181"/>
      <c r="G8175" s="311"/>
      <c r="H8175" s="129"/>
      <c r="M8175" s="181"/>
    </row>
    <row r="8176" spans="2:13" ht="18.75" customHeight="1" x14ac:dyDescent="0.25">
      <c r="B8176" s="50"/>
      <c r="C8176" s="100"/>
      <c r="E8176" s="21"/>
      <c r="F8176" s="189"/>
      <c r="G8176" s="90"/>
      <c r="H8176" s="137"/>
      <c r="M8176" s="189"/>
    </row>
    <row r="8177" spans="2:13" ht="18.75" customHeight="1" x14ac:dyDescent="0.25">
      <c r="B8177" s="46" t="s">
        <v>647</v>
      </c>
      <c r="C8177" s="101" t="s">
        <v>648</v>
      </c>
      <c r="E8177" s="22"/>
      <c r="F8177" s="189"/>
      <c r="G8177" s="308"/>
      <c r="H8177" s="131">
        <f>+H8174+H8171+H8168</f>
        <v>188703.5</v>
      </c>
      <c r="M8177" s="189"/>
    </row>
    <row r="8178" spans="2:13" ht="18.75" customHeight="1" x14ac:dyDescent="0.25">
      <c r="B8178" s="356" t="s">
        <v>649</v>
      </c>
      <c r="C8178" s="364" t="s">
        <v>650</v>
      </c>
      <c r="D8178" s="435"/>
      <c r="E8178" s="92"/>
      <c r="F8178" s="184" t="str">
        <f>$J$5</f>
        <v>8,0 % x D</v>
      </c>
      <c r="G8178" s="295"/>
      <c r="H8178" s="358">
        <f>+H8177*$K$5</f>
        <v>15096.28</v>
      </c>
      <c r="M8178" s="184" t="str">
        <f>$J$5</f>
        <v>8,0 % x D</v>
      </c>
    </row>
    <row r="8179" spans="2:13" ht="18.75" customHeight="1" x14ac:dyDescent="0.25">
      <c r="B8179" s="356" t="s">
        <v>651</v>
      </c>
      <c r="C8179" s="365" t="s">
        <v>652</v>
      </c>
      <c r="D8179" s="435"/>
      <c r="E8179" s="91"/>
      <c r="F8179" s="185"/>
      <c r="G8179" s="296"/>
      <c r="H8179" s="359">
        <f>ROUNDUP((H8178+H8177)/100,0)*100</f>
        <v>203800</v>
      </c>
      <c r="M8179" s="185"/>
    </row>
    <row r="8180" spans="2:13" ht="18.75" customHeight="1" thickBot="1" x14ac:dyDescent="0.3">
      <c r="B8180" s="47"/>
      <c r="C8180" s="103"/>
      <c r="D8180" s="48"/>
      <c r="E8180" s="49"/>
      <c r="F8180" s="186"/>
      <c r="G8180" s="309"/>
      <c r="H8180" s="136"/>
      <c r="M8180" s="186"/>
    </row>
    <row r="8181" spans="2:13" ht="18.75" customHeight="1" x14ac:dyDescent="0.25">
      <c r="B8181" s="22"/>
      <c r="C8181" s="104"/>
      <c r="E8181" s="21"/>
      <c r="F8181" s="176"/>
      <c r="G8181" s="165"/>
      <c r="H8181" s="119"/>
      <c r="M8181" s="176"/>
    </row>
    <row r="8182" spans="2:13" ht="18.75" customHeight="1" x14ac:dyDescent="0.25">
      <c r="B8182" s="19">
        <f>B8160+1</f>
        <v>65</v>
      </c>
      <c r="C8182" s="93" t="s">
        <v>1285</v>
      </c>
      <c r="D8182" s="19"/>
      <c r="E8182" s="21"/>
      <c r="F8182" s="176"/>
      <c r="G8182" s="165"/>
      <c r="H8182" s="119"/>
      <c r="M8182" s="176"/>
    </row>
    <row r="8183" spans="2:13" ht="18.75" customHeight="1" x14ac:dyDescent="0.25">
      <c r="B8183" s="618" t="s">
        <v>620</v>
      </c>
      <c r="C8183" s="620" t="s">
        <v>621</v>
      </c>
      <c r="D8183" s="618" t="s">
        <v>622</v>
      </c>
      <c r="E8183" s="618" t="s">
        <v>2</v>
      </c>
      <c r="F8183" s="615" t="s">
        <v>623</v>
      </c>
      <c r="G8183" s="289" t="s">
        <v>624</v>
      </c>
      <c r="H8183" s="256" t="s">
        <v>625</v>
      </c>
      <c r="M8183" s="615" t="s">
        <v>623</v>
      </c>
    </row>
    <row r="8184" spans="2:13" ht="18.75" customHeight="1" x14ac:dyDescent="0.25">
      <c r="B8184" s="619"/>
      <c r="C8184" s="621"/>
      <c r="D8184" s="619"/>
      <c r="E8184" s="619"/>
      <c r="F8184" s="616"/>
      <c r="G8184" s="289" t="s">
        <v>626</v>
      </c>
      <c r="H8184" s="256" t="s">
        <v>626</v>
      </c>
      <c r="M8184" s="616"/>
    </row>
    <row r="8185" spans="2:13" ht="18.75" customHeight="1" x14ac:dyDescent="0.25">
      <c r="B8185" s="23"/>
      <c r="C8185" s="95"/>
      <c r="D8185" s="24"/>
      <c r="E8185" s="25"/>
      <c r="F8185" s="177"/>
      <c r="G8185" s="166"/>
      <c r="H8185" s="120"/>
      <c r="M8185" s="177"/>
    </row>
    <row r="8186" spans="2:13" ht="18.75" customHeight="1" x14ac:dyDescent="0.25">
      <c r="B8186" s="26" t="s">
        <v>627</v>
      </c>
      <c r="C8186" s="89" t="s">
        <v>628</v>
      </c>
      <c r="D8186" s="27"/>
      <c r="E8186" s="28"/>
      <c r="F8186" s="178"/>
      <c r="G8186" s="72"/>
      <c r="H8186" s="121"/>
      <c r="M8186" s="178"/>
    </row>
    <row r="8187" spans="2:13" ht="18.75" customHeight="1" x14ac:dyDescent="0.25">
      <c r="B8187" s="26"/>
      <c r="C8187" s="96" t="s">
        <v>1509</v>
      </c>
      <c r="D8187" s="27" t="s">
        <v>634</v>
      </c>
      <c r="E8187" s="28" t="s">
        <v>631</v>
      </c>
      <c r="F8187" s="61">
        <v>2</v>
      </c>
      <c r="G8187" s="29">
        <f>G8165</f>
        <v>170000</v>
      </c>
      <c r="H8187" s="122">
        <f>+G8187*F8187</f>
        <v>340000</v>
      </c>
      <c r="M8187" s="61">
        <v>2</v>
      </c>
    </row>
    <row r="8188" spans="2:13" ht="18.75" customHeight="1" x14ac:dyDescent="0.25">
      <c r="B8188" s="26"/>
      <c r="C8188" s="96" t="s">
        <v>1272</v>
      </c>
      <c r="D8188" s="27" t="s">
        <v>634</v>
      </c>
      <c r="E8188" s="28" t="s">
        <v>631</v>
      </c>
      <c r="F8188" s="61">
        <v>7.4999999999999997E-2</v>
      </c>
      <c r="G8188" s="29">
        <f>G8166</f>
        <v>185000</v>
      </c>
      <c r="H8188" s="122">
        <f>+G8188*F8188</f>
        <v>13875</v>
      </c>
      <c r="M8188" s="61">
        <v>7.4999999999999997E-2</v>
      </c>
    </row>
    <row r="8189" spans="2:13" ht="18.75" customHeight="1" x14ac:dyDescent="0.25">
      <c r="B8189" s="26"/>
      <c r="C8189" s="96" t="s">
        <v>600</v>
      </c>
      <c r="D8189" s="27" t="s">
        <v>635</v>
      </c>
      <c r="E8189" s="36" t="s">
        <v>631</v>
      </c>
      <c r="F8189" s="193">
        <v>2.2000000000000001E-3</v>
      </c>
      <c r="G8189" s="29">
        <f>G8167</f>
        <v>185000</v>
      </c>
      <c r="H8189" s="123">
        <f>+G8189*F8189</f>
        <v>407</v>
      </c>
      <c r="M8189" s="193">
        <v>2.2000000000000001E-3</v>
      </c>
    </row>
    <row r="8190" spans="2:13" ht="18.75" customHeight="1" x14ac:dyDescent="0.25">
      <c r="B8190" s="26"/>
      <c r="C8190" s="89"/>
      <c r="D8190" s="63"/>
      <c r="E8190" s="30"/>
      <c r="F8190" s="192" t="s">
        <v>636</v>
      </c>
      <c r="G8190" s="310"/>
      <c r="H8190" s="124">
        <f>SUM(H8187:H8189)</f>
        <v>354282</v>
      </c>
      <c r="M8190" s="192" t="s">
        <v>636</v>
      </c>
    </row>
    <row r="8191" spans="2:13" ht="18.75" customHeight="1" x14ac:dyDescent="0.25">
      <c r="B8191" s="26"/>
      <c r="C8191" s="89"/>
      <c r="D8191" s="58"/>
      <c r="E8191" s="62"/>
      <c r="F8191" s="52"/>
      <c r="G8191" s="76"/>
      <c r="H8191" s="140"/>
      <c r="M8191" s="52"/>
    </row>
    <row r="8192" spans="2:13" ht="18.75" customHeight="1" x14ac:dyDescent="0.25">
      <c r="B8192" s="26" t="s">
        <v>637</v>
      </c>
      <c r="C8192" s="89" t="s">
        <v>638</v>
      </c>
      <c r="D8192" s="64"/>
      <c r="E8192" s="31"/>
      <c r="F8192" s="180"/>
      <c r="G8192" s="75"/>
      <c r="H8192" s="125"/>
      <c r="M8192" s="180"/>
    </row>
    <row r="8193" spans="2:13" ht="18.75" customHeight="1" x14ac:dyDescent="0.25">
      <c r="B8193" s="26"/>
      <c r="C8193" s="89"/>
      <c r="D8193" s="63"/>
      <c r="E8193" s="30"/>
      <c r="F8193" s="179" t="s">
        <v>643</v>
      </c>
      <c r="G8193" s="310"/>
      <c r="H8193" s="128">
        <f>H8192</f>
        <v>0</v>
      </c>
      <c r="M8193" s="179" t="s">
        <v>643</v>
      </c>
    </row>
    <row r="8194" spans="2:13" ht="18.75" customHeight="1" x14ac:dyDescent="0.25">
      <c r="B8194" s="26"/>
      <c r="C8194" s="89"/>
      <c r="D8194" s="64"/>
      <c r="E8194" s="31"/>
      <c r="F8194" s="180"/>
      <c r="G8194" s="75"/>
      <c r="H8194" s="125"/>
      <c r="M8194" s="180"/>
    </row>
    <row r="8195" spans="2:13" ht="18.75" customHeight="1" x14ac:dyDescent="0.25">
      <c r="B8195" s="26" t="s">
        <v>644</v>
      </c>
      <c r="C8195" s="89" t="s">
        <v>645</v>
      </c>
      <c r="D8195" s="56"/>
      <c r="E8195" s="36"/>
      <c r="F8195" s="194"/>
      <c r="G8195" s="88"/>
      <c r="H8195" s="127"/>
      <c r="M8195" s="194"/>
    </row>
    <row r="8196" spans="2:13" ht="18.75" customHeight="1" x14ac:dyDescent="0.25">
      <c r="B8196" s="35"/>
      <c r="C8196" s="97"/>
      <c r="D8196" s="63"/>
      <c r="E8196" s="30"/>
      <c r="F8196" s="179" t="s">
        <v>646</v>
      </c>
      <c r="G8196" s="310"/>
      <c r="H8196" s="128">
        <f>H8195</f>
        <v>0</v>
      </c>
      <c r="M8196" s="179" t="s">
        <v>646</v>
      </c>
    </row>
    <row r="8197" spans="2:13" ht="18.75" customHeight="1" x14ac:dyDescent="0.25">
      <c r="B8197" s="37"/>
      <c r="C8197" s="98"/>
      <c r="D8197" s="411"/>
      <c r="E8197" s="42"/>
      <c r="F8197" s="181"/>
      <c r="G8197" s="311"/>
      <c r="H8197" s="129"/>
      <c r="M8197" s="181"/>
    </row>
    <row r="8198" spans="2:13" ht="18.75" customHeight="1" x14ac:dyDescent="0.25">
      <c r="B8198" s="50"/>
      <c r="C8198" s="100"/>
      <c r="E8198" s="21"/>
      <c r="F8198" s="189"/>
      <c r="G8198" s="90"/>
      <c r="H8198" s="137"/>
      <c r="M8198" s="189"/>
    </row>
    <row r="8199" spans="2:13" ht="18.75" customHeight="1" x14ac:dyDescent="0.25">
      <c r="B8199" s="46" t="s">
        <v>647</v>
      </c>
      <c r="C8199" s="101" t="s">
        <v>648</v>
      </c>
      <c r="E8199" s="22"/>
      <c r="F8199" s="189"/>
      <c r="G8199" s="308"/>
      <c r="H8199" s="131">
        <f>+H8196+H8193+H8190</f>
        <v>354282</v>
      </c>
      <c r="M8199" s="189"/>
    </row>
    <row r="8200" spans="2:13" ht="18.75" customHeight="1" x14ac:dyDescent="0.25">
      <c r="B8200" s="356" t="s">
        <v>649</v>
      </c>
      <c r="C8200" s="364" t="s">
        <v>650</v>
      </c>
      <c r="D8200" s="435"/>
      <c r="E8200" s="92"/>
      <c r="F8200" s="184" t="str">
        <f>$J$5</f>
        <v>8,0 % x D</v>
      </c>
      <c r="G8200" s="295"/>
      <c r="H8200" s="358">
        <f>+H8199*$K$5</f>
        <v>28342.560000000001</v>
      </c>
      <c r="M8200" s="184" t="str">
        <f>$J$5</f>
        <v>8,0 % x D</v>
      </c>
    </row>
    <row r="8201" spans="2:13" ht="18.75" customHeight="1" x14ac:dyDescent="0.25">
      <c r="B8201" s="356" t="s">
        <v>651</v>
      </c>
      <c r="C8201" s="365" t="s">
        <v>652</v>
      </c>
      <c r="D8201" s="435"/>
      <c r="E8201" s="91"/>
      <c r="F8201" s="185"/>
      <c r="G8201" s="296"/>
      <c r="H8201" s="359">
        <f>ROUNDUP((H8200+H8199)/100,0)*100</f>
        <v>382700</v>
      </c>
      <c r="M8201" s="185"/>
    </row>
    <row r="8202" spans="2:13" ht="18.75" customHeight="1" thickBot="1" x14ac:dyDescent="0.3">
      <c r="B8202" s="47"/>
      <c r="C8202" s="103"/>
      <c r="D8202" s="48"/>
      <c r="E8202" s="49"/>
      <c r="F8202" s="186"/>
      <c r="G8202" s="309"/>
      <c r="H8202" s="136"/>
      <c r="M8202" s="186"/>
    </row>
    <row r="8203" spans="2:13" ht="18.75" customHeight="1" x14ac:dyDescent="0.25">
      <c r="B8203" s="92"/>
      <c r="C8203" s="104"/>
      <c r="D8203" s="435"/>
      <c r="E8203" s="91"/>
      <c r="F8203" s="185"/>
      <c r="G8203" s="168"/>
      <c r="H8203" s="139"/>
      <c r="M8203" s="185"/>
    </row>
    <row r="8204" spans="2:13" ht="18.75" customHeight="1" x14ac:dyDescent="0.25">
      <c r="B8204" s="19">
        <f>B8182+1</f>
        <v>66</v>
      </c>
      <c r="C8204" s="93" t="s">
        <v>1286</v>
      </c>
      <c r="D8204" s="19"/>
      <c r="E8204" s="21"/>
      <c r="F8204" s="176"/>
      <c r="G8204" s="165"/>
      <c r="H8204" s="119"/>
      <c r="M8204" s="176"/>
    </row>
    <row r="8205" spans="2:13" ht="18.75" customHeight="1" x14ac:dyDescent="0.25">
      <c r="B8205" s="618" t="s">
        <v>620</v>
      </c>
      <c r="C8205" s="620" t="s">
        <v>621</v>
      </c>
      <c r="D8205" s="618" t="s">
        <v>622</v>
      </c>
      <c r="E8205" s="618" t="s">
        <v>2</v>
      </c>
      <c r="F8205" s="615" t="s">
        <v>623</v>
      </c>
      <c r="G8205" s="289" t="s">
        <v>624</v>
      </c>
      <c r="H8205" s="256" t="s">
        <v>625</v>
      </c>
      <c r="M8205" s="615" t="s">
        <v>623</v>
      </c>
    </row>
    <row r="8206" spans="2:13" ht="18.75" customHeight="1" x14ac:dyDescent="0.25">
      <c r="B8206" s="619"/>
      <c r="C8206" s="621"/>
      <c r="D8206" s="619"/>
      <c r="E8206" s="619"/>
      <c r="F8206" s="616"/>
      <c r="G8206" s="289" t="s">
        <v>626</v>
      </c>
      <c r="H8206" s="256" t="s">
        <v>626</v>
      </c>
      <c r="M8206" s="616"/>
    </row>
    <row r="8207" spans="2:13" ht="18.75" customHeight="1" x14ac:dyDescent="0.25">
      <c r="B8207" s="23"/>
      <c r="C8207" s="95"/>
      <c r="D8207" s="24"/>
      <c r="E8207" s="25"/>
      <c r="F8207" s="177"/>
      <c r="G8207" s="166"/>
      <c r="H8207" s="120"/>
      <c r="M8207" s="177"/>
    </row>
    <row r="8208" spans="2:13" ht="18.75" customHeight="1" x14ac:dyDescent="0.25">
      <c r="B8208" s="26" t="s">
        <v>627</v>
      </c>
      <c r="C8208" s="89" t="s">
        <v>628</v>
      </c>
      <c r="D8208" s="27"/>
      <c r="E8208" s="28"/>
      <c r="F8208" s="178"/>
      <c r="G8208" s="72"/>
      <c r="H8208" s="121"/>
      <c r="M8208" s="178"/>
    </row>
    <row r="8209" spans="2:13" ht="18.75" customHeight="1" x14ac:dyDescent="0.25">
      <c r="B8209" s="26"/>
      <c r="C8209" s="96" t="s">
        <v>1509</v>
      </c>
      <c r="D8209" s="27" t="s">
        <v>634</v>
      </c>
      <c r="E8209" s="28" t="s">
        <v>631</v>
      </c>
      <c r="F8209" s="61">
        <v>15</v>
      </c>
      <c r="G8209" s="29">
        <f>G8187</f>
        <v>170000</v>
      </c>
      <c r="H8209" s="122">
        <f>+G8209*F8209</f>
        <v>2550000</v>
      </c>
      <c r="M8209" s="61">
        <v>15</v>
      </c>
    </row>
    <row r="8210" spans="2:13" ht="18.75" customHeight="1" x14ac:dyDescent="0.25">
      <c r="B8210" s="26"/>
      <c r="C8210" s="96" t="s">
        <v>1272</v>
      </c>
      <c r="D8210" s="27" t="s">
        <v>634</v>
      </c>
      <c r="E8210" s="28" t="s">
        <v>631</v>
      </c>
      <c r="F8210" s="61">
        <v>0.2</v>
      </c>
      <c r="G8210" s="29">
        <f>G8188</f>
        <v>185000</v>
      </c>
      <c r="H8210" s="122">
        <f>+G8210*F8210</f>
        <v>37000</v>
      </c>
      <c r="M8210" s="61">
        <v>0.2</v>
      </c>
    </row>
    <row r="8211" spans="2:13" ht="18.75" customHeight="1" x14ac:dyDescent="0.25">
      <c r="B8211" s="26"/>
      <c r="C8211" s="96" t="s">
        <v>600</v>
      </c>
      <c r="D8211" s="27" t="s">
        <v>635</v>
      </c>
      <c r="E8211" s="36" t="s">
        <v>631</v>
      </c>
      <c r="F8211" s="193">
        <v>2E-3</v>
      </c>
      <c r="G8211" s="29">
        <f>G8189</f>
        <v>185000</v>
      </c>
      <c r="H8211" s="123">
        <f>+G8211*F8211</f>
        <v>370</v>
      </c>
      <c r="M8211" s="193">
        <v>2E-3</v>
      </c>
    </row>
    <row r="8212" spans="2:13" ht="18.75" customHeight="1" x14ac:dyDescent="0.25">
      <c r="B8212" s="26"/>
      <c r="C8212" s="89"/>
      <c r="D8212" s="63"/>
      <c r="E8212" s="30"/>
      <c r="F8212" s="192" t="s">
        <v>636</v>
      </c>
      <c r="G8212" s="310"/>
      <c r="H8212" s="124">
        <f>SUM(H8209:H8211)</f>
        <v>2587370</v>
      </c>
      <c r="M8212" s="192" t="s">
        <v>636</v>
      </c>
    </row>
    <row r="8213" spans="2:13" ht="18.75" customHeight="1" x14ac:dyDescent="0.25">
      <c r="B8213" s="26"/>
      <c r="C8213" s="89"/>
      <c r="D8213" s="58"/>
      <c r="E8213" s="62"/>
      <c r="F8213" s="52"/>
      <c r="G8213" s="76"/>
      <c r="H8213" s="140"/>
      <c r="M8213" s="52"/>
    </row>
    <row r="8214" spans="2:13" ht="18.75" customHeight="1" x14ac:dyDescent="0.25">
      <c r="B8214" s="26" t="s">
        <v>637</v>
      </c>
      <c r="C8214" s="89" t="s">
        <v>638</v>
      </c>
      <c r="D8214" s="64"/>
      <c r="E8214" s="31"/>
      <c r="F8214" s="180"/>
      <c r="G8214" s="75"/>
      <c r="H8214" s="125"/>
      <c r="M8214" s="180"/>
    </row>
    <row r="8215" spans="2:13" ht="18.75" customHeight="1" x14ac:dyDescent="0.25">
      <c r="B8215" s="26"/>
      <c r="C8215" s="89"/>
      <c r="D8215" s="63"/>
      <c r="E8215" s="30"/>
      <c r="F8215" s="179" t="s">
        <v>643</v>
      </c>
      <c r="G8215" s="310"/>
      <c r="H8215" s="128">
        <f>H8214</f>
        <v>0</v>
      </c>
      <c r="M8215" s="179" t="s">
        <v>643</v>
      </c>
    </row>
    <row r="8216" spans="2:13" ht="18.75" customHeight="1" x14ac:dyDescent="0.25">
      <c r="B8216" s="26"/>
      <c r="C8216" s="89"/>
      <c r="D8216" s="64"/>
      <c r="E8216" s="31"/>
      <c r="F8216" s="180"/>
      <c r="G8216" s="75"/>
      <c r="H8216" s="125"/>
      <c r="M8216" s="180"/>
    </row>
    <row r="8217" spans="2:13" ht="18.75" customHeight="1" x14ac:dyDescent="0.25">
      <c r="B8217" s="26" t="s">
        <v>644</v>
      </c>
      <c r="C8217" s="89" t="s">
        <v>645</v>
      </c>
      <c r="D8217" s="56"/>
      <c r="E8217" s="36"/>
      <c r="F8217" s="194"/>
      <c r="G8217" s="88"/>
      <c r="H8217" s="127"/>
      <c r="M8217" s="194"/>
    </row>
    <row r="8218" spans="2:13" ht="18.75" customHeight="1" x14ac:dyDescent="0.25">
      <c r="B8218" s="35"/>
      <c r="C8218" s="97"/>
      <c r="D8218" s="63"/>
      <c r="E8218" s="30"/>
      <c r="F8218" s="179" t="s">
        <v>646</v>
      </c>
      <c r="G8218" s="310"/>
      <c r="H8218" s="128">
        <f>H8217</f>
        <v>0</v>
      </c>
      <c r="M8218" s="179" t="s">
        <v>646</v>
      </c>
    </row>
    <row r="8219" spans="2:13" ht="18.75" customHeight="1" x14ac:dyDescent="0.25">
      <c r="B8219" s="37"/>
      <c r="C8219" s="98"/>
      <c r="D8219" s="411"/>
      <c r="E8219" s="42"/>
      <c r="F8219" s="181"/>
      <c r="G8219" s="311"/>
      <c r="H8219" s="129"/>
      <c r="M8219" s="181"/>
    </row>
    <row r="8220" spans="2:13" ht="18.75" customHeight="1" x14ac:dyDescent="0.25">
      <c r="B8220" s="50"/>
      <c r="C8220" s="100"/>
      <c r="E8220" s="21"/>
      <c r="F8220" s="189"/>
      <c r="G8220" s="90"/>
      <c r="H8220" s="137"/>
      <c r="M8220" s="189"/>
    </row>
    <row r="8221" spans="2:13" ht="18.75" customHeight="1" x14ac:dyDescent="0.25">
      <c r="B8221" s="46" t="s">
        <v>647</v>
      </c>
      <c r="C8221" s="101" t="s">
        <v>648</v>
      </c>
      <c r="E8221" s="22"/>
      <c r="F8221" s="189"/>
      <c r="G8221" s="308"/>
      <c r="H8221" s="131">
        <f>+H8218+H8215+H8212</f>
        <v>2587370</v>
      </c>
      <c r="M8221" s="189"/>
    </row>
    <row r="8222" spans="2:13" ht="18.75" customHeight="1" x14ac:dyDescent="0.25">
      <c r="B8222" s="356" t="s">
        <v>649</v>
      </c>
      <c r="C8222" s="364" t="s">
        <v>650</v>
      </c>
      <c r="D8222" s="435"/>
      <c r="E8222" s="92"/>
      <c r="F8222" s="184" t="str">
        <f>$J$5</f>
        <v>8,0 % x D</v>
      </c>
      <c r="G8222" s="295"/>
      <c r="H8222" s="358">
        <f>+H8221*$K$5</f>
        <v>206989.6</v>
      </c>
      <c r="M8222" s="184" t="str">
        <f>$J$5</f>
        <v>8,0 % x D</v>
      </c>
    </row>
    <row r="8223" spans="2:13" ht="18.75" customHeight="1" x14ac:dyDescent="0.25">
      <c r="B8223" s="356" t="s">
        <v>651</v>
      </c>
      <c r="C8223" s="365" t="s">
        <v>652</v>
      </c>
      <c r="D8223" s="435"/>
      <c r="E8223" s="91"/>
      <c r="F8223" s="185"/>
      <c r="G8223" s="296"/>
      <c r="H8223" s="359">
        <f>ROUNDUP((H8222+H8221)/100,0)*100</f>
        <v>2794400</v>
      </c>
      <c r="M8223" s="185"/>
    </row>
    <row r="8224" spans="2:13" ht="18.75" customHeight="1" thickBot="1" x14ac:dyDescent="0.3">
      <c r="B8224" s="47"/>
      <c r="C8224" s="103"/>
      <c r="D8224" s="48"/>
      <c r="E8224" s="49"/>
      <c r="F8224" s="186"/>
      <c r="G8224" s="309"/>
      <c r="H8224" s="136"/>
      <c r="M8224" s="186"/>
    </row>
    <row r="8225" spans="1:13" ht="18.75" customHeight="1" x14ac:dyDescent="0.25">
      <c r="B8225" s="92"/>
      <c r="C8225" s="104"/>
      <c r="D8225" s="435"/>
      <c r="E8225" s="91"/>
      <c r="F8225" s="185"/>
      <c r="G8225" s="168"/>
      <c r="H8225" s="139"/>
      <c r="M8225" s="185"/>
    </row>
    <row r="8226" spans="1:13" ht="18.75" customHeight="1" x14ac:dyDescent="0.25">
      <c r="B8226" s="22"/>
      <c r="C8226" s="104"/>
      <c r="E8226" s="21"/>
      <c r="F8226" s="176"/>
      <c r="G8226" s="165"/>
      <c r="H8226" s="119"/>
      <c r="M8226" s="176"/>
    </row>
    <row r="8227" spans="1:13" ht="18.75" customHeight="1" x14ac:dyDescent="0.25">
      <c r="A8227" s="388" t="s">
        <v>1658</v>
      </c>
      <c r="B8227" s="389" t="s">
        <v>1288</v>
      </c>
      <c r="C8227" s="390"/>
      <c r="D8227" s="391"/>
      <c r="E8227" s="392"/>
      <c r="F8227" s="393"/>
      <c r="G8227" s="394"/>
      <c r="H8227" s="394"/>
      <c r="M8227" s="393"/>
    </row>
    <row r="8228" spans="1:13" ht="18.75" customHeight="1" x14ac:dyDescent="0.25">
      <c r="B8228" s="19"/>
      <c r="C8228" s="93"/>
      <c r="G8228" s="66"/>
      <c r="H8228" s="138"/>
    </row>
    <row r="8229" spans="1:13" ht="18.75" customHeight="1" x14ac:dyDescent="0.25">
      <c r="B8229" s="19">
        <v>1</v>
      </c>
      <c r="C8229" s="93" t="s">
        <v>1289</v>
      </c>
      <c r="D8229" s="19"/>
      <c r="E8229" s="21"/>
      <c r="F8229" s="176"/>
      <c r="G8229" s="165"/>
      <c r="H8229" s="119"/>
      <c r="M8229" s="176"/>
    </row>
    <row r="8230" spans="1:13" ht="18.75" customHeight="1" x14ac:dyDescent="0.25">
      <c r="B8230" s="618" t="s">
        <v>620</v>
      </c>
      <c r="C8230" s="620" t="s">
        <v>621</v>
      </c>
      <c r="D8230" s="618" t="s">
        <v>622</v>
      </c>
      <c r="E8230" s="618" t="s">
        <v>2</v>
      </c>
      <c r="F8230" s="615" t="s">
        <v>623</v>
      </c>
      <c r="G8230" s="289" t="s">
        <v>624</v>
      </c>
      <c r="H8230" s="256" t="s">
        <v>625</v>
      </c>
      <c r="M8230" s="615" t="s">
        <v>623</v>
      </c>
    </row>
    <row r="8231" spans="1:13" ht="18.75" customHeight="1" x14ac:dyDescent="0.25">
      <c r="B8231" s="619"/>
      <c r="C8231" s="621"/>
      <c r="D8231" s="619"/>
      <c r="E8231" s="619"/>
      <c r="F8231" s="616"/>
      <c r="G8231" s="289" t="s">
        <v>626</v>
      </c>
      <c r="H8231" s="256" t="s">
        <v>626</v>
      </c>
      <c r="M8231" s="616"/>
    </row>
    <row r="8232" spans="1:13" ht="18.75" customHeight="1" x14ac:dyDescent="0.25">
      <c r="B8232" s="221"/>
      <c r="C8232" s="222"/>
      <c r="D8232" s="221"/>
      <c r="E8232" s="587"/>
      <c r="F8232" s="589"/>
      <c r="G8232" s="588"/>
      <c r="H8232" s="220"/>
      <c r="M8232" s="590"/>
    </row>
    <row r="8233" spans="1:13" ht="18.75" customHeight="1" x14ac:dyDescent="0.25">
      <c r="B8233" s="587" t="s">
        <v>627</v>
      </c>
      <c r="C8233" s="223" t="s">
        <v>628</v>
      </c>
      <c r="D8233" s="587"/>
      <c r="E8233" s="224"/>
      <c r="F8233" s="225"/>
      <c r="G8233" s="290"/>
      <c r="H8233" s="226"/>
      <c r="M8233" s="225"/>
    </row>
    <row r="8234" spans="1:13" ht="18.75" customHeight="1" x14ac:dyDescent="0.25">
      <c r="B8234" s="587"/>
      <c r="C8234" s="227" t="s">
        <v>629</v>
      </c>
      <c r="D8234" s="587" t="s">
        <v>630</v>
      </c>
      <c r="E8234" s="224" t="s">
        <v>631</v>
      </c>
      <c r="F8234" s="228">
        <v>0.01</v>
      </c>
      <c r="G8234" s="229">
        <f>G7875</f>
        <v>95000</v>
      </c>
      <c r="H8234" s="230">
        <f>+G8234*F8234</f>
        <v>950</v>
      </c>
      <c r="M8234" s="228">
        <v>0.01</v>
      </c>
    </row>
    <row r="8235" spans="1:13" ht="18.75" customHeight="1" x14ac:dyDescent="0.25">
      <c r="B8235" s="587"/>
      <c r="C8235" s="227" t="s">
        <v>1508</v>
      </c>
      <c r="D8235" s="587" t="s">
        <v>632</v>
      </c>
      <c r="E8235" s="224" t="s">
        <v>631</v>
      </c>
      <c r="F8235" s="228">
        <v>0.5</v>
      </c>
      <c r="G8235" s="229">
        <f>G7876</f>
        <v>110000</v>
      </c>
      <c r="H8235" s="230">
        <f>+G8235*F8235</f>
        <v>55000</v>
      </c>
      <c r="M8235" s="228">
        <v>0.5</v>
      </c>
    </row>
    <row r="8236" spans="1:13" ht="18.75" customHeight="1" x14ac:dyDescent="0.25">
      <c r="B8236" s="587"/>
      <c r="C8236" s="227" t="s">
        <v>633</v>
      </c>
      <c r="D8236" s="587" t="s">
        <v>634</v>
      </c>
      <c r="E8236" s="224" t="s">
        <v>631</v>
      </c>
      <c r="F8236" s="228">
        <v>7.4999999999999997E-2</v>
      </c>
      <c r="G8236" s="229">
        <f>G7877</f>
        <v>115000</v>
      </c>
      <c r="H8236" s="230">
        <f>+G8236*F8236</f>
        <v>8625</v>
      </c>
      <c r="M8236" s="228">
        <v>7.4999999999999997E-2</v>
      </c>
    </row>
    <row r="8237" spans="1:13" ht="18.75" customHeight="1" x14ac:dyDescent="0.25">
      <c r="B8237" s="587"/>
      <c r="C8237" s="227" t="s">
        <v>600</v>
      </c>
      <c r="D8237" s="587" t="s">
        <v>635</v>
      </c>
      <c r="E8237" s="224" t="s">
        <v>631</v>
      </c>
      <c r="F8237" s="228">
        <v>3.0000000000000001E-3</v>
      </c>
      <c r="G8237" s="229">
        <f>G7878</f>
        <v>140000</v>
      </c>
      <c r="H8237" s="230">
        <f>+G8237*F8237</f>
        <v>420</v>
      </c>
      <c r="M8237" s="228">
        <v>3.0000000000000001E-3</v>
      </c>
    </row>
    <row r="8238" spans="1:13" ht="18.75" customHeight="1" x14ac:dyDescent="0.25">
      <c r="B8238" s="587"/>
      <c r="C8238" s="223"/>
      <c r="D8238" s="587"/>
      <c r="E8238" s="224"/>
      <c r="F8238" s="233" t="s">
        <v>636</v>
      </c>
      <c r="G8238" s="290"/>
      <c r="H8238" s="231">
        <f>SUM(H8234:H8237)</f>
        <v>64995</v>
      </c>
      <c r="M8238" s="233" t="s">
        <v>636</v>
      </c>
    </row>
    <row r="8239" spans="1:13" ht="18.75" customHeight="1" x14ac:dyDescent="0.25">
      <c r="B8239" s="587"/>
      <c r="C8239" s="223"/>
      <c r="D8239" s="587"/>
      <c r="E8239" s="224"/>
      <c r="F8239" s="233"/>
      <c r="G8239" s="290"/>
      <c r="H8239" s="231"/>
      <c r="M8239" s="233"/>
    </row>
    <row r="8240" spans="1:13" ht="18.75" customHeight="1" x14ac:dyDescent="0.25">
      <c r="B8240" s="587" t="s">
        <v>637</v>
      </c>
      <c r="C8240" s="223" t="s">
        <v>638</v>
      </c>
      <c r="D8240" s="587"/>
      <c r="E8240" s="224"/>
      <c r="F8240" s="225"/>
      <c r="G8240" s="290"/>
      <c r="H8240" s="226"/>
      <c r="M8240" s="225"/>
    </row>
    <row r="8241" spans="2:13" ht="18.75" customHeight="1" x14ac:dyDescent="0.25">
      <c r="B8241" s="587"/>
      <c r="C8241" s="223" t="s">
        <v>1725</v>
      </c>
      <c r="D8241" s="587"/>
      <c r="E8241" s="587" t="s">
        <v>16</v>
      </c>
      <c r="F8241" s="405">
        <v>1</v>
      </c>
      <c r="G8241" s="410">
        <f>Bahan!D326</f>
        <v>142000</v>
      </c>
      <c r="H8241" s="230">
        <f>+G8241*F8241</f>
        <v>142000</v>
      </c>
      <c r="M8241" s="405">
        <v>1</v>
      </c>
    </row>
    <row r="8242" spans="2:13" ht="18.75" customHeight="1" x14ac:dyDescent="0.25">
      <c r="B8242" s="587"/>
      <c r="C8242" s="223"/>
      <c r="D8242" s="587"/>
      <c r="E8242" s="224"/>
      <c r="F8242" s="237" t="s">
        <v>643</v>
      </c>
      <c r="G8242" s="290"/>
      <c r="H8242" s="231">
        <f>SUM(H8241)</f>
        <v>142000</v>
      </c>
      <c r="M8242" s="237" t="s">
        <v>643</v>
      </c>
    </row>
    <row r="8243" spans="2:13" ht="18.75" customHeight="1" x14ac:dyDescent="0.25">
      <c r="B8243" s="587"/>
      <c r="C8243" s="223"/>
      <c r="D8243" s="587"/>
      <c r="E8243" s="224"/>
      <c r="F8243" s="225"/>
      <c r="G8243" s="290"/>
      <c r="H8243" s="226"/>
      <c r="M8243" s="225"/>
    </row>
    <row r="8244" spans="2:13" ht="18.75" customHeight="1" x14ac:dyDescent="0.25">
      <c r="B8244" s="587" t="s">
        <v>644</v>
      </c>
      <c r="C8244" s="223" t="s">
        <v>645</v>
      </c>
      <c r="D8244" s="587"/>
      <c r="E8244" s="224"/>
      <c r="F8244" s="225"/>
      <c r="G8244" s="290"/>
      <c r="H8244" s="235"/>
      <c r="M8244" s="225"/>
    </row>
    <row r="8245" spans="2:13" ht="18.75" customHeight="1" x14ac:dyDescent="0.25">
      <c r="B8245" s="236"/>
      <c r="C8245" s="232"/>
      <c r="D8245" s="587"/>
      <c r="E8245" s="224"/>
      <c r="F8245" s="237" t="s">
        <v>646</v>
      </c>
      <c r="G8245" s="290"/>
      <c r="H8245" s="230"/>
      <c r="M8245" s="237" t="s">
        <v>646</v>
      </c>
    </row>
    <row r="8246" spans="2:13" ht="18.75" customHeight="1" x14ac:dyDescent="0.25">
      <c r="B8246" s="236"/>
      <c r="C8246" s="232"/>
      <c r="D8246" s="587"/>
      <c r="E8246" s="224"/>
      <c r="F8246" s="237"/>
      <c r="G8246" s="290"/>
      <c r="H8246" s="226"/>
      <c r="M8246" s="237"/>
    </row>
    <row r="8247" spans="2:13" ht="18.75" customHeight="1" x14ac:dyDescent="0.25">
      <c r="B8247" s="354"/>
      <c r="C8247" s="362"/>
      <c r="D8247" s="239"/>
      <c r="E8247" s="266"/>
      <c r="F8247" s="241"/>
      <c r="G8247" s="370"/>
      <c r="H8247" s="369"/>
      <c r="M8247" s="241"/>
    </row>
    <row r="8248" spans="2:13" ht="18.75" customHeight="1" x14ac:dyDescent="0.25">
      <c r="B8248" s="356" t="s">
        <v>647</v>
      </c>
      <c r="C8248" s="363" t="s">
        <v>648</v>
      </c>
      <c r="D8248" s="435"/>
      <c r="E8248" s="92"/>
      <c r="F8248" s="183"/>
      <c r="G8248" s="295"/>
      <c r="H8248" s="357">
        <f>+H8245+H8242+H8238</f>
        <v>206995</v>
      </c>
      <c r="M8248" s="183"/>
    </row>
    <row r="8249" spans="2:13" ht="18.75" customHeight="1" x14ac:dyDescent="0.25">
      <c r="B8249" s="356" t="s">
        <v>649</v>
      </c>
      <c r="C8249" s="364" t="s">
        <v>650</v>
      </c>
      <c r="D8249" s="435"/>
      <c r="E8249" s="92"/>
      <c r="F8249" s="184" t="str">
        <f>$J$5</f>
        <v>8,0 % x D</v>
      </c>
      <c r="G8249" s="295"/>
      <c r="H8249" s="358">
        <f>+H8248*$K$5</f>
        <v>16559.599999999999</v>
      </c>
      <c r="M8249" s="184" t="str">
        <f>$J$5</f>
        <v>8,0 % x D</v>
      </c>
    </row>
    <row r="8250" spans="2:13" ht="18.75" customHeight="1" x14ac:dyDescent="0.25">
      <c r="B8250" s="356" t="s">
        <v>651</v>
      </c>
      <c r="C8250" s="365" t="s">
        <v>652</v>
      </c>
      <c r="D8250" s="435"/>
      <c r="E8250" s="91"/>
      <c r="F8250" s="185"/>
      <c r="G8250" s="296"/>
      <c r="H8250" s="359">
        <f>ROUNDUP((H8249+H8248)/100,0)*100</f>
        <v>223600</v>
      </c>
      <c r="M8250" s="185"/>
    </row>
    <row r="8251" spans="2:13" ht="18.75" customHeight="1" x14ac:dyDescent="0.25">
      <c r="B8251" s="360"/>
      <c r="C8251" s="366"/>
      <c r="D8251" s="245"/>
      <c r="E8251" s="246"/>
      <c r="F8251" s="247"/>
      <c r="G8251" s="299"/>
      <c r="H8251" s="361"/>
      <c r="M8251" s="247"/>
    </row>
    <row r="8252" spans="2:13" ht="18.75" customHeight="1" x14ac:dyDescent="0.25">
      <c r="B8252" s="92"/>
      <c r="C8252" s="104"/>
      <c r="D8252" s="435"/>
      <c r="E8252" s="91"/>
      <c r="F8252" s="185"/>
      <c r="G8252" s="168"/>
      <c r="H8252" s="139"/>
      <c r="M8252" s="185"/>
    </row>
    <row r="8253" spans="2:13" ht="18.75" customHeight="1" x14ac:dyDescent="0.25">
      <c r="B8253" s="19">
        <f>B8229+1</f>
        <v>2</v>
      </c>
      <c r="C8253" s="93" t="s">
        <v>1290</v>
      </c>
      <c r="D8253" s="19"/>
      <c r="E8253" s="21"/>
      <c r="F8253" s="176"/>
      <c r="G8253" s="165"/>
      <c r="H8253" s="119"/>
      <c r="M8253" s="176"/>
    </row>
    <row r="8254" spans="2:13" ht="18.75" customHeight="1" x14ac:dyDescent="0.25">
      <c r="B8254" s="618" t="s">
        <v>620</v>
      </c>
      <c r="C8254" s="620" t="s">
        <v>621</v>
      </c>
      <c r="D8254" s="618" t="s">
        <v>622</v>
      </c>
      <c r="E8254" s="618" t="s">
        <v>2</v>
      </c>
      <c r="F8254" s="615" t="s">
        <v>623</v>
      </c>
      <c r="G8254" s="289" t="s">
        <v>624</v>
      </c>
      <c r="H8254" s="256" t="s">
        <v>625</v>
      </c>
      <c r="M8254" s="615" t="s">
        <v>623</v>
      </c>
    </row>
    <row r="8255" spans="2:13" ht="18.75" customHeight="1" x14ac:dyDescent="0.25">
      <c r="B8255" s="619"/>
      <c r="C8255" s="621"/>
      <c r="D8255" s="619"/>
      <c r="E8255" s="619"/>
      <c r="F8255" s="616"/>
      <c r="G8255" s="289" t="s">
        <v>626</v>
      </c>
      <c r="H8255" s="256" t="s">
        <v>626</v>
      </c>
      <c r="M8255" s="616"/>
    </row>
    <row r="8256" spans="2:13" ht="18.75" customHeight="1" x14ac:dyDescent="0.25">
      <c r="B8256" s="221"/>
      <c r="C8256" s="222"/>
      <c r="D8256" s="221"/>
      <c r="E8256" s="587"/>
      <c r="F8256" s="589"/>
      <c r="G8256" s="588"/>
      <c r="H8256" s="220"/>
      <c r="M8256" s="590"/>
    </row>
    <row r="8257" spans="2:13" ht="18.75" customHeight="1" x14ac:dyDescent="0.25">
      <c r="B8257" s="587" t="s">
        <v>627</v>
      </c>
      <c r="C8257" s="223" t="s">
        <v>628</v>
      </c>
      <c r="D8257" s="587"/>
      <c r="E8257" s="224"/>
      <c r="F8257" s="225"/>
      <c r="G8257" s="290"/>
      <c r="H8257" s="226"/>
      <c r="M8257" s="225"/>
    </row>
    <row r="8258" spans="2:13" ht="18.75" customHeight="1" x14ac:dyDescent="0.25">
      <c r="B8258" s="587"/>
      <c r="C8258" s="227" t="s">
        <v>629</v>
      </c>
      <c r="D8258" s="587" t="s">
        <v>630</v>
      </c>
      <c r="E8258" s="224" t="s">
        <v>631</v>
      </c>
      <c r="F8258" s="228">
        <v>5.0000000000000001E-3</v>
      </c>
      <c r="G8258" s="229">
        <f>G8234</f>
        <v>95000</v>
      </c>
      <c r="H8258" s="230">
        <f>+G8258*F8258</f>
        <v>475</v>
      </c>
      <c r="M8258" s="228">
        <v>5.0000000000000001E-3</v>
      </c>
    </row>
    <row r="8259" spans="2:13" ht="18.75" customHeight="1" x14ac:dyDescent="0.25">
      <c r="B8259" s="587"/>
      <c r="C8259" s="227" t="s">
        <v>1508</v>
      </c>
      <c r="D8259" s="587" t="s">
        <v>632</v>
      </c>
      <c r="E8259" s="224" t="s">
        <v>631</v>
      </c>
      <c r="F8259" s="228">
        <v>0.5</v>
      </c>
      <c r="G8259" s="229">
        <f>G8235</f>
        <v>110000</v>
      </c>
      <c r="H8259" s="230">
        <f>+G8259*F8259</f>
        <v>55000</v>
      </c>
      <c r="M8259" s="228">
        <v>0.5</v>
      </c>
    </row>
    <row r="8260" spans="2:13" ht="18.75" customHeight="1" x14ac:dyDescent="0.25">
      <c r="B8260" s="587"/>
      <c r="C8260" s="227" t="s">
        <v>633</v>
      </c>
      <c r="D8260" s="587" t="s">
        <v>634</v>
      </c>
      <c r="E8260" s="224" t="s">
        <v>631</v>
      </c>
      <c r="F8260" s="228">
        <v>7.4999999999999997E-2</v>
      </c>
      <c r="G8260" s="229">
        <f>G8236</f>
        <v>115000</v>
      </c>
      <c r="H8260" s="230">
        <f>+G8260*F8260</f>
        <v>8625</v>
      </c>
      <c r="M8260" s="228">
        <v>7.4999999999999997E-2</v>
      </c>
    </row>
    <row r="8261" spans="2:13" ht="18.75" customHeight="1" x14ac:dyDescent="0.25">
      <c r="B8261" s="587"/>
      <c r="C8261" s="227" t="s">
        <v>600</v>
      </c>
      <c r="D8261" s="587" t="s">
        <v>635</v>
      </c>
      <c r="E8261" s="224" t="s">
        <v>631</v>
      </c>
      <c r="F8261" s="228">
        <v>3.0000000000000001E-3</v>
      </c>
      <c r="G8261" s="229">
        <f>G8237</f>
        <v>140000</v>
      </c>
      <c r="H8261" s="230">
        <f>+G8261*F8261</f>
        <v>420</v>
      </c>
      <c r="M8261" s="228">
        <v>3.0000000000000001E-3</v>
      </c>
    </row>
    <row r="8262" spans="2:13" ht="18.75" customHeight="1" x14ac:dyDescent="0.25">
      <c r="B8262" s="587"/>
      <c r="C8262" s="223"/>
      <c r="D8262" s="587"/>
      <c r="E8262" s="224"/>
      <c r="F8262" s="233" t="s">
        <v>636</v>
      </c>
      <c r="G8262" s="290"/>
      <c r="H8262" s="231">
        <f>SUM(H8258:H8261)</f>
        <v>64520</v>
      </c>
      <c r="M8262" s="233" t="s">
        <v>636</v>
      </c>
    </row>
    <row r="8263" spans="2:13" ht="18.75" customHeight="1" x14ac:dyDescent="0.25">
      <c r="B8263" s="587"/>
      <c r="C8263" s="223"/>
      <c r="D8263" s="587"/>
      <c r="E8263" s="224"/>
      <c r="F8263" s="233"/>
      <c r="G8263" s="290"/>
      <c r="H8263" s="231"/>
      <c r="M8263" s="233"/>
    </row>
    <row r="8264" spans="2:13" ht="18.75" customHeight="1" x14ac:dyDescent="0.25">
      <c r="B8264" s="587" t="s">
        <v>637</v>
      </c>
      <c r="C8264" s="223" t="s">
        <v>638</v>
      </c>
      <c r="D8264" s="587"/>
      <c r="E8264" s="224"/>
      <c r="F8264" s="225"/>
      <c r="G8264" s="290"/>
      <c r="H8264" s="226"/>
      <c r="M8264" s="225"/>
    </row>
    <row r="8265" spans="2:13" ht="18.75" customHeight="1" x14ac:dyDescent="0.25">
      <c r="B8265" s="587"/>
      <c r="C8265" s="223" t="s">
        <v>282</v>
      </c>
      <c r="D8265" s="587"/>
      <c r="E8265" s="587" t="s">
        <v>16</v>
      </c>
      <c r="F8265" s="405">
        <v>1</v>
      </c>
      <c r="G8265" s="410">
        <f>Bahan!D327</f>
        <v>132000</v>
      </c>
      <c r="H8265" s="230">
        <f>+G8265*F8265</f>
        <v>132000</v>
      </c>
      <c r="M8265" s="405">
        <v>1</v>
      </c>
    </row>
    <row r="8266" spans="2:13" ht="18.75" customHeight="1" x14ac:dyDescent="0.25">
      <c r="B8266" s="587"/>
      <c r="C8266" s="223"/>
      <c r="D8266" s="587"/>
      <c r="E8266" s="224"/>
      <c r="F8266" s="237" t="s">
        <v>643</v>
      </c>
      <c r="G8266" s="290"/>
      <c r="H8266" s="231">
        <f>SUM(H8265)</f>
        <v>132000</v>
      </c>
      <c r="M8266" s="237" t="s">
        <v>643</v>
      </c>
    </row>
    <row r="8267" spans="2:13" ht="18.75" customHeight="1" x14ac:dyDescent="0.25">
      <c r="B8267" s="587"/>
      <c r="C8267" s="223"/>
      <c r="D8267" s="587"/>
      <c r="E8267" s="224"/>
      <c r="F8267" s="225"/>
      <c r="G8267" s="290"/>
      <c r="H8267" s="226"/>
      <c r="M8267" s="225"/>
    </row>
    <row r="8268" spans="2:13" ht="18.75" customHeight="1" x14ac:dyDescent="0.25">
      <c r="B8268" s="587" t="s">
        <v>644</v>
      </c>
      <c r="C8268" s="223" t="s">
        <v>645</v>
      </c>
      <c r="D8268" s="587"/>
      <c r="E8268" s="224"/>
      <c r="F8268" s="225"/>
      <c r="G8268" s="290"/>
      <c r="H8268" s="235"/>
      <c r="M8268" s="225"/>
    </row>
    <row r="8269" spans="2:13" ht="18.75" customHeight="1" x14ac:dyDescent="0.25">
      <c r="B8269" s="236"/>
      <c r="C8269" s="232"/>
      <c r="D8269" s="587"/>
      <c r="E8269" s="224"/>
      <c r="F8269" s="237" t="s">
        <v>646</v>
      </c>
      <c r="G8269" s="290"/>
      <c r="H8269" s="230"/>
      <c r="M8269" s="237" t="s">
        <v>646</v>
      </c>
    </row>
    <row r="8270" spans="2:13" ht="18.75" customHeight="1" x14ac:dyDescent="0.25">
      <c r="B8270" s="236"/>
      <c r="C8270" s="232"/>
      <c r="D8270" s="587"/>
      <c r="E8270" s="224"/>
      <c r="F8270" s="237"/>
      <c r="G8270" s="290"/>
      <c r="H8270" s="226"/>
      <c r="M8270" s="237"/>
    </row>
    <row r="8271" spans="2:13" ht="18.75" customHeight="1" x14ac:dyDescent="0.25">
      <c r="B8271" s="354"/>
      <c r="C8271" s="362"/>
      <c r="D8271" s="239"/>
      <c r="E8271" s="240"/>
      <c r="F8271" s="241"/>
      <c r="G8271" s="293"/>
      <c r="H8271" s="355"/>
      <c r="M8271" s="241"/>
    </row>
    <row r="8272" spans="2:13" ht="18.75" customHeight="1" x14ac:dyDescent="0.25">
      <c r="B8272" s="356" t="s">
        <v>647</v>
      </c>
      <c r="C8272" s="363" t="s">
        <v>648</v>
      </c>
      <c r="D8272" s="435"/>
      <c r="E8272" s="92"/>
      <c r="F8272" s="183"/>
      <c r="G8272" s="295"/>
      <c r="H8272" s="357">
        <f>+H8269+H8266+H8262</f>
        <v>196520</v>
      </c>
      <c r="M8272" s="183"/>
    </row>
    <row r="8273" spans="2:13" ht="18.75" customHeight="1" x14ac:dyDescent="0.25">
      <c r="B8273" s="356" t="s">
        <v>649</v>
      </c>
      <c r="C8273" s="364" t="s">
        <v>650</v>
      </c>
      <c r="D8273" s="435"/>
      <c r="E8273" s="92"/>
      <c r="F8273" s="184" t="str">
        <f>$J$5</f>
        <v>8,0 % x D</v>
      </c>
      <c r="G8273" s="295"/>
      <c r="H8273" s="358">
        <f>+H8272*$K$5</f>
        <v>15721.6</v>
      </c>
      <c r="M8273" s="184" t="str">
        <f>$J$5</f>
        <v>8,0 % x D</v>
      </c>
    </row>
    <row r="8274" spans="2:13" ht="18.75" customHeight="1" x14ac:dyDescent="0.25">
      <c r="B8274" s="356" t="s">
        <v>651</v>
      </c>
      <c r="C8274" s="365" t="s">
        <v>652</v>
      </c>
      <c r="D8274" s="435"/>
      <c r="E8274" s="91"/>
      <c r="F8274" s="185"/>
      <c r="G8274" s="296"/>
      <c r="H8274" s="359">
        <f>ROUNDUP((H8273+H8272)/100,0)*100</f>
        <v>212300</v>
      </c>
      <c r="M8274" s="185"/>
    </row>
    <row r="8275" spans="2:13" ht="18.75" customHeight="1" x14ac:dyDescent="0.25">
      <c r="B8275" s="360"/>
      <c r="C8275" s="366"/>
      <c r="D8275" s="245"/>
      <c r="E8275" s="246"/>
      <c r="F8275" s="247"/>
      <c r="G8275" s="299"/>
      <c r="H8275" s="361"/>
      <c r="M8275" s="247"/>
    </row>
    <row r="8276" spans="2:13" ht="18.75" customHeight="1" x14ac:dyDescent="0.25">
      <c r="B8276" s="22"/>
      <c r="C8276" s="104"/>
      <c r="E8276" s="21"/>
      <c r="F8276" s="176"/>
      <c r="G8276" s="165"/>
      <c r="H8276" s="119"/>
      <c r="M8276" s="176"/>
    </row>
    <row r="8277" spans="2:13" ht="18.75" customHeight="1" x14ac:dyDescent="0.25">
      <c r="B8277" s="19">
        <v>3</v>
      </c>
      <c r="C8277" s="93" t="s">
        <v>1291</v>
      </c>
      <c r="D8277" s="19"/>
      <c r="E8277" s="21"/>
      <c r="F8277" s="176"/>
      <c r="G8277" s="165"/>
      <c r="H8277" s="119"/>
      <c r="M8277" s="176"/>
    </row>
    <row r="8278" spans="2:13" ht="18.75" customHeight="1" x14ac:dyDescent="0.25">
      <c r="B8278" s="618" t="s">
        <v>620</v>
      </c>
      <c r="C8278" s="620" t="s">
        <v>621</v>
      </c>
      <c r="D8278" s="618" t="s">
        <v>622</v>
      </c>
      <c r="E8278" s="618" t="s">
        <v>2</v>
      </c>
      <c r="F8278" s="615" t="s">
        <v>623</v>
      </c>
      <c r="G8278" s="289" t="s">
        <v>624</v>
      </c>
      <c r="H8278" s="256" t="s">
        <v>625</v>
      </c>
      <c r="M8278" s="615" t="s">
        <v>623</v>
      </c>
    </row>
    <row r="8279" spans="2:13" ht="18.75" customHeight="1" x14ac:dyDescent="0.25">
      <c r="B8279" s="619"/>
      <c r="C8279" s="621"/>
      <c r="D8279" s="619"/>
      <c r="E8279" s="619"/>
      <c r="F8279" s="616"/>
      <c r="G8279" s="289" t="s">
        <v>626</v>
      </c>
      <c r="H8279" s="256" t="s">
        <v>626</v>
      </c>
      <c r="M8279" s="616"/>
    </row>
    <row r="8280" spans="2:13" ht="18.75" customHeight="1" x14ac:dyDescent="0.25">
      <c r="B8280" s="221"/>
      <c r="C8280" s="222"/>
      <c r="D8280" s="221"/>
      <c r="E8280" s="587"/>
      <c r="F8280" s="589"/>
      <c r="G8280" s="588"/>
      <c r="H8280" s="220"/>
      <c r="M8280" s="590"/>
    </row>
    <row r="8281" spans="2:13" ht="18.75" customHeight="1" x14ac:dyDescent="0.25">
      <c r="B8281" s="587" t="s">
        <v>627</v>
      </c>
      <c r="C8281" s="223" t="s">
        <v>628</v>
      </c>
      <c r="D8281" s="587"/>
      <c r="E8281" s="224"/>
      <c r="F8281" s="225"/>
      <c r="G8281" s="290"/>
      <c r="H8281" s="226"/>
      <c r="M8281" s="225"/>
    </row>
    <row r="8282" spans="2:13" ht="18.75" customHeight="1" x14ac:dyDescent="0.25">
      <c r="B8282" s="587"/>
      <c r="C8282" s="227" t="s">
        <v>629</v>
      </c>
      <c r="D8282" s="587" t="s">
        <v>630</v>
      </c>
      <c r="E8282" s="224" t="s">
        <v>631</v>
      </c>
      <c r="F8282" s="228">
        <v>0.02</v>
      </c>
      <c r="G8282" s="229">
        <f>G8258</f>
        <v>95000</v>
      </c>
      <c r="H8282" s="230">
        <f>+G8282*F8282</f>
        <v>1900</v>
      </c>
      <c r="M8282" s="228">
        <v>0.02</v>
      </c>
    </row>
    <row r="8283" spans="2:13" ht="18.75" customHeight="1" x14ac:dyDescent="0.25">
      <c r="B8283" s="587"/>
      <c r="C8283" s="227" t="s">
        <v>1508</v>
      </c>
      <c r="D8283" s="587" t="s">
        <v>632</v>
      </c>
      <c r="E8283" s="224" t="s">
        <v>631</v>
      </c>
      <c r="F8283" s="228">
        <v>0.22</v>
      </c>
      <c r="G8283" s="229">
        <f>G8259</f>
        <v>110000</v>
      </c>
      <c r="H8283" s="230">
        <f>+G8283*F8283</f>
        <v>24200</v>
      </c>
      <c r="M8283" s="228">
        <v>0.22</v>
      </c>
    </row>
    <row r="8284" spans="2:13" ht="18.75" customHeight="1" x14ac:dyDescent="0.25">
      <c r="B8284" s="587"/>
      <c r="C8284" s="227" t="s">
        <v>633</v>
      </c>
      <c r="D8284" s="587" t="s">
        <v>634</v>
      </c>
      <c r="E8284" s="224" t="s">
        <v>631</v>
      </c>
      <c r="F8284" s="228">
        <v>2.5000000000000001E-2</v>
      </c>
      <c r="G8284" s="229">
        <f>G8260</f>
        <v>115000</v>
      </c>
      <c r="H8284" s="230">
        <f>+G8284*F8284</f>
        <v>2875</v>
      </c>
      <c r="M8284" s="228">
        <v>2.5000000000000001E-2</v>
      </c>
    </row>
    <row r="8285" spans="2:13" ht="18.75" customHeight="1" x14ac:dyDescent="0.25">
      <c r="B8285" s="587"/>
      <c r="C8285" s="227" t="s">
        <v>600</v>
      </c>
      <c r="D8285" s="587" t="s">
        <v>635</v>
      </c>
      <c r="E8285" s="224" t="s">
        <v>631</v>
      </c>
      <c r="F8285" s="228">
        <v>1.2999999999999999E-3</v>
      </c>
      <c r="G8285" s="229">
        <f>G8261</f>
        <v>140000</v>
      </c>
      <c r="H8285" s="230">
        <f>+G8285*F8285</f>
        <v>182</v>
      </c>
      <c r="M8285" s="228">
        <v>1.2999999999999999E-3</v>
      </c>
    </row>
    <row r="8286" spans="2:13" ht="18.75" customHeight="1" x14ac:dyDescent="0.25">
      <c r="B8286" s="587"/>
      <c r="C8286" s="223"/>
      <c r="D8286" s="587"/>
      <c r="E8286" s="224"/>
      <c r="F8286" s="233" t="s">
        <v>636</v>
      </c>
      <c r="G8286" s="290"/>
      <c r="H8286" s="231">
        <f>SUM(H8282:H8285)</f>
        <v>29157</v>
      </c>
      <c r="M8286" s="233" t="s">
        <v>636</v>
      </c>
    </row>
    <row r="8287" spans="2:13" ht="18.75" customHeight="1" x14ac:dyDescent="0.25">
      <c r="B8287" s="587"/>
      <c r="C8287" s="223"/>
      <c r="D8287" s="587"/>
      <c r="E8287" s="224"/>
      <c r="F8287" s="233"/>
      <c r="G8287" s="290"/>
      <c r="H8287" s="231"/>
      <c r="M8287" s="233"/>
    </row>
    <row r="8288" spans="2:13" ht="18.75" customHeight="1" x14ac:dyDescent="0.25">
      <c r="B8288" s="587" t="s">
        <v>637</v>
      </c>
      <c r="C8288" s="223" t="s">
        <v>638</v>
      </c>
      <c r="D8288" s="587"/>
      <c r="E8288" s="224"/>
      <c r="F8288" s="225"/>
      <c r="G8288" s="290"/>
      <c r="H8288" s="226"/>
      <c r="M8288" s="225"/>
    </row>
    <row r="8289" spans="2:13" ht="18.75" customHeight="1" x14ac:dyDescent="0.25">
      <c r="B8289" s="587"/>
      <c r="C8289" s="223" t="s">
        <v>284</v>
      </c>
      <c r="D8289" s="587"/>
      <c r="E8289" s="587" t="s">
        <v>16</v>
      </c>
      <c r="F8289" s="405">
        <v>1</v>
      </c>
      <c r="G8289" s="410">
        <f>Bahan!D330</f>
        <v>25000</v>
      </c>
      <c r="H8289" s="230">
        <f>+G8289*F8289</f>
        <v>25000</v>
      </c>
      <c r="M8289" s="405">
        <v>1</v>
      </c>
    </row>
    <row r="8290" spans="2:13" ht="18.75" customHeight="1" x14ac:dyDescent="0.25">
      <c r="B8290" s="587"/>
      <c r="C8290" s="223"/>
      <c r="D8290" s="587"/>
      <c r="E8290" s="224"/>
      <c r="F8290" s="237" t="s">
        <v>643</v>
      </c>
      <c r="G8290" s="290"/>
      <c r="H8290" s="231">
        <f>SUM(H8289)</f>
        <v>25000</v>
      </c>
      <c r="M8290" s="237" t="s">
        <v>643</v>
      </c>
    </row>
    <row r="8291" spans="2:13" ht="18.75" customHeight="1" x14ac:dyDescent="0.25">
      <c r="B8291" s="587"/>
      <c r="C8291" s="223"/>
      <c r="D8291" s="587"/>
      <c r="E8291" s="224"/>
      <c r="F8291" s="225"/>
      <c r="G8291" s="290"/>
      <c r="H8291" s="226"/>
      <c r="M8291" s="225"/>
    </row>
    <row r="8292" spans="2:13" ht="18.75" customHeight="1" x14ac:dyDescent="0.25">
      <c r="B8292" s="587"/>
      <c r="C8292" s="223" t="s">
        <v>645</v>
      </c>
      <c r="D8292" s="587"/>
      <c r="E8292" s="224"/>
      <c r="F8292" s="225"/>
      <c r="G8292" s="290"/>
      <c r="H8292" s="235"/>
      <c r="M8292" s="225"/>
    </row>
    <row r="8293" spans="2:13" ht="18.75" customHeight="1" x14ac:dyDescent="0.25">
      <c r="B8293" s="236"/>
      <c r="C8293" s="232"/>
      <c r="D8293" s="587"/>
      <c r="E8293" s="224"/>
      <c r="F8293" s="237" t="s">
        <v>646</v>
      </c>
      <c r="G8293" s="290"/>
      <c r="H8293" s="230"/>
      <c r="M8293" s="237" t="s">
        <v>646</v>
      </c>
    </row>
    <row r="8294" spans="2:13" ht="18.75" customHeight="1" x14ac:dyDescent="0.25">
      <c r="B8294" s="236"/>
      <c r="C8294" s="232"/>
      <c r="D8294" s="587"/>
      <c r="E8294" s="224"/>
      <c r="F8294" s="237"/>
      <c r="G8294" s="290"/>
      <c r="H8294" s="226"/>
      <c r="M8294" s="237"/>
    </row>
    <row r="8295" spans="2:13" ht="18.75" customHeight="1" x14ac:dyDescent="0.25">
      <c r="B8295" s="354"/>
      <c r="C8295" s="362"/>
      <c r="D8295" s="239"/>
      <c r="E8295" s="266"/>
      <c r="F8295" s="241"/>
      <c r="G8295" s="370"/>
      <c r="H8295" s="369"/>
      <c r="M8295" s="241"/>
    </row>
    <row r="8296" spans="2:13" ht="18.75" customHeight="1" x14ac:dyDescent="0.25">
      <c r="B8296" s="356" t="s">
        <v>647</v>
      </c>
      <c r="C8296" s="363" t="s">
        <v>648</v>
      </c>
      <c r="D8296" s="435"/>
      <c r="E8296" s="92"/>
      <c r="F8296" s="183"/>
      <c r="G8296" s="295"/>
      <c r="H8296" s="357">
        <f>+H8293+H8290+H8286</f>
        <v>54157</v>
      </c>
      <c r="M8296" s="183"/>
    </row>
    <row r="8297" spans="2:13" ht="18.75" customHeight="1" x14ac:dyDescent="0.25">
      <c r="B8297" s="356" t="s">
        <v>649</v>
      </c>
      <c r="C8297" s="364" t="s">
        <v>650</v>
      </c>
      <c r="D8297" s="435"/>
      <c r="E8297" s="92"/>
      <c r="F8297" s="184" t="str">
        <f>$J$5</f>
        <v>8,0 % x D</v>
      </c>
      <c r="G8297" s="295"/>
      <c r="H8297" s="358">
        <f>+H8296*$K$5</f>
        <v>4332.5600000000004</v>
      </c>
      <c r="M8297" s="184" t="str">
        <f>$J$5</f>
        <v>8,0 % x D</v>
      </c>
    </row>
    <row r="8298" spans="2:13" ht="18.75" customHeight="1" x14ac:dyDescent="0.25">
      <c r="B8298" s="356" t="s">
        <v>651</v>
      </c>
      <c r="C8298" s="365" t="s">
        <v>652</v>
      </c>
      <c r="D8298" s="435"/>
      <c r="E8298" s="91"/>
      <c r="F8298" s="185"/>
      <c r="G8298" s="296"/>
      <c r="H8298" s="359">
        <f>ROUNDUP((H8297+H8296)/100,0)*100</f>
        <v>58500</v>
      </c>
      <c r="M8298" s="185"/>
    </row>
    <row r="8299" spans="2:13" ht="18.75" customHeight="1" x14ac:dyDescent="0.25">
      <c r="B8299" s="360"/>
      <c r="C8299" s="366"/>
      <c r="D8299" s="245"/>
      <c r="E8299" s="246"/>
      <c r="F8299" s="247"/>
      <c r="G8299" s="299"/>
      <c r="H8299" s="361"/>
      <c r="M8299" s="247"/>
    </row>
    <row r="8300" spans="2:13" ht="18.75" customHeight="1" x14ac:dyDescent="0.25">
      <c r="B8300" s="92"/>
      <c r="C8300" s="104"/>
      <c r="D8300" s="435"/>
      <c r="E8300" s="91"/>
      <c r="F8300" s="185"/>
      <c r="G8300" s="168"/>
      <c r="H8300" s="139"/>
      <c r="M8300" s="185"/>
    </row>
    <row r="8301" spans="2:13" ht="18.75" customHeight="1" x14ac:dyDescent="0.25">
      <c r="B8301" s="19">
        <v>4</v>
      </c>
      <c r="C8301" s="93" t="s">
        <v>1292</v>
      </c>
      <c r="D8301" s="19"/>
      <c r="E8301" s="21"/>
      <c r="F8301" s="176"/>
      <c r="G8301" s="165"/>
      <c r="H8301" s="119"/>
      <c r="M8301" s="176"/>
    </row>
    <row r="8302" spans="2:13" ht="18.75" customHeight="1" x14ac:dyDescent="0.25">
      <c r="B8302" s="618" t="s">
        <v>620</v>
      </c>
      <c r="C8302" s="620" t="s">
        <v>621</v>
      </c>
      <c r="D8302" s="618" t="s">
        <v>622</v>
      </c>
      <c r="E8302" s="618" t="s">
        <v>2</v>
      </c>
      <c r="F8302" s="615" t="s">
        <v>623</v>
      </c>
      <c r="G8302" s="289" t="s">
        <v>624</v>
      </c>
      <c r="H8302" s="256" t="s">
        <v>625</v>
      </c>
      <c r="M8302" s="615" t="s">
        <v>623</v>
      </c>
    </row>
    <row r="8303" spans="2:13" ht="18.75" customHeight="1" x14ac:dyDescent="0.25">
      <c r="B8303" s="619"/>
      <c r="C8303" s="621"/>
      <c r="D8303" s="619"/>
      <c r="E8303" s="619"/>
      <c r="F8303" s="616"/>
      <c r="G8303" s="289" t="s">
        <v>626</v>
      </c>
      <c r="H8303" s="256" t="s">
        <v>626</v>
      </c>
      <c r="M8303" s="616"/>
    </row>
    <row r="8304" spans="2:13" ht="18.75" customHeight="1" x14ac:dyDescent="0.25">
      <c r="B8304" s="221"/>
      <c r="C8304" s="222"/>
      <c r="D8304" s="221"/>
      <c r="E8304" s="587"/>
      <c r="F8304" s="589"/>
      <c r="G8304" s="588"/>
      <c r="H8304" s="220"/>
      <c r="M8304" s="590"/>
    </row>
    <row r="8305" spans="2:13" ht="18.75" customHeight="1" x14ac:dyDescent="0.25">
      <c r="B8305" s="587" t="s">
        <v>627</v>
      </c>
      <c r="C8305" s="223" t="s">
        <v>628</v>
      </c>
      <c r="D8305" s="587"/>
      <c r="E8305" s="224"/>
      <c r="F8305" s="225"/>
      <c r="G8305" s="290"/>
      <c r="H8305" s="226"/>
      <c r="M8305" s="225"/>
    </row>
    <row r="8306" spans="2:13" ht="18.75" customHeight="1" x14ac:dyDescent="0.25">
      <c r="B8306" s="587"/>
      <c r="C8306" s="227" t="s">
        <v>629</v>
      </c>
      <c r="D8306" s="587" t="s">
        <v>630</v>
      </c>
      <c r="E8306" s="224" t="s">
        <v>631</v>
      </c>
      <c r="F8306" s="228">
        <v>5.0000000000000001E-3</v>
      </c>
      <c r="G8306" s="229">
        <f>G8282</f>
        <v>95000</v>
      </c>
      <c r="H8306" s="230">
        <f>+G8306*F8306</f>
        <v>475</v>
      </c>
      <c r="M8306" s="228">
        <v>5.0000000000000001E-3</v>
      </c>
    </row>
    <row r="8307" spans="2:13" ht="18.75" customHeight="1" x14ac:dyDescent="0.25">
      <c r="B8307" s="587"/>
      <c r="C8307" s="227" t="s">
        <v>1508</v>
      </c>
      <c r="D8307" s="587" t="s">
        <v>632</v>
      </c>
      <c r="E8307" s="224" t="s">
        <v>631</v>
      </c>
      <c r="F8307" s="228">
        <v>0.48799999999999999</v>
      </c>
      <c r="G8307" s="229">
        <f>G8283</f>
        <v>110000</v>
      </c>
      <c r="H8307" s="230">
        <f>+G8307*F8307</f>
        <v>53680</v>
      </c>
      <c r="M8307" s="228">
        <v>0.48799999999999999</v>
      </c>
    </row>
    <row r="8308" spans="2:13" ht="18.75" customHeight="1" x14ac:dyDescent="0.25">
      <c r="B8308" s="587"/>
      <c r="C8308" s="227" t="s">
        <v>633</v>
      </c>
      <c r="D8308" s="587" t="s">
        <v>634</v>
      </c>
      <c r="E8308" s="224" t="s">
        <v>631</v>
      </c>
      <c r="F8308" s="228">
        <v>7.4999999999999997E-2</v>
      </c>
      <c r="G8308" s="229">
        <f>G8284</f>
        <v>115000</v>
      </c>
      <c r="H8308" s="230">
        <f>+G8308*F8308</f>
        <v>8625</v>
      </c>
      <c r="M8308" s="228">
        <v>7.4999999999999997E-2</v>
      </c>
    </row>
    <row r="8309" spans="2:13" ht="18.75" customHeight="1" x14ac:dyDescent="0.25">
      <c r="B8309" s="587"/>
      <c r="C8309" s="227" t="s">
        <v>600</v>
      </c>
      <c r="D8309" s="587" t="s">
        <v>635</v>
      </c>
      <c r="E8309" s="224" t="s">
        <v>631</v>
      </c>
      <c r="F8309" s="228">
        <v>3.0000000000000001E-3</v>
      </c>
      <c r="G8309" s="229">
        <f>G8285</f>
        <v>140000</v>
      </c>
      <c r="H8309" s="230">
        <f>+G8309*F8309</f>
        <v>420</v>
      </c>
      <c r="M8309" s="228">
        <v>3.0000000000000001E-3</v>
      </c>
    </row>
    <row r="8310" spans="2:13" ht="18.75" customHeight="1" x14ac:dyDescent="0.25">
      <c r="B8310" s="587"/>
      <c r="C8310" s="223"/>
      <c r="D8310" s="587"/>
      <c r="E8310" s="224"/>
      <c r="F8310" s="233" t="s">
        <v>636</v>
      </c>
      <c r="G8310" s="290"/>
      <c r="H8310" s="231">
        <f>SUM(H8306:H8309)</f>
        <v>63200</v>
      </c>
      <c r="M8310" s="233" t="s">
        <v>636</v>
      </c>
    </row>
    <row r="8311" spans="2:13" ht="18.75" customHeight="1" x14ac:dyDescent="0.25">
      <c r="B8311" s="587"/>
      <c r="C8311" s="223"/>
      <c r="D8311" s="587"/>
      <c r="E8311" s="224"/>
      <c r="F8311" s="233"/>
      <c r="G8311" s="290"/>
      <c r="H8311" s="231"/>
      <c r="M8311" s="233"/>
    </row>
    <row r="8312" spans="2:13" ht="18.75" customHeight="1" x14ac:dyDescent="0.25">
      <c r="B8312" s="587" t="s">
        <v>637</v>
      </c>
      <c r="C8312" s="223" t="s">
        <v>638</v>
      </c>
      <c r="D8312" s="587"/>
      <c r="E8312" s="224"/>
      <c r="F8312" s="225"/>
      <c r="G8312" s="290"/>
      <c r="H8312" s="226"/>
      <c r="M8312" s="225"/>
    </row>
    <row r="8313" spans="2:13" ht="18.75" customHeight="1" x14ac:dyDescent="0.25">
      <c r="B8313" s="587"/>
      <c r="C8313" s="223" t="s">
        <v>1293</v>
      </c>
      <c r="D8313" s="587"/>
      <c r="E8313" s="587" t="s">
        <v>16</v>
      </c>
      <c r="F8313" s="405">
        <v>1</v>
      </c>
      <c r="G8313" s="410">
        <f>Bahan!D328</f>
        <v>30000</v>
      </c>
      <c r="H8313" s="230">
        <f>+G8313*F8313</f>
        <v>30000</v>
      </c>
      <c r="M8313" s="405">
        <v>1</v>
      </c>
    </row>
    <row r="8314" spans="2:13" ht="18.75" customHeight="1" x14ac:dyDescent="0.25">
      <c r="B8314" s="587"/>
      <c r="C8314" s="223"/>
      <c r="D8314" s="587"/>
      <c r="E8314" s="224"/>
      <c r="F8314" s="237" t="s">
        <v>643</v>
      </c>
      <c r="G8314" s="290"/>
      <c r="H8314" s="231">
        <f>SUM(H8313)</f>
        <v>30000</v>
      </c>
      <c r="M8314" s="237" t="s">
        <v>643</v>
      </c>
    </row>
    <row r="8315" spans="2:13" ht="18.75" customHeight="1" x14ac:dyDescent="0.25">
      <c r="B8315" s="587"/>
      <c r="C8315" s="223"/>
      <c r="D8315" s="587"/>
      <c r="E8315" s="224"/>
      <c r="F8315" s="225"/>
      <c r="G8315" s="290"/>
      <c r="H8315" s="226"/>
      <c r="M8315" s="225"/>
    </row>
    <row r="8316" spans="2:13" ht="18.75" customHeight="1" x14ac:dyDescent="0.25">
      <c r="B8316" s="587" t="s">
        <v>644</v>
      </c>
      <c r="C8316" s="223" t="s">
        <v>645</v>
      </c>
      <c r="D8316" s="587"/>
      <c r="E8316" s="224"/>
      <c r="F8316" s="225"/>
      <c r="G8316" s="290"/>
      <c r="H8316" s="235"/>
      <c r="M8316" s="225"/>
    </row>
    <row r="8317" spans="2:13" ht="18.75" customHeight="1" x14ac:dyDescent="0.25">
      <c r="B8317" s="236"/>
      <c r="C8317" s="232"/>
      <c r="D8317" s="587"/>
      <c r="E8317" s="224"/>
      <c r="F8317" s="237" t="s">
        <v>646</v>
      </c>
      <c r="G8317" s="290"/>
      <c r="H8317" s="230"/>
      <c r="M8317" s="237" t="s">
        <v>646</v>
      </c>
    </row>
    <row r="8318" spans="2:13" ht="18.75" customHeight="1" x14ac:dyDescent="0.25">
      <c r="B8318" s="236"/>
      <c r="C8318" s="232"/>
      <c r="D8318" s="587"/>
      <c r="E8318" s="224"/>
      <c r="F8318" s="237"/>
      <c r="G8318" s="290"/>
      <c r="H8318" s="226"/>
      <c r="M8318" s="237"/>
    </row>
    <row r="8319" spans="2:13" ht="18.75" customHeight="1" x14ac:dyDescent="0.25">
      <c r="B8319" s="354"/>
      <c r="C8319" s="362"/>
      <c r="D8319" s="239"/>
      <c r="E8319" s="266"/>
      <c r="F8319" s="241"/>
      <c r="G8319" s="370"/>
      <c r="H8319" s="369"/>
      <c r="M8319" s="241"/>
    </row>
    <row r="8320" spans="2:13" ht="18.75" customHeight="1" x14ac:dyDescent="0.25">
      <c r="B8320" s="356" t="s">
        <v>647</v>
      </c>
      <c r="C8320" s="363" t="s">
        <v>648</v>
      </c>
      <c r="D8320" s="435"/>
      <c r="E8320" s="92"/>
      <c r="F8320" s="183"/>
      <c r="G8320" s="295"/>
      <c r="H8320" s="357">
        <f>+H8317+H8314+H8310</f>
        <v>93200</v>
      </c>
      <c r="M8320" s="183"/>
    </row>
    <row r="8321" spans="2:13" ht="18.75" customHeight="1" x14ac:dyDescent="0.25">
      <c r="B8321" s="356" t="s">
        <v>649</v>
      </c>
      <c r="C8321" s="364" t="s">
        <v>650</v>
      </c>
      <c r="D8321" s="435"/>
      <c r="E8321" s="92"/>
      <c r="F8321" s="184" t="str">
        <f>$J$5</f>
        <v>8,0 % x D</v>
      </c>
      <c r="G8321" s="295"/>
      <c r="H8321" s="358">
        <f>+H8320*$K$5</f>
        <v>7456</v>
      </c>
      <c r="M8321" s="184" t="str">
        <f>$J$5</f>
        <v>8,0 % x D</v>
      </c>
    </row>
    <row r="8322" spans="2:13" ht="18.75" customHeight="1" x14ac:dyDescent="0.25">
      <c r="B8322" s="356" t="s">
        <v>651</v>
      </c>
      <c r="C8322" s="365" t="s">
        <v>652</v>
      </c>
      <c r="D8322" s="435"/>
      <c r="E8322" s="91"/>
      <c r="F8322" s="185"/>
      <c r="G8322" s="296"/>
      <c r="H8322" s="359">
        <f>ROUNDUP((H8321+H8320)/100,0)*100</f>
        <v>100700</v>
      </c>
      <c r="M8322" s="185"/>
    </row>
    <row r="8323" spans="2:13" ht="18.75" customHeight="1" x14ac:dyDescent="0.25">
      <c r="B8323" s="360"/>
      <c r="C8323" s="366"/>
      <c r="D8323" s="245"/>
      <c r="E8323" s="246"/>
      <c r="F8323" s="247"/>
      <c r="G8323" s="299"/>
      <c r="H8323" s="361"/>
      <c r="M8323" s="247"/>
    </row>
    <row r="8324" spans="2:13" ht="18.75" customHeight="1" x14ac:dyDescent="0.25">
      <c r="B8324" s="22"/>
      <c r="C8324" s="104"/>
      <c r="E8324" s="21"/>
      <c r="F8324" s="176"/>
      <c r="G8324" s="165"/>
      <c r="H8324" s="119"/>
      <c r="M8324" s="176"/>
    </row>
    <row r="8325" spans="2:13" ht="18.75" customHeight="1" x14ac:dyDescent="0.25">
      <c r="B8325" s="19">
        <f>B8301+1</f>
        <v>5</v>
      </c>
      <c r="C8325" s="93" t="s">
        <v>1294</v>
      </c>
      <c r="D8325" s="19"/>
      <c r="E8325" s="21"/>
      <c r="F8325" s="176"/>
      <c r="G8325" s="165"/>
      <c r="H8325" s="119"/>
      <c r="M8325" s="176"/>
    </row>
    <row r="8326" spans="2:13" ht="18.75" customHeight="1" x14ac:dyDescent="0.25">
      <c r="B8326" s="618" t="s">
        <v>620</v>
      </c>
      <c r="C8326" s="620" t="s">
        <v>621</v>
      </c>
      <c r="D8326" s="618" t="s">
        <v>622</v>
      </c>
      <c r="E8326" s="618" t="s">
        <v>2</v>
      </c>
      <c r="F8326" s="615" t="s">
        <v>623</v>
      </c>
      <c r="G8326" s="289" t="s">
        <v>624</v>
      </c>
      <c r="H8326" s="256" t="s">
        <v>625</v>
      </c>
      <c r="M8326" s="615" t="s">
        <v>623</v>
      </c>
    </row>
    <row r="8327" spans="2:13" ht="18.75" customHeight="1" x14ac:dyDescent="0.25">
      <c r="B8327" s="619"/>
      <c r="C8327" s="621"/>
      <c r="D8327" s="619"/>
      <c r="E8327" s="619"/>
      <c r="F8327" s="616"/>
      <c r="G8327" s="289" t="s">
        <v>626</v>
      </c>
      <c r="H8327" s="256" t="s">
        <v>626</v>
      </c>
      <c r="M8327" s="616"/>
    </row>
    <row r="8328" spans="2:13" ht="18.75" customHeight="1" x14ac:dyDescent="0.25">
      <c r="B8328" s="221"/>
      <c r="C8328" s="222"/>
      <c r="D8328" s="221"/>
      <c r="E8328" s="587"/>
      <c r="F8328" s="589"/>
      <c r="G8328" s="588"/>
      <c r="H8328" s="220"/>
      <c r="M8328" s="590"/>
    </row>
    <row r="8329" spans="2:13" ht="18.75" customHeight="1" x14ac:dyDescent="0.25">
      <c r="B8329" s="587" t="s">
        <v>627</v>
      </c>
      <c r="C8329" s="223" t="s">
        <v>628</v>
      </c>
      <c r="D8329" s="587"/>
      <c r="E8329" s="224"/>
      <c r="F8329" s="225"/>
      <c r="G8329" s="290"/>
      <c r="H8329" s="226"/>
      <c r="M8329" s="225"/>
    </row>
    <row r="8330" spans="2:13" ht="18.75" customHeight="1" x14ac:dyDescent="0.25">
      <c r="B8330" s="587"/>
      <c r="C8330" s="227" t="s">
        <v>629</v>
      </c>
      <c r="D8330" s="587" t="s">
        <v>630</v>
      </c>
      <c r="E8330" s="224" t="s">
        <v>631</v>
      </c>
      <c r="F8330" s="228">
        <v>1.4999999999999999E-2</v>
      </c>
      <c r="G8330" s="229">
        <f>G8306</f>
        <v>95000</v>
      </c>
      <c r="H8330" s="230">
        <f>+G8330*F8330</f>
        <v>1425</v>
      </c>
      <c r="M8330" s="228">
        <v>1.4999999999999999E-2</v>
      </c>
    </row>
    <row r="8331" spans="2:13" ht="18.75" customHeight="1" x14ac:dyDescent="0.25">
      <c r="B8331" s="587"/>
      <c r="C8331" s="227" t="s">
        <v>1508</v>
      </c>
      <c r="D8331" s="587" t="s">
        <v>632</v>
      </c>
      <c r="E8331" s="224" t="s">
        <v>631</v>
      </c>
      <c r="F8331" s="228">
        <v>0.15</v>
      </c>
      <c r="G8331" s="229">
        <f>G8307</f>
        <v>110000</v>
      </c>
      <c r="H8331" s="230">
        <f>+G8331*F8331</f>
        <v>16500</v>
      </c>
      <c r="M8331" s="228">
        <v>0.15</v>
      </c>
    </row>
    <row r="8332" spans="2:13" ht="18.75" customHeight="1" x14ac:dyDescent="0.25">
      <c r="B8332" s="587"/>
      <c r="C8332" s="227" t="s">
        <v>633</v>
      </c>
      <c r="D8332" s="587" t="s">
        <v>634</v>
      </c>
      <c r="E8332" s="224" t="s">
        <v>631</v>
      </c>
      <c r="F8332" s="228">
        <v>1.4999999999999999E-2</v>
      </c>
      <c r="G8332" s="229">
        <f>G8308</f>
        <v>115000</v>
      </c>
      <c r="H8332" s="230">
        <f>+G8332*F8332</f>
        <v>1725</v>
      </c>
      <c r="M8332" s="228">
        <v>1.4999999999999999E-2</v>
      </c>
    </row>
    <row r="8333" spans="2:13" ht="18.75" customHeight="1" x14ac:dyDescent="0.25">
      <c r="B8333" s="587"/>
      <c r="C8333" s="227" t="s">
        <v>600</v>
      </c>
      <c r="D8333" s="587" t="s">
        <v>635</v>
      </c>
      <c r="E8333" s="224" t="s">
        <v>631</v>
      </c>
      <c r="F8333" s="228">
        <v>8.0000000000000004E-4</v>
      </c>
      <c r="G8333" s="229">
        <f>G8309</f>
        <v>140000</v>
      </c>
      <c r="H8333" s="230">
        <f>+G8333*F8333</f>
        <v>112</v>
      </c>
      <c r="M8333" s="228">
        <v>8.0000000000000004E-4</v>
      </c>
    </row>
    <row r="8334" spans="2:13" ht="18.75" customHeight="1" x14ac:dyDescent="0.25">
      <c r="B8334" s="587"/>
      <c r="C8334" s="223"/>
      <c r="D8334" s="587"/>
      <c r="E8334" s="224"/>
      <c r="F8334" s="233" t="s">
        <v>636</v>
      </c>
      <c r="G8334" s="290"/>
      <c r="H8334" s="231">
        <f>SUM(H8330:H8333)</f>
        <v>19762</v>
      </c>
      <c r="M8334" s="233" t="s">
        <v>636</v>
      </c>
    </row>
    <row r="8335" spans="2:13" ht="18.75" customHeight="1" x14ac:dyDescent="0.25">
      <c r="B8335" s="587"/>
      <c r="C8335" s="223"/>
      <c r="D8335" s="587"/>
      <c r="E8335" s="224"/>
      <c r="F8335" s="233"/>
      <c r="G8335" s="290"/>
      <c r="H8335" s="231"/>
      <c r="M8335" s="233"/>
    </row>
    <row r="8336" spans="2:13" ht="18.75" customHeight="1" x14ac:dyDescent="0.25">
      <c r="B8336" s="587" t="s">
        <v>637</v>
      </c>
      <c r="C8336" s="223" t="s">
        <v>638</v>
      </c>
      <c r="D8336" s="587"/>
      <c r="E8336" s="224"/>
      <c r="F8336" s="225"/>
      <c r="G8336" s="290"/>
      <c r="H8336" s="226"/>
      <c r="M8336" s="225"/>
    </row>
    <row r="8337" spans="2:13" ht="18.75" customHeight="1" x14ac:dyDescent="0.25">
      <c r="B8337" s="587"/>
      <c r="C8337" s="223" t="s">
        <v>265</v>
      </c>
      <c r="D8337" s="587"/>
      <c r="E8337" s="587" t="s">
        <v>109</v>
      </c>
      <c r="F8337" s="405">
        <v>1</v>
      </c>
      <c r="G8337" s="410">
        <f>Bahan!D310</f>
        <v>35000</v>
      </c>
      <c r="H8337" s="230">
        <f>+G8337*F8337</f>
        <v>35000</v>
      </c>
      <c r="M8337" s="405">
        <v>1</v>
      </c>
    </row>
    <row r="8338" spans="2:13" ht="18.75" customHeight="1" x14ac:dyDescent="0.25">
      <c r="B8338" s="587"/>
      <c r="C8338" s="223"/>
      <c r="D8338" s="587"/>
      <c r="E8338" s="224"/>
      <c r="F8338" s="237" t="s">
        <v>643</v>
      </c>
      <c r="G8338" s="290"/>
      <c r="H8338" s="231">
        <f>SUM(H8337)</f>
        <v>35000</v>
      </c>
      <c r="M8338" s="237" t="s">
        <v>643</v>
      </c>
    </row>
    <row r="8339" spans="2:13" ht="18.75" customHeight="1" x14ac:dyDescent="0.25">
      <c r="B8339" s="587"/>
      <c r="C8339" s="223"/>
      <c r="D8339" s="587"/>
      <c r="E8339" s="224"/>
      <c r="F8339" s="225"/>
      <c r="G8339" s="290"/>
      <c r="H8339" s="226"/>
      <c r="M8339" s="225"/>
    </row>
    <row r="8340" spans="2:13" ht="18.75" customHeight="1" x14ac:dyDescent="0.25">
      <c r="B8340" s="587" t="s">
        <v>644</v>
      </c>
      <c r="C8340" s="223" t="s">
        <v>645</v>
      </c>
      <c r="D8340" s="587"/>
      <c r="E8340" s="224"/>
      <c r="F8340" s="225"/>
      <c r="G8340" s="290"/>
      <c r="H8340" s="235"/>
      <c r="M8340" s="225"/>
    </row>
    <row r="8341" spans="2:13" ht="18.75" customHeight="1" x14ac:dyDescent="0.25">
      <c r="B8341" s="236"/>
      <c r="C8341" s="232"/>
      <c r="D8341" s="587"/>
      <c r="E8341" s="224"/>
      <c r="F8341" s="237" t="s">
        <v>646</v>
      </c>
      <c r="G8341" s="290"/>
      <c r="H8341" s="230"/>
      <c r="M8341" s="237" t="s">
        <v>646</v>
      </c>
    </row>
    <row r="8342" spans="2:13" ht="18.75" customHeight="1" x14ac:dyDescent="0.25">
      <c r="B8342" s="236"/>
      <c r="C8342" s="232"/>
      <c r="D8342" s="587"/>
      <c r="E8342" s="224"/>
      <c r="F8342" s="237"/>
      <c r="G8342" s="290"/>
      <c r="H8342" s="226"/>
      <c r="M8342" s="237"/>
    </row>
    <row r="8343" spans="2:13" ht="18.75" customHeight="1" x14ac:dyDescent="0.25">
      <c r="B8343" s="354"/>
      <c r="C8343" s="362"/>
      <c r="D8343" s="239"/>
      <c r="E8343" s="266"/>
      <c r="F8343" s="241"/>
      <c r="G8343" s="370"/>
      <c r="H8343" s="369"/>
      <c r="M8343" s="241"/>
    </row>
    <row r="8344" spans="2:13" ht="18.75" customHeight="1" x14ac:dyDescent="0.25">
      <c r="B8344" s="356" t="s">
        <v>647</v>
      </c>
      <c r="C8344" s="363" t="s">
        <v>648</v>
      </c>
      <c r="D8344" s="435"/>
      <c r="E8344" s="92"/>
      <c r="F8344" s="183"/>
      <c r="G8344" s="295"/>
      <c r="H8344" s="357">
        <f>+H8341+H8338+H8334</f>
        <v>54762</v>
      </c>
      <c r="M8344" s="183"/>
    </row>
    <row r="8345" spans="2:13" ht="18.75" customHeight="1" x14ac:dyDescent="0.25">
      <c r="B8345" s="356" t="s">
        <v>649</v>
      </c>
      <c r="C8345" s="364" t="s">
        <v>650</v>
      </c>
      <c r="D8345" s="435"/>
      <c r="E8345" s="92"/>
      <c r="F8345" s="184" t="str">
        <f>$J$5</f>
        <v>8,0 % x D</v>
      </c>
      <c r="G8345" s="295"/>
      <c r="H8345" s="358">
        <f>+H8344*$K$5</f>
        <v>4380.96</v>
      </c>
      <c r="M8345" s="184" t="str">
        <f>$J$5</f>
        <v>8,0 % x D</v>
      </c>
    </row>
    <row r="8346" spans="2:13" ht="18.75" customHeight="1" x14ac:dyDescent="0.25">
      <c r="B8346" s="356" t="s">
        <v>651</v>
      </c>
      <c r="C8346" s="365" t="s">
        <v>652</v>
      </c>
      <c r="D8346" s="435"/>
      <c r="E8346" s="91"/>
      <c r="F8346" s="185"/>
      <c r="G8346" s="296"/>
      <c r="H8346" s="359">
        <f>ROUNDUP((H8345+H8344)/100,0)*100</f>
        <v>59200</v>
      </c>
      <c r="M8346" s="185"/>
    </row>
    <row r="8347" spans="2:13" ht="18.75" customHeight="1" x14ac:dyDescent="0.25">
      <c r="B8347" s="360"/>
      <c r="C8347" s="366"/>
      <c r="D8347" s="245"/>
      <c r="E8347" s="246"/>
      <c r="F8347" s="247"/>
      <c r="G8347" s="299"/>
      <c r="H8347" s="361"/>
      <c r="M8347" s="247"/>
    </row>
    <row r="8348" spans="2:13" ht="18.75" customHeight="1" x14ac:dyDescent="0.25">
      <c r="B8348" s="92"/>
      <c r="C8348" s="104"/>
      <c r="D8348" s="435"/>
      <c r="E8348" s="91"/>
      <c r="F8348" s="185"/>
      <c r="G8348" s="168"/>
      <c r="H8348" s="139"/>
      <c r="M8348" s="185"/>
    </row>
    <row r="8349" spans="2:13" ht="18.75" customHeight="1" x14ac:dyDescent="0.25">
      <c r="B8349" s="19">
        <f>+B8325+1</f>
        <v>6</v>
      </c>
      <c r="C8349" s="93" t="s">
        <v>1295</v>
      </c>
      <c r="D8349" s="19"/>
      <c r="E8349" s="21"/>
      <c r="F8349" s="176"/>
      <c r="G8349" s="165"/>
      <c r="H8349" s="119"/>
      <c r="M8349" s="176"/>
    </row>
    <row r="8350" spans="2:13" ht="18.75" customHeight="1" x14ac:dyDescent="0.25">
      <c r="B8350" s="618" t="s">
        <v>620</v>
      </c>
      <c r="C8350" s="620" t="s">
        <v>621</v>
      </c>
      <c r="D8350" s="618" t="s">
        <v>622</v>
      </c>
      <c r="E8350" s="618" t="s">
        <v>2</v>
      </c>
      <c r="F8350" s="615" t="s">
        <v>623</v>
      </c>
      <c r="G8350" s="289" t="s">
        <v>624</v>
      </c>
      <c r="H8350" s="256" t="s">
        <v>625</v>
      </c>
      <c r="M8350" s="615" t="s">
        <v>623</v>
      </c>
    </row>
    <row r="8351" spans="2:13" ht="18.75" customHeight="1" x14ac:dyDescent="0.25">
      <c r="B8351" s="619"/>
      <c r="C8351" s="621"/>
      <c r="D8351" s="619"/>
      <c r="E8351" s="619"/>
      <c r="F8351" s="616"/>
      <c r="G8351" s="289" t="s">
        <v>626</v>
      </c>
      <c r="H8351" s="256" t="s">
        <v>626</v>
      </c>
      <c r="M8351" s="616"/>
    </row>
    <row r="8352" spans="2:13" ht="18.75" customHeight="1" x14ac:dyDescent="0.25">
      <c r="B8352" s="221"/>
      <c r="C8352" s="222"/>
      <c r="D8352" s="221"/>
      <c r="E8352" s="587"/>
      <c r="F8352" s="589"/>
      <c r="G8352" s="588"/>
      <c r="H8352" s="220"/>
      <c r="M8352" s="590"/>
    </row>
    <row r="8353" spans="2:13" ht="18.75" customHeight="1" x14ac:dyDescent="0.25">
      <c r="B8353" s="587" t="s">
        <v>627</v>
      </c>
      <c r="C8353" s="223" t="s">
        <v>628</v>
      </c>
      <c r="D8353" s="587"/>
      <c r="E8353" s="224"/>
      <c r="F8353" s="225"/>
      <c r="G8353" s="290"/>
      <c r="H8353" s="226"/>
      <c r="M8353" s="225"/>
    </row>
    <row r="8354" spans="2:13" ht="18.75" customHeight="1" x14ac:dyDescent="0.25">
      <c r="B8354" s="587"/>
      <c r="C8354" s="227" t="s">
        <v>629</v>
      </c>
      <c r="D8354" s="587" t="s">
        <v>630</v>
      </c>
      <c r="E8354" s="224" t="s">
        <v>631</v>
      </c>
      <c r="F8354" s="228">
        <v>0.01</v>
      </c>
      <c r="G8354" s="229">
        <f>G8330</f>
        <v>95000</v>
      </c>
      <c r="H8354" s="230">
        <f>+G8354*F8354</f>
        <v>950</v>
      </c>
      <c r="M8354" s="228">
        <v>0.01</v>
      </c>
    </row>
    <row r="8355" spans="2:13" ht="18.75" customHeight="1" x14ac:dyDescent="0.25">
      <c r="B8355" s="587"/>
      <c r="C8355" s="227" t="s">
        <v>1508</v>
      </c>
      <c r="D8355" s="587" t="s">
        <v>632</v>
      </c>
      <c r="E8355" s="224" t="s">
        <v>631</v>
      </c>
      <c r="F8355" s="228">
        <v>7.5149999999999995E-2</v>
      </c>
      <c r="G8355" s="229">
        <f>G8331</f>
        <v>110000</v>
      </c>
      <c r="H8355" s="230">
        <f>+G8355*F8355</f>
        <v>8266.5</v>
      </c>
      <c r="M8355" s="228">
        <v>7.5149999999999995E-2</v>
      </c>
    </row>
    <row r="8356" spans="2:13" ht="18.75" customHeight="1" x14ac:dyDescent="0.25">
      <c r="B8356" s="587"/>
      <c r="C8356" s="227" t="s">
        <v>633</v>
      </c>
      <c r="D8356" s="587" t="s">
        <v>634</v>
      </c>
      <c r="E8356" s="224" t="s">
        <v>631</v>
      </c>
      <c r="F8356" s="228">
        <v>1E-3</v>
      </c>
      <c r="G8356" s="229">
        <f>G8332</f>
        <v>115000</v>
      </c>
      <c r="H8356" s="230">
        <f>+G8356*F8356</f>
        <v>115</v>
      </c>
      <c r="M8356" s="228">
        <v>1E-3</v>
      </c>
    </row>
    <row r="8357" spans="2:13" ht="18.75" customHeight="1" x14ac:dyDescent="0.25">
      <c r="B8357" s="587"/>
      <c r="C8357" s="227" t="s">
        <v>600</v>
      </c>
      <c r="D8357" s="587" t="s">
        <v>635</v>
      </c>
      <c r="E8357" s="224" t="s">
        <v>631</v>
      </c>
      <c r="F8357" s="228">
        <v>5.0000000000000001E-4</v>
      </c>
      <c r="G8357" s="229">
        <f>G8333</f>
        <v>140000</v>
      </c>
      <c r="H8357" s="230">
        <f>+G8357*F8357</f>
        <v>70</v>
      </c>
      <c r="M8357" s="228">
        <v>5.0000000000000001E-4</v>
      </c>
    </row>
    <row r="8358" spans="2:13" ht="18.75" customHeight="1" x14ac:dyDescent="0.25">
      <c r="B8358" s="587"/>
      <c r="C8358" s="223"/>
      <c r="D8358" s="587"/>
      <c r="E8358" s="224"/>
      <c r="F8358" s="233" t="s">
        <v>636</v>
      </c>
      <c r="G8358" s="290"/>
      <c r="H8358" s="231">
        <f>SUM(H8354:H8357)</f>
        <v>9401.5</v>
      </c>
      <c r="M8358" s="233" t="s">
        <v>636</v>
      </c>
    </row>
    <row r="8359" spans="2:13" ht="18.75" customHeight="1" x14ac:dyDescent="0.25">
      <c r="B8359" s="587"/>
      <c r="C8359" s="223"/>
      <c r="D8359" s="587"/>
      <c r="E8359" s="224"/>
      <c r="F8359" s="233"/>
      <c r="G8359" s="290"/>
      <c r="H8359" s="231"/>
      <c r="M8359" s="233"/>
    </row>
    <row r="8360" spans="2:13" ht="18.75" customHeight="1" x14ac:dyDescent="0.25">
      <c r="B8360" s="587" t="s">
        <v>637</v>
      </c>
      <c r="C8360" s="223" t="s">
        <v>638</v>
      </c>
      <c r="D8360" s="587"/>
      <c r="E8360" s="224"/>
      <c r="F8360" s="225"/>
      <c r="G8360" s="290"/>
      <c r="H8360" s="226"/>
      <c r="M8360" s="225"/>
    </row>
    <row r="8361" spans="2:13" ht="18.75" customHeight="1" x14ac:dyDescent="0.25">
      <c r="B8361" s="587"/>
      <c r="C8361" s="223" t="s">
        <v>1296</v>
      </c>
      <c r="D8361" s="587"/>
      <c r="E8361" s="587" t="s">
        <v>109</v>
      </c>
      <c r="F8361" s="405">
        <v>1</v>
      </c>
      <c r="G8361" s="410">
        <f>Bahan!D308</f>
        <v>35000</v>
      </c>
      <c r="H8361" s="230">
        <f>+G8361*F8361</f>
        <v>35000</v>
      </c>
      <c r="M8361" s="405">
        <v>1</v>
      </c>
    </row>
    <row r="8362" spans="2:13" ht="18.75" customHeight="1" x14ac:dyDescent="0.25">
      <c r="B8362" s="587"/>
      <c r="C8362" s="223"/>
      <c r="D8362" s="587"/>
      <c r="E8362" s="224"/>
      <c r="F8362" s="237" t="s">
        <v>643</v>
      </c>
      <c r="G8362" s="290"/>
      <c r="H8362" s="231">
        <f>SUM(H8361)</f>
        <v>35000</v>
      </c>
      <c r="M8362" s="237" t="s">
        <v>643</v>
      </c>
    </row>
    <row r="8363" spans="2:13" ht="18.75" customHeight="1" x14ac:dyDescent="0.25">
      <c r="B8363" s="587"/>
      <c r="C8363" s="223"/>
      <c r="D8363" s="587"/>
      <c r="E8363" s="224"/>
      <c r="F8363" s="225"/>
      <c r="G8363" s="290"/>
      <c r="H8363" s="226"/>
      <c r="M8363" s="225"/>
    </row>
    <row r="8364" spans="2:13" ht="18.75" customHeight="1" x14ac:dyDescent="0.25">
      <c r="B8364" s="587" t="s">
        <v>644</v>
      </c>
      <c r="C8364" s="223" t="s">
        <v>645</v>
      </c>
      <c r="D8364" s="587"/>
      <c r="E8364" s="224"/>
      <c r="F8364" s="225"/>
      <c r="G8364" s="290"/>
      <c r="H8364" s="235"/>
      <c r="M8364" s="225"/>
    </row>
    <row r="8365" spans="2:13" ht="18.75" customHeight="1" x14ac:dyDescent="0.25">
      <c r="B8365" s="236"/>
      <c r="C8365" s="232"/>
      <c r="D8365" s="587"/>
      <c r="E8365" s="224"/>
      <c r="F8365" s="237" t="s">
        <v>646</v>
      </c>
      <c r="G8365" s="290"/>
      <c r="H8365" s="230"/>
      <c r="M8365" s="237" t="s">
        <v>646</v>
      </c>
    </row>
    <row r="8366" spans="2:13" ht="18.75" customHeight="1" x14ac:dyDescent="0.25">
      <c r="B8366" s="236"/>
      <c r="C8366" s="232"/>
      <c r="D8366" s="587"/>
      <c r="E8366" s="224"/>
      <c r="F8366" s="237"/>
      <c r="G8366" s="290"/>
      <c r="H8366" s="226"/>
      <c r="M8366" s="237"/>
    </row>
    <row r="8367" spans="2:13" ht="18.75" customHeight="1" x14ac:dyDescent="0.25">
      <c r="B8367" s="354"/>
      <c r="C8367" s="362"/>
      <c r="D8367" s="239"/>
      <c r="E8367" s="240"/>
      <c r="F8367" s="241"/>
      <c r="G8367" s="293"/>
      <c r="H8367" s="355"/>
      <c r="M8367" s="241"/>
    </row>
    <row r="8368" spans="2:13" ht="18.75" customHeight="1" x14ac:dyDescent="0.25">
      <c r="B8368" s="356" t="s">
        <v>647</v>
      </c>
      <c r="C8368" s="363" t="s">
        <v>648</v>
      </c>
      <c r="D8368" s="435"/>
      <c r="E8368" s="92"/>
      <c r="F8368" s="183"/>
      <c r="G8368" s="295"/>
      <c r="H8368" s="357">
        <f>+H8365+H8362+H8358</f>
        <v>44401.5</v>
      </c>
      <c r="M8368" s="183"/>
    </row>
    <row r="8369" spans="2:13" ht="18.75" customHeight="1" x14ac:dyDescent="0.25">
      <c r="B8369" s="356" t="s">
        <v>649</v>
      </c>
      <c r="C8369" s="364" t="s">
        <v>650</v>
      </c>
      <c r="D8369" s="435"/>
      <c r="E8369" s="92"/>
      <c r="F8369" s="184" t="str">
        <f>$J$5</f>
        <v>8,0 % x D</v>
      </c>
      <c r="G8369" s="295"/>
      <c r="H8369" s="358">
        <f>+H8368*$K$5</f>
        <v>3552.12</v>
      </c>
      <c r="M8369" s="184" t="str">
        <f>$J$5</f>
        <v>8,0 % x D</v>
      </c>
    </row>
    <row r="8370" spans="2:13" ht="18.75" customHeight="1" x14ac:dyDescent="0.25">
      <c r="B8370" s="356" t="s">
        <v>651</v>
      </c>
      <c r="C8370" s="365" t="s">
        <v>652</v>
      </c>
      <c r="D8370" s="435"/>
      <c r="E8370" s="91"/>
      <c r="F8370" s="185"/>
      <c r="G8370" s="296"/>
      <c r="H8370" s="359">
        <f>ROUNDUP((H8369+H8368)/100,0)*100</f>
        <v>48000</v>
      </c>
      <c r="M8370" s="185"/>
    </row>
    <row r="8371" spans="2:13" ht="18.75" customHeight="1" x14ac:dyDescent="0.25">
      <c r="B8371" s="360"/>
      <c r="C8371" s="366"/>
      <c r="D8371" s="245"/>
      <c r="E8371" s="246"/>
      <c r="F8371" s="247"/>
      <c r="G8371" s="299"/>
      <c r="H8371" s="361"/>
      <c r="M8371" s="247"/>
    </row>
    <row r="8372" spans="2:13" ht="18.75" customHeight="1" x14ac:dyDescent="0.25">
      <c r="B8372" s="22"/>
      <c r="C8372" s="104"/>
      <c r="E8372" s="21"/>
      <c r="F8372" s="176"/>
      <c r="G8372" s="165"/>
      <c r="H8372" s="119"/>
      <c r="M8372" s="176"/>
    </row>
    <row r="8373" spans="2:13" ht="18.75" customHeight="1" x14ac:dyDescent="0.25">
      <c r="B8373" s="19">
        <f>B8349+1</f>
        <v>7</v>
      </c>
      <c r="C8373" s="93" t="s">
        <v>1297</v>
      </c>
      <c r="D8373" s="19"/>
      <c r="E8373" s="21"/>
      <c r="F8373" s="176"/>
      <c r="G8373" s="165"/>
      <c r="H8373" s="119"/>
      <c r="M8373" s="176"/>
    </row>
    <row r="8374" spans="2:13" ht="18.75" customHeight="1" x14ac:dyDescent="0.25">
      <c r="B8374" s="618" t="s">
        <v>620</v>
      </c>
      <c r="C8374" s="620" t="s">
        <v>621</v>
      </c>
      <c r="D8374" s="618" t="s">
        <v>622</v>
      </c>
      <c r="E8374" s="618" t="s">
        <v>2</v>
      </c>
      <c r="F8374" s="615" t="s">
        <v>623</v>
      </c>
      <c r="G8374" s="289" t="s">
        <v>624</v>
      </c>
      <c r="H8374" s="256" t="s">
        <v>625</v>
      </c>
      <c r="M8374" s="615" t="s">
        <v>623</v>
      </c>
    </row>
    <row r="8375" spans="2:13" ht="18.75" customHeight="1" x14ac:dyDescent="0.25">
      <c r="B8375" s="619"/>
      <c r="C8375" s="621"/>
      <c r="D8375" s="619"/>
      <c r="E8375" s="619"/>
      <c r="F8375" s="616"/>
      <c r="G8375" s="289" t="s">
        <v>626</v>
      </c>
      <c r="H8375" s="256" t="s">
        <v>626</v>
      </c>
      <c r="M8375" s="616"/>
    </row>
    <row r="8376" spans="2:13" ht="18.75" customHeight="1" x14ac:dyDescent="0.25">
      <c r="B8376" s="221"/>
      <c r="C8376" s="222"/>
      <c r="D8376" s="221"/>
      <c r="E8376" s="587"/>
      <c r="F8376" s="589"/>
      <c r="G8376" s="588"/>
      <c r="H8376" s="220"/>
      <c r="M8376" s="590"/>
    </row>
    <row r="8377" spans="2:13" ht="18.75" customHeight="1" x14ac:dyDescent="0.25">
      <c r="B8377" s="587" t="s">
        <v>627</v>
      </c>
      <c r="C8377" s="223" t="s">
        <v>628</v>
      </c>
      <c r="D8377" s="587"/>
      <c r="E8377" s="224"/>
      <c r="F8377" s="225"/>
      <c r="G8377" s="290"/>
      <c r="H8377" s="226"/>
      <c r="M8377" s="225"/>
    </row>
    <row r="8378" spans="2:13" ht="18.75" customHeight="1" x14ac:dyDescent="0.25">
      <c r="B8378" s="587"/>
      <c r="C8378" s="227" t="s">
        <v>629</v>
      </c>
      <c r="D8378" s="587" t="s">
        <v>630</v>
      </c>
      <c r="E8378" s="224" t="s">
        <v>631</v>
      </c>
      <c r="F8378" s="228">
        <v>1.4999999999999999E-2</v>
      </c>
      <c r="G8378" s="229">
        <f>G8354</f>
        <v>95000</v>
      </c>
      <c r="H8378" s="230">
        <f>+G8378*F8378</f>
        <v>1425</v>
      </c>
      <c r="M8378" s="228">
        <v>1.4999999999999999E-2</v>
      </c>
    </row>
    <row r="8379" spans="2:13" ht="18.75" customHeight="1" x14ac:dyDescent="0.25">
      <c r="B8379" s="587"/>
      <c r="C8379" s="227" t="s">
        <v>1508</v>
      </c>
      <c r="D8379" s="587" t="s">
        <v>632</v>
      </c>
      <c r="E8379" s="224" t="s">
        <v>631</v>
      </c>
      <c r="F8379" s="228">
        <v>0.2</v>
      </c>
      <c r="G8379" s="229">
        <f>G8355</f>
        <v>110000</v>
      </c>
      <c r="H8379" s="230">
        <f>+G8379*F8379</f>
        <v>22000</v>
      </c>
      <c r="M8379" s="228">
        <v>0.2</v>
      </c>
    </row>
    <row r="8380" spans="2:13" ht="18.75" customHeight="1" x14ac:dyDescent="0.25">
      <c r="B8380" s="587"/>
      <c r="C8380" s="227" t="s">
        <v>633</v>
      </c>
      <c r="D8380" s="587" t="s">
        <v>634</v>
      </c>
      <c r="E8380" s="224" t="s">
        <v>631</v>
      </c>
      <c r="F8380" s="228">
        <v>1.4999999999999999E-2</v>
      </c>
      <c r="G8380" s="229">
        <f>G8356</f>
        <v>115000</v>
      </c>
      <c r="H8380" s="230">
        <f>+G8380*F8380</f>
        <v>1725</v>
      </c>
      <c r="M8380" s="228">
        <v>1.4999999999999999E-2</v>
      </c>
    </row>
    <row r="8381" spans="2:13" ht="18.75" customHeight="1" x14ac:dyDescent="0.25">
      <c r="B8381" s="587"/>
      <c r="C8381" s="227" t="s">
        <v>600</v>
      </c>
      <c r="D8381" s="587" t="s">
        <v>635</v>
      </c>
      <c r="E8381" s="224" t="s">
        <v>631</v>
      </c>
      <c r="F8381" s="228">
        <v>8.0000000000000004E-4</v>
      </c>
      <c r="G8381" s="229">
        <f>G8357</f>
        <v>140000</v>
      </c>
      <c r="H8381" s="230">
        <f>+G8381*F8381</f>
        <v>112</v>
      </c>
      <c r="M8381" s="228">
        <v>8.0000000000000004E-4</v>
      </c>
    </row>
    <row r="8382" spans="2:13" ht="18.75" customHeight="1" x14ac:dyDescent="0.25">
      <c r="B8382" s="587"/>
      <c r="C8382" s="223"/>
      <c r="D8382" s="587"/>
      <c r="E8382" s="224"/>
      <c r="F8382" s="233" t="s">
        <v>636</v>
      </c>
      <c r="G8382" s="290"/>
      <c r="H8382" s="231">
        <f>SUM(H8378:H8381)</f>
        <v>25262</v>
      </c>
      <c r="M8382" s="233" t="s">
        <v>636</v>
      </c>
    </row>
    <row r="8383" spans="2:13" ht="18.75" customHeight="1" x14ac:dyDescent="0.25">
      <c r="B8383" s="587"/>
      <c r="C8383" s="223"/>
      <c r="D8383" s="587"/>
      <c r="E8383" s="224"/>
      <c r="F8383" s="233"/>
      <c r="G8383" s="290"/>
      <c r="H8383" s="231"/>
      <c r="M8383" s="233"/>
    </row>
    <row r="8384" spans="2:13" ht="18.75" customHeight="1" x14ac:dyDescent="0.25">
      <c r="B8384" s="587" t="s">
        <v>637</v>
      </c>
      <c r="C8384" s="223" t="s">
        <v>638</v>
      </c>
      <c r="D8384" s="587"/>
      <c r="E8384" s="224"/>
      <c r="F8384" s="225"/>
      <c r="G8384" s="290"/>
      <c r="H8384" s="226"/>
      <c r="M8384" s="225"/>
    </row>
    <row r="8385" spans="2:13" ht="18.75" customHeight="1" x14ac:dyDescent="0.25">
      <c r="B8385" s="587"/>
      <c r="C8385" s="223" t="s">
        <v>264</v>
      </c>
      <c r="D8385" s="587"/>
      <c r="E8385" s="587" t="s">
        <v>109</v>
      </c>
      <c r="F8385" s="405">
        <v>1</v>
      </c>
      <c r="G8385" s="410">
        <f>Bahan!D309</f>
        <v>25000</v>
      </c>
      <c r="H8385" s="230">
        <f>+G8385*F8385</f>
        <v>25000</v>
      </c>
      <c r="M8385" s="405">
        <v>1</v>
      </c>
    </row>
    <row r="8386" spans="2:13" ht="18.75" customHeight="1" x14ac:dyDescent="0.25">
      <c r="B8386" s="587"/>
      <c r="C8386" s="223"/>
      <c r="D8386" s="587"/>
      <c r="E8386" s="224"/>
      <c r="F8386" s="237" t="s">
        <v>643</v>
      </c>
      <c r="G8386" s="290"/>
      <c r="H8386" s="231">
        <f>SUM(H8385)</f>
        <v>25000</v>
      </c>
      <c r="M8386" s="237" t="s">
        <v>643</v>
      </c>
    </row>
    <row r="8387" spans="2:13" ht="18.75" customHeight="1" x14ac:dyDescent="0.25">
      <c r="B8387" s="587"/>
      <c r="C8387" s="223"/>
      <c r="D8387" s="587"/>
      <c r="E8387" s="224"/>
      <c r="F8387" s="225"/>
      <c r="G8387" s="290"/>
      <c r="H8387" s="226"/>
      <c r="M8387" s="225"/>
    </row>
    <row r="8388" spans="2:13" ht="18.75" customHeight="1" x14ac:dyDescent="0.25">
      <c r="B8388" s="587" t="s">
        <v>644</v>
      </c>
      <c r="C8388" s="223" t="s">
        <v>645</v>
      </c>
      <c r="D8388" s="587"/>
      <c r="E8388" s="224"/>
      <c r="F8388" s="225"/>
      <c r="G8388" s="290"/>
      <c r="H8388" s="235"/>
      <c r="M8388" s="225"/>
    </row>
    <row r="8389" spans="2:13" ht="18.75" customHeight="1" x14ac:dyDescent="0.25">
      <c r="B8389" s="236"/>
      <c r="C8389" s="232"/>
      <c r="D8389" s="587"/>
      <c r="E8389" s="224"/>
      <c r="F8389" s="237" t="s">
        <v>646</v>
      </c>
      <c r="G8389" s="290"/>
      <c r="H8389" s="230"/>
      <c r="M8389" s="237" t="s">
        <v>646</v>
      </c>
    </row>
    <row r="8390" spans="2:13" ht="18.75" customHeight="1" x14ac:dyDescent="0.25">
      <c r="B8390" s="236"/>
      <c r="C8390" s="232"/>
      <c r="D8390" s="587"/>
      <c r="E8390" s="224"/>
      <c r="F8390" s="237"/>
      <c r="G8390" s="290"/>
      <c r="H8390" s="226"/>
      <c r="M8390" s="237"/>
    </row>
    <row r="8391" spans="2:13" ht="18.75" customHeight="1" x14ac:dyDescent="0.25">
      <c r="B8391" s="354"/>
      <c r="C8391" s="362"/>
      <c r="D8391" s="239"/>
      <c r="E8391" s="266"/>
      <c r="F8391" s="241"/>
      <c r="G8391" s="370"/>
      <c r="H8391" s="369"/>
      <c r="M8391" s="241"/>
    </row>
    <row r="8392" spans="2:13" ht="18.75" customHeight="1" x14ac:dyDescent="0.25">
      <c r="B8392" s="356" t="s">
        <v>647</v>
      </c>
      <c r="C8392" s="363" t="s">
        <v>648</v>
      </c>
      <c r="D8392" s="435"/>
      <c r="E8392" s="92"/>
      <c r="F8392" s="183"/>
      <c r="G8392" s="295"/>
      <c r="H8392" s="357">
        <f>+H8389+H8386+H8382</f>
        <v>50262</v>
      </c>
      <c r="M8392" s="183"/>
    </row>
    <row r="8393" spans="2:13" ht="18.75" customHeight="1" x14ac:dyDescent="0.25">
      <c r="B8393" s="356" t="s">
        <v>649</v>
      </c>
      <c r="C8393" s="364" t="s">
        <v>650</v>
      </c>
      <c r="D8393" s="435"/>
      <c r="E8393" s="92"/>
      <c r="F8393" s="184" t="str">
        <f>$J$5</f>
        <v>8,0 % x D</v>
      </c>
      <c r="G8393" s="295"/>
      <c r="H8393" s="358">
        <f>+H8392*$K$5</f>
        <v>4020.96</v>
      </c>
      <c r="M8393" s="184" t="str">
        <f>$J$5</f>
        <v>8,0 % x D</v>
      </c>
    </row>
    <row r="8394" spans="2:13" ht="18.75" customHeight="1" x14ac:dyDescent="0.25">
      <c r="B8394" s="356" t="s">
        <v>651</v>
      </c>
      <c r="C8394" s="365" t="s">
        <v>652</v>
      </c>
      <c r="D8394" s="435"/>
      <c r="E8394" s="91"/>
      <c r="F8394" s="185"/>
      <c r="G8394" s="296"/>
      <c r="H8394" s="359">
        <f>ROUNDUP((H8393+H8392)/100,0)*100</f>
        <v>54300</v>
      </c>
      <c r="M8394" s="185"/>
    </row>
    <row r="8395" spans="2:13" ht="18.75" customHeight="1" x14ac:dyDescent="0.25">
      <c r="B8395" s="360"/>
      <c r="C8395" s="366"/>
      <c r="D8395" s="245"/>
      <c r="E8395" s="246"/>
      <c r="F8395" s="247"/>
      <c r="G8395" s="299"/>
      <c r="H8395" s="361"/>
      <c r="M8395" s="247"/>
    </row>
    <row r="8396" spans="2:13" ht="18.75" customHeight="1" x14ac:dyDescent="0.25">
      <c r="B8396" s="92"/>
      <c r="C8396" s="104"/>
      <c r="D8396" s="435"/>
      <c r="E8396" s="91"/>
      <c r="F8396" s="185"/>
      <c r="G8396" s="168"/>
      <c r="H8396" s="139"/>
      <c r="M8396" s="185"/>
    </row>
    <row r="8397" spans="2:13" ht="18.75" customHeight="1" x14ac:dyDescent="0.25">
      <c r="B8397" s="19">
        <v>8</v>
      </c>
      <c r="C8397" s="93" t="s">
        <v>1298</v>
      </c>
      <c r="D8397" s="19"/>
      <c r="E8397" s="21"/>
      <c r="F8397" s="176"/>
      <c r="G8397" s="165"/>
      <c r="H8397" s="119"/>
      <c r="M8397" s="176"/>
    </row>
    <row r="8398" spans="2:13" ht="18.75" customHeight="1" x14ac:dyDescent="0.25">
      <c r="B8398" s="618" t="s">
        <v>620</v>
      </c>
      <c r="C8398" s="620" t="s">
        <v>621</v>
      </c>
      <c r="D8398" s="618" t="s">
        <v>622</v>
      </c>
      <c r="E8398" s="618" t="s">
        <v>2</v>
      </c>
      <c r="F8398" s="615" t="s">
        <v>623</v>
      </c>
      <c r="G8398" s="289" t="s">
        <v>624</v>
      </c>
      <c r="H8398" s="256" t="s">
        <v>625</v>
      </c>
      <c r="M8398" s="615" t="s">
        <v>623</v>
      </c>
    </row>
    <row r="8399" spans="2:13" ht="18.75" customHeight="1" x14ac:dyDescent="0.25">
      <c r="B8399" s="619"/>
      <c r="C8399" s="621"/>
      <c r="D8399" s="619"/>
      <c r="E8399" s="619"/>
      <c r="F8399" s="616"/>
      <c r="G8399" s="289" t="s">
        <v>626</v>
      </c>
      <c r="H8399" s="256" t="s">
        <v>626</v>
      </c>
      <c r="M8399" s="616"/>
    </row>
    <row r="8400" spans="2:13" ht="18.75" customHeight="1" x14ac:dyDescent="0.25">
      <c r="B8400" s="221"/>
      <c r="C8400" s="222"/>
      <c r="D8400" s="221"/>
      <c r="E8400" s="587"/>
      <c r="F8400" s="589"/>
      <c r="G8400" s="588"/>
      <c r="H8400" s="220"/>
      <c r="M8400" s="590"/>
    </row>
    <row r="8401" spans="2:13" ht="18.75" customHeight="1" x14ac:dyDescent="0.25">
      <c r="B8401" s="587" t="s">
        <v>627</v>
      </c>
      <c r="C8401" s="223" t="s">
        <v>628</v>
      </c>
      <c r="D8401" s="587"/>
      <c r="E8401" s="224"/>
      <c r="F8401" s="225"/>
      <c r="G8401" s="290"/>
      <c r="H8401" s="226"/>
      <c r="M8401" s="225"/>
    </row>
    <row r="8402" spans="2:13" ht="18.75" customHeight="1" x14ac:dyDescent="0.25">
      <c r="B8402" s="587"/>
      <c r="C8402" s="227" t="s">
        <v>629</v>
      </c>
      <c r="D8402" s="587" t="s">
        <v>630</v>
      </c>
      <c r="E8402" s="224" t="s">
        <v>631</v>
      </c>
      <c r="F8402" s="228">
        <v>0.02</v>
      </c>
      <c r="G8402" s="229">
        <f>G8378</f>
        <v>95000</v>
      </c>
      <c r="H8402" s="230">
        <f>+G8402*F8402</f>
        <v>1900</v>
      </c>
      <c r="M8402" s="228">
        <v>0.02</v>
      </c>
    </row>
    <row r="8403" spans="2:13" ht="18.75" customHeight="1" x14ac:dyDescent="0.25">
      <c r="B8403" s="587"/>
      <c r="C8403" s="227" t="s">
        <v>1508</v>
      </c>
      <c r="D8403" s="587" t="s">
        <v>632</v>
      </c>
      <c r="E8403" s="224" t="s">
        <v>631</v>
      </c>
      <c r="F8403" s="228">
        <v>0.2</v>
      </c>
      <c r="G8403" s="229">
        <f>G8379</f>
        <v>110000</v>
      </c>
      <c r="H8403" s="230">
        <f>+G8403*F8403</f>
        <v>22000</v>
      </c>
      <c r="M8403" s="228">
        <v>0.2</v>
      </c>
    </row>
    <row r="8404" spans="2:13" ht="18.75" customHeight="1" x14ac:dyDescent="0.25">
      <c r="B8404" s="587"/>
      <c r="C8404" s="227" t="s">
        <v>633</v>
      </c>
      <c r="D8404" s="587" t="s">
        <v>634</v>
      </c>
      <c r="E8404" s="224" t="s">
        <v>631</v>
      </c>
      <c r="F8404" s="228">
        <v>0.02</v>
      </c>
      <c r="G8404" s="229">
        <f>G8380</f>
        <v>115000</v>
      </c>
      <c r="H8404" s="230">
        <f>+G8404*F8404</f>
        <v>2300</v>
      </c>
      <c r="M8404" s="228">
        <v>0.02</v>
      </c>
    </row>
    <row r="8405" spans="2:13" ht="18.75" customHeight="1" x14ac:dyDescent="0.25">
      <c r="B8405" s="587"/>
      <c r="C8405" s="227" t="s">
        <v>600</v>
      </c>
      <c r="D8405" s="587" t="s">
        <v>635</v>
      </c>
      <c r="E8405" s="224" t="s">
        <v>631</v>
      </c>
      <c r="F8405" s="228">
        <v>1E-3</v>
      </c>
      <c r="G8405" s="229">
        <f>G8381</f>
        <v>140000</v>
      </c>
      <c r="H8405" s="230">
        <f>+G8405*F8405</f>
        <v>140</v>
      </c>
      <c r="M8405" s="228">
        <v>1E-3</v>
      </c>
    </row>
    <row r="8406" spans="2:13" ht="18.75" customHeight="1" x14ac:dyDescent="0.25">
      <c r="B8406" s="587"/>
      <c r="C8406" s="223"/>
      <c r="D8406" s="587"/>
      <c r="E8406" s="224"/>
      <c r="F8406" s="233" t="s">
        <v>636</v>
      </c>
      <c r="G8406" s="290"/>
      <c r="H8406" s="231">
        <f>SUM(H8402:H8405)</f>
        <v>26340</v>
      </c>
      <c r="M8406" s="233" t="s">
        <v>636</v>
      </c>
    </row>
    <row r="8407" spans="2:13" ht="18.75" customHeight="1" x14ac:dyDescent="0.25">
      <c r="B8407" s="587"/>
      <c r="C8407" s="223"/>
      <c r="D8407" s="587"/>
      <c r="E8407" s="224"/>
      <c r="F8407" s="233"/>
      <c r="G8407" s="290"/>
      <c r="H8407" s="231"/>
      <c r="M8407" s="233"/>
    </row>
    <row r="8408" spans="2:13" ht="18.75" customHeight="1" x14ac:dyDescent="0.25">
      <c r="B8408" s="587" t="s">
        <v>637</v>
      </c>
      <c r="C8408" s="223" t="s">
        <v>638</v>
      </c>
      <c r="D8408" s="587"/>
      <c r="E8408" s="224"/>
      <c r="F8408" s="225"/>
      <c r="G8408" s="290"/>
      <c r="H8408" s="226"/>
      <c r="M8408" s="225"/>
    </row>
    <row r="8409" spans="2:13" ht="18.75" customHeight="1" x14ac:dyDescent="0.25">
      <c r="B8409" s="587"/>
      <c r="C8409" s="223" t="s">
        <v>1657</v>
      </c>
      <c r="D8409" s="587"/>
      <c r="E8409" s="587" t="s">
        <v>28</v>
      </c>
      <c r="F8409" s="405">
        <v>1</v>
      </c>
      <c r="G8409" s="410">
        <f>Bahan!D329</f>
        <v>148000</v>
      </c>
      <c r="H8409" s="230">
        <f>+G8409*F8409</f>
        <v>148000</v>
      </c>
      <c r="M8409" s="405">
        <v>1</v>
      </c>
    </row>
    <row r="8410" spans="2:13" ht="18.75" customHeight="1" x14ac:dyDescent="0.25">
      <c r="B8410" s="587"/>
      <c r="C8410" s="223"/>
      <c r="D8410" s="587"/>
      <c r="E8410" s="224"/>
      <c r="F8410" s="237" t="s">
        <v>643</v>
      </c>
      <c r="G8410" s="290"/>
      <c r="H8410" s="231">
        <f>SUM(H8409)</f>
        <v>148000</v>
      </c>
      <c r="M8410" s="237" t="s">
        <v>643</v>
      </c>
    </row>
    <row r="8411" spans="2:13" ht="18.75" customHeight="1" x14ac:dyDescent="0.25">
      <c r="B8411" s="587"/>
      <c r="C8411" s="223"/>
      <c r="D8411" s="587"/>
      <c r="E8411" s="224"/>
      <c r="F8411" s="225"/>
      <c r="G8411" s="290"/>
      <c r="H8411" s="226"/>
      <c r="M8411" s="225"/>
    </row>
    <row r="8412" spans="2:13" ht="18.75" customHeight="1" x14ac:dyDescent="0.25">
      <c r="B8412" s="587" t="s">
        <v>644</v>
      </c>
      <c r="C8412" s="223" t="s">
        <v>645</v>
      </c>
      <c r="D8412" s="587"/>
      <c r="E8412" s="224"/>
      <c r="F8412" s="225"/>
      <c r="G8412" s="290"/>
      <c r="H8412" s="235"/>
      <c r="M8412" s="225"/>
    </row>
    <row r="8413" spans="2:13" ht="18.75" customHeight="1" x14ac:dyDescent="0.25">
      <c r="B8413" s="236"/>
      <c r="C8413" s="232"/>
      <c r="D8413" s="587"/>
      <c r="E8413" s="224"/>
      <c r="F8413" s="237" t="s">
        <v>646</v>
      </c>
      <c r="G8413" s="290"/>
      <c r="H8413" s="230"/>
      <c r="M8413" s="237" t="s">
        <v>646</v>
      </c>
    </row>
    <row r="8414" spans="2:13" ht="18.75" customHeight="1" x14ac:dyDescent="0.25">
      <c r="B8414" s="236"/>
      <c r="C8414" s="232"/>
      <c r="D8414" s="587"/>
      <c r="E8414" s="224"/>
      <c r="F8414" s="237"/>
      <c r="G8414" s="290"/>
      <c r="H8414" s="226"/>
      <c r="M8414" s="237"/>
    </row>
    <row r="8415" spans="2:13" ht="18.75" customHeight="1" x14ac:dyDescent="0.25">
      <c r="B8415" s="354"/>
      <c r="C8415" s="362"/>
      <c r="D8415" s="239"/>
      <c r="E8415" s="266"/>
      <c r="F8415" s="241"/>
      <c r="G8415" s="370"/>
      <c r="H8415" s="369"/>
      <c r="M8415" s="241"/>
    </row>
    <row r="8416" spans="2:13" ht="18.75" customHeight="1" x14ac:dyDescent="0.25">
      <c r="B8416" s="356" t="s">
        <v>647</v>
      </c>
      <c r="C8416" s="363" t="s">
        <v>648</v>
      </c>
      <c r="D8416" s="435"/>
      <c r="E8416" s="92"/>
      <c r="F8416" s="183"/>
      <c r="G8416" s="295"/>
      <c r="H8416" s="357">
        <f>+H8413+H8410+H8406</f>
        <v>174340</v>
      </c>
      <c r="M8416" s="183"/>
    </row>
    <row r="8417" spans="2:13" ht="18.75" customHeight="1" x14ac:dyDescent="0.25">
      <c r="B8417" s="356" t="s">
        <v>649</v>
      </c>
      <c r="C8417" s="364" t="s">
        <v>650</v>
      </c>
      <c r="D8417" s="435"/>
      <c r="E8417" s="92"/>
      <c r="F8417" s="184" t="str">
        <f>$J$5</f>
        <v>8,0 % x D</v>
      </c>
      <c r="G8417" s="295"/>
      <c r="H8417" s="358">
        <f>+H8416*$K$5</f>
        <v>13947.2</v>
      </c>
      <c r="M8417" s="184" t="str">
        <f>$J$5</f>
        <v>8,0 % x D</v>
      </c>
    </row>
    <row r="8418" spans="2:13" ht="18.75" customHeight="1" x14ac:dyDescent="0.25">
      <c r="B8418" s="356" t="s">
        <v>651</v>
      </c>
      <c r="C8418" s="365" t="s">
        <v>652</v>
      </c>
      <c r="D8418" s="435"/>
      <c r="E8418" s="91"/>
      <c r="F8418" s="185"/>
      <c r="G8418" s="296"/>
      <c r="H8418" s="359">
        <f>ROUNDUP((H8417+H8416)/100,0)*100</f>
        <v>188300</v>
      </c>
      <c r="M8418" s="185"/>
    </row>
    <row r="8419" spans="2:13" ht="18.75" customHeight="1" x14ac:dyDescent="0.25">
      <c r="B8419" s="360"/>
      <c r="C8419" s="366"/>
      <c r="D8419" s="245"/>
      <c r="E8419" s="246"/>
      <c r="F8419" s="247"/>
      <c r="G8419" s="299"/>
      <c r="H8419" s="361"/>
      <c r="M8419" s="247"/>
    </row>
    <row r="8420" spans="2:13" ht="18.75" customHeight="1" x14ac:dyDescent="0.25">
      <c r="B8420" s="22"/>
      <c r="C8420" s="104"/>
      <c r="E8420" s="21"/>
      <c r="F8420" s="176"/>
      <c r="G8420" s="165"/>
      <c r="H8420" s="119"/>
      <c r="M8420" s="176"/>
    </row>
    <row r="8421" spans="2:13" ht="18.75" customHeight="1" x14ac:dyDescent="0.25">
      <c r="B8421" s="19">
        <f>B8397+1</f>
        <v>9</v>
      </c>
      <c r="C8421" s="93" t="s">
        <v>1299</v>
      </c>
      <c r="D8421" s="19"/>
      <c r="E8421" s="21"/>
      <c r="F8421" s="176"/>
      <c r="G8421" s="165"/>
      <c r="H8421" s="119"/>
      <c r="M8421" s="176"/>
    </row>
    <row r="8422" spans="2:13" ht="18.75" customHeight="1" x14ac:dyDescent="0.25">
      <c r="B8422" s="618" t="s">
        <v>620</v>
      </c>
      <c r="C8422" s="620" t="s">
        <v>621</v>
      </c>
      <c r="D8422" s="618" t="s">
        <v>622</v>
      </c>
      <c r="E8422" s="618" t="s">
        <v>2</v>
      </c>
      <c r="F8422" s="615" t="s">
        <v>623</v>
      </c>
      <c r="G8422" s="289" t="s">
        <v>624</v>
      </c>
      <c r="H8422" s="256" t="s">
        <v>625</v>
      </c>
      <c r="M8422" s="615" t="s">
        <v>623</v>
      </c>
    </row>
    <row r="8423" spans="2:13" ht="18.75" customHeight="1" x14ac:dyDescent="0.25">
      <c r="B8423" s="619"/>
      <c r="C8423" s="621"/>
      <c r="D8423" s="619"/>
      <c r="E8423" s="619"/>
      <c r="F8423" s="616"/>
      <c r="G8423" s="289" t="s">
        <v>626</v>
      </c>
      <c r="H8423" s="256" t="s">
        <v>626</v>
      </c>
      <c r="M8423" s="616"/>
    </row>
    <row r="8424" spans="2:13" ht="18.75" customHeight="1" x14ac:dyDescent="0.25">
      <c r="B8424" s="221"/>
      <c r="C8424" s="222"/>
      <c r="D8424" s="221"/>
      <c r="E8424" s="587"/>
      <c r="F8424" s="589"/>
      <c r="G8424" s="588"/>
      <c r="H8424" s="220"/>
      <c r="M8424" s="590"/>
    </row>
    <row r="8425" spans="2:13" ht="18.75" customHeight="1" x14ac:dyDescent="0.25">
      <c r="B8425" s="587" t="s">
        <v>627</v>
      </c>
      <c r="C8425" s="223" t="s">
        <v>628</v>
      </c>
      <c r="D8425" s="587"/>
      <c r="E8425" s="224"/>
      <c r="F8425" s="225"/>
      <c r="G8425" s="290"/>
      <c r="H8425" s="226"/>
      <c r="M8425" s="225"/>
    </row>
    <row r="8426" spans="2:13" ht="18.75" customHeight="1" x14ac:dyDescent="0.25">
      <c r="B8426" s="587"/>
      <c r="C8426" s="227" t="s">
        <v>629</v>
      </c>
      <c r="D8426" s="587" t="s">
        <v>630</v>
      </c>
      <c r="E8426" s="224" t="s">
        <v>631</v>
      </c>
      <c r="F8426" s="228">
        <v>1.4999999999999999E-2</v>
      </c>
      <c r="G8426" s="229">
        <f>G8402</f>
        <v>95000</v>
      </c>
      <c r="H8426" s="230">
        <f>+G8426*F8426</f>
        <v>1425</v>
      </c>
      <c r="M8426" s="228">
        <v>1.4999999999999999E-2</v>
      </c>
    </row>
    <row r="8427" spans="2:13" ht="18.75" customHeight="1" x14ac:dyDescent="0.25">
      <c r="B8427" s="587"/>
      <c r="C8427" s="227" t="s">
        <v>1508</v>
      </c>
      <c r="D8427" s="587" t="s">
        <v>632</v>
      </c>
      <c r="E8427" s="224" t="s">
        <v>631</v>
      </c>
      <c r="F8427" s="228">
        <v>0.15</v>
      </c>
      <c r="G8427" s="229">
        <f>G8403</f>
        <v>110000</v>
      </c>
      <c r="H8427" s="230">
        <f>+G8427*F8427</f>
        <v>16500</v>
      </c>
      <c r="M8427" s="228">
        <v>0.15</v>
      </c>
    </row>
    <row r="8428" spans="2:13" ht="18.75" customHeight="1" x14ac:dyDescent="0.25">
      <c r="B8428" s="587"/>
      <c r="C8428" s="227" t="s">
        <v>633</v>
      </c>
      <c r="D8428" s="587" t="s">
        <v>634</v>
      </c>
      <c r="E8428" s="224" t="s">
        <v>631</v>
      </c>
      <c r="F8428" s="228">
        <v>1.4999999999999999E-2</v>
      </c>
      <c r="G8428" s="229">
        <f>G8404</f>
        <v>115000</v>
      </c>
      <c r="H8428" s="230">
        <f>+G8428*F8428</f>
        <v>1725</v>
      </c>
      <c r="M8428" s="228">
        <v>1.4999999999999999E-2</v>
      </c>
    </row>
    <row r="8429" spans="2:13" ht="18.75" customHeight="1" x14ac:dyDescent="0.25">
      <c r="B8429" s="587"/>
      <c r="C8429" s="227" t="s">
        <v>600</v>
      </c>
      <c r="D8429" s="587" t="s">
        <v>635</v>
      </c>
      <c r="E8429" s="224" t="s">
        <v>631</v>
      </c>
      <c r="F8429" s="228">
        <v>8.0000000000000004E-4</v>
      </c>
      <c r="G8429" s="229">
        <f>G8405</f>
        <v>140000</v>
      </c>
      <c r="H8429" s="230">
        <f>+G8429*F8429</f>
        <v>112</v>
      </c>
      <c r="M8429" s="228">
        <v>8.0000000000000004E-4</v>
      </c>
    </row>
    <row r="8430" spans="2:13" ht="18.75" customHeight="1" x14ac:dyDescent="0.25">
      <c r="B8430" s="587"/>
      <c r="C8430" s="223"/>
      <c r="D8430" s="587"/>
      <c r="E8430" s="224"/>
      <c r="F8430" s="233" t="s">
        <v>636</v>
      </c>
      <c r="G8430" s="290"/>
      <c r="H8430" s="231">
        <f>SUM(H8426:H8429)</f>
        <v>19762</v>
      </c>
      <c r="M8430" s="233" t="s">
        <v>636</v>
      </c>
    </row>
    <row r="8431" spans="2:13" ht="18.75" customHeight="1" x14ac:dyDescent="0.25">
      <c r="B8431" s="587"/>
      <c r="C8431" s="223"/>
      <c r="D8431" s="587"/>
      <c r="E8431" s="224"/>
      <c r="F8431" s="233"/>
      <c r="G8431" s="290"/>
      <c r="H8431" s="231"/>
      <c r="M8431" s="233"/>
    </row>
    <row r="8432" spans="2:13" ht="18.75" customHeight="1" x14ac:dyDescent="0.25">
      <c r="B8432" s="587" t="s">
        <v>637</v>
      </c>
      <c r="C8432" s="223" t="s">
        <v>638</v>
      </c>
      <c r="D8432" s="587"/>
      <c r="E8432" s="224"/>
      <c r="F8432" s="225"/>
      <c r="G8432" s="290"/>
      <c r="H8432" s="226"/>
      <c r="M8432" s="225"/>
    </row>
    <row r="8433" spans="2:13" ht="18.75" customHeight="1" x14ac:dyDescent="0.25">
      <c r="B8433" s="587"/>
      <c r="C8433" s="223" t="s">
        <v>1300</v>
      </c>
      <c r="D8433" s="587"/>
      <c r="E8433" s="587" t="s">
        <v>109</v>
      </c>
      <c r="F8433" s="405">
        <v>1</v>
      </c>
      <c r="G8433" s="410">
        <f>Bahan!D316</f>
        <v>25000</v>
      </c>
      <c r="H8433" s="230">
        <f>+G8433*F8433</f>
        <v>25000</v>
      </c>
      <c r="M8433" s="405">
        <v>1</v>
      </c>
    </row>
    <row r="8434" spans="2:13" ht="18.75" customHeight="1" x14ac:dyDescent="0.25">
      <c r="B8434" s="587"/>
      <c r="C8434" s="223"/>
      <c r="D8434" s="587"/>
      <c r="E8434" s="224"/>
      <c r="F8434" s="237" t="s">
        <v>643</v>
      </c>
      <c r="G8434" s="290"/>
      <c r="H8434" s="231">
        <f>SUM(H8433)</f>
        <v>25000</v>
      </c>
      <c r="M8434" s="237" t="s">
        <v>643</v>
      </c>
    </row>
    <row r="8435" spans="2:13" ht="18.75" customHeight="1" x14ac:dyDescent="0.25">
      <c r="B8435" s="587"/>
      <c r="C8435" s="223"/>
      <c r="D8435" s="587"/>
      <c r="E8435" s="224"/>
      <c r="F8435" s="225"/>
      <c r="G8435" s="290"/>
      <c r="H8435" s="226"/>
      <c r="M8435" s="225"/>
    </row>
    <row r="8436" spans="2:13" ht="18.75" customHeight="1" x14ac:dyDescent="0.25">
      <c r="B8436" s="587" t="s">
        <v>644</v>
      </c>
      <c r="C8436" s="223" t="s">
        <v>645</v>
      </c>
      <c r="D8436" s="587"/>
      <c r="E8436" s="224"/>
      <c r="F8436" s="225"/>
      <c r="G8436" s="290"/>
      <c r="H8436" s="235"/>
      <c r="M8436" s="225"/>
    </row>
    <row r="8437" spans="2:13" ht="18.75" customHeight="1" x14ac:dyDescent="0.25">
      <c r="B8437" s="236"/>
      <c r="C8437" s="232"/>
      <c r="D8437" s="587"/>
      <c r="E8437" s="224"/>
      <c r="F8437" s="237" t="s">
        <v>646</v>
      </c>
      <c r="G8437" s="290"/>
      <c r="H8437" s="230"/>
      <c r="M8437" s="237" t="s">
        <v>646</v>
      </c>
    </row>
    <row r="8438" spans="2:13" ht="18.75" customHeight="1" x14ac:dyDescent="0.25">
      <c r="B8438" s="236"/>
      <c r="C8438" s="232"/>
      <c r="D8438" s="587"/>
      <c r="E8438" s="224"/>
      <c r="F8438" s="237"/>
      <c r="G8438" s="290"/>
      <c r="H8438" s="226"/>
      <c r="M8438" s="237"/>
    </row>
    <row r="8439" spans="2:13" ht="18.75" customHeight="1" x14ac:dyDescent="0.25">
      <c r="B8439" s="354"/>
      <c r="C8439" s="362"/>
      <c r="D8439" s="239"/>
      <c r="E8439" s="266"/>
      <c r="F8439" s="241"/>
      <c r="G8439" s="370"/>
      <c r="H8439" s="369"/>
      <c r="M8439" s="241"/>
    </row>
    <row r="8440" spans="2:13" ht="18.75" customHeight="1" x14ac:dyDescent="0.25">
      <c r="B8440" s="356" t="s">
        <v>647</v>
      </c>
      <c r="C8440" s="363" t="s">
        <v>648</v>
      </c>
      <c r="D8440" s="435"/>
      <c r="E8440" s="92"/>
      <c r="F8440" s="183"/>
      <c r="G8440" s="295"/>
      <c r="H8440" s="357">
        <f>+H8437+H8434+H8430</f>
        <v>44762</v>
      </c>
      <c r="M8440" s="183"/>
    </row>
    <row r="8441" spans="2:13" ht="18.75" customHeight="1" x14ac:dyDescent="0.25">
      <c r="B8441" s="356" t="s">
        <v>649</v>
      </c>
      <c r="C8441" s="364" t="s">
        <v>650</v>
      </c>
      <c r="D8441" s="435"/>
      <c r="E8441" s="92"/>
      <c r="F8441" s="184" t="str">
        <f>$J$5</f>
        <v>8,0 % x D</v>
      </c>
      <c r="G8441" s="295"/>
      <c r="H8441" s="358">
        <f>+H8440*$K$5</f>
        <v>3580.96</v>
      </c>
      <c r="M8441" s="184" t="str">
        <f>$J$5</f>
        <v>8,0 % x D</v>
      </c>
    </row>
    <row r="8442" spans="2:13" ht="18.75" customHeight="1" x14ac:dyDescent="0.25">
      <c r="B8442" s="356" t="s">
        <v>651</v>
      </c>
      <c r="C8442" s="365" t="s">
        <v>652</v>
      </c>
      <c r="D8442" s="435"/>
      <c r="E8442" s="91"/>
      <c r="F8442" s="185"/>
      <c r="G8442" s="296"/>
      <c r="H8442" s="359">
        <f>ROUNDUP((H8441+H8440)/100,0)*100</f>
        <v>48400</v>
      </c>
      <c r="M8442" s="185"/>
    </row>
    <row r="8443" spans="2:13" ht="18.75" customHeight="1" x14ac:dyDescent="0.25">
      <c r="B8443" s="360"/>
      <c r="C8443" s="366"/>
      <c r="D8443" s="245"/>
      <c r="E8443" s="246"/>
      <c r="F8443" s="247"/>
      <c r="G8443" s="299"/>
      <c r="H8443" s="361"/>
      <c r="M8443" s="247"/>
    </row>
    <row r="8444" spans="2:13" ht="18.75" customHeight="1" x14ac:dyDescent="0.25">
      <c r="B8444" s="92"/>
      <c r="C8444" s="104"/>
      <c r="D8444" s="435"/>
      <c r="E8444" s="91"/>
      <c r="F8444" s="185"/>
      <c r="G8444" s="168"/>
      <c r="H8444" s="139"/>
      <c r="M8444" s="185"/>
    </row>
    <row r="8445" spans="2:13" ht="18.75" customHeight="1" x14ac:dyDescent="0.25">
      <c r="B8445" s="19">
        <f>B8421+1</f>
        <v>10</v>
      </c>
      <c r="C8445" s="93" t="s">
        <v>1301</v>
      </c>
      <c r="D8445" s="19"/>
      <c r="E8445" s="21"/>
      <c r="F8445" s="176"/>
      <c r="G8445" s="165"/>
      <c r="H8445" s="119"/>
      <c r="M8445" s="176"/>
    </row>
    <row r="8446" spans="2:13" ht="18.75" customHeight="1" x14ac:dyDescent="0.25">
      <c r="B8446" s="618" t="s">
        <v>620</v>
      </c>
      <c r="C8446" s="620" t="s">
        <v>621</v>
      </c>
      <c r="D8446" s="618" t="s">
        <v>622</v>
      </c>
      <c r="E8446" s="618" t="s">
        <v>2</v>
      </c>
      <c r="F8446" s="615" t="s">
        <v>623</v>
      </c>
      <c r="G8446" s="289" t="s">
        <v>624</v>
      </c>
      <c r="H8446" s="256" t="s">
        <v>625</v>
      </c>
      <c r="M8446" s="615" t="s">
        <v>623</v>
      </c>
    </row>
    <row r="8447" spans="2:13" ht="18.75" customHeight="1" x14ac:dyDescent="0.25">
      <c r="B8447" s="619"/>
      <c r="C8447" s="621"/>
      <c r="D8447" s="619"/>
      <c r="E8447" s="619"/>
      <c r="F8447" s="616"/>
      <c r="G8447" s="289" t="s">
        <v>626</v>
      </c>
      <c r="H8447" s="256" t="s">
        <v>626</v>
      </c>
      <c r="M8447" s="616"/>
    </row>
    <row r="8448" spans="2:13" ht="18.75" customHeight="1" x14ac:dyDescent="0.25">
      <c r="B8448" s="221"/>
      <c r="C8448" s="222"/>
      <c r="D8448" s="221"/>
      <c r="E8448" s="587"/>
      <c r="F8448" s="589"/>
      <c r="G8448" s="588"/>
      <c r="H8448" s="220"/>
      <c r="M8448" s="590"/>
    </row>
    <row r="8449" spans="2:13" ht="18.75" customHeight="1" x14ac:dyDescent="0.25">
      <c r="B8449" s="587" t="s">
        <v>627</v>
      </c>
      <c r="C8449" s="223" t="s">
        <v>628</v>
      </c>
      <c r="D8449" s="587"/>
      <c r="E8449" s="224"/>
      <c r="F8449" s="225"/>
      <c r="G8449" s="290"/>
      <c r="H8449" s="226"/>
      <c r="M8449" s="225"/>
    </row>
    <row r="8450" spans="2:13" ht="18.75" customHeight="1" x14ac:dyDescent="0.25">
      <c r="B8450" s="587"/>
      <c r="C8450" s="227" t="s">
        <v>629</v>
      </c>
      <c r="D8450" s="587" t="s">
        <v>630</v>
      </c>
      <c r="E8450" s="224" t="s">
        <v>631</v>
      </c>
      <c r="F8450" s="228">
        <v>1.4999999999999999E-2</v>
      </c>
      <c r="G8450" s="229">
        <f>G8426</f>
        <v>95000</v>
      </c>
      <c r="H8450" s="230">
        <f>+G8450*F8450</f>
        <v>1425</v>
      </c>
      <c r="M8450" s="228">
        <v>1.4999999999999999E-2</v>
      </c>
    </row>
    <row r="8451" spans="2:13" ht="18.75" customHeight="1" x14ac:dyDescent="0.25">
      <c r="B8451" s="587"/>
      <c r="C8451" s="227" t="s">
        <v>1508</v>
      </c>
      <c r="D8451" s="587" t="s">
        <v>632</v>
      </c>
      <c r="E8451" s="224" t="s">
        <v>631</v>
      </c>
      <c r="F8451" s="228">
        <v>0.15</v>
      </c>
      <c r="G8451" s="229">
        <f>G8427</f>
        <v>110000</v>
      </c>
      <c r="H8451" s="230">
        <f>+G8451*F8451</f>
        <v>16500</v>
      </c>
      <c r="M8451" s="228">
        <v>0.15</v>
      </c>
    </row>
    <row r="8452" spans="2:13" ht="18.75" customHeight="1" x14ac:dyDescent="0.25">
      <c r="B8452" s="587"/>
      <c r="C8452" s="227" t="s">
        <v>633</v>
      </c>
      <c r="D8452" s="587" t="s">
        <v>634</v>
      </c>
      <c r="E8452" s="224" t="s">
        <v>631</v>
      </c>
      <c r="F8452" s="228">
        <v>1.4999999999999999E-2</v>
      </c>
      <c r="G8452" s="229">
        <f>G8428</f>
        <v>115000</v>
      </c>
      <c r="H8452" s="230">
        <f>+G8452*F8452</f>
        <v>1725</v>
      </c>
      <c r="M8452" s="228">
        <v>1.4999999999999999E-2</v>
      </c>
    </row>
    <row r="8453" spans="2:13" ht="18.75" customHeight="1" x14ac:dyDescent="0.25">
      <c r="B8453" s="587"/>
      <c r="C8453" s="227" t="s">
        <v>600</v>
      </c>
      <c r="D8453" s="587" t="s">
        <v>635</v>
      </c>
      <c r="E8453" s="224" t="s">
        <v>631</v>
      </c>
      <c r="F8453" s="228">
        <v>8.0000000000000002E-3</v>
      </c>
      <c r="G8453" s="229">
        <f>G8429</f>
        <v>140000</v>
      </c>
      <c r="H8453" s="230">
        <f>+G8453*F8453</f>
        <v>1120</v>
      </c>
      <c r="M8453" s="228">
        <v>8.0000000000000002E-3</v>
      </c>
    </row>
    <row r="8454" spans="2:13" ht="18.75" customHeight="1" x14ac:dyDescent="0.25">
      <c r="B8454" s="587"/>
      <c r="C8454" s="223"/>
      <c r="D8454" s="587"/>
      <c r="E8454" s="224"/>
      <c r="F8454" s="233" t="s">
        <v>636</v>
      </c>
      <c r="G8454" s="290"/>
      <c r="H8454" s="231">
        <f>SUM(H8450:H8453)</f>
        <v>20770</v>
      </c>
      <c r="M8454" s="233" t="s">
        <v>636</v>
      </c>
    </row>
    <row r="8455" spans="2:13" ht="18.75" customHeight="1" x14ac:dyDescent="0.25">
      <c r="B8455" s="587"/>
      <c r="C8455" s="223"/>
      <c r="D8455" s="587"/>
      <c r="E8455" s="224"/>
      <c r="F8455" s="233"/>
      <c r="G8455" s="290"/>
      <c r="H8455" s="231"/>
      <c r="M8455" s="233"/>
    </row>
    <row r="8456" spans="2:13" ht="18.75" customHeight="1" x14ac:dyDescent="0.25">
      <c r="B8456" s="587" t="s">
        <v>637</v>
      </c>
      <c r="C8456" s="223" t="s">
        <v>638</v>
      </c>
      <c r="D8456" s="587"/>
      <c r="E8456" s="224"/>
      <c r="F8456" s="225"/>
      <c r="G8456" s="290"/>
      <c r="H8456" s="226"/>
      <c r="M8456" s="225"/>
    </row>
    <row r="8457" spans="2:13" ht="18.75" customHeight="1" x14ac:dyDescent="0.25">
      <c r="B8457" s="587"/>
      <c r="C8457" s="223" t="s">
        <v>266</v>
      </c>
      <c r="D8457" s="587"/>
      <c r="E8457" s="587" t="s">
        <v>267</v>
      </c>
      <c r="F8457" s="405">
        <v>1</v>
      </c>
      <c r="G8457" s="591">
        <f>Bahan!D311</f>
        <v>170000</v>
      </c>
      <c r="H8457" s="230">
        <f>+G8457*F8457</f>
        <v>170000</v>
      </c>
      <c r="M8457" s="405">
        <v>1</v>
      </c>
    </row>
    <row r="8458" spans="2:13" ht="18.75" customHeight="1" x14ac:dyDescent="0.25">
      <c r="B8458" s="587"/>
      <c r="C8458" s="223"/>
      <c r="D8458" s="587"/>
      <c r="E8458" s="224"/>
      <c r="F8458" s="237" t="s">
        <v>643</v>
      </c>
      <c r="G8458" s="290"/>
      <c r="H8458" s="231">
        <f>SUM(H8457)</f>
        <v>170000</v>
      </c>
      <c r="M8458" s="237" t="s">
        <v>643</v>
      </c>
    </row>
    <row r="8459" spans="2:13" ht="18.75" customHeight="1" x14ac:dyDescent="0.25">
      <c r="B8459" s="587"/>
      <c r="C8459" s="223"/>
      <c r="D8459" s="587"/>
      <c r="E8459" s="224"/>
      <c r="F8459" s="225"/>
      <c r="G8459" s="290"/>
      <c r="H8459" s="226"/>
      <c r="M8459" s="225"/>
    </row>
    <row r="8460" spans="2:13" ht="18.75" customHeight="1" x14ac:dyDescent="0.25">
      <c r="B8460" s="236"/>
      <c r="C8460" s="232"/>
      <c r="D8460" s="587"/>
      <c r="E8460" s="224"/>
      <c r="F8460" s="237" t="s">
        <v>646</v>
      </c>
      <c r="G8460" s="290"/>
      <c r="H8460" s="230"/>
      <c r="M8460" s="237" t="s">
        <v>646</v>
      </c>
    </row>
    <row r="8461" spans="2:13" ht="18.75" customHeight="1" x14ac:dyDescent="0.25">
      <c r="B8461" s="236"/>
      <c r="C8461" s="232"/>
      <c r="D8461" s="587"/>
      <c r="E8461" s="224"/>
      <c r="F8461" s="237"/>
      <c r="G8461" s="290"/>
      <c r="H8461" s="226"/>
      <c r="M8461" s="237"/>
    </row>
    <row r="8462" spans="2:13" ht="18.75" customHeight="1" x14ac:dyDescent="0.25">
      <c r="B8462" s="354"/>
      <c r="C8462" s="362"/>
      <c r="D8462" s="239"/>
      <c r="E8462" s="240"/>
      <c r="F8462" s="241"/>
      <c r="G8462" s="293"/>
      <c r="H8462" s="355"/>
      <c r="M8462" s="241"/>
    </row>
    <row r="8463" spans="2:13" ht="18.75" customHeight="1" x14ac:dyDescent="0.25">
      <c r="B8463" s="356" t="s">
        <v>647</v>
      </c>
      <c r="C8463" s="363" t="s">
        <v>648</v>
      </c>
      <c r="D8463" s="435"/>
      <c r="E8463" s="92"/>
      <c r="F8463" s="183"/>
      <c r="G8463" s="295"/>
      <c r="H8463" s="357">
        <f>+H8460+H8458+H8454</f>
        <v>190770</v>
      </c>
      <c r="M8463" s="183"/>
    </row>
    <row r="8464" spans="2:13" ht="18.75" customHeight="1" x14ac:dyDescent="0.25">
      <c r="B8464" s="356" t="s">
        <v>649</v>
      </c>
      <c r="C8464" s="364" t="s">
        <v>650</v>
      </c>
      <c r="D8464" s="435"/>
      <c r="E8464" s="92"/>
      <c r="F8464" s="184" t="str">
        <f>$J$5</f>
        <v>8,0 % x D</v>
      </c>
      <c r="G8464" s="295"/>
      <c r="H8464" s="358">
        <f>+H8463*$K$5</f>
        <v>15261.6</v>
      </c>
      <c r="M8464" s="184" t="str">
        <f>$J$5</f>
        <v>8,0 % x D</v>
      </c>
    </row>
    <row r="8465" spans="2:13" ht="18.75" customHeight="1" x14ac:dyDescent="0.25">
      <c r="B8465" s="356" t="s">
        <v>651</v>
      </c>
      <c r="C8465" s="365" t="s">
        <v>652</v>
      </c>
      <c r="D8465" s="435"/>
      <c r="E8465" s="91"/>
      <c r="F8465" s="185"/>
      <c r="G8465" s="296"/>
      <c r="H8465" s="359">
        <f>ROUNDUP((H8464+H8463)/100,0)*100</f>
        <v>206100</v>
      </c>
      <c r="M8465" s="185"/>
    </row>
    <row r="8466" spans="2:13" ht="18.75" customHeight="1" x14ac:dyDescent="0.25">
      <c r="B8466" s="360"/>
      <c r="C8466" s="366"/>
      <c r="D8466" s="245"/>
      <c r="E8466" s="246"/>
      <c r="F8466" s="247"/>
      <c r="G8466" s="299"/>
      <c r="H8466" s="361"/>
      <c r="M8466" s="247"/>
    </row>
    <row r="8467" spans="2:13" ht="18.75" customHeight="1" x14ac:dyDescent="0.25">
      <c r="B8467" s="22"/>
      <c r="C8467" s="104"/>
      <c r="E8467" s="21"/>
      <c r="F8467" s="176"/>
      <c r="G8467" s="165"/>
      <c r="H8467" s="119"/>
      <c r="M8467" s="176"/>
    </row>
    <row r="8468" spans="2:13" ht="18.75" customHeight="1" x14ac:dyDescent="0.25">
      <c r="B8468" s="19">
        <f>B8445+1</f>
        <v>11</v>
      </c>
      <c r="C8468" s="93" t="s">
        <v>1302</v>
      </c>
      <c r="D8468" s="19"/>
      <c r="E8468" s="21"/>
      <c r="F8468" s="176"/>
      <c r="G8468" s="165"/>
      <c r="H8468" s="119"/>
      <c r="M8468" s="176"/>
    </row>
    <row r="8469" spans="2:13" ht="18.75" customHeight="1" x14ac:dyDescent="0.25">
      <c r="B8469" s="618" t="s">
        <v>620</v>
      </c>
      <c r="C8469" s="620" t="s">
        <v>621</v>
      </c>
      <c r="D8469" s="618" t="s">
        <v>622</v>
      </c>
      <c r="E8469" s="618" t="s">
        <v>2</v>
      </c>
      <c r="F8469" s="615" t="s">
        <v>623</v>
      </c>
      <c r="G8469" s="289" t="s">
        <v>624</v>
      </c>
      <c r="H8469" s="256" t="s">
        <v>625</v>
      </c>
      <c r="M8469" s="615" t="s">
        <v>623</v>
      </c>
    </row>
    <row r="8470" spans="2:13" ht="18.75" customHeight="1" x14ac:dyDescent="0.25">
      <c r="B8470" s="619"/>
      <c r="C8470" s="621"/>
      <c r="D8470" s="619"/>
      <c r="E8470" s="619"/>
      <c r="F8470" s="616"/>
      <c r="G8470" s="289" t="s">
        <v>626</v>
      </c>
      <c r="H8470" s="256" t="s">
        <v>626</v>
      </c>
      <c r="M8470" s="616"/>
    </row>
    <row r="8471" spans="2:13" ht="18.75" customHeight="1" x14ac:dyDescent="0.25">
      <c r="B8471" s="221"/>
      <c r="C8471" s="222"/>
      <c r="D8471" s="221"/>
      <c r="E8471" s="587"/>
      <c r="F8471" s="589"/>
      <c r="G8471" s="588"/>
      <c r="H8471" s="220"/>
      <c r="M8471" s="590"/>
    </row>
    <row r="8472" spans="2:13" ht="18.75" customHeight="1" x14ac:dyDescent="0.25">
      <c r="B8472" s="587" t="s">
        <v>627</v>
      </c>
      <c r="C8472" s="223" t="s">
        <v>628</v>
      </c>
      <c r="D8472" s="587"/>
      <c r="E8472" s="224"/>
      <c r="F8472" s="225"/>
      <c r="G8472" s="290"/>
      <c r="H8472" s="226"/>
      <c r="M8472" s="225"/>
    </row>
    <row r="8473" spans="2:13" ht="18.75" customHeight="1" x14ac:dyDescent="0.25">
      <c r="B8473" s="587"/>
      <c r="C8473" s="227" t="s">
        <v>629</v>
      </c>
      <c r="D8473" s="587" t="s">
        <v>630</v>
      </c>
      <c r="E8473" s="224" t="s">
        <v>631</v>
      </c>
      <c r="F8473" s="228">
        <v>7.4999999999999997E-2</v>
      </c>
      <c r="G8473" s="229">
        <f>G8450</f>
        <v>95000</v>
      </c>
      <c r="H8473" s="230">
        <f>+G8473*F8473</f>
        <v>7125</v>
      </c>
      <c r="M8473" s="228">
        <v>7.4999999999999997E-2</v>
      </c>
    </row>
    <row r="8474" spans="2:13" ht="18.75" customHeight="1" x14ac:dyDescent="0.25">
      <c r="B8474" s="587"/>
      <c r="C8474" s="227" t="s">
        <v>1508</v>
      </c>
      <c r="D8474" s="587" t="s">
        <v>632</v>
      </c>
      <c r="E8474" s="224" t="s">
        <v>631</v>
      </c>
      <c r="F8474" s="228">
        <v>0.5</v>
      </c>
      <c r="G8474" s="229">
        <f>G8451</f>
        <v>110000</v>
      </c>
      <c r="H8474" s="230">
        <f>+G8474*F8474</f>
        <v>55000</v>
      </c>
      <c r="M8474" s="228">
        <v>0.5</v>
      </c>
    </row>
    <row r="8475" spans="2:13" ht="18.75" customHeight="1" x14ac:dyDescent="0.25">
      <c r="B8475" s="587"/>
      <c r="C8475" s="227" t="s">
        <v>633</v>
      </c>
      <c r="D8475" s="587" t="s">
        <v>634</v>
      </c>
      <c r="E8475" s="224" t="s">
        <v>631</v>
      </c>
      <c r="F8475" s="228">
        <v>7.4999999999999997E-2</v>
      </c>
      <c r="G8475" s="229">
        <f>G8452</f>
        <v>115000</v>
      </c>
      <c r="H8475" s="230">
        <f>+G8475*F8475</f>
        <v>8625</v>
      </c>
      <c r="M8475" s="228">
        <v>7.4999999999999997E-2</v>
      </c>
    </row>
    <row r="8476" spans="2:13" ht="18.75" customHeight="1" x14ac:dyDescent="0.25">
      <c r="B8476" s="587"/>
      <c r="C8476" s="227" t="s">
        <v>600</v>
      </c>
      <c r="D8476" s="587" t="s">
        <v>635</v>
      </c>
      <c r="E8476" s="224" t="s">
        <v>631</v>
      </c>
      <c r="F8476" s="228">
        <v>3.0000000000000001E-3</v>
      </c>
      <c r="G8476" s="229">
        <f>G8453</f>
        <v>140000</v>
      </c>
      <c r="H8476" s="230">
        <f>+G8476*F8476</f>
        <v>420</v>
      </c>
      <c r="M8476" s="228">
        <v>3.0000000000000001E-3</v>
      </c>
    </row>
    <row r="8477" spans="2:13" ht="18.75" customHeight="1" x14ac:dyDescent="0.25">
      <c r="B8477" s="587"/>
      <c r="C8477" s="223"/>
      <c r="D8477" s="587"/>
      <c r="E8477" s="224"/>
      <c r="F8477" s="233" t="s">
        <v>636</v>
      </c>
      <c r="G8477" s="290"/>
      <c r="H8477" s="231">
        <f>SUM(H8473:H8476)</f>
        <v>71170</v>
      </c>
      <c r="M8477" s="233" t="s">
        <v>636</v>
      </c>
    </row>
    <row r="8478" spans="2:13" ht="18.75" customHeight="1" x14ac:dyDescent="0.25">
      <c r="B8478" s="587"/>
      <c r="C8478" s="223"/>
      <c r="D8478" s="587"/>
      <c r="E8478" s="224"/>
      <c r="F8478" s="233"/>
      <c r="G8478" s="290"/>
      <c r="H8478" s="231"/>
      <c r="M8478" s="233"/>
    </row>
    <row r="8479" spans="2:13" ht="18.75" customHeight="1" x14ac:dyDescent="0.25">
      <c r="B8479" s="587" t="s">
        <v>637</v>
      </c>
      <c r="C8479" s="223" t="s">
        <v>638</v>
      </c>
      <c r="D8479" s="587"/>
      <c r="E8479" s="224"/>
      <c r="F8479" s="225"/>
      <c r="G8479" s="290"/>
      <c r="H8479" s="226"/>
      <c r="M8479" s="225"/>
    </row>
    <row r="8480" spans="2:13" ht="18.75" customHeight="1" x14ac:dyDescent="0.25">
      <c r="B8480" s="587"/>
      <c r="C8480" s="223" t="s">
        <v>286</v>
      </c>
      <c r="D8480" s="587"/>
      <c r="E8480" s="587" t="s">
        <v>16</v>
      </c>
      <c r="F8480" s="405">
        <v>1</v>
      </c>
      <c r="G8480" s="410">
        <f>Bahan!D333</f>
        <v>35000</v>
      </c>
      <c r="H8480" s="230">
        <f>+G8480*F8480</f>
        <v>35000</v>
      </c>
      <c r="M8480" s="405">
        <v>1</v>
      </c>
    </row>
    <row r="8481" spans="2:13" ht="18.75" customHeight="1" x14ac:dyDescent="0.25">
      <c r="B8481" s="587"/>
      <c r="C8481" s="223"/>
      <c r="D8481" s="587"/>
      <c r="E8481" s="224"/>
      <c r="F8481" s="237" t="s">
        <v>643</v>
      </c>
      <c r="G8481" s="290"/>
      <c r="H8481" s="231">
        <f>SUM(H8480)</f>
        <v>35000</v>
      </c>
      <c r="M8481" s="237" t="s">
        <v>643</v>
      </c>
    </row>
    <row r="8482" spans="2:13" ht="18.75" customHeight="1" x14ac:dyDescent="0.25">
      <c r="B8482" s="587"/>
      <c r="C8482" s="223"/>
      <c r="D8482" s="587"/>
      <c r="E8482" s="224"/>
      <c r="F8482" s="225"/>
      <c r="G8482" s="290"/>
      <c r="H8482" s="226"/>
      <c r="M8482" s="225"/>
    </row>
    <row r="8483" spans="2:13" ht="18.75" customHeight="1" x14ac:dyDescent="0.25">
      <c r="B8483" s="587" t="s">
        <v>644</v>
      </c>
      <c r="C8483" s="223" t="s">
        <v>645</v>
      </c>
      <c r="D8483" s="587"/>
      <c r="E8483" s="224"/>
      <c r="F8483" s="225"/>
      <c r="G8483" s="290"/>
      <c r="H8483" s="235"/>
      <c r="M8483" s="225"/>
    </row>
    <row r="8484" spans="2:13" ht="18.75" customHeight="1" x14ac:dyDescent="0.25">
      <c r="B8484" s="236"/>
      <c r="C8484" s="232"/>
      <c r="D8484" s="587"/>
      <c r="E8484" s="224"/>
      <c r="F8484" s="237" t="s">
        <v>646</v>
      </c>
      <c r="G8484" s="290"/>
      <c r="H8484" s="230"/>
      <c r="M8484" s="237" t="s">
        <v>646</v>
      </c>
    </row>
    <row r="8485" spans="2:13" ht="18.75" customHeight="1" x14ac:dyDescent="0.25">
      <c r="B8485" s="236"/>
      <c r="C8485" s="232"/>
      <c r="D8485" s="587"/>
      <c r="E8485" s="224"/>
      <c r="F8485" s="237"/>
      <c r="G8485" s="290"/>
      <c r="H8485" s="226"/>
      <c r="M8485" s="237"/>
    </row>
    <row r="8486" spans="2:13" ht="18.75" customHeight="1" x14ac:dyDescent="0.25">
      <c r="B8486" s="354"/>
      <c r="C8486" s="362"/>
      <c r="D8486" s="239"/>
      <c r="E8486" s="266"/>
      <c r="F8486" s="241"/>
      <c r="G8486" s="370"/>
      <c r="H8486" s="369"/>
      <c r="M8486" s="241"/>
    </row>
    <row r="8487" spans="2:13" ht="18.75" customHeight="1" x14ac:dyDescent="0.25">
      <c r="B8487" s="356" t="s">
        <v>647</v>
      </c>
      <c r="C8487" s="363" t="s">
        <v>648</v>
      </c>
      <c r="D8487" s="435"/>
      <c r="E8487" s="92"/>
      <c r="F8487" s="183"/>
      <c r="G8487" s="295"/>
      <c r="H8487" s="357">
        <f>+H8484+H8481+H8477</f>
        <v>106170</v>
      </c>
      <c r="M8487" s="183"/>
    </row>
    <row r="8488" spans="2:13" ht="18.75" customHeight="1" x14ac:dyDescent="0.25">
      <c r="B8488" s="356" t="s">
        <v>649</v>
      </c>
      <c r="C8488" s="364" t="s">
        <v>650</v>
      </c>
      <c r="D8488" s="435"/>
      <c r="E8488" s="92"/>
      <c r="F8488" s="184" t="str">
        <f>$J$5</f>
        <v>8,0 % x D</v>
      </c>
      <c r="G8488" s="295"/>
      <c r="H8488" s="358">
        <f>+H8487*$K$5</f>
        <v>8493.6</v>
      </c>
      <c r="M8488" s="184" t="str">
        <f>$J$5</f>
        <v>8,0 % x D</v>
      </c>
    </row>
    <row r="8489" spans="2:13" ht="18.75" customHeight="1" x14ac:dyDescent="0.25">
      <c r="B8489" s="356" t="s">
        <v>651</v>
      </c>
      <c r="C8489" s="365" t="s">
        <v>652</v>
      </c>
      <c r="D8489" s="435"/>
      <c r="E8489" s="91"/>
      <c r="F8489" s="185"/>
      <c r="G8489" s="296"/>
      <c r="H8489" s="359">
        <f>ROUNDUP((H8488+H8487)/100,0)*100</f>
        <v>114700</v>
      </c>
      <c r="M8489" s="185"/>
    </row>
    <row r="8490" spans="2:13" ht="18.75" customHeight="1" x14ac:dyDescent="0.25">
      <c r="B8490" s="360"/>
      <c r="C8490" s="366"/>
      <c r="D8490" s="245"/>
      <c r="E8490" s="246"/>
      <c r="F8490" s="247"/>
      <c r="G8490" s="299"/>
      <c r="H8490" s="361"/>
      <c r="M8490" s="247"/>
    </row>
    <row r="8491" spans="2:13" ht="18.75" customHeight="1" x14ac:dyDescent="0.25">
      <c r="B8491" s="92"/>
      <c r="C8491" s="104"/>
      <c r="D8491" s="435"/>
      <c r="E8491" s="91"/>
      <c r="F8491" s="185"/>
      <c r="G8491" s="168"/>
      <c r="H8491" s="139"/>
      <c r="M8491" s="185"/>
    </row>
    <row r="8492" spans="2:13" ht="18.75" customHeight="1" x14ac:dyDescent="0.25">
      <c r="B8492" s="19">
        <f>B8468+1</f>
        <v>12</v>
      </c>
      <c r="C8492" s="93" t="s">
        <v>1303</v>
      </c>
      <c r="D8492" s="19"/>
      <c r="E8492" s="21"/>
      <c r="F8492" s="176"/>
      <c r="G8492" s="165"/>
      <c r="H8492" s="119"/>
      <c r="M8492" s="176"/>
    </row>
    <row r="8493" spans="2:13" ht="18.75" customHeight="1" x14ac:dyDescent="0.25">
      <c r="B8493" s="618" t="s">
        <v>620</v>
      </c>
      <c r="C8493" s="620" t="s">
        <v>621</v>
      </c>
      <c r="D8493" s="618" t="s">
        <v>622</v>
      </c>
      <c r="E8493" s="618" t="s">
        <v>2</v>
      </c>
      <c r="F8493" s="615" t="s">
        <v>623</v>
      </c>
      <c r="G8493" s="289" t="s">
        <v>624</v>
      </c>
      <c r="H8493" s="256" t="s">
        <v>625</v>
      </c>
      <c r="M8493" s="615" t="s">
        <v>623</v>
      </c>
    </row>
    <row r="8494" spans="2:13" ht="18.75" customHeight="1" x14ac:dyDescent="0.25">
      <c r="B8494" s="619"/>
      <c r="C8494" s="621"/>
      <c r="D8494" s="619"/>
      <c r="E8494" s="619"/>
      <c r="F8494" s="616"/>
      <c r="G8494" s="289" t="s">
        <v>626</v>
      </c>
      <c r="H8494" s="256" t="s">
        <v>626</v>
      </c>
      <c r="M8494" s="616"/>
    </row>
    <row r="8495" spans="2:13" ht="18.75" customHeight="1" x14ac:dyDescent="0.25">
      <c r="B8495" s="221"/>
      <c r="C8495" s="222"/>
      <c r="D8495" s="221"/>
      <c r="E8495" s="587"/>
      <c r="F8495" s="589"/>
      <c r="G8495" s="588"/>
      <c r="H8495" s="220"/>
      <c r="M8495" s="590"/>
    </row>
    <row r="8496" spans="2:13" ht="18.75" customHeight="1" x14ac:dyDescent="0.25">
      <c r="B8496" s="587" t="s">
        <v>627</v>
      </c>
      <c r="C8496" s="223" t="s">
        <v>628</v>
      </c>
      <c r="D8496" s="587"/>
      <c r="E8496" s="224"/>
      <c r="F8496" s="225"/>
      <c r="G8496" s="290"/>
      <c r="H8496" s="226"/>
      <c r="M8496" s="225"/>
    </row>
    <row r="8497" spans="2:13" ht="18.75" customHeight="1" x14ac:dyDescent="0.25">
      <c r="B8497" s="587"/>
      <c r="C8497" s="227" t="s">
        <v>629</v>
      </c>
      <c r="D8497" s="587" t="s">
        <v>630</v>
      </c>
      <c r="E8497" s="224" t="s">
        <v>631</v>
      </c>
      <c r="F8497" s="228">
        <v>7.4999999999999997E-2</v>
      </c>
      <c r="G8497" s="229">
        <f>G8473</f>
        <v>95000</v>
      </c>
      <c r="H8497" s="230">
        <f>+G8497*F8497</f>
        <v>7125</v>
      </c>
      <c r="M8497" s="228">
        <v>7.4999999999999997E-2</v>
      </c>
    </row>
    <row r="8498" spans="2:13" ht="18.75" customHeight="1" x14ac:dyDescent="0.25">
      <c r="B8498" s="587"/>
      <c r="C8498" s="227" t="s">
        <v>1508</v>
      </c>
      <c r="D8498" s="587" t="s">
        <v>632</v>
      </c>
      <c r="E8498" s="224" t="s">
        <v>631</v>
      </c>
      <c r="F8498" s="228">
        <v>0.5</v>
      </c>
      <c r="G8498" s="229">
        <f>G8474</f>
        <v>110000</v>
      </c>
      <c r="H8498" s="230">
        <f>+G8498*F8498</f>
        <v>55000</v>
      </c>
      <c r="M8498" s="228">
        <v>0.5</v>
      </c>
    </row>
    <row r="8499" spans="2:13" ht="18.75" customHeight="1" x14ac:dyDescent="0.25">
      <c r="B8499" s="587"/>
      <c r="C8499" s="227" t="s">
        <v>633</v>
      </c>
      <c r="D8499" s="587" t="s">
        <v>634</v>
      </c>
      <c r="E8499" s="224" t="s">
        <v>631</v>
      </c>
      <c r="F8499" s="228">
        <v>7.4999999999999997E-2</v>
      </c>
      <c r="G8499" s="229">
        <f>G8475</f>
        <v>115000</v>
      </c>
      <c r="H8499" s="230">
        <f>+G8499*F8499</f>
        <v>8625</v>
      </c>
      <c r="M8499" s="228">
        <v>7.4999999999999997E-2</v>
      </c>
    </row>
    <row r="8500" spans="2:13" ht="18.75" customHeight="1" x14ac:dyDescent="0.25">
      <c r="B8500" s="587"/>
      <c r="C8500" s="227" t="s">
        <v>600</v>
      </c>
      <c r="D8500" s="587" t="s">
        <v>635</v>
      </c>
      <c r="E8500" s="224" t="s">
        <v>631</v>
      </c>
      <c r="F8500" s="228">
        <v>2.9999999999999997E-4</v>
      </c>
      <c r="G8500" s="229">
        <f>G8476</f>
        <v>140000</v>
      </c>
      <c r="H8500" s="230">
        <f>+G8500*F8500</f>
        <v>41.999999999999993</v>
      </c>
      <c r="M8500" s="228">
        <v>2.9999999999999997E-4</v>
      </c>
    </row>
    <row r="8501" spans="2:13" ht="18.75" customHeight="1" x14ac:dyDescent="0.25">
      <c r="B8501" s="587"/>
      <c r="C8501" s="223"/>
      <c r="D8501" s="587"/>
      <c r="E8501" s="224"/>
      <c r="F8501" s="233" t="s">
        <v>636</v>
      </c>
      <c r="G8501" s="290"/>
      <c r="H8501" s="231">
        <f>SUM(H8497:H8500)</f>
        <v>70792</v>
      </c>
      <c r="M8501" s="233" t="s">
        <v>636</v>
      </c>
    </row>
    <row r="8502" spans="2:13" ht="18.75" customHeight="1" x14ac:dyDescent="0.25">
      <c r="B8502" s="587"/>
      <c r="C8502" s="223"/>
      <c r="D8502" s="587"/>
      <c r="E8502" s="224"/>
      <c r="F8502" s="233"/>
      <c r="G8502" s="290"/>
      <c r="H8502" s="231"/>
      <c r="M8502" s="233"/>
    </row>
    <row r="8503" spans="2:13" ht="18.75" customHeight="1" x14ac:dyDescent="0.25">
      <c r="B8503" s="587" t="s">
        <v>637</v>
      </c>
      <c r="C8503" s="223" t="s">
        <v>638</v>
      </c>
      <c r="D8503" s="587"/>
      <c r="E8503" s="224"/>
      <c r="F8503" s="225"/>
      <c r="G8503" s="290"/>
      <c r="H8503" s="226"/>
      <c r="M8503" s="225"/>
    </row>
    <row r="8504" spans="2:13" ht="18.75" customHeight="1" x14ac:dyDescent="0.25">
      <c r="B8504" s="587"/>
      <c r="C8504" s="223" t="s">
        <v>259</v>
      </c>
      <c r="D8504" s="587"/>
      <c r="E8504" s="587" t="s">
        <v>16</v>
      </c>
      <c r="F8504" s="405">
        <v>1</v>
      </c>
      <c r="G8504" s="591">
        <f>Bahan!D331</f>
        <v>65000</v>
      </c>
      <c r="H8504" s="230">
        <f>+G8504*F8504</f>
        <v>65000</v>
      </c>
      <c r="M8504" s="405">
        <v>1</v>
      </c>
    </row>
    <row r="8505" spans="2:13" ht="18.75" customHeight="1" x14ac:dyDescent="0.25">
      <c r="B8505" s="587"/>
      <c r="C8505" s="223"/>
      <c r="D8505" s="587"/>
      <c r="E8505" s="224"/>
      <c r="F8505" s="237" t="s">
        <v>643</v>
      </c>
      <c r="G8505" s="290"/>
      <c r="H8505" s="231">
        <f>SUM(H8504)</f>
        <v>65000</v>
      </c>
      <c r="M8505" s="237" t="s">
        <v>643</v>
      </c>
    </row>
    <row r="8506" spans="2:13" ht="18.75" customHeight="1" x14ac:dyDescent="0.25">
      <c r="B8506" s="587"/>
      <c r="C8506" s="223"/>
      <c r="D8506" s="587"/>
      <c r="E8506" s="224"/>
      <c r="F8506" s="225"/>
      <c r="G8506" s="290"/>
      <c r="H8506" s="226"/>
      <c r="M8506" s="225"/>
    </row>
    <row r="8507" spans="2:13" ht="18.75" customHeight="1" x14ac:dyDescent="0.25">
      <c r="B8507" s="587" t="s">
        <v>644</v>
      </c>
      <c r="C8507" s="223" t="s">
        <v>645</v>
      </c>
      <c r="D8507" s="587"/>
      <c r="E8507" s="224"/>
      <c r="F8507" s="225"/>
      <c r="G8507" s="290"/>
      <c r="H8507" s="235"/>
      <c r="M8507" s="225"/>
    </row>
    <row r="8508" spans="2:13" ht="18.75" customHeight="1" x14ac:dyDescent="0.25">
      <c r="B8508" s="236"/>
      <c r="C8508" s="232"/>
      <c r="D8508" s="587"/>
      <c r="E8508" s="224"/>
      <c r="F8508" s="237" t="s">
        <v>646</v>
      </c>
      <c r="G8508" s="290"/>
      <c r="H8508" s="230"/>
      <c r="M8508" s="237" t="s">
        <v>646</v>
      </c>
    </row>
    <row r="8509" spans="2:13" ht="18.75" customHeight="1" x14ac:dyDescent="0.25">
      <c r="B8509" s="236"/>
      <c r="C8509" s="232"/>
      <c r="D8509" s="587"/>
      <c r="E8509" s="224"/>
      <c r="F8509" s="237"/>
      <c r="G8509" s="290"/>
      <c r="H8509" s="226"/>
      <c r="M8509" s="237"/>
    </row>
    <row r="8510" spans="2:13" ht="18.75" customHeight="1" x14ac:dyDescent="0.25">
      <c r="B8510" s="354"/>
      <c r="C8510" s="362"/>
      <c r="D8510" s="239"/>
      <c r="E8510" s="266"/>
      <c r="F8510" s="241"/>
      <c r="G8510" s="370"/>
      <c r="H8510" s="369"/>
      <c r="M8510" s="241"/>
    </row>
    <row r="8511" spans="2:13" ht="18.75" customHeight="1" x14ac:dyDescent="0.25">
      <c r="B8511" s="356" t="s">
        <v>647</v>
      </c>
      <c r="C8511" s="363" t="s">
        <v>648</v>
      </c>
      <c r="D8511" s="435"/>
      <c r="E8511" s="92"/>
      <c r="F8511" s="183"/>
      <c r="G8511" s="295"/>
      <c r="H8511" s="357">
        <f>+H8508+H8505+H8501</f>
        <v>135792</v>
      </c>
      <c r="M8511" s="183"/>
    </row>
    <row r="8512" spans="2:13" ht="18.75" customHeight="1" x14ac:dyDescent="0.25">
      <c r="B8512" s="356" t="s">
        <v>649</v>
      </c>
      <c r="C8512" s="364" t="s">
        <v>650</v>
      </c>
      <c r="D8512" s="435"/>
      <c r="E8512" s="92"/>
      <c r="F8512" s="184" t="str">
        <f>$J$5</f>
        <v>8,0 % x D</v>
      </c>
      <c r="G8512" s="295"/>
      <c r="H8512" s="358">
        <f>+H8511*$K$5</f>
        <v>10863.36</v>
      </c>
      <c r="M8512" s="184" t="str">
        <f>$J$5</f>
        <v>8,0 % x D</v>
      </c>
    </row>
    <row r="8513" spans="2:13" ht="18.75" customHeight="1" x14ac:dyDescent="0.25">
      <c r="B8513" s="356" t="s">
        <v>651</v>
      </c>
      <c r="C8513" s="365" t="s">
        <v>652</v>
      </c>
      <c r="D8513" s="435"/>
      <c r="E8513" s="91"/>
      <c r="F8513" s="185"/>
      <c r="G8513" s="296"/>
      <c r="H8513" s="359">
        <f>ROUNDUP((H8512+H8511)/100,0)*100</f>
        <v>146700</v>
      </c>
      <c r="M8513" s="185"/>
    </row>
    <row r="8514" spans="2:13" ht="18.75" customHeight="1" x14ac:dyDescent="0.25">
      <c r="B8514" s="360"/>
      <c r="C8514" s="366"/>
      <c r="D8514" s="245"/>
      <c r="E8514" s="246"/>
      <c r="F8514" s="247"/>
      <c r="G8514" s="299"/>
      <c r="H8514" s="361"/>
      <c r="M8514" s="247"/>
    </row>
    <row r="8515" spans="2:13" ht="18.75" customHeight="1" x14ac:dyDescent="0.25">
      <c r="B8515" s="22"/>
      <c r="C8515" s="104"/>
      <c r="E8515" s="21"/>
      <c r="F8515" s="176"/>
      <c r="G8515" s="165"/>
      <c r="H8515" s="119"/>
      <c r="M8515" s="176"/>
    </row>
    <row r="8516" spans="2:13" ht="18.75" customHeight="1" x14ac:dyDescent="0.25">
      <c r="B8516" s="19">
        <f>B8492+1</f>
        <v>13</v>
      </c>
      <c r="C8516" s="93" t="s">
        <v>1304</v>
      </c>
      <c r="D8516" s="19"/>
      <c r="E8516" s="21"/>
      <c r="F8516" s="176"/>
      <c r="G8516" s="165"/>
      <c r="H8516" s="119"/>
      <c r="M8516" s="176"/>
    </row>
    <row r="8517" spans="2:13" ht="18.75" customHeight="1" x14ac:dyDescent="0.25">
      <c r="B8517" s="618" t="s">
        <v>620</v>
      </c>
      <c r="C8517" s="620" t="s">
        <v>621</v>
      </c>
      <c r="D8517" s="618" t="s">
        <v>622</v>
      </c>
      <c r="E8517" s="618" t="s">
        <v>2</v>
      </c>
      <c r="F8517" s="615" t="s">
        <v>623</v>
      </c>
      <c r="G8517" s="289" t="s">
        <v>624</v>
      </c>
      <c r="H8517" s="256" t="s">
        <v>625</v>
      </c>
      <c r="M8517" s="615" t="s">
        <v>623</v>
      </c>
    </row>
    <row r="8518" spans="2:13" ht="18.75" customHeight="1" x14ac:dyDescent="0.25">
      <c r="B8518" s="619"/>
      <c r="C8518" s="621"/>
      <c r="D8518" s="619"/>
      <c r="E8518" s="619"/>
      <c r="F8518" s="616"/>
      <c r="G8518" s="289" t="s">
        <v>626</v>
      </c>
      <c r="H8518" s="256" t="s">
        <v>626</v>
      </c>
      <c r="M8518" s="616"/>
    </row>
    <row r="8519" spans="2:13" ht="18.75" customHeight="1" x14ac:dyDescent="0.25">
      <c r="B8519" s="221"/>
      <c r="C8519" s="222"/>
      <c r="D8519" s="221"/>
      <c r="E8519" s="587"/>
      <c r="F8519" s="589"/>
      <c r="G8519" s="588"/>
      <c r="H8519" s="220"/>
      <c r="M8519" s="590"/>
    </row>
    <row r="8520" spans="2:13" ht="18.75" customHeight="1" x14ac:dyDescent="0.25">
      <c r="B8520" s="587" t="s">
        <v>627</v>
      </c>
      <c r="C8520" s="223" t="s">
        <v>628</v>
      </c>
      <c r="D8520" s="587"/>
      <c r="E8520" s="224"/>
      <c r="F8520" s="225"/>
      <c r="G8520" s="290"/>
      <c r="H8520" s="226"/>
      <c r="M8520" s="225"/>
    </row>
    <row r="8521" spans="2:13" ht="18.75" customHeight="1" x14ac:dyDescent="0.25">
      <c r="B8521" s="587"/>
      <c r="C8521" s="227" t="s">
        <v>629</v>
      </c>
      <c r="D8521" s="587" t="s">
        <v>630</v>
      </c>
      <c r="E8521" s="224" t="s">
        <v>631</v>
      </c>
      <c r="F8521" s="228">
        <v>7.4999999999999997E-2</v>
      </c>
      <c r="G8521" s="229">
        <f>G8497</f>
        <v>95000</v>
      </c>
      <c r="H8521" s="230">
        <f>+G8521*F8521</f>
        <v>7125</v>
      </c>
      <c r="M8521" s="228">
        <v>7.4999999999999997E-2</v>
      </c>
    </row>
    <row r="8522" spans="2:13" ht="18.75" customHeight="1" x14ac:dyDescent="0.25">
      <c r="B8522" s="587"/>
      <c r="C8522" s="227" t="s">
        <v>1508</v>
      </c>
      <c r="D8522" s="587" t="s">
        <v>632</v>
      </c>
      <c r="E8522" s="224" t="s">
        <v>631</v>
      </c>
      <c r="F8522" s="228">
        <v>0.55000000000000004</v>
      </c>
      <c r="G8522" s="229">
        <f>G8498</f>
        <v>110000</v>
      </c>
      <c r="H8522" s="230">
        <f>+G8522*F8522</f>
        <v>60500.000000000007</v>
      </c>
      <c r="M8522" s="228">
        <v>0.55000000000000004</v>
      </c>
    </row>
    <row r="8523" spans="2:13" ht="18.75" customHeight="1" x14ac:dyDescent="0.25">
      <c r="B8523" s="587"/>
      <c r="C8523" s="227" t="s">
        <v>633</v>
      </c>
      <c r="D8523" s="587" t="s">
        <v>634</v>
      </c>
      <c r="E8523" s="224" t="s">
        <v>631</v>
      </c>
      <c r="F8523" s="228">
        <v>7.4999999999999997E-2</v>
      </c>
      <c r="G8523" s="229">
        <f>G8499</f>
        <v>115000</v>
      </c>
      <c r="H8523" s="230">
        <f>+G8523*F8523</f>
        <v>8625</v>
      </c>
      <c r="M8523" s="228">
        <v>7.4999999999999997E-2</v>
      </c>
    </row>
    <row r="8524" spans="2:13" ht="18.75" customHeight="1" x14ac:dyDescent="0.25">
      <c r="B8524" s="587"/>
      <c r="C8524" s="227" t="s">
        <v>600</v>
      </c>
      <c r="D8524" s="587" t="s">
        <v>635</v>
      </c>
      <c r="E8524" s="224" t="s">
        <v>631</v>
      </c>
      <c r="F8524" s="228">
        <v>4.0000000000000001E-3</v>
      </c>
      <c r="G8524" s="229">
        <f>G8500</f>
        <v>140000</v>
      </c>
      <c r="H8524" s="230">
        <f>+G8524*F8524</f>
        <v>560</v>
      </c>
      <c r="M8524" s="228">
        <v>4.0000000000000001E-3</v>
      </c>
    </row>
    <row r="8525" spans="2:13" ht="18.75" customHeight="1" x14ac:dyDescent="0.25">
      <c r="B8525" s="587"/>
      <c r="C8525" s="223"/>
      <c r="D8525" s="587"/>
      <c r="E8525" s="224"/>
      <c r="F8525" s="233" t="s">
        <v>636</v>
      </c>
      <c r="G8525" s="290"/>
      <c r="H8525" s="231">
        <f>SUM(H8521:H8524)</f>
        <v>76810</v>
      </c>
      <c r="M8525" s="233" t="s">
        <v>636</v>
      </c>
    </row>
    <row r="8526" spans="2:13" ht="18.75" customHeight="1" x14ac:dyDescent="0.25">
      <c r="B8526" s="587"/>
      <c r="C8526" s="223"/>
      <c r="D8526" s="587"/>
      <c r="E8526" s="224"/>
      <c r="F8526" s="233"/>
      <c r="G8526" s="290"/>
      <c r="H8526" s="231"/>
      <c r="M8526" s="233"/>
    </row>
    <row r="8527" spans="2:13" ht="18.75" customHeight="1" x14ac:dyDescent="0.25">
      <c r="B8527" s="587" t="s">
        <v>637</v>
      </c>
      <c r="C8527" s="223" t="s">
        <v>638</v>
      </c>
      <c r="D8527" s="587"/>
      <c r="E8527" s="224"/>
      <c r="F8527" s="225"/>
      <c r="G8527" s="290"/>
      <c r="H8527" s="226"/>
      <c r="M8527" s="225"/>
    </row>
    <row r="8528" spans="2:13" ht="18.75" customHeight="1" x14ac:dyDescent="0.25">
      <c r="B8528" s="587"/>
      <c r="C8528" s="223" t="s">
        <v>1305</v>
      </c>
      <c r="D8528" s="587"/>
      <c r="E8528" s="587" t="s">
        <v>16</v>
      </c>
      <c r="F8528" s="405">
        <v>1</v>
      </c>
      <c r="G8528" s="410">
        <f>Bahan!D334</f>
        <v>220000</v>
      </c>
      <c r="H8528" s="230">
        <f>+G8528*F8528</f>
        <v>220000</v>
      </c>
      <c r="M8528" s="405">
        <v>1</v>
      </c>
    </row>
    <row r="8529" spans="2:13" ht="18.75" customHeight="1" x14ac:dyDescent="0.25">
      <c r="B8529" s="587"/>
      <c r="C8529" s="223"/>
      <c r="D8529" s="587"/>
      <c r="E8529" s="224"/>
      <c r="F8529" s="237" t="s">
        <v>643</v>
      </c>
      <c r="G8529" s="290"/>
      <c r="H8529" s="231">
        <f>SUM(H8528)</f>
        <v>220000</v>
      </c>
      <c r="M8529" s="237" t="s">
        <v>643</v>
      </c>
    </row>
    <row r="8530" spans="2:13" ht="18.75" customHeight="1" x14ac:dyDescent="0.25">
      <c r="B8530" s="587"/>
      <c r="C8530" s="223"/>
      <c r="D8530" s="587"/>
      <c r="E8530" s="224"/>
      <c r="F8530" s="225"/>
      <c r="G8530" s="290"/>
      <c r="H8530" s="226"/>
      <c r="M8530" s="225"/>
    </row>
    <row r="8531" spans="2:13" ht="18.75" customHeight="1" x14ac:dyDescent="0.25">
      <c r="B8531" s="587" t="s">
        <v>644</v>
      </c>
      <c r="C8531" s="223" t="s">
        <v>645</v>
      </c>
      <c r="D8531" s="587"/>
      <c r="E8531" s="224"/>
      <c r="F8531" s="225"/>
      <c r="G8531" s="290"/>
      <c r="H8531" s="235"/>
      <c r="M8531" s="225"/>
    </row>
    <row r="8532" spans="2:13" ht="18.75" customHeight="1" x14ac:dyDescent="0.25">
      <c r="B8532" s="236"/>
      <c r="C8532" s="232"/>
      <c r="D8532" s="587"/>
      <c r="E8532" s="224"/>
      <c r="F8532" s="237" t="s">
        <v>646</v>
      </c>
      <c r="G8532" s="290"/>
      <c r="H8532" s="230"/>
      <c r="M8532" s="237" t="s">
        <v>646</v>
      </c>
    </row>
    <row r="8533" spans="2:13" ht="18.75" customHeight="1" x14ac:dyDescent="0.25">
      <c r="B8533" s="236"/>
      <c r="C8533" s="232"/>
      <c r="D8533" s="587"/>
      <c r="E8533" s="224"/>
      <c r="F8533" s="237"/>
      <c r="G8533" s="290"/>
      <c r="H8533" s="226"/>
      <c r="M8533" s="237"/>
    </row>
    <row r="8534" spans="2:13" ht="18.75" customHeight="1" x14ac:dyDescent="0.25">
      <c r="B8534" s="354"/>
      <c r="C8534" s="362"/>
      <c r="D8534" s="239"/>
      <c r="E8534" s="240"/>
      <c r="F8534" s="241"/>
      <c r="G8534" s="293"/>
      <c r="H8534" s="355"/>
      <c r="M8534" s="241"/>
    </row>
    <row r="8535" spans="2:13" ht="18.75" customHeight="1" x14ac:dyDescent="0.25">
      <c r="B8535" s="356" t="s">
        <v>647</v>
      </c>
      <c r="C8535" s="363" t="s">
        <v>648</v>
      </c>
      <c r="D8535" s="435"/>
      <c r="E8535" s="92"/>
      <c r="F8535" s="183"/>
      <c r="G8535" s="295"/>
      <c r="H8535" s="357">
        <f>+H8532+H8529+H8525</f>
        <v>296810</v>
      </c>
      <c r="M8535" s="183"/>
    </row>
    <row r="8536" spans="2:13" ht="18.75" customHeight="1" x14ac:dyDescent="0.25">
      <c r="B8536" s="356" t="s">
        <v>649</v>
      </c>
      <c r="C8536" s="364" t="s">
        <v>650</v>
      </c>
      <c r="D8536" s="435"/>
      <c r="E8536" s="92"/>
      <c r="F8536" s="184" t="str">
        <f>$J$5</f>
        <v>8,0 % x D</v>
      </c>
      <c r="G8536" s="295"/>
      <c r="H8536" s="358">
        <f>+H8535*$K$5</f>
        <v>23744.799999999999</v>
      </c>
      <c r="M8536" s="184" t="str">
        <f>$J$5</f>
        <v>8,0 % x D</v>
      </c>
    </row>
    <row r="8537" spans="2:13" ht="18.75" customHeight="1" x14ac:dyDescent="0.25">
      <c r="B8537" s="356" t="s">
        <v>651</v>
      </c>
      <c r="C8537" s="365" t="s">
        <v>652</v>
      </c>
      <c r="D8537" s="435"/>
      <c r="E8537" s="91"/>
      <c r="F8537" s="185"/>
      <c r="G8537" s="296"/>
      <c r="H8537" s="359">
        <f>ROUNDUP((H8536+H8535)/100,0)*100</f>
        <v>320600</v>
      </c>
      <c r="M8537" s="185"/>
    </row>
    <row r="8538" spans="2:13" ht="18.75" customHeight="1" x14ac:dyDescent="0.25">
      <c r="B8538" s="360"/>
      <c r="C8538" s="366"/>
      <c r="D8538" s="245"/>
      <c r="E8538" s="246"/>
      <c r="F8538" s="247"/>
      <c r="G8538" s="299"/>
      <c r="H8538" s="361"/>
      <c r="M8538" s="247"/>
    </row>
    <row r="8539" spans="2:13" ht="18.75" customHeight="1" x14ac:dyDescent="0.25">
      <c r="B8539" s="92"/>
      <c r="C8539" s="104"/>
      <c r="D8539" s="435"/>
      <c r="E8539" s="91"/>
      <c r="F8539" s="185"/>
      <c r="G8539" s="168"/>
      <c r="H8539" s="139"/>
      <c r="M8539" s="185"/>
    </row>
    <row r="8540" spans="2:13" ht="18.75" customHeight="1" x14ac:dyDescent="0.25">
      <c r="B8540" s="19">
        <f>B8516+1</f>
        <v>14</v>
      </c>
      <c r="C8540" s="93" t="s">
        <v>1306</v>
      </c>
      <c r="D8540" s="19"/>
      <c r="E8540" s="21"/>
      <c r="F8540" s="176"/>
      <c r="G8540" s="165"/>
      <c r="H8540" s="119"/>
      <c r="M8540" s="176"/>
    </row>
    <row r="8541" spans="2:13" ht="18.75" customHeight="1" x14ac:dyDescent="0.25">
      <c r="B8541" s="618" t="s">
        <v>620</v>
      </c>
      <c r="C8541" s="620" t="s">
        <v>621</v>
      </c>
      <c r="D8541" s="618" t="s">
        <v>622</v>
      </c>
      <c r="E8541" s="618" t="s">
        <v>2</v>
      </c>
      <c r="F8541" s="615" t="s">
        <v>623</v>
      </c>
      <c r="G8541" s="289" t="s">
        <v>624</v>
      </c>
      <c r="H8541" s="256" t="s">
        <v>625</v>
      </c>
      <c r="M8541" s="615" t="s">
        <v>623</v>
      </c>
    </row>
    <row r="8542" spans="2:13" ht="18.75" customHeight="1" x14ac:dyDescent="0.25">
      <c r="B8542" s="619"/>
      <c r="C8542" s="621"/>
      <c r="D8542" s="619"/>
      <c r="E8542" s="619"/>
      <c r="F8542" s="616"/>
      <c r="G8542" s="289" t="s">
        <v>626</v>
      </c>
      <c r="H8542" s="256" t="s">
        <v>626</v>
      </c>
      <c r="M8542" s="616"/>
    </row>
    <row r="8543" spans="2:13" ht="18.75" customHeight="1" x14ac:dyDescent="0.25">
      <c r="B8543" s="221"/>
      <c r="C8543" s="222"/>
      <c r="D8543" s="221"/>
      <c r="E8543" s="587"/>
      <c r="F8543" s="589"/>
      <c r="G8543" s="588"/>
      <c r="H8543" s="220"/>
      <c r="M8543" s="590"/>
    </row>
    <row r="8544" spans="2:13" ht="18.75" customHeight="1" x14ac:dyDescent="0.25">
      <c r="B8544" s="587" t="s">
        <v>627</v>
      </c>
      <c r="C8544" s="223" t="s">
        <v>628</v>
      </c>
      <c r="D8544" s="587"/>
      <c r="E8544" s="224"/>
      <c r="F8544" s="225"/>
      <c r="G8544" s="290"/>
      <c r="H8544" s="226"/>
      <c r="M8544" s="225"/>
    </row>
    <row r="8545" spans="2:13" ht="18.75" customHeight="1" x14ac:dyDescent="0.25">
      <c r="B8545" s="587"/>
      <c r="C8545" s="227" t="s">
        <v>629</v>
      </c>
      <c r="D8545" s="587" t="s">
        <v>630</v>
      </c>
      <c r="E8545" s="224" t="s">
        <v>631</v>
      </c>
      <c r="F8545" s="228">
        <v>1.4999999999999999E-2</v>
      </c>
      <c r="G8545" s="229">
        <f>G8521</f>
        <v>95000</v>
      </c>
      <c r="H8545" s="230">
        <f>+G8545*F8545</f>
        <v>1425</v>
      </c>
      <c r="M8545" s="228">
        <v>1.4999999999999999E-2</v>
      </c>
    </row>
    <row r="8546" spans="2:13" ht="18.75" customHeight="1" x14ac:dyDescent="0.25">
      <c r="B8546" s="587"/>
      <c r="C8546" s="227" t="s">
        <v>1508</v>
      </c>
      <c r="D8546" s="587" t="s">
        <v>632</v>
      </c>
      <c r="E8546" s="224" t="s">
        <v>631</v>
      </c>
      <c r="F8546" s="228">
        <v>0.15</v>
      </c>
      <c r="G8546" s="229">
        <f>G8522</f>
        <v>110000</v>
      </c>
      <c r="H8546" s="230">
        <f>+G8546*F8546</f>
        <v>16500</v>
      </c>
      <c r="M8546" s="228">
        <v>0.15</v>
      </c>
    </row>
    <row r="8547" spans="2:13" ht="18.75" customHeight="1" x14ac:dyDescent="0.25">
      <c r="B8547" s="587"/>
      <c r="C8547" s="227" t="s">
        <v>633</v>
      </c>
      <c r="D8547" s="587" t="s">
        <v>634</v>
      </c>
      <c r="E8547" s="224" t="s">
        <v>631</v>
      </c>
      <c r="F8547" s="228">
        <v>1.4999999999999999E-2</v>
      </c>
      <c r="G8547" s="229">
        <f>G8523</f>
        <v>115000</v>
      </c>
      <c r="H8547" s="230">
        <f>+G8547*F8547</f>
        <v>1725</v>
      </c>
      <c r="M8547" s="228">
        <v>1.4999999999999999E-2</v>
      </c>
    </row>
    <row r="8548" spans="2:13" ht="18.75" customHeight="1" x14ac:dyDescent="0.25">
      <c r="B8548" s="587"/>
      <c r="C8548" s="227" t="s">
        <v>600</v>
      </c>
      <c r="D8548" s="587" t="s">
        <v>635</v>
      </c>
      <c r="E8548" s="224" t="s">
        <v>631</v>
      </c>
      <c r="F8548" s="228">
        <v>8.0000000000000004E-4</v>
      </c>
      <c r="G8548" s="229">
        <f>G8524</f>
        <v>140000</v>
      </c>
      <c r="H8548" s="230">
        <f>+G8548*F8548</f>
        <v>112</v>
      </c>
      <c r="M8548" s="228">
        <v>8.0000000000000004E-4</v>
      </c>
    </row>
    <row r="8549" spans="2:13" ht="18.75" customHeight="1" x14ac:dyDescent="0.25">
      <c r="B8549" s="587"/>
      <c r="C8549" s="223"/>
      <c r="D8549" s="587"/>
      <c r="E8549" s="224"/>
      <c r="F8549" s="233" t="s">
        <v>636</v>
      </c>
      <c r="G8549" s="290"/>
      <c r="H8549" s="231">
        <f>SUM(H8545:H8548)</f>
        <v>19762</v>
      </c>
      <c r="M8549" s="233" t="s">
        <v>636</v>
      </c>
    </row>
    <row r="8550" spans="2:13" ht="18.75" customHeight="1" x14ac:dyDescent="0.25">
      <c r="B8550" s="587"/>
      <c r="C8550" s="223"/>
      <c r="D8550" s="587"/>
      <c r="E8550" s="224"/>
      <c r="F8550" s="233"/>
      <c r="G8550" s="290"/>
      <c r="H8550" s="231"/>
      <c r="M8550" s="233"/>
    </row>
    <row r="8551" spans="2:13" ht="18.75" customHeight="1" x14ac:dyDescent="0.25">
      <c r="B8551" s="587" t="s">
        <v>637</v>
      </c>
      <c r="C8551" s="223" t="s">
        <v>638</v>
      </c>
      <c r="D8551" s="587"/>
      <c r="E8551" s="224"/>
      <c r="F8551" s="225"/>
      <c r="G8551" s="290"/>
      <c r="H8551" s="226"/>
      <c r="M8551" s="225"/>
    </row>
    <row r="8552" spans="2:13" ht="18.75" customHeight="1" x14ac:dyDescent="0.25">
      <c r="B8552" s="587"/>
      <c r="C8552" s="223" t="s">
        <v>1307</v>
      </c>
      <c r="D8552" s="587"/>
      <c r="E8552" s="587" t="s">
        <v>16</v>
      </c>
      <c r="F8552" s="405">
        <v>1.1000000000000001</v>
      </c>
      <c r="G8552" s="410">
        <f>Bahan!D219</f>
        <v>100000</v>
      </c>
      <c r="H8552" s="230">
        <f>+G8552*F8552</f>
        <v>110000.00000000001</v>
      </c>
      <c r="M8552" s="405">
        <v>1.1000000000000001</v>
      </c>
    </row>
    <row r="8553" spans="2:13" ht="18.75" customHeight="1" x14ac:dyDescent="0.25">
      <c r="B8553" s="587"/>
      <c r="C8553" s="223" t="s">
        <v>151</v>
      </c>
      <c r="D8553" s="587"/>
      <c r="E8553" s="587" t="s">
        <v>5</v>
      </c>
      <c r="F8553" s="405">
        <v>7.4999999999999997E-2</v>
      </c>
      <c r="G8553" s="229">
        <f>Bahan!D235</f>
        <v>55000</v>
      </c>
      <c r="H8553" s="230">
        <f>+G8553*F8553</f>
        <v>4125</v>
      </c>
      <c r="M8553" s="405">
        <v>7.4999999999999997E-2</v>
      </c>
    </row>
    <row r="8554" spans="2:13" ht="18.75" customHeight="1" x14ac:dyDescent="0.25">
      <c r="B8554" s="587"/>
      <c r="C8554" s="223"/>
      <c r="D8554" s="587"/>
      <c r="E8554" s="224"/>
      <c r="F8554" s="237" t="s">
        <v>643</v>
      </c>
      <c r="G8554" s="290"/>
      <c r="H8554" s="231">
        <f>SUM(H8552:H8553)</f>
        <v>114125.00000000001</v>
      </c>
      <c r="M8554" s="237" t="s">
        <v>643</v>
      </c>
    </row>
    <row r="8555" spans="2:13" ht="18.75" customHeight="1" x14ac:dyDescent="0.25">
      <c r="B8555" s="587"/>
      <c r="C8555" s="223"/>
      <c r="D8555" s="587"/>
      <c r="E8555" s="224"/>
      <c r="F8555" s="225"/>
      <c r="G8555" s="290"/>
      <c r="H8555" s="226"/>
      <c r="M8555" s="225"/>
    </row>
    <row r="8556" spans="2:13" ht="18.75" customHeight="1" x14ac:dyDescent="0.25">
      <c r="B8556" s="587" t="s">
        <v>644</v>
      </c>
      <c r="C8556" s="223" t="s">
        <v>645</v>
      </c>
      <c r="D8556" s="587"/>
      <c r="E8556" s="224"/>
      <c r="F8556" s="225"/>
      <c r="G8556" s="290"/>
      <c r="H8556" s="235"/>
      <c r="M8556" s="225"/>
    </row>
    <row r="8557" spans="2:13" ht="18.75" customHeight="1" x14ac:dyDescent="0.25">
      <c r="B8557" s="236"/>
      <c r="C8557" s="232"/>
      <c r="D8557" s="587"/>
      <c r="E8557" s="224"/>
      <c r="F8557" s="237" t="s">
        <v>646</v>
      </c>
      <c r="G8557" s="290"/>
      <c r="H8557" s="230"/>
      <c r="M8557" s="237" t="s">
        <v>646</v>
      </c>
    </row>
    <row r="8558" spans="2:13" ht="18.75" customHeight="1" x14ac:dyDescent="0.25">
      <c r="B8558" s="236"/>
      <c r="C8558" s="232"/>
      <c r="D8558" s="587"/>
      <c r="E8558" s="224"/>
      <c r="F8558" s="237"/>
      <c r="G8558" s="290"/>
      <c r="H8558" s="226"/>
      <c r="M8558" s="237"/>
    </row>
    <row r="8559" spans="2:13" ht="18.75" customHeight="1" x14ac:dyDescent="0.25">
      <c r="B8559" s="354"/>
      <c r="C8559" s="362"/>
      <c r="D8559" s="239"/>
      <c r="E8559" s="240"/>
      <c r="F8559" s="241"/>
      <c r="G8559" s="293"/>
      <c r="H8559" s="355"/>
      <c r="M8559" s="241"/>
    </row>
    <row r="8560" spans="2:13" ht="18.75" customHeight="1" x14ac:dyDescent="0.25">
      <c r="B8560" s="356" t="s">
        <v>647</v>
      </c>
      <c r="C8560" s="363" t="s">
        <v>648</v>
      </c>
      <c r="D8560" s="435"/>
      <c r="E8560" s="92"/>
      <c r="F8560" s="183"/>
      <c r="G8560" s="295"/>
      <c r="H8560" s="357">
        <f>+H8557+H8554+H8549</f>
        <v>133887</v>
      </c>
      <c r="M8560" s="183"/>
    </row>
    <row r="8561" spans="2:13" ht="18.75" customHeight="1" x14ac:dyDescent="0.25">
      <c r="B8561" s="356" t="s">
        <v>649</v>
      </c>
      <c r="C8561" s="364" t="s">
        <v>650</v>
      </c>
      <c r="D8561" s="435"/>
      <c r="E8561" s="92"/>
      <c r="F8561" s="184" t="str">
        <f>$J$5</f>
        <v>8,0 % x D</v>
      </c>
      <c r="G8561" s="295"/>
      <c r="H8561" s="358">
        <f>+H8560*$K$5</f>
        <v>10710.960000000001</v>
      </c>
      <c r="M8561" s="184" t="str">
        <f>$J$5</f>
        <v>8,0 % x D</v>
      </c>
    </row>
    <row r="8562" spans="2:13" ht="18.75" customHeight="1" x14ac:dyDescent="0.25">
      <c r="B8562" s="356" t="s">
        <v>651</v>
      </c>
      <c r="C8562" s="365" t="s">
        <v>652</v>
      </c>
      <c r="D8562" s="435"/>
      <c r="E8562" s="91"/>
      <c r="F8562" s="185"/>
      <c r="G8562" s="296"/>
      <c r="H8562" s="359">
        <f>ROUNDUP((H8561+H8560)/100,0)*100</f>
        <v>144600</v>
      </c>
      <c r="M8562" s="185"/>
    </row>
    <row r="8563" spans="2:13" ht="18.75" customHeight="1" x14ac:dyDescent="0.25">
      <c r="B8563" s="360"/>
      <c r="C8563" s="366"/>
      <c r="D8563" s="245"/>
      <c r="E8563" s="246"/>
      <c r="F8563" s="247"/>
      <c r="G8563" s="299"/>
      <c r="H8563" s="361"/>
      <c r="M8563" s="247"/>
    </row>
    <row r="8564" spans="2:13" ht="18.75" customHeight="1" x14ac:dyDescent="0.25">
      <c r="B8564" s="22"/>
      <c r="C8564" s="104"/>
      <c r="E8564" s="21"/>
      <c r="F8564" s="176"/>
      <c r="G8564" s="165"/>
      <c r="H8564" s="119"/>
      <c r="M8564" s="176"/>
    </row>
    <row r="8565" spans="2:13" ht="18.75" customHeight="1" x14ac:dyDescent="0.25">
      <c r="B8565" s="19">
        <f>+B8540+1</f>
        <v>15</v>
      </c>
      <c r="C8565" s="93" t="s">
        <v>1308</v>
      </c>
      <c r="D8565" s="19"/>
      <c r="E8565" s="21"/>
      <c r="F8565" s="176"/>
      <c r="G8565" s="165"/>
      <c r="H8565" s="119"/>
      <c r="M8565" s="176"/>
    </row>
    <row r="8566" spans="2:13" ht="18.75" customHeight="1" x14ac:dyDescent="0.25">
      <c r="B8566" s="618" t="s">
        <v>620</v>
      </c>
      <c r="C8566" s="620" t="s">
        <v>621</v>
      </c>
      <c r="D8566" s="618" t="s">
        <v>622</v>
      </c>
      <c r="E8566" s="618" t="s">
        <v>2</v>
      </c>
      <c r="F8566" s="615" t="s">
        <v>623</v>
      </c>
      <c r="G8566" s="289" t="s">
        <v>624</v>
      </c>
      <c r="H8566" s="256" t="s">
        <v>625</v>
      </c>
      <c r="M8566" s="615" t="s">
        <v>623</v>
      </c>
    </row>
    <row r="8567" spans="2:13" ht="18.75" customHeight="1" x14ac:dyDescent="0.25">
      <c r="B8567" s="619"/>
      <c r="C8567" s="621"/>
      <c r="D8567" s="619"/>
      <c r="E8567" s="619"/>
      <c r="F8567" s="616"/>
      <c r="G8567" s="289" t="s">
        <v>626</v>
      </c>
      <c r="H8567" s="256" t="s">
        <v>626</v>
      </c>
      <c r="M8567" s="616"/>
    </row>
    <row r="8568" spans="2:13" ht="18.75" customHeight="1" x14ac:dyDescent="0.25">
      <c r="B8568" s="221"/>
      <c r="C8568" s="222"/>
      <c r="D8568" s="221"/>
      <c r="E8568" s="587"/>
      <c r="F8568" s="589"/>
      <c r="G8568" s="588"/>
      <c r="H8568" s="220"/>
      <c r="M8568" s="590"/>
    </row>
    <row r="8569" spans="2:13" ht="18.75" customHeight="1" x14ac:dyDescent="0.25">
      <c r="B8569" s="587" t="s">
        <v>627</v>
      </c>
      <c r="C8569" s="223" t="s">
        <v>628</v>
      </c>
      <c r="D8569" s="587"/>
      <c r="E8569" s="224"/>
      <c r="F8569" s="225"/>
      <c r="G8569" s="290"/>
      <c r="H8569" s="226"/>
      <c r="M8569" s="225"/>
    </row>
    <row r="8570" spans="2:13" ht="18.75" customHeight="1" x14ac:dyDescent="0.25">
      <c r="B8570" s="587"/>
      <c r="C8570" s="227" t="s">
        <v>629</v>
      </c>
      <c r="D8570" s="587" t="s">
        <v>630</v>
      </c>
      <c r="E8570" s="224" t="s">
        <v>631</v>
      </c>
      <c r="F8570" s="228">
        <v>0.01</v>
      </c>
      <c r="G8570" s="229">
        <f>G8545</f>
        <v>95000</v>
      </c>
      <c r="H8570" s="230">
        <f>+G8570*F8570</f>
        <v>950</v>
      </c>
      <c r="M8570" s="228">
        <v>0.01</v>
      </c>
    </row>
    <row r="8571" spans="2:13" ht="18.75" customHeight="1" x14ac:dyDescent="0.25">
      <c r="B8571" s="587"/>
      <c r="C8571" s="227" t="s">
        <v>1508</v>
      </c>
      <c r="D8571" s="587" t="s">
        <v>632</v>
      </c>
      <c r="E8571" s="224" t="s">
        <v>631</v>
      </c>
      <c r="F8571" s="228">
        <v>0.15</v>
      </c>
      <c r="G8571" s="229">
        <f>G8546</f>
        <v>110000</v>
      </c>
      <c r="H8571" s="230">
        <f>+G8571*F8571</f>
        <v>16500</v>
      </c>
      <c r="M8571" s="228">
        <v>0.15</v>
      </c>
    </row>
    <row r="8572" spans="2:13" ht="18.75" customHeight="1" x14ac:dyDescent="0.25">
      <c r="B8572" s="587"/>
      <c r="C8572" s="227" t="s">
        <v>633</v>
      </c>
      <c r="D8572" s="587" t="s">
        <v>634</v>
      </c>
      <c r="E8572" s="224" t="s">
        <v>631</v>
      </c>
      <c r="F8572" s="228">
        <v>0.01</v>
      </c>
      <c r="G8572" s="229">
        <f>G8547</f>
        <v>115000</v>
      </c>
      <c r="H8572" s="230">
        <f>+G8572*F8572</f>
        <v>1150</v>
      </c>
      <c r="M8572" s="228">
        <v>0.01</v>
      </c>
    </row>
    <row r="8573" spans="2:13" ht="18.75" customHeight="1" x14ac:dyDescent="0.25">
      <c r="B8573" s="587"/>
      <c r="C8573" s="227" t="s">
        <v>600</v>
      </c>
      <c r="D8573" s="587" t="s">
        <v>635</v>
      </c>
      <c r="E8573" s="224" t="s">
        <v>631</v>
      </c>
      <c r="F8573" s="228">
        <v>8.0000000000000004E-4</v>
      </c>
      <c r="G8573" s="229">
        <f>G8548</f>
        <v>140000</v>
      </c>
      <c r="H8573" s="230">
        <f>+G8573*F8573</f>
        <v>112</v>
      </c>
      <c r="M8573" s="228">
        <v>8.0000000000000004E-4</v>
      </c>
    </row>
    <row r="8574" spans="2:13" ht="18.75" customHeight="1" x14ac:dyDescent="0.25">
      <c r="B8574" s="587"/>
      <c r="C8574" s="223"/>
      <c r="D8574" s="587"/>
      <c r="E8574" s="224"/>
      <c r="F8574" s="233" t="s">
        <v>636</v>
      </c>
      <c r="G8574" s="290"/>
      <c r="H8574" s="231">
        <f>SUM(H8570:H8573)</f>
        <v>18712</v>
      </c>
      <c r="M8574" s="233" t="s">
        <v>636</v>
      </c>
    </row>
    <row r="8575" spans="2:13" ht="18.75" customHeight="1" x14ac:dyDescent="0.25">
      <c r="B8575" s="587"/>
      <c r="C8575" s="223"/>
      <c r="D8575" s="587"/>
      <c r="E8575" s="224"/>
      <c r="F8575" s="233"/>
      <c r="G8575" s="290"/>
      <c r="H8575" s="231"/>
      <c r="M8575" s="233"/>
    </row>
    <row r="8576" spans="2:13" ht="18.75" customHeight="1" x14ac:dyDescent="0.25">
      <c r="B8576" s="587" t="s">
        <v>637</v>
      </c>
      <c r="C8576" s="223" t="s">
        <v>638</v>
      </c>
      <c r="D8576" s="587"/>
      <c r="E8576" s="224"/>
      <c r="F8576" s="225"/>
      <c r="G8576" s="290"/>
      <c r="H8576" s="226"/>
      <c r="M8576" s="225"/>
    </row>
    <row r="8577" spans="2:13" ht="18.75" customHeight="1" x14ac:dyDescent="0.25">
      <c r="B8577" s="587"/>
      <c r="C8577" s="223" t="s">
        <v>1309</v>
      </c>
      <c r="D8577" s="587"/>
      <c r="E8577" s="587" t="s">
        <v>58</v>
      </c>
      <c r="F8577" s="405">
        <v>1.1000000000000001</v>
      </c>
      <c r="G8577" s="410">
        <f>Bahan!D220</f>
        <v>165000</v>
      </c>
      <c r="H8577" s="230">
        <f>+G8577*F8577</f>
        <v>181500.00000000003</v>
      </c>
      <c r="M8577" s="405">
        <v>1.1000000000000001</v>
      </c>
    </row>
    <row r="8578" spans="2:13" ht="18.75" customHeight="1" x14ac:dyDescent="0.25">
      <c r="B8578" s="587"/>
      <c r="C8578" s="223" t="s">
        <v>151</v>
      </c>
      <c r="D8578" s="587"/>
      <c r="E8578" s="587" t="s">
        <v>5</v>
      </c>
      <c r="F8578" s="405">
        <v>7.4999999999999997E-2</v>
      </c>
      <c r="G8578" s="229">
        <f>G8553</f>
        <v>55000</v>
      </c>
      <c r="H8578" s="230">
        <f>+G8578*F8578</f>
        <v>4125</v>
      </c>
      <c r="M8578" s="405">
        <v>7.4999999999999997E-2</v>
      </c>
    </row>
    <row r="8579" spans="2:13" ht="18.75" customHeight="1" x14ac:dyDescent="0.25">
      <c r="B8579" s="587"/>
      <c r="C8579" s="223"/>
      <c r="D8579" s="587"/>
      <c r="E8579" s="224"/>
      <c r="F8579" s="237" t="s">
        <v>643</v>
      </c>
      <c r="G8579" s="290"/>
      <c r="H8579" s="231">
        <f>SUM(H8577:H8578)</f>
        <v>185625.00000000003</v>
      </c>
      <c r="M8579" s="237" t="s">
        <v>643</v>
      </c>
    </row>
    <row r="8580" spans="2:13" ht="18.75" customHeight="1" x14ac:dyDescent="0.25">
      <c r="B8580" s="587"/>
      <c r="C8580" s="223"/>
      <c r="D8580" s="587"/>
      <c r="E8580" s="224"/>
      <c r="F8580" s="225"/>
      <c r="G8580" s="290"/>
      <c r="H8580" s="226"/>
      <c r="M8580" s="225"/>
    </row>
    <row r="8581" spans="2:13" ht="18.75" customHeight="1" x14ac:dyDescent="0.25">
      <c r="B8581" s="587" t="s">
        <v>644</v>
      </c>
      <c r="C8581" s="223" t="s">
        <v>645</v>
      </c>
      <c r="D8581" s="587"/>
      <c r="E8581" s="224"/>
      <c r="F8581" s="225"/>
      <c r="G8581" s="290"/>
      <c r="H8581" s="235"/>
      <c r="M8581" s="225"/>
    </row>
    <row r="8582" spans="2:13" ht="18.75" customHeight="1" x14ac:dyDescent="0.25">
      <c r="B8582" s="236"/>
      <c r="C8582" s="232"/>
      <c r="D8582" s="587"/>
      <c r="E8582" s="224"/>
      <c r="F8582" s="237" t="s">
        <v>646</v>
      </c>
      <c r="G8582" s="290"/>
      <c r="H8582" s="230"/>
      <c r="M8582" s="237" t="s">
        <v>646</v>
      </c>
    </row>
    <row r="8583" spans="2:13" ht="18.75" customHeight="1" x14ac:dyDescent="0.25">
      <c r="B8583" s="236"/>
      <c r="C8583" s="232"/>
      <c r="D8583" s="587"/>
      <c r="E8583" s="224"/>
      <c r="F8583" s="237"/>
      <c r="G8583" s="290"/>
      <c r="H8583" s="226"/>
      <c r="M8583" s="237"/>
    </row>
    <row r="8584" spans="2:13" ht="18.75" customHeight="1" x14ac:dyDescent="0.25">
      <c r="B8584" s="354"/>
      <c r="C8584" s="362"/>
      <c r="D8584" s="239"/>
      <c r="E8584" s="240"/>
      <c r="F8584" s="241"/>
      <c r="G8584" s="293"/>
      <c r="H8584" s="355"/>
      <c r="M8584" s="241"/>
    </row>
    <row r="8585" spans="2:13" ht="18.75" customHeight="1" x14ac:dyDescent="0.25">
      <c r="B8585" s="356" t="s">
        <v>647</v>
      </c>
      <c r="C8585" s="363" t="s">
        <v>648</v>
      </c>
      <c r="D8585" s="435"/>
      <c r="E8585" s="92"/>
      <c r="F8585" s="183"/>
      <c r="G8585" s="295"/>
      <c r="H8585" s="357">
        <f>+H8582+H8579+H8574</f>
        <v>204337.00000000003</v>
      </c>
      <c r="M8585" s="183"/>
    </row>
    <row r="8586" spans="2:13" ht="18.75" customHeight="1" x14ac:dyDescent="0.25">
      <c r="B8586" s="356" t="s">
        <v>649</v>
      </c>
      <c r="C8586" s="364" t="s">
        <v>650</v>
      </c>
      <c r="D8586" s="435"/>
      <c r="E8586" s="92"/>
      <c r="F8586" s="184" t="str">
        <f>$J$5</f>
        <v>8,0 % x D</v>
      </c>
      <c r="G8586" s="295"/>
      <c r="H8586" s="358">
        <f>+H8585*$K$5</f>
        <v>16346.960000000003</v>
      </c>
      <c r="M8586" s="184" t="str">
        <f>$J$5</f>
        <v>8,0 % x D</v>
      </c>
    </row>
    <row r="8587" spans="2:13" ht="18.75" customHeight="1" x14ac:dyDescent="0.25">
      <c r="B8587" s="356" t="s">
        <v>651</v>
      </c>
      <c r="C8587" s="365" t="s">
        <v>652</v>
      </c>
      <c r="D8587" s="435"/>
      <c r="E8587" s="91"/>
      <c r="F8587" s="185"/>
      <c r="G8587" s="296"/>
      <c r="H8587" s="359">
        <f>ROUNDUP((H8586+H8585)/100,0)*100</f>
        <v>220700</v>
      </c>
      <c r="M8587" s="185"/>
    </row>
    <row r="8588" spans="2:13" ht="18.75" customHeight="1" x14ac:dyDescent="0.25">
      <c r="B8588" s="360"/>
      <c r="C8588" s="366"/>
      <c r="D8588" s="245"/>
      <c r="E8588" s="246"/>
      <c r="F8588" s="247"/>
      <c r="G8588" s="299"/>
      <c r="H8588" s="361"/>
      <c r="M8588" s="247"/>
    </row>
    <row r="8589" spans="2:13" ht="18.75" customHeight="1" x14ac:dyDescent="0.25">
      <c r="B8589" s="92"/>
      <c r="C8589" s="104"/>
      <c r="D8589" s="435"/>
      <c r="E8589" s="91"/>
      <c r="F8589" s="185"/>
      <c r="G8589" s="168"/>
      <c r="H8589" s="139"/>
      <c r="M8589" s="185"/>
    </row>
    <row r="8590" spans="2:13" ht="18.75" customHeight="1" x14ac:dyDescent="0.25">
      <c r="B8590" s="19">
        <f>B8565+1</f>
        <v>16</v>
      </c>
      <c r="C8590" s="93" t="s">
        <v>1310</v>
      </c>
      <c r="D8590" s="19"/>
      <c r="E8590" s="21"/>
      <c r="F8590" s="176"/>
      <c r="G8590" s="165"/>
      <c r="H8590" s="119"/>
      <c r="M8590" s="176"/>
    </row>
    <row r="8591" spans="2:13" ht="18.75" customHeight="1" x14ac:dyDescent="0.25">
      <c r="B8591" s="618" t="s">
        <v>620</v>
      </c>
      <c r="C8591" s="620" t="s">
        <v>621</v>
      </c>
      <c r="D8591" s="618" t="s">
        <v>622</v>
      </c>
      <c r="E8591" s="618" t="s">
        <v>2</v>
      </c>
      <c r="F8591" s="615" t="s">
        <v>623</v>
      </c>
      <c r="G8591" s="289" t="s">
        <v>624</v>
      </c>
      <c r="H8591" s="256" t="s">
        <v>625</v>
      </c>
      <c r="M8591" s="615" t="s">
        <v>623</v>
      </c>
    </row>
    <row r="8592" spans="2:13" ht="18.75" customHeight="1" x14ac:dyDescent="0.25">
      <c r="B8592" s="619"/>
      <c r="C8592" s="621"/>
      <c r="D8592" s="619"/>
      <c r="E8592" s="619"/>
      <c r="F8592" s="616"/>
      <c r="G8592" s="289" t="s">
        <v>626</v>
      </c>
      <c r="H8592" s="256" t="s">
        <v>626</v>
      </c>
      <c r="M8592" s="616"/>
    </row>
    <row r="8593" spans="2:13" ht="18.75" customHeight="1" x14ac:dyDescent="0.25">
      <c r="B8593" s="221"/>
      <c r="C8593" s="222"/>
      <c r="D8593" s="221"/>
      <c r="E8593" s="587"/>
      <c r="F8593" s="589"/>
      <c r="G8593" s="588"/>
      <c r="H8593" s="220"/>
      <c r="M8593" s="590"/>
    </row>
    <row r="8594" spans="2:13" ht="18.75" customHeight="1" x14ac:dyDescent="0.25">
      <c r="B8594" s="587" t="s">
        <v>627</v>
      </c>
      <c r="C8594" s="223" t="s">
        <v>628</v>
      </c>
      <c r="D8594" s="587"/>
      <c r="E8594" s="224"/>
      <c r="F8594" s="225"/>
      <c r="G8594" s="290"/>
      <c r="H8594" s="226"/>
      <c r="M8594" s="225"/>
    </row>
    <row r="8595" spans="2:13" ht="18.75" customHeight="1" x14ac:dyDescent="0.25">
      <c r="B8595" s="587"/>
      <c r="C8595" s="227" t="s">
        <v>629</v>
      </c>
      <c r="D8595" s="587" t="s">
        <v>630</v>
      </c>
      <c r="E8595" s="224" t="s">
        <v>631</v>
      </c>
      <c r="F8595" s="228">
        <v>5.0000000000000001E-3</v>
      </c>
      <c r="G8595" s="229">
        <f>G8570</f>
        <v>95000</v>
      </c>
      <c r="H8595" s="230">
        <f>+G8595*F8595</f>
        <v>475</v>
      </c>
      <c r="M8595" s="228">
        <v>5.0000000000000001E-3</v>
      </c>
    </row>
    <row r="8596" spans="2:13" ht="18.75" customHeight="1" x14ac:dyDescent="0.25">
      <c r="B8596" s="587"/>
      <c r="C8596" s="227" t="s">
        <v>1508</v>
      </c>
      <c r="D8596" s="587" t="s">
        <v>632</v>
      </c>
      <c r="E8596" s="224" t="s">
        <v>631</v>
      </c>
      <c r="F8596" s="228">
        <v>9.9199999999999997E-2</v>
      </c>
      <c r="G8596" s="229">
        <f>G8571</f>
        <v>110000</v>
      </c>
      <c r="H8596" s="230">
        <f>+G8596*F8596</f>
        <v>10912</v>
      </c>
      <c r="M8596" s="228">
        <v>9.9199999999999997E-2</v>
      </c>
    </row>
    <row r="8597" spans="2:13" ht="18.75" customHeight="1" x14ac:dyDescent="0.25">
      <c r="B8597" s="587"/>
      <c r="C8597" s="227" t="s">
        <v>633</v>
      </c>
      <c r="D8597" s="587" t="s">
        <v>634</v>
      </c>
      <c r="E8597" s="224" t="s">
        <v>631</v>
      </c>
      <c r="F8597" s="228">
        <v>1.2E-2</v>
      </c>
      <c r="G8597" s="229">
        <f>G8572</f>
        <v>115000</v>
      </c>
      <c r="H8597" s="230">
        <f>+G8597*F8597</f>
        <v>1380</v>
      </c>
      <c r="M8597" s="228">
        <v>1.2E-2</v>
      </c>
    </row>
    <row r="8598" spans="2:13" ht="18.75" customHeight="1" x14ac:dyDescent="0.25">
      <c r="B8598" s="587"/>
      <c r="C8598" s="227" t="s">
        <v>600</v>
      </c>
      <c r="D8598" s="587" t="s">
        <v>635</v>
      </c>
      <c r="E8598" s="224" t="s">
        <v>631</v>
      </c>
      <c r="F8598" s="228">
        <v>8.0000000000000004E-4</v>
      </c>
      <c r="G8598" s="229">
        <f>G8573</f>
        <v>140000</v>
      </c>
      <c r="H8598" s="230">
        <f>+G8598*F8598</f>
        <v>112</v>
      </c>
      <c r="M8598" s="228">
        <v>8.0000000000000004E-4</v>
      </c>
    </row>
    <row r="8599" spans="2:13" ht="18.75" customHeight="1" x14ac:dyDescent="0.25">
      <c r="B8599" s="587"/>
      <c r="C8599" s="223"/>
      <c r="D8599" s="587"/>
      <c r="E8599" s="224"/>
      <c r="F8599" s="233" t="s">
        <v>636</v>
      </c>
      <c r="G8599" s="290"/>
      <c r="H8599" s="231">
        <f>SUM(H8595:H8598)</f>
        <v>12879</v>
      </c>
      <c r="M8599" s="233" t="s">
        <v>636</v>
      </c>
    </row>
    <row r="8600" spans="2:13" ht="18.75" customHeight="1" x14ac:dyDescent="0.25">
      <c r="B8600" s="587"/>
      <c r="C8600" s="223"/>
      <c r="D8600" s="587"/>
      <c r="E8600" s="224"/>
      <c r="F8600" s="233"/>
      <c r="G8600" s="290"/>
      <c r="H8600" s="231"/>
      <c r="M8600" s="233"/>
    </row>
    <row r="8601" spans="2:13" ht="18.75" customHeight="1" x14ac:dyDescent="0.25">
      <c r="B8601" s="587" t="s">
        <v>637</v>
      </c>
      <c r="C8601" s="223" t="s">
        <v>638</v>
      </c>
      <c r="D8601" s="587"/>
      <c r="E8601" s="224"/>
      <c r="F8601" s="225"/>
      <c r="G8601" s="290"/>
      <c r="H8601" s="226"/>
      <c r="M8601" s="225"/>
    </row>
    <row r="8602" spans="2:13" ht="18.75" customHeight="1" x14ac:dyDescent="0.25">
      <c r="B8602" s="587"/>
      <c r="C8602" s="223" t="s">
        <v>1311</v>
      </c>
      <c r="D8602" s="587"/>
      <c r="E8602" s="587" t="s">
        <v>16</v>
      </c>
      <c r="F8602" s="405">
        <v>1.1000000000000001</v>
      </c>
      <c r="G8602" s="591">
        <f>Bahan!D222</f>
        <v>334000</v>
      </c>
      <c r="H8602" s="230">
        <f>+G8602*F8602</f>
        <v>367400.00000000006</v>
      </c>
      <c r="M8602" s="405">
        <v>1.1000000000000001</v>
      </c>
    </row>
    <row r="8603" spans="2:13" ht="18.75" customHeight="1" x14ac:dyDescent="0.25">
      <c r="B8603" s="587"/>
      <c r="C8603" s="223" t="s">
        <v>151</v>
      </c>
      <c r="D8603" s="587"/>
      <c r="E8603" s="587" t="s">
        <v>5</v>
      </c>
      <c r="F8603" s="405">
        <v>7.4999999999999997E-2</v>
      </c>
      <c r="G8603" s="229">
        <f>G8578</f>
        <v>55000</v>
      </c>
      <c r="H8603" s="230">
        <f>+G8603*F8603</f>
        <v>4125</v>
      </c>
      <c r="M8603" s="405">
        <v>7.4999999999999997E-2</v>
      </c>
    </row>
    <row r="8604" spans="2:13" ht="18.75" customHeight="1" x14ac:dyDescent="0.25">
      <c r="B8604" s="587"/>
      <c r="C8604" s="223"/>
      <c r="D8604" s="587"/>
      <c r="E8604" s="224"/>
      <c r="F8604" s="237" t="s">
        <v>643</v>
      </c>
      <c r="G8604" s="290"/>
      <c r="H8604" s="231">
        <f>SUM(H8602:H8603)</f>
        <v>371525.00000000006</v>
      </c>
      <c r="M8604" s="237" t="s">
        <v>643</v>
      </c>
    </row>
    <row r="8605" spans="2:13" ht="18.75" customHeight="1" x14ac:dyDescent="0.25">
      <c r="B8605" s="587"/>
      <c r="C8605" s="223"/>
      <c r="D8605" s="587"/>
      <c r="E8605" s="224"/>
      <c r="F8605" s="225"/>
      <c r="G8605" s="290"/>
      <c r="H8605" s="226"/>
      <c r="M8605" s="225"/>
    </row>
    <row r="8606" spans="2:13" ht="18.75" customHeight="1" x14ac:dyDescent="0.25">
      <c r="B8606" s="587" t="s">
        <v>644</v>
      </c>
      <c r="C8606" s="223" t="s">
        <v>645</v>
      </c>
      <c r="D8606" s="587"/>
      <c r="E8606" s="224"/>
      <c r="F8606" s="225"/>
      <c r="G8606" s="290"/>
      <c r="H8606" s="235"/>
      <c r="M8606" s="225"/>
    </row>
    <row r="8607" spans="2:13" ht="18.75" customHeight="1" x14ac:dyDescent="0.25">
      <c r="B8607" s="236"/>
      <c r="C8607" s="232"/>
      <c r="D8607" s="587"/>
      <c r="E8607" s="224"/>
      <c r="F8607" s="237" t="s">
        <v>646</v>
      </c>
      <c r="G8607" s="290"/>
      <c r="H8607" s="230"/>
      <c r="M8607" s="237" t="s">
        <v>646</v>
      </c>
    </row>
    <row r="8608" spans="2:13" ht="18.75" customHeight="1" x14ac:dyDescent="0.25">
      <c r="B8608" s="236"/>
      <c r="C8608" s="232"/>
      <c r="D8608" s="587"/>
      <c r="E8608" s="224"/>
      <c r="F8608" s="237"/>
      <c r="G8608" s="290"/>
      <c r="H8608" s="226"/>
      <c r="M8608" s="237"/>
    </row>
    <row r="8609" spans="2:13" ht="18.75" customHeight="1" x14ac:dyDescent="0.25">
      <c r="B8609" s="354"/>
      <c r="C8609" s="362"/>
      <c r="D8609" s="239"/>
      <c r="E8609" s="240"/>
      <c r="F8609" s="241"/>
      <c r="G8609" s="293"/>
      <c r="H8609" s="355"/>
      <c r="M8609" s="241"/>
    </row>
    <row r="8610" spans="2:13" ht="18.75" customHeight="1" x14ac:dyDescent="0.25">
      <c r="B8610" s="356" t="s">
        <v>647</v>
      </c>
      <c r="C8610" s="363" t="s">
        <v>648</v>
      </c>
      <c r="D8610" s="435"/>
      <c r="E8610" s="92"/>
      <c r="F8610" s="183"/>
      <c r="G8610" s="295"/>
      <c r="H8610" s="357">
        <f>+H8607+H8604+H8599</f>
        <v>384404.00000000006</v>
      </c>
      <c r="M8610" s="183"/>
    </row>
    <row r="8611" spans="2:13" ht="18.75" customHeight="1" x14ac:dyDescent="0.25">
      <c r="B8611" s="356" t="s">
        <v>649</v>
      </c>
      <c r="C8611" s="364" t="s">
        <v>650</v>
      </c>
      <c r="D8611" s="435"/>
      <c r="E8611" s="92"/>
      <c r="F8611" s="184" t="str">
        <f>$J$5</f>
        <v>8,0 % x D</v>
      </c>
      <c r="G8611" s="295"/>
      <c r="H8611" s="358">
        <f>+H8610*$K$5</f>
        <v>30752.320000000007</v>
      </c>
      <c r="M8611" s="184" t="str">
        <f>$J$5</f>
        <v>8,0 % x D</v>
      </c>
    </row>
    <row r="8612" spans="2:13" ht="18.75" customHeight="1" x14ac:dyDescent="0.25">
      <c r="B8612" s="356" t="s">
        <v>651</v>
      </c>
      <c r="C8612" s="365" t="s">
        <v>652</v>
      </c>
      <c r="D8612" s="435"/>
      <c r="E8612" s="91"/>
      <c r="F8612" s="185"/>
      <c r="G8612" s="296"/>
      <c r="H8612" s="359">
        <f>ROUNDUP((H8611+H8610)/100,0)*100</f>
        <v>415200</v>
      </c>
      <c r="M8612" s="185"/>
    </row>
    <row r="8613" spans="2:13" ht="18.75" customHeight="1" x14ac:dyDescent="0.25">
      <c r="B8613" s="360"/>
      <c r="C8613" s="366"/>
      <c r="D8613" s="245"/>
      <c r="E8613" s="246"/>
      <c r="F8613" s="247"/>
      <c r="G8613" s="299"/>
      <c r="H8613" s="361"/>
      <c r="M8613" s="247"/>
    </row>
    <row r="8614" spans="2:13" ht="18.75" customHeight="1" x14ac:dyDescent="0.25">
      <c r="B8614" s="22"/>
      <c r="C8614" s="104"/>
      <c r="E8614" s="21"/>
      <c r="F8614" s="176"/>
      <c r="G8614" s="165"/>
      <c r="H8614" s="119"/>
      <c r="M8614" s="176"/>
    </row>
    <row r="8615" spans="2:13" ht="18.75" customHeight="1" x14ac:dyDescent="0.25">
      <c r="B8615" s="19">
        <f>B8590+1</f>
        <v>17</v>
      </c>
      <c r="C8615" s="93" t="s">
        <v>1312</v>
      </c>
      <c r="D8615" s="19"/>
      <c r="E8615" s="21"/>
      <c r="F8615" s="176"/>
      <c r="G8615" s="165"/>
      <c r="H8615" s="119"/>
      <c r="M8615" s="176"/>
    </row>
    <row r="8616" spans="2:13" ht="18.75" customHeight="1" x14ac:dyDescent="0.25">
      <c r="B8616" s="618" t="s">
        <v>620</v>
      </c>
      <c r="C8616" s="620" t="s">
        <v>621</v>
      </c>
      <c r="D8616" s="618" t="s">
        <v>622</v>
      </c>
      <c r="E8616" s="618" t="s">
        <v>2</v>
      </c>
      <c r="F8616" s="615" t="s">
        <v>623</v>
      </c>
      <c r="G8616" s="289" t="s">
        <v>624</v>
      </c>
      <c r="H8616" s="256" t="s">
        <v>625</v>
      </c>
      <c r="M8616" s="615" t="s">
        <v>623</v>
      </c>
    </row>
    <row r="8617" spans="2:13" ht="18.75" customHeight="1" x14ac:dyDescent="0.25">
      <c r="B8617" s="619"/>
      <c r="C8617" s="621"/>
      <c r="D8617" s="619"/>
      <c r="E8617" s="619"/>
      <c r="F8617" s="616"/>
      <c r="G8617" s="289" t="s">
        <v>626</v>
      </c>
      <c r="H8617" s="256" t="s">
        <v>626</v>
      </c>
      <c r="M8617" s="616"/>
    </row>
    <row r="8618" spans="2:13" ht="18.75" customHeight="1" x14ac:dyDescent="0.25">
      <c r="B8618" s="221"/>
      <c r="C8618" s="222"/>
      <c r="D8618" s="221"/>
      <c r="E8618" s="587"/>
      <c r="F8618" s="589"/>
      <c r="G8618" s="588"/>
      <c r="H8618" s="220"/>
      <c r="M8618" s="590"/>
    </row>
    <row r="8619" spans="2:13" ht="18.75" customHeight="1" x14ac:dyDescent="0.25">
      <c r="B8619" s="587" t="s">
        <v>627</v>
      </c>
      <c r="C8619" s="223" t="s">
        <v>628</v>
      </c>
      <c r="D8619" s="587"/>
      <c r="E8619" s="224"/>
      <c r="F8619" s="225"/>
      <c r="G8619" s="290"/>
      <c r="H8619" s="226"/>
      <c r="M8619" s="225"/>
    </row>
    <row r="8620" spans="2:13" ht="18.75" customHeight="1" x14ac:dyDescent="0.25">
      <c r="B8620" s="587"/>
      <c r="C8620" s="227" t="s">
        <v>629</v>
      </c>
      <c r="D8620" s="587" t="s">
        <v>630</v>
      </c>
      <c r="E8620" s="224" t="s">
        <v>631</v>
      </c>
      <c r="F8620" s="228">
        <v>2.5000000000000001E-2</v>
      </c>
      <c r="G8620" s="229">
        <f>G8595</f>
        <v>95000</v>
      </c>
      <c r="H8620" s="230">
        <f>+G8620*F8620</f>
        <v>2375</v>
      </c>
      <c r="M8620" s="228">
        <v>2.5000000000000001E-2</v>
      </c>
    </row>
    <row r="8621" spans="2:13" ht="18.75" customHeight="1" x14ac:dyDescent="0.25">
      <c r="B8621" s="587"/>
      <c r="C8621" s="227" t="s">
        <v>1508</v>
      </c>
      <c r="D8621" s="587" t="s">
        <v>632</v>
      </c>
      <c r="E8621" s="224" t="s">
        <v>631</v>
      </c>
      <c r="F8621" s="228">
        <v>0.25</v>
      </c>
      <c r="G8621" s="229">
        <f>G8596</f>
        <v>110000</v>
      </c>
      <c r="H8621" s="230">
        <f>+G8621*F8621</f>
        <v>27500</v>
      </c>
      <c r="M8621" s="228">
        <v>0.25</v>
      </c>
    </row>
    <row r="8622" spans="2:13" ht="18.75" customHeight="1" x14ac:dyDescent="0.25">
      <c r="B8622" s="587"/>
      <c r="C8622" s="227" t="s">
        <v>633</v>
      </c>
      <c r="D8622" s="587" t="s">
        <v>634</v>
      </c>
      <c r="E8622" s="224" t="s">
        <v>631</v>
      </c>
      <c r="F8622" s="228">
        <v>2.5000000000000001E-2</v>
      </c>
      <c r="G8622" s="229">
        <f>G8597</f>
        <v>115000</v>
      </c>
      <c r="H8622" s="230">
        <f>+G8622*F8622</f>
        <v>2875</v>
      </c>
      <c r="M8622" s="228">
        <v>2.5000000000000001E-2</v>
      </c>
    </row>
    <row r="8623" spans="2:13" ht="18.75" customHeight="1" x14ac:dyDescent="0.25">
      <c r="B8623" s="587"/>
      <c r="C8623" s="227" t="s">
        <v>600</v>
      </c>
      <c r="D8623" s="587" t="s">
        <v>635</v>
      </c>
      <c r="E8623" s="224" t="s">
        <v>631</v>
      </c>
      <c r="F8623" s="228">
        <v>1.2999999999999999E-3</v>
      </c>
      <c r="G8623" s="229">
        <f>G8598</f>
        <v>140000</v>
      </c>
      <c r="H8623" s="230">
        <f>+G8623*F8623</f>
        <v>182</v>
      </c>
      <c r="M8623" s="228">
        <v>1.2999999999999999E-3</v>
      </c>
    </row>
    <row r="8624" spans="2:13" ht="18.75" customHeight="1" x14ac:dyDescent="0.25">
      <c r="B8624" s="587"/>
      <c r="C8624" s="223"/>
      <c r="D8624" s="587"/>
      <c r="E8624" s="224"/>
      <c r="F8624" s="233" t="s">
        <v>636</v>
      </c>
      <c r="G8624" s="290"/>
      <c r="H8624" s="231">
        <f>SUM(H8620:H8623)</f>
        <v>32932</v>
      </c>
      <c r="M8624" s="233" t="s">
        <v>636</v>
      </c>
    </row>
    <row r="8625" spans="2:13" ht="18.75" customHeight="1" x14ac:dyDescent="0.25">
      <c r="B8625" s="587"/>
      <c r="C8625" s="223"/>
      <c r="D8625" s="587"/>
      <c r="E8625" s="224"/>
      <c r="F8625" s="233"/>
      <c r="G8625" s="290"/>
      <c r="H8625" s="231"/>
      <c r="M8625" s="233"/>
    </row>
    <row r="8626" spans="2:13" ht="18.75" customHeight="1" x14ac:dyDescent="0.25">
      <c r="B8626" s="587" t="s">
        <v>637</v>
      </c>
      <c r="C8626" s="223" t="s">
        <v>638</v>
      </c>
      <c r="D8626" s="587"/>
      <c r="E8626" s="224"/>
      <c r="F8626" s="225"/>
      <c r="G8626" s="290"/>
      <c r="H8626" s="226"/>
      <c r="M8626" s="225"/>
    </row>
    <row r="8627" spans="2:13" ht="18.75" customHeight="1" x14ac:dyDescent="0.25">
      <c r="B8627" s="587"/>
      <c r="C8627" s="223" t="s">
        <v>1313</v>
      </c>
      <c r="D8627" s="587"/>
      <c r="E8627" s="587" t="s">
        <v>58</v>
      </c>
      <c r="F8627" s="405">
        <v>1.1000000000000001</v>
      </c>
      <c r="G8627" s="410">
        <f>Bahan!D224</f>
        <v>350000</v>
      </c>
      <c r="H8627" s="230">
        <f>+G8627*F8627</f>
        <v>385000.00000000006</v>
      </c>
      <c r="M8627" s="405">
        <v>1.1000000000000001</v>
      </c>
    </row>
    <row r="8628" spans="2:13" ht="18.75" customHeight="1" x14ac:dyDescent="0.25">
      <c r="B8628" s="587"/>
      <c r="C8628" s="223" t="s">
        <v>151</v>
      </c>
      <c r="D8628" s="587"/>
      <c r="E8628" s="587" t="s">
        <v>5</v>
      </c>
      <c r="F8628" s="405">
        <v>7.0000000000000007E-2</v>
      </c>
      <c r="G8628" s="229">
        <f>G8603</f>
        <v>55000</v>
      </c>
      <c r="H8628" s="230">
        <f>+G8628*F8628</f>
        <v>3850.0000000000005</v>
      </c>
      <c r="M8628" s="405">
        <v>7.0000000000000007E-2</v>
      </c>
    </row>
    <row r="8629" spans="2:13" ht="18.75" customHeight="1" x14ac:dyDescent="0.25">
      <c r="B8629" s="587"/>
      <c r="C8629" s="223"/>
      <c r="D8629" s="587"/>
      <c r="E8629" s="224"/>
      <c r="F8629" s="237" t="s">
        <v>643</v>
      </c>
      <c r="G8629" s="290"/>
      <c r="H8629" s="231">
        <f>SUM(H8627)</f>
        <v>385000.00000000006</v>
      </c>
      <c r="M8629" s="237" t="s">
        <v>643</v>
      </c>
    </row>
    <row r="8630" spans="2:13" ht="18.75" customHeight="1" x14ac:dyDescent="0.25">
      <c r="B8630" s="587"/>
      <c r="C8630" s="223"/>
      <c r="D8630" s="587"/>
      <c r="E8630" s="224"/>
      <c r="F8630" s="225"/>
      <c r="G8630" s="290"/>
      <c r="H8630" s="226"/>
      <c r="M8630" s="225"/>
    </row>
    <row r="8631" spans="2:13" ht="18.75" customHeight="1" x14ac:dyDescent="0.25">
      <c r="B8631" s="587" t="s">
        <v>644</v>
      </c>
      <c r="C8631" s="223" t="s">
        <v>645</v>
      </c>
      <c r="D8631" s="587"/>
      <c r="E8631" s="224"/>
      <c r="F8631" s="225"/>
      <c r="G8631" s="290"/>
      <c r="H8631" s="235"/>
      <c r="M8631" s="225"/>
    </row>
    <row r="8632" spans="2:13" ht="18.75" customHeight="1" x14ac:dyDescent="0.25">
      <c r="B8632" s="236"/>
      <c r="C8632" s="232"/>
      <c r="D8632" s="587"/>
      <c r="E8632" s="224"/>
      <c r="F8632" s="237" t="s">
        <v>646</v>
      </c>
      <c r="G8632" s="290"/>
      <c r="H8632" s="230"/>
      <c r="M8632" s="237" t="s">
        <v>646</v>
      </c>
    </row>
    <row r="8633" spans="2:13" ht="18.75" customHeight="1" x14ac:dyDescent="0.25">
      <c r="B8633" s="236"/>
      <c r="C8633" s="232"/>
      <c r="D8633" s="587"/>
      <c r="E8633" s="224"/>
      <c r="F8633" s="237"/>
      <c r="G8633" s="290"/>
      <c r="H8633" s="226"/>
      <c r="M8633" s="237"/>
    </row>
    <row r="8634" spans="2:13" ht="18.75" customHeight="1" x14ac:dyDescent="0.25">
      <c r="B8634" s="354"/>
      <c r="C8634" s="362"/>
      <c r="D8634" s="239"/>
      <c r="E8634" s="240"/>
      <c r="F8634" s="241"/>
      <c r="G8634" s="293"/>
      <c r="H8634" s="355"/>
      <c r="M8634" s="241"/>
    </row>
    <row r="8635" spans="2:13" ht="18.75" customHeight="1" x14ac:dyDescent="0.25">
      <c r="B8635" s="356" t="s">
        <v>647</v>
      </c>
      <c r="C8635" s="363" t="s">
        <v>648</v>
      </c>
      <c r="D8635" s="435"/>
      <c r="E8635" s="92"/>
      <c r="F8635" s="183"/>
      <c r="G8635" s="295"/>
      <c r="H8635" s="357">
        <f>+H8632+H8629+H8624</f>
        <v>417932.00000000006</v>
      </c>
      <c r="M8635" s="183"/>
    </row>
    <row r="8636" spans="2:13" ht="18.75" customHeight="1" x14ac:dyDescent="0.25">
      <c r="B8636" s="356" t="s">
        <v>649</v>
      </c>
      <c r="C8636" s="364" t="s">
        <v>650</v>
      </c>
      <c r="D8636" s="435"/>
      <c r="E8636" s="92"/>
      <c r="F8636" s="184" t="str">
        <f>$J$5</f>
        <v>8,0 % x D</v>
      </c>
      <c r="G8636" s="295"/>
      <c r="H8636" s="358">
        <f>+H8635*$K$5</f>
        <v>33434.560000000005</v>
      </c>
      <c r="M8636" s="184" t="str">
        <f>$J$5</f>
        <v>8,0 % x D</v>
      </c>
    </row>
    <row r="8637" spans="2:13" ht="18.75" customHeight="1" x14ac:dyDescent="0.25">
      <c r="B8637" s="356" t="s">
        <v>651</v>
      </c>
      <c r="C8637" s="365" t="s">
        <v>652</v>
      </c>
      <c r="D8637" s="435"/>
      <c r="E8637" s="91"/>
      <c r="F8637" s="185"/>
      <c r="G8637" s="296"/>
      <c r="H8637" s="359">
        <f>ROUNDUP((H8636+H8635)/100,0)*100</f>
        <v>451400</v>
      </c>
      <c r="M8637" s="185"/>
    </row>
    <row r="8638" spans="2:13" ht="18.75" customHeight="1" x14ac:dyDescent="0.25">
      <c r="B8638" s="360"/>
      <c r="C8638" s="366"/>
      <c r="D8638" s="245"/>
      <c r="E8638" s="246"/>
      <c r="F8638" s="247"/>
      <c r="G8638" s="299"/>
      <c r="H8638" s="361"/>
      <c r="M8638" s="247"/>
    </row>
    <row r="8639" spans="2:13" ht="18.75" customHeight="1" x14ac:dyDescent="0.25">
      <c r="B8639" s="92"/>
      <c r="C8639" s="104"/>
      <c r="D8639" s="435"/>
      <c r="E8639" s="91"/>
      <c r="F8639" s="185"/>
      <c r="G8639" s="168"/>
      <c r="H8639" s="139"/>
      <c r="M8639" s="185"/>
    </row>
    <row r="8640" spans="2:13" ht="18.75" customHeight="1" x14ac:dyDescent="0.25">
      <c r="B8640" s="19">
        <f>B8615+1</f>
        <v>18</v>
      </c>
      <c r="C8640" s="93" t="s">
        <v>1314</v>
      </c>
      <c r="D8640" s="19"/>
      <c r="E8640" s="21"/>
      <c r="F8640" s="176"/>
      <c r="G8640" s="165"/>
      <c r="H8640" s="119"/>
      <c r="M8640" s="176"/>
    </row>
    <row r="8641" spans="2:15" ht="18.75" customHeight="1" x14ac:dyDescent="0.25">
      <c r="B8641" s="618" t="s">
        <v>620</v>
      </c>
      <c r="C8641" s="620" t="s">
        <v>621</v>
      </c>
      <c r="D8641" s="618" t="s">
        <v>622</v>
      </c>
      <c r="E8641" s="618" t="s">
        <v>2</v>
      </c>
      <c r="F8641" s="615" t="s">
        <v>623</v>
      </c>
      <c r="G8641" s="289" t="s">
        <v>624</v>
      </c>
      <c r="H8641" s="256" t="s">
        <v>625</v>
      </c>
      <c r="M8641" s="615" t="s">
        <v>623</v>
      </c>
    </row>
    <row r="8642" spans="2:15" ht="18.75" customHeight="1" x14ac:dyDescent="0.25">
      <c r="B8642" s="619"/>
      <c r="C8642" s="621"/>
      <c r="D8642" s="619"/>
      <c r="E8642" s="619"/>
      <c r="F8642" s="616"/>
      <c r="G8642" s="289" t="s">
        <v>626</v>
      </c>
      <c r="H8642" s="256" t="s">
        <v>626</v>
      </c>
      <c r="M8642" s="616"/>
    </row>
    <row r="8643" spans="2:15" ht="18.75" customHeight="1" x14ac:dyDescent="0.25">
      <c r="B8643" s="221"/>
      <c r="C8643" s="222"/>
      <c r="D8643" s="221"/>
      <c r="E8643" s="587"/>
      <c r="F8643" s="589"/>
      <c r="G8643" s="588"/>
      <c r="H8643" s="220"/>
      <c r="M8643" s="590"/>
    </row>
    <row r="8644" spans="2:15" ht="18.75" customHeight="1" x14ac:dyDescent="0.25">
      <c r="B8644" s="587" t="s">
        <v>627</v>
      </c>
      <c r="C8644" s="223" t="s">
        <v>628</v>
      </c>
      <c r="D8644" s="587"/>
      <c r="E8644" s="224"/>
      <c r="F8644" s="225"/>
      <c r="G8644" s="290"/>
      <c r="H8644" s="226"/>
      <c r="M8644" s="225"/>
    </row>
    <row r="8645" spans="2:15" ht="18.75" customHeight="1" x14ac:dyDescent="0.25">
      <c r="B8645" s="587"/>
      <c r="C8645" s="227" t="s">
        <v>629</v>
      </c>
      <c r="D8645" s="587" t="s">
        <v>630</v>
      </c>
      <c r="E8645" s="224" t="s">
        <v>631</v>
      </c>
      <c r="F8645" s="228">
        <v>1.4999999999999999E-2</v>
      </c>
      <c r="G8645" s="229">
        <f>G8620</f>
        <v>95000</v>
      </c>
      <c r="H8645" s="230">
        <f>+G8645*F8645</f>
        <v>1425</v>
      </c>
      <c r="M8645" s="228">
        <v>1.4999999999999999E-2</v>
      </c>
    </row>
    <row r="8646" spans="2:15" ht="18.75" customHeight="1" x14ac:dyDescent="0.25">
      <c r="B8646" s="587"/>
      <c r="C8646" s="227" t="s">
        <v>1508</v>
      </c>
      <c r="D8646" s="587" t="s">
        <v>632</v>
      </c>
      <c r="E8646" s="224" t="s">
        <v>631</v>
      </c>
      <c r="F8646" s="228">
        <v>0.15</v>
      </c>
      <c r="G8646" s="229">
        <f>G8621</f>
        <v>110000</v>
      </c>
      <c r="H8646" s="230">
        <f>+G8646*F8646</f>
        <v>16500</v>
      </c>
      <c r="M8646" s="228">
        <v>0.15</v>
      </c>
    </row>
    <row r="8647" spans="2:15" ht="18.75" customHeight="1" x14ac:dyDescent="0.25">
      <c r="B8647" s="587"/>
      <c r="C8647" s="227" t="s">
        <v>633</v>
      </c>
      <c r="D8647" s="587" t="s">
        <v>634</v>
      </c>
      <c r="E8647" s="224" t="s">
        <v>631</v>
      </c>
      <c r="F8647" s="228">
        <v>1.4999999999999999E-2</v>
      </c>
      <c r="G8647" s="229">
        <f>G8622</f>
        <v>115000</v>
      </c>
      <c r="H8647" s="230">
        <f>+G8647*F8647</f>
        <v>1725</v>
      </c>
      <c r="M8647" s="228">
        <v>1.4999999999999999E-2</v>
      </c>
    </row>
    <row r="8648" spans="2:15" ht="18.75" customHeight="1" x14ac:dyDescent="0.25">
      <c r="B8648" s="587"/>
      <c r="C8648" s="227" t="s">
        <v>600</v>
      </c>
      <c r="D8648" s="587" t="s">
        <v>635</v>
      </c>
      <c r="E8648" s="224" t="s">
        <v>631</v>
      </c>
      <c r="F8648" s="228">
        <v>8.0000000000000002E-3</v>
      </c>
      <c r="G8648" s="229">
        <f>G8623</f>
        <v>140000</v>
      </c>
      <c r="H8648" s="230">
        <f>+G8648*F8648</f>
        <v>1120</v>
      </c>
      <c r="M8648" s="228">
        <v>8.0000000000000002E-3</v>
      </c>
    </row>
    <row r="8649" spans="2:15" ht="18.75" customHeight="1" x14ac:dyDescent="0.25">
      <c r="B8649" s="587"/>
      <c r="C8649" s="223"/>
      <c r="D8649" s="587"/>
      <c r="E8649" s="224"/>
      <c r="F8649" s="233" t="s">
        <v>636</v>
      </c>
      <c r="G8649" s="290"/>
      <c r="H8649" s="231">
        <f>SUM(H8645:H8648)</f>
        <v>20770</v>
      </c>
      <c r="M8649" s="233" t="s">
        <v>636</v>
      </c>
    </row>
    <row r="8650" spans="2:15" ht="18.75" customHeight="1" x14ac:dyDescent="0.25">
      <c r="B8650" s="587"/>
      <c r="C8650" s="223"/>
      <c r="D8650" s="587"/>
      <c r="E8650" s="224"/>
      <c r="F8650" s="233"/>
      <c r="G8650" s="290"/>
      <c r="H8650" s="231"/>
      <c r="M8650" s="233"/>
    </row>
    <row r="8651" spans="2:15" ht="18.75" customHeight="1" x14ac:dyDescent="0.25">
      <c r="B8651" s="587" t="s">
        <v>637</v>
      </c>
      <c r="C8651" s="223" t="s">
        <v>638</v>
      </c>
      <c r="D8651" s="587"/>
      <c r="E8651" s="224"/>
      <c r="F8651" s="225"/>
      <c r="G8651" s="290"/>
      <c r="H8651" s="226"/>
      <c r="M8651" s="225"/>
    </row>
    <row r="8652" spans="2:15" ht="18.75" customHeight="1" x14ac:dyDescent="0.25">
      <c r="B8652" s="587"/>
      <c r="C8652" s="223" t="s">
        <v>1315</v>
      </c>
      <c r="D8652" s="587"/>
      <c r="E8652" s="587" t="s">
        <v>1087</v>
      </c>
      <c r="F8652" s="405">
        <v>1.1000000000000001</v>
      </c>
      <c r="G8652" s="591">
        <f>Bahan!D226</f>
        <v>315000</v>
      </c>
      <c r="H8652" s="230">
        <f>+G8652*F8652</f>
        <v>346500</v>
      </c>
      <c r="M8652" s="405">
        <v>1.1000000000000001</v>
      </c>
    </row>
    <row r="8653" spans="2:15" ht="18.75" customHeight="1" x14ac:dyDescent="0.25">
      <c r="B8653" s="587"/>
      <c r="C8653" s="223"/>
      <c r="D8653" s="587"/>
      <c r="E8653" s="224"/>
      <c r="F8653" s="237" t="s">
        <v>643</v>
      </c>
      <c r="G8653" s="290"/>
      <c r="H8653" s="231">
        <f>+H8652</f>
        <v>346500</v>
      </c>
      <c r="M8653" s="237" t="s">
        <v>643</v>
      </c>
    </row>
    <row r="8654" spans="2:15" ht="18.75" customHeight="1" x14ac:dyDescent="0.25">
      <c r="B8654" s="587"/>
      <c r="C8654" s="223"/>
      <c r="D8654" s="587"/>
      <c r="E8654" s="224"/>
      <c r="F8654" s="225"/>
      <c r="G8654" s="290"/>
      <c r="H8654" s="226"/>
      <c r="I8654" s="19"/>
      <c r="J8654" s="477"/>
      <c r="K8654" s="19"/>
      <c r="L8654" s="21"/>
      <c r="M8654" s="225"/>
      <c r="N8654" s="21"/>
      <c r="O8654" s="21"/>
    </row>
    <row r="8655" spans="2:15" ht="18.75" customHeight="1" x14ac:dyDescent="0.25">
      <c r="B8655" s="587" t="s">
        <v>644</v>
      </c>
      <c r="C8655" s="223" t="s">
        <v>645</v>
      </c>
      <c r="D8655" s="587"/>
      <c r="E8655" s="224"/>
      <c r="F8655" s="225"/>
      <c r="G8655" s="290"/>
      <c r="H8655" s="235"/>
      <c r="I8655" s="20"/>
      <c r="J8655" s="477"/>
      <c r="K8655" s="19"/>
      <c r="L8655" s="21"/>
      <c r="M8655" s="225"/>
      <c r="N8655" s="21"/>
      <c r="O8655" s="21"/>
    </row>
    <row r="8656" spans="2:15" ht="18.75" customHeight="1" x14ac:dyDescent="0.25">
      <c r="B8656" s="236"/>
      <c r="C8656" s="232"/>
      <c r="D8656" s="587"/>
      <c r="E8656" s="224"/>
      <c r="F8656" s="237" t="s">
        <v>646</v>
      </c>
      <c r="G8656" s="290"/>
      <c r="H8656" s="230"/>
      <c r="I8656" s="626"/>
      <c r="J8656" s="628"/>
      <c r="K8656" s="626"/>
      <c r="L8656" s="626"/>
      <c r="M8656" s="237" t="s">
        <v>646</v>
      </c>
      <c r="N8656" s="552"/>
      <c r="O8656" s="552"/>
    </row>
    <row r="8657" spans="2:15" ht="18.75" customHeight="1" x14ac:dyDescent="0.25">
      <c r="B8657" s="236"/>
      <c r="C8657" s="232"/>
      <c r="D8657" s="587"/>
      <c r="E8657" s="224"/>
      <c r="F8657" s="237"/>
      <c r="G8657" s="290"/>
      <c r="H8657" s="226"/>
      <c r="I8657" s="627"/>
      <c r="J8657" s="629"/>
      <c r="K8657" s="627"/>
      <c r="L8657" s="627"/>
      <c r="M8657" s="237"/>
      <c r="N8657" s="552"/>
      <c r="O8657" s="552"/>
    </row>
    <row r="8658" spans="2:15" ht="18.75" customHeight="1" x14ac:dyDescent="0.25">
      <c r="B8658" s="354"/>
      <c r="C8658" s="362"/>
      <c r="D8658" s="239"/>
      <c r="E8658" s="266"/>
      <c r="F8658" s="241"/>
      <c r="G8658" s="370"/>
      <c r="H8658" s="369"/>
      <c r="I8658" s="553"/>
      <c r="J8658" s="554"/>
      <c r="K8658" s="553"/>
      <c r="L8658" s="553"/>
      <c r="M8658" s="241"/>
      <c r="N8658" s="552"/>
      <c r="O8658" s="552"/>
    </row>
    <row r="8659" spans="2:15" ht="18.75" customHeight="1" x14ac:dyDescent="0.25">
      <c r="B8659" s="356" t="s">
        <v>647</v>
      </c>
      <c r="C8659" s="363" t="s">
        <v>648</v>
      </c>
      <c r="D8659" s="435"/>
      <c r="E8659" s="92"/>
      <c r="F8659" s="183"/>
      <c r="G8659" s="295"/>
      <c r="H8659" s="357">
        <f>+H8656+H8653+H8649</f>
        <v>367270</v>
      </c>
      <c r="I8659" s="552"/>
      <c r="J8659" s="54"/>
      <c r="K8659" s="552"/>
      <c r="L8659" s="21"/>
      <c r="M8659" s="183"/>
      <c r="N8659" s="21"/>
      <c r="O8659" s="21"/>
    </row>
    <row r="8660" spans="2:15" ht="18.75" customHeight="1" x14ac:dyDescent="0.25">
      <c r="B8660" s="356" t="s">
        <v>649</v>
      </c>
      <c r="C8660" s="364" t="s">
        <v>650</v>
      </c>
      <c r="D8660" s="435"/>
      <c r="E8660" s="92"/>
      <c r="F8660" s="184" t="str">
        <f>$J$5</f>
        <v>8,0 % x D</v>
      </c>
      <c r="G8660" s="295"/>
      <c r="H8660" s="358">
        <f>+H8659*$K$5</f>
        <v>29381.600000000002</v>
      </c>
      <c r="M8660" s="184" t="str">
        <f>$J$5</f>
        <v>8,0 % x D</v>
      </c>
    </row>
    <row r="8661" spans="2:15" ht="18.75" customHeight="1" x14ac:dyDescent="0.25">
      <c r="B8661" s="356" t="s">
        <v>651</v>
      </c>
      <c r="C8661" s="365" t="s">
        <v>652</v>
      </c>
      <c r="D8661" s="435"/>
      <c r="E8661" s="91"/>
      <c r="F8661" s="185"/>
      <c r="G8661" s="296"/>
      <c r="H8661" s="359">
        <f>ROUNDUP((H8660+H8659)/100,0)*100</f>
        <v>396700</v>
      </c>
      <c r="M8661" s="185"/>
    </row>
    <row r="8662" spans="2:15" ht="18.75" customHeight="1" x14ac:dyDescent="0.25">
      <c r="B8662" s="360"/>
      <c r="C8662" s="366"/>
      <c r="D8662" s="245"/>
      <c r="E8662" s="246"/>
      <c r="F8662" s="247"/>
      <c r="G8662" s="299"/>
      <c r="H8662" s="361"/>
      <c r="I8662" s="552"/>
      <c r="J8662" s="85"/>
      <c r="K8662" s="552"/>
      <c r="L8662" s="21"/>
      <c r="M8662" s="247"/>
      <c r="N8662" s="66"/>
      <c r="O8662" s="54"/>
    </row>
    <row r="8663" spans="2:15" ht="18.75" customHeight="1" x14ac:dyDescent="0.25">
      <c r="B8663" s="22"/>
      <c r="C8663" s="104"/>
      <c r="E8663" s="21"/>
      <c r="F8663" s="176"/>
      <c r="G8663" s="165"/>
      <c r="H8663" s="119"/>
      <c r="I8663" s="552"/>
      <c r="J8663" s="85"/>
      <c r="K8663" s="552"/>
      <c r="L8663" s="21"/>
      <c r="M8663" s="176"/>
      <c r="N8663" s="66"/>
      <c r="O8663" s="54"/>
    </row>
    <row r="8664" spans="2:15" ht="18.75" customHeight="1" x14ac:dyDescent="0.25">
      <c r="B8664" s="19">
        <f>B8640+1</f>
        <v>19</v>
      </c>
      <c r="C8664" s="93" t="s">
        <v>1316</v>
      </c>
      <c r="D8664" s="19"/>
      <c r="E8664" s="21"/>
      <c r="F8664" s="176"/>
      <c r="G8664" s="165"/>
      <c r="H8664" s="119"/>
      <c r="I8664" s="552"/>
      <c r="J8664" s="54"/>
      <c r="K8664" s="552"/>
      <c r="L8664" s="21"/>
      <c r="M8664" s="176"/>
      <c r="N8664" s="21"/>
      <c r="O8664" s="54"/>
    </row>
    <row r="8665" spans="2:15" ht="18.75" customHeight="1" x14ac:dyDescent="0.25">
      <c r="B8665" s="618" t="s">
        <v>620</v>
      </c>
      <c r="C8665" s="620" t="s">
        <v>621</v>
      </c>
      <c r="D8665" s="618" t="s">
        <v>622</v>
      </c>
      <c r="E8665" s="618" t="s">
        <v>2</v>
      </c>
      <c r="F8665" s="615" t="s">
        <v>623</v>
      </c>
      <c r="G8665" s="289" t="s">
        <v>624</v>
      </c>
      <c r="H8665" s="256" t="s">
        <v>625</v>
      </c>
      <c r="M8665" s="615" t="s">
        <v>623</v>
      </c>
    </row>
    <row r="8666" spans="2:15" ht="18.75" customHeight="1" x14ac:dyDescent="0.25">
      <c r="B8666" s="619"/>
      <c r="C8666" s="621"/>
      <c r="D8666" s="619"/>
      <c r="E8666" s="619"/>
      <c r="F8666" s="616"/>
      <c r="G8666" s="289" t="s">
        <v>626</v>
      </c>
      <c r="H8666" s="256" t="s">
        <v>626</v>
      </c>
      <c r="M8666" s="616"/>
    </row>
    <row r="8667" spans="2:15" ht="18.75" customHeight="1" x14ac:dyDescent="0.25">
      <c r="B8667" s="221"/>
      <c r="C8667" s="222"/>
      <c r="D8667" s="221"/>
      <c r="E8667" s="587"/>
      <c r="F8667" s="589"/>
      <c r="G8667" s="588"/>
      <c r="H8667" s="220"/>
      <c r="I8667" s="552"/>
      <c r="J8667" s="54"/>
      <c r="K8667" s="552"/>
      <c r="L8667" s="21"/>
      <c r="M8667" s="590"/>
      <c r="N8667" s="21"/>
      <c r="O8667" s="54"/>
    </row>
    <row r="8668" spans="2:15" ht="18.75" customHeight="1" x14ac:dyDescent="0.25">
      <c r="B8668" s="587" t="s">
        <v>627</v>
      </c>
      <c r="C8668" s="223" t="s">
        <v>628</v>
      </c>
      <c r="D8668" s="587"/>
      <c r="E8668" s="224"/>
      <c r="F8668" s="225"/>
      <c r="G8668" s="290"/>
      <c r="H8668" s="226"/>
      <c r="I8668" s="552"/>
      <c r="J8668" s="54"/>
      <c r="K8668" s="552"/>
      <c r="L8668" s="21"/>
      <c r="M8668" s="225"/>
      <c r="N8668" s="21"/>
      <c r="O8668" s="21"/>
    </row>
    <row r="8669" spans="2:15" ht="18.75" customHeight="1" x14ac:dyDescent="0.25">
      <c r="B8669" s="587"/>
      <c r="C8669" s="227" t="s">
        <v>629</v>
      </c>
      <c r="D8669" s="587" t="s">
        <v>630</v>
      </c>
      <c r="E8669" s="224" t="s">
        <v>631</v>
      </c>
      <c r="F8669" s="228">
        <v>1.7000000000000001E-2</v>
      </c>
      <c r="G8669" s="229">
        <f>G8645</f>
        <v>95000</v>
      </c>
      <c r="H8669" s="230">
        <f>+G8669*F8669</f>
        <v>1615.0000000000002</v>
      </c>
      <c r="I8669" s="552"/>
      <c r="J8669" s="54"/>
      <c r="K8669" s="552"/>
      <c r="L8669" s="21"/>
      <c r="M8669" s="228">
        <v>1.7000000000000001E-2</v>
      </c>
      <c r="N8669" s="21"/>
      <c r="O8669" s="86"/>
    </row>
    <row r="8670" spans="2:15" ht="18.75" customHeight="1" x14ac:dyDescent="0.25">
      <c r="B8670" s="587"/>
      <c r="C8670" s="227" t="s">
        <v>1508</v>
      </c>
      <c r="D8670" s="587" t="s">
        <v>632</v>
      </c>
      <c r="E8670" s="224" t="s">
        <v>631</v>
      </c>
      <c r="F8670" s="228">
        <v>0.17</v>
      </c>
      <c r="G8670" s="229">
        <f>G8646</f>
        <v>110000</v>
      </c>
      <c r="H8670" s="230">
        <f>+G8670*F8670</f>
        <v>18700</v>
      </c>
      <c r="I8670" s="22"/>
      <c r="J8670" s="477"/>
      <c r="K8670" s="552"/>
      <c r="L8670" s="21"/>
      <c r="M8670" s="228">
        <v>0.17</v>
      </c>
      <c r="N8670" s="21"/>
      <c r="O8670" s="54"/>
    </row>
    <row r="8671" spans="2:15" ht="18.75" customHeight="1" x14ac:dyDescent="0.25">
      <c r="B8671" s="587"/>
      <c r="C8671" s="227" t="s">
        <v>633</v>
      </c>
      <c r="D8671" s="587" t="s">
        <v>634</v>
      </c>
      <c r="E8671" s="224" t="s">
        <v>631</v>
      </c>
      <c r="F8671" s="228">
        <v>1.7000000000000001E-2</v>
      </c>
      <c r="G8671" s="229">
        <f>G8647</f>
        <v>115000</v>
      </c>
      <c r="H8671" s="230">
        <f>+G8671*F8671</f>
        <v>1955.0000000000002</v>
      </c>
      <c r="I8671" s="22"/>
      <c r="J8671" s="477"/>
      <c r="K8671" s="552"/>
      <c r="L8671" s="21"/>
      <c r="M8671" s="228">
        <v>1.7000000000000001E-2</v>
      </c>
      <c r="N8671" s="21"/>
      <c r="O8671" s="21"/>
    </row>
    <row r="8672" spans="2:15" ht="18.75" customHeight="1" x14ac:dyDescent="0.25">
      <c r="B8672" s="587"/>
      <c r="C8672" s="227" t="s">
        <v>600</v>
      </c>
      <c r="D8672" s="587" t="s">
        <v>635</v>
      </c>
      <c r="E8672" s="224" t="s">
        <v>631</v>
      </c>
      <c r="F8672" s="228">
        <v>8.9999999999999993E-3</v>
      </c>
      <c r="G8672" s="229">
        <f>G8648</f>
        <v>140000</v>
      </c>
      <c r="H8672" s="230">
        <f>+G8672*F8672</f>
        <v>1260</v>
      </c>
      <c r="I8672" s="22"/>
      <c r="J8672" s="477"/>
      <c r="K8672" s="552"/>
      <c r="L8672" s="22"/>
      <c r="M8672" s="228">
        <v>8.9999999999999993E-3</v>
      </c>
      <c r="N8672" s="22"/>
      <c r="O8672" s="22"/>
    </row>
    <row r="8673" spans="2:15" ht="18.75" customHeight="1" x14ac:dyDescent="0.25">
      <c r="B8673" s="587"/>
      <c r="C8673" s="223"/>
      <c r="D8673" s="587"/>
      <c r="E8673" s="224"/>
      <c r="F8673" s="233" t="s">
        <v>636</v>
      </c>
      <c r="G8673" s="290"/>
      <c r="H8673" s="231">
        <f>SUM(H8669:H8672)</f>
        <v>23530</v>
      </c>
      <c r="I8673" s="552"/>
      <c r="J8673" s="54"/>
      <c r="K8673" s="552"/>
      <c r="L8673" s="22"/>
      <c r="M8673" s="233" t="s">
        <v>636</v>
      </c>
      <c r="N8673" s="22"/>
      <c r="O8673" s="87"/>
    </row>
    <row r="8674" spans="2:15" ht="18.75" customHeight="1" x14ac:dyDescent="0.25">
      <c r="B8674" s="587"/>
      <c r="C8674" s="223"/>
      <c r="D8674" s="587"/>
      <c r="E8674" s="224"/>
      <c r="F8674" s="233"/>
      <c r="G8674" s="290"/>
      <c r="H8674" s="231"/>
      <c r="I8674" s="552"/>
      <c r="J8674" s="54"/>
      <c r="K8674" s="552"/>
      <c r="L8674" s="22"/>
      <c r="M8674" s="233"/>
      <c r="N8674" s="22"/>
      <c r="O8674" s="87"/>
    </row>
    <row r="8675" spans="2:15" ht="18.75" customHeight="1" x14ac:dyDescent="0.25">
      <c r="B8675" s="587" t="s">
        <v>637</v>
      </c>
      <c r="C8675" s="223" t="s">
        <v>638</v>
      </c>
      <c r="D8675" s="587"/>
      <c r="E8675" s="224"/>
      <c r="F8675" s="225"/>
      <c r="G8675" s="290"/>
      <c r="H8675" s="226"/>
      <c r="I8675" s="552"/>
      <c r="J8675" s="54"/>
      <c r="K8675" s="552"/>
      <c r="L8675" s="22"/>
      <c r="M8675" s="225"/>
      <c r="N8675" s="22"/>
      <c r="O8675" s="54"/>
    </row>
    <row r="8676" spans="2:15" ht="18.75" customHeight="1" x14ac:dyDescent="0.25">
      <c r="B8676" s="587"/>
      <c r="C8676" s="223" t="s">
        <v>1317</v>
      </c>
      <c r="D8676" s="587"/>
      <c r="E8676" s="587" t="s">
        <v>1087</v>
      </c>
      <c r="F8676" s="405">
        <v>1.1000000000000001</v>
      </c>
      <c r="G8676" s="410">
        <f>Bahan!D227</f>
        <v>338000</v>
      </c>
      <c r="H8676" s="230">
        <f>+G8676*F8676</f>
        <v>371800.00000000006</v>
      </c>
      <c r="I8676" s="552"/>
      <c r="J8676" s="54"/>
      <c r="K8676" s="552"/>
      <c r="L8676" s="21"/>
      <c r="M8676" s="405">
        <v>1.1000000000000001</v>
      </c>
      <c r="N8676" s="21"/>
      <c r="O8676" s="73"/>
    </row>
    <row r="8677" spans="2:15" ht="18.75" customHeight="1" x14ac:dyDescent="0.25">
      <c r="B8677" s="587"/>
      <c r="C8677" s="223"/>
      <c r="D8677" s="587"/>
      <c r="E8677" s="224"/>
      <c r="F8677" s="237" t="s">
        <v>643</v>
      </c>
      <c r="G8677" s="290"/>
      <c r="H8677" s="231">
        <f>SUM(H8676)</f>
        <v>371800.00000000006</v>
      </c>
      <c r="I8677" s="22"/>
      <c r="J8677" s="54"/>
      <c r="K8677" s="552"/>
      <c r="L8677" s="21"/>
      <c r="M8677" s="237" t="s">
        <v>643</v>
      </c>
      <c r="N8677" s="21"/>
      <c r="O8677" s="21"/>
    </row>
    <row r="8678" spans="2:15" ht="18.75" customHeight="1" x14ac:dyDescent="0.25">
      <c r="B8678" s="587"/>
      <c r="C8678" s="223"/>
      <c r="D8678" s="587"/>
      <c r="E8678" s="224"/>
      <c r="F8678" s="225"/>
      <c r="G8678" s="290"/>
      <c r="H8678" s="226"/>
      <c r="M8678" s="225"/>
    </row>
    <row r="8679" spans="2:15" ht="18.75" customHeight="1" x14ac:dyDescent="0.25">
      <c r="B8679" s="587" t="s">
        <v>644</v>
      </c>
      <c r="C8679" s="223" t="s">
        <v>645</v>
      </c>
      <c r="D8679" s="587"/>
      <c r="E8679" s="224"/>
      <c r="F8679" s="225"/>
      <c r="G8679" s="290"/>
      <c r="H8679" s="235"/>
      <c r="M8679" s="225"/>
    </row>
    <row r="8680" spans="2:15" ht="18.75" customHeight="1" x14ac:dyDescent="0.25">
      <c r="B8680" s="236"/>
      <c r="C8680" s="232"/>
      <c r="D8680" s="587"/>
      <c r="E8680" s="224"/>
      <c r="F8680" s="237" t="s">
        <v>646</v>
      </c>
      <c r="G8680" s="290"/>
      <c r="H8680" s="230"/>
      <c r="M8680" s="237" t="s">
        <v>646</v>
      </c>
    </row>
    <row r="8681" spans="2:15" ht="18.75" customHeight="1" x14ac:dyDescent="0.25">
      <c r="B8681" s="236"/>
      <c r="C8681" s="232"/>
      <c r="D8681" s="587"/>
      <c r="E8681" s="224"/>
      <c r="F8681" s="237"/>
      <c r="G8681" s="290"/>
      <c r="H8681" s="226"/>
      <c r="M8681" s="237"/>
    </row>
    <row r="8682" spans="2:15" ht="18.75" customHeight="1" x14ac:dyDescent="0.25">
      <c r="B8682" s="354"/>
      <c r="C8682" s="362"/>
      <c r="D8682" s="239"/>
      <c r="E8682" s="266"/>
      <c r="F8682" s="241"/>
      <c r="G8682" s="370"/>
      <c r="H8682" s="369"/>
      <c r="M8682" s="241"/>
    </row>
    <row r="8683" spans="2:15" ht="18.75" customHeight="1" x14ac:dyDescent="0.25">
      <c r="B8683" s="356" t="s">
        <v>647</v>
      </c>
      <c r="C8683" s="363" t="s">
        <v>648</v>
      </c>
      <c r="D8683" s="435"/>
      <c r="E8683" s="92"/>
      <c r="F8683" s="183"/>
      <c r="G8683" s="295"/>
      <c r="H8683" s="357">
        <f>+H8680+H8677+H8673</f>
        <v>395330.00000000006</v>
      </c>
      <c r="M8683" s="183"/>
    </row>
    <row r="8684" spans="2:15" ht="18.75" customHeight="1" x14ac:dyDescent="0.25">
      <c r="B8684" s="356" t="s">
        <v>649</v>
      </c>
      <c r="C8684" s="364" t="s">
        <v>650</v>
      </c>
      <c r="D8684" s="435"/>
      <c r="E8684" s="92"/>
      <c r="F8684" s="184" t="str">
        <f>$J$5</f>
        <v>8,0 % x D</v>
      </c>
      <c r="G8684" s="295"/>
      <c r="H8684" s="358">
        <f>+H8683*$K$5</f>
        <v>31626.400000000005</v>
      </c>
      <c r="M8684" s="184" t="str">
        <f>$J$5</f>
        <v>8,0 % x D</v>
      </c>
    </row>
    <row r="8685" spans="2:15" ht="18.75" customHeight="1" x14ac:dyDescent="0.25">
      <c r="B8685" s="356" t="s">
        <v>651</v>
      </c>
      <c r="C8685" s="365" t="s">
        <v>652</v>
      </c>
      <c r="D8685" s="435"/>
      <c r="E8685" s="91"/>
      <c r="F8685" s="185"/>
      <c r="G8685" s="296"/>
      <c r="H8685" s="359">
        <f>ROUNDUP((H8684+H8683)/100,0)*100</f>
        <v>427000</v>
      </c>
      <c r="M8685" s="185"/>
    </row>
    <row r="8686" spans="2:15" ht="18.75" customHeight="1" x14ac:dyDescent="0.25">
      <c r="B8686" s="360"/>
      <c r="C8686" s="366"/>
      <c r="D8686" s="245"/>
      <c r="E8686" s="246"/>
      <c r="F8686" s="247"/>
      <c r="G8686" s="299"/>
      <c r="H8686" s="361"/>
      <c r="M8686" s="247"/>
    </row>
    <row r="8687" spans="2:15" ht="18.75" customHeight="1" x14ac:dyDescent="0.25">
      <c r="B8687" s="92"/>
      <c r="C8687" s="104"/>
      <c r="D8687" s="435"/>
      <c r="E8687" s="91"/>
      <c r="F8687" s="185"/>
      <c r="G8687" s="168"/>
      <c r="H8687" s="139"/>
      <c r="M8687" s="185"/>
    </row>
    <row r="8688" spans="2:15" ht="18.75" customHeight="1" x14ac:dyDescent="0.25">
      <c r="B8688" s="19">
        <f>B8664+1</f>
        <v>20</v>
      </c>
      <c r="C8688" s="93" t="s">
        <v>1318</v>
      </c>
      <c r="D8688" s="19"/>
      <c r="E8688" s="21"/>
      <c r="F8688" s="176"/>
      <c r="G8688" s="165"/>
      <c r="H8688" s="119"/>
      <c r="M8688" s="176"/>
    </row>
    <row r="8689" spans="2:13" ht="18.75" customHeight="1" x14ac:dyDescent="0.25">
      <c r="B8689" s="618" t="s">
        <v>620</v>
      </c>
      <c r="C8689" s="620" t="s">
        <v>621</v>
      </c>
      <c r="D8689" s="618" t="s">
        <v>622</v>
      </c>
      <c r="E8689" s="618" t="s">
        <v>2</v>
      </c>
      <c r="F8689" s="615" t="s">
        <v>623</v>
      </c>
      <c r="G8689" s="289" t="s">
        <v>624</v>
      </c>
      <c r="H8689" s="256" t="s">
        <v>625</v>
      </c>
      <c r="M8689" s="615" t="s">
        <v>623</v>
      </c>
    </row>
    <row r="8690" spans="2:13" ht="18.75" customHeight="1" x14ac:dyDescent="0.25">
      <c r="B8690" s="619"/>
      <c r="C8690" s="621"/>
      <c r="D8690" s="619"/>
      <c r="E8690" s="619"/>
      <c r="F8690" s="616"/>
      <c r="G8690" s="289" t="s">
        <v>626</v>
      </c>
      <c r="H8690" s="256" t="s">
        <v>626</v>
      </c>
      <c r="M8690" s="616"/>
    </row>
    <row r="8691" spans="2:13" ht="18.75" customHeight="1" x14ac:dyDescent="0.25">
      <c r="B8691" s="221"/>
      <c r="C8691" s="222"/>
      <c r="D8691" s="221"/>
      <c r="E8691" s="587"/>
      <c r="F8691" s="589"/>
      <c r="G8691" s="588"/>
      <c r="H8691" s="220"/>
      <c r="M8691" s="590"/>
    </row>
    <row r="8692" spans="2:13" ht="18.75" customHeight="1" x14ac:dyDescent="0.25">
      <c r="B8692" s="587" t="s">
        <v>627</v>
      </c>
      <c r="C8692" s="223" t="s">
        <v>628</v>
      </c>
      <c r="D8692" s="587"/>
      <c r="E8692" s="224"/>
      <c r="F8692" s="225"/>
      <c r="G8692" s="290"/>
      <c r="H8692" s="226"/>
      <c r="M8692" s="225"/>
    </row>
    <row r="8693" spans="2:13" ht="18.75" customHeight="1" x14ac:dyDescent="0.25">
      <c r="B8693" s="587"/>
      <c r="C8693" s="227" t="s">
        <v>629</v>
      </c>
      <c r="D8693" s="587" t="s">
        <v>630</v>
      </c>
      <c r="E8693" s="224" t="s">
        <v>631</v>
      </c>
      <c r="F8693" s="228">
        <v>1.4999999999999999E-2</v>
      </c>
      <c r="G8693" s="229">
        <f>G8669</f>
        <v>95000</v>
      </c>
      <c r="H8693" s="230">
        <f>+G8693*F8693</f>
        <v>1425</v>
      </c>
      <c r="M8693" s="228">
        <v>1.4999999999999999E-2</v>
      </c>
    </row>
    <row r="8694" spans="2:13" ht="18.75" customHeight="1" x14ac:dyDescent="0.25">
      <c r="B8694" s="587"/>
      <c r="C8694" s="227" t="s">
        <v>1508</v>
      </c>
      <c r="D8694" s="587" t="s">
        <v>632</v>
      </c>
      <c r="E8694" s="224" t="s">
        <v>631</v>
      </c>
      <c r="F8694" s="228">
        <v>0.15</v>
      </c>
      <c r="G8694" s="229">
        <f>G8670</f>
        <v>110000</v>
      </c>
      <c r="H8694" s="230">
        <f>+G8694*F8694</f>
        <v>16500</v>
      </c>
      <c r="M8694" s="228">
        <v>0.15</v>
      </c>
    </row>
    <row r="8695" spans="2:13" ht="18.75" customHeight="1" x14ac:dyDescent="0.25">
      <c r="B8695" s="587"/>
      <c r="C8695" s="227" t="s">
        <v>633</v>
      </c>
      <c r="D8695" s="587" t="s">
        <v>634</v>
      </c>
      <c r="E8695" s="224" t="s">
        <v>631</v>
      </c>
      <c r="F8695" s="228">
        <v>1.4999999999999999E-2</v>
      </c>
      <c r="G8695" s="229">
        <f>G8671</f>
        <v>115000</v>
      </c>
      <c r="H8695" s="230">
        <f>+G8695*F8695</f>
        <v>1725</v>
      </c>
      <c r="M8695" s="228">
        <v>1.4999999999999999E-2</v>
      </c>
    </row>
    <row r="8696" spans="2:13" ht="18.75" customHeight="1" x14ac:dyDescent="0.25">
      <c r="B8696" s="587"/>
      <c r="C8696" s="227" t="s">
        <v>600</v>
      </c>
      <c r="D8696" s="587" t="s">
        <v>635</v>
      </c>
      <c r="E8696" s="224" t="s">
        <v>631</v>
      </c>
      <c r="F8696" s="228">
        <v>8.0000000000000002E-3</v>
      </c>
      <c r="G8696" s="229">
        <f>G8672</f>
        <v>140000</v>
      </c>
      <c r="H8696" s="230">
        <f>+G8696*F8696</f>
        <v>1120</v>
      </c>
      <c r="M8696" s="228">
        <v>8.0000000000000002E-3</v>
      </c>
    </row>
    <row r="8697" spans="2:13" ht="18.75" customHeight="1" x14ac:dyDescent="0.25">
      <c r="B8697" s="587"/>
      <c r="C8697" s="223"/>
      <c r="D8697" s="587"/>
      <c r="E8697" s="224"/>
      <c r="F8697" s="233" t="s">
        <v>636</v>
      </c>
      <c r="G8697" s="290"/>
      <c r="H8697" s="231">
        <f>SUM(H8693:H8696)</f>
        <v>20770</v>
      </c>
      <c r="M8697" s="233" t="s">
        <v>636</v>
      </c>
    </row>
    <row r="8698" spans="2:13" ht="18.75" customHeight="1" x14ac:dyDescent="0.25">
      <c r="B8698" s="587"/>
      <c r="C8698" s="223"/>
      <c r="D8698" s="587"/>
      <c r="E8698" s="224"/>
      <c r="F8698" s="233"/>
      <c r="G8698" s="290"/>
      <c r="H8698" s="231"/>
      <c r="M8698" s="233"/>
    </row>
    <row r="8699" spans="2:13" ht="18.75" customHeight="1" x14ac:dyDescent="0.25">
      <c r="B8699" s="587" t="s">
        <v>637</v>
      </c>
      <c r="C8699" s="223" t="s">
        <v>638</v>
      </c>
      <c r="D8699" s="587"/>
      <c r="E8699" s="224"/>
      <c r="F8699" s="225"/>
      <c r="G8699" s="290"/>
      <c r="H8699" s="226"/>
      <c r="M8699" s="225"/>
    </row>
    <row r="8700" spans="2:13" ht="18.75" customHeight="1" x14ac:dyDescent="0.25">
      <c r="B8700" s="587"/>
      <c r="C8700" s="223" t="s">
        <v>211</v>
      </c>
      <c r="D8700" s="587"/>
      <c r="E8700" s="587" t="s">
        <v>1087</v>
      </c>
      <c r="F8700" s="405">
        <v>1.1000000000000001</v>
      </c>
      <c r="G8700" s="410">
        <f>Bahan!D234</f>
        <v>80000</v>
      </c>
      <c r="H8700" s="230">
        <f>+G8700*F8700</f>
        <v>88000</v>
      </c>
      <c r="M8700" s="405">
        <v>1.1000000000000001</v>
      </c>
    </row>
    <row r="8701" spans="2:13" ht="18.75" customHeight="1" x14ac:dyDescent="0.25">
      <c r="B8701" s="587"/>
      <c r="C8701" s="223"/>
      <c r="D8701" s="587"/>
      <c r="E8701" s="224"/>
      <c r="F8701" s="237" t="s">
        <v>643</v>
      </c>
      <c r="G8701" s="290"/>
      <c r="H8701" s="231">
        <f>SUM(H8700)</f>
        <v>88000</v>
      </c>
      <c r="M8701" s="237" t="s">
        <v>643</v>
      </c>
    </row>
    <row r="8702" spans="2:13" ht="18.75" customHeight="1" x14ac:dyDescent="0.25">
      <c r="B8702" s="587"/>
      <c r="C8702" s="223"/>
      <c r="D8702" s="587"/>
      <c r="E8702" s="224"/>
      <c r="F8702" s="225"/>
      <c r="G8702" s="290"/>
      <c r="H8702" s="226"/>
      <c r="M8702" s="225"/>
    </row>
    <row r="8703" spans="2:13" ht="18.75" customHeight="1" x14ac:dyDescent="0.25">
      <c r="B8703" s="587" t="s">
        <v>644</v>
      </c>
      <c r="C8703" s="223" t="s">
        <v>645</v>
      </c>
      <c r="D8703" s="587"/>
      <c r="E8703" s="224"/>
      <c r="F8703" s="225"/>
      <c r="G8703" s="290"/>
      <c r="H8703" s="235"/>
      <c r="M8703" s="225"/>
    </row>
    <row r="8704" spans="2:13" ht="18.75" customHeight="1" x14ac:dyDescent="0.25">
      <c r="B8704" s="236"/>
      <c r="C8704" s="232"/>
      <c r="D8704" s="587"/>
      <c r="E8704" s="224"/>
      <c r="F8704" s="237" t="s">
        <v>646</v>
      </c>
      <c r="G8704" s="290"/>
      <c r="H8704" s="230"/>
      <c r="M8704" s="237" t="s">
        <v>646</v>
      </c>
    </row>
    <row r="8705" spans="2:13" ht="18.75" customHeight="1" x14ac:dyDescent="0.25">
      <c r="B8705" s="236"/>
      <c r="C8705" s="232"/>
      <c r="D8705" s="587"/>
      <c r="E8705" s="224"/>
      <c r="F8705" s="237"/>
      <c r="G8705" s="290"/>
      <c r="H8705" s="226"/>
      <c r="M8705" s="237"/>
    </row>
    <row r="8706" spans="2:13" ht="18.75" customHeight="1" x14ac:dyDescent="0.25">
      <c r="B8706" s="354"/>
      <c r="C8706" s="362"/>
      <c r="D8706" s="239"/>
      <c r="E8706" s="266"/>
      <c r="F8706" s="241"/>
      <c r="G8706" s="370"/>
      <c r="H8706" s="369"/>
      <c r="M8706" s="241"/>
    </row>
    <row r="8707" spans="2:13" ht="18.75" customHeight="1" x14ac:dyDescent="0.25">
      <c r="B8707" s="356" t="s">
        <v>647</v>
      </c>
      <c r="C8707" s="363" t="s">
        <v>648</v>
      </c>
      <c r="D8707" s="435"/>
      <c r="E8707" s="92"/>
      <c r="F8707" s="183"/>
      <c r="G8707" s="295"/>
      <c r="H8707" s="357">
        <f>+H8704+H8701+H8697</f>
        <v>108770</v>
      </c>
      <c r="M8707" s="183"/>
    </row>
    <row r="8708" spans="2:13" ht="18.75" customHeight="1" x14ac:dyDescent="0.25">
      <c r="B8708" s="356" t="s">
        <v>649</v>
      </c>
      <c r="C8708" s="364" t="s">
        <v>650</v>
      </c>
      <c r="D8708" s="435"/>
      <c r="E8708" s="92"/>
      <c r="F8708" s="184" t="str">
        <f>$J$5</f>
        <v>8,0 % x D</v>
      </c>
      <c r="G8708" s="295"/>
      <c r="H8708" s="358">
        <f>+H8707*$K$5</f>
        <v>8701.6</v>
      </c>
      <c r="M8708" s="184" t="str">
        <f>$J$5</f>
        <v>8,0 % x D</v>
      </c>
    </row>
    <row r="8709" spans="2:13" ht="18.75" customHeight="1" x14ac:dyDescent="0.25">
      <c r="B8709" s="356" t="s">
        <v>651</v>
      </c>
      <c r="C8709" s="365" t="s">
        <v>652</v>
      </c>
      <c r="D8709" s="435"/>
      <c r="E8709" s="91"/>
      <c r="F8709" s="185"/>
      <c r="G8709" s="296"/>
      <c r="H8709" s="359">
        <f>ROUNDUP((H8708+H8707)/100,0)*100</f>
        <v>117500</v>
      </c>
      <c r="M8709" s="185"/>
    </row>
    <row r="8710" spans="2:13" ht="18.75" customHeight="1" x14ac:dyDescent="0.25">
      <c r="B8710" s="360"/>
      <c r="C8710" s="366"/>
      <c r="D8710" s="245"/>
      <c r="E8710" s="246"/>
      <c r="F8710" s="247"/>
      <c r="G8710" s="299"/>
      <c r="H8710" s="361"/>
      <c r="M8710" s="247"/>
    </row>
    <row r="8711" spans="2:13" ht="18.75" customHeight="1" x14ac:dyDescent="0.25">
      <c r="B8711" s="22"/>
      <c r="C8711" s="104"/>
      <c r="E8711" s="21"/>
      <c r="F8711" s="176"/>
      <c r="G8711" s="165"/>
      <c r="H8711" s="119"/>
      <c r="M8711" s="176"/>
    </row>
    <row r="8712" spans="2:13" ht="18.75" customHeight="1" x14ac:dyDescent="0.25">
      <c r="B8712" s="19">
        <f>B8688+1</f>
        <v>21</v>
      </c>
      <c r="C8712" s="93" t="s">
        <v>1319</v>
      </c>
      <c r="D8712" s="19"/>
      <c r="E8712" s="21"/>
      <c r="F8712" s="176"/>
      <c r="G8712" s="165"/>
      <c r="H8712" s="119"/>
      <c r="M8712" s="176"/>
    </row>
    <row r="8713" spans="2:13" ht="18.75" customHeight="1" x14ac:dyDescent="0.25">
      <c r="B8713" s="618" t="s">
        <v>620</v>
      </c>
      <c r="C8713" s="620" t="s">
        <v>621</v>
      </c>
      <c r="D8713" s="618" t="s">
        <v>622</v>
      </c>
      <c r="E8713" s="618" t="s">
        <v>2</v>
      </c>
      <c r="F8713" s="615" t="s">
        <v>623</v>
      </c>
      <c r="G8713" s="289" t="s">
        <v>624</v>
      </c>
      <c r="H8713" s="256" t="s">
        <v>625</v>
      </c>
      <c r="M8713" s="615" t="s">
        <v>623</v>
      </c>
    </row>
    <row r="8714" spans="2:13" ht="18.75" customHeight="1" x14ac:dyDescent="0.25">
      <c r="B8714" s="619"/>
      <c r="C8714" s="621"/>
      <c r="D8714" s="619"/>
      <c r="E8714" s="619"/>
      <c r="F8714" s="616"/>
      <c r="G8714" s="289" t="s">
        <v>626</v>
      </c>
      <c r="H8714" s="256" t="s">
        <v>626</v>
      </c>
      <c r="M8714" s="616"/>
    </row>
    <row r="8715" spans="2:13" ht="18.75" customHeight="1" x14ac:dyDescent="0.25">
      <c r="B8715" s="221"/>
      <c r="C8715" s="222"/>
      <c r="D8715" s="221"/>
      <c r="E8715" s="587"/>
      <c r="F8715" s="589"/>
      <c r="G8715" s="588"/>
      <c r="H8715" s="220"/>
      <c r="M8715" s="590"/>
    </row>
    <row r="8716" spans="2:13" ht="18.75" customHeight="1" x14ac:dyDescent="0.25">
      <c r="B8716" s="587" t="s">
        <v>627</v>
      </c>
      <c r="C8716" s="223" t="s">
        <v>628</v>
      </c>
      <c r="D8716" s="587"/>
      <c r="E8716" s="224"/>
      <c r="F8716" s="225"/>
      <c r="G8716" s="290"/>
      <c r="H8716" s="226"/>
      <c r="M8716" s="225"/>
    </row>
    <row r="8717" spans="2:13" ht="18.75" customHeight="1" x14ac:dyDescent="0.25">
      <c r="B8717" s="587"/>
      <c r="C8717" s="227" t="s">
        <v>629</v>
      </c>
      <c r="D8717" s="587" t="s">
        <v>630</v>
      </c>
      <c r="E8717" s="224" t="s">
        <v>631</v>
      </c>
      <c r="F8717" s="228">
        <v>7.4999999999999997E-2</v>
      </c>
      <c r="G8717" s="229">
        <f>G8693</f>
        <v>95000</v>
      </c>
      <c r="H8717" s="230">
        <f>+G8717*F8717</f>
        <v>7125</v>
      </c>
      <c r="M8717" s="228">
        <v>7.4999999999999997E-2</v>
      </c>
    </row>
    <row r="8718" spans="2:13" ht="18.75" customHeight="1" x14ac:dyDescent="0.25">
      <c r="B8718" s="587"/>
      <c r="C8718" s="227" t="s">
        <v>1508</v>
      </c>
      <c r="D8718" s="587" t="s">
        <v>632</v>
      </c>
      <c r="E8718" s="224" t="s">
        <v>631</v>
      </c>
      <c r="F8718" s="228">
        <v>0.15</v>
      </c>
      <c r="G8718" s="229">
        <f>G8694</f>
        <v>110000</v>
      </c>
      <c r="H8718" s="230">
        <f>+G8718*F8718</f>
        <v>16500</v>
      </c>
      <c r="M8718" s="228">
        <v>0.15</v>
      </c>
    </row>
    <row r="8719" spans="2:13" ht="18.75" customHeight="1" x14ac:dyDescent="0.25">
      <c r="B8719" s="587"/>
      <c r="C8719" s="227" t="s">
        <v>633</v>
      </c>
      <c r="D8719" s="587" t="s">
        <v>634</v>
      </c>
      <c r="E8719" s="224" t="s">
        <v>631</v>
      </c>
      <c r="F8719" s="228">
        <v>1.4999999999999999E-2</v>
      </c>
      <c r="G8719" s="229">
        <f>G8695</f>
        <v>115000</v>
      </c>
      <c r="H8719" s="230">
        <f>+G8719*F8719</f>
        <v>1725</v>
      </c>
      <c r="M8719" s="228">
        <v>1.4999999999999999E-2</v>
      </c>
    </row>
    <row r="8720" spans="2:13" ht="18.75" customHeight="1" x14ac:dyDescent="0.25">
      <c r="B8720" s="587"/>
      <c r="C8720" s="227" t="s">
        <v>600</v>
      </c>
      <c r="D8720" s="587" t="s">
        <v>635</v>
      </c>
      <c r="E8720" s="224" t="s">
        <v>631</v>
      </c>
      <c r="F8720" s="228">
        <v>4.0000000000000001E-3</v>
      </c>
      <c r="G8720" s="229">
        <f>G8696</f>
        <v>140000</v>
      </c>
      <c r="H8720" s="230">
        <f>+G8720*F8720</f>
        <v>560</v>
      </c>
      <c r="M8720" s="228">
        <v>4.0000000000000001E-3</v>
      </c>
    </row>
    <row r="8721" spans="2:13" ht="18.75" customHeight="1" x14ac:dyDescent="0.25">
      <c r="B8721" s="587"/>
      <c r="C8721" s="223"/>
      <c r="D8721" s="587"/>
      <c r="E8721" s="224"/>
      <c r="F8721" s="233" t="s">
        <v>636</v>
      </c>
      <c r="G8721" s="290"/>
      <c r="H8721" s="231">
        <f>SUM(H8717:H8720)</f>
        <v>25910</v>
      </c>
      <c r="M8721" s="233" t="s">
        <v>636</v>
      </c>
    </row>
    <row r="8722" spans="2:13" ht="18.75" customHeight="1" x14ac:dyDescent="0.25">
      <c r="B8722" s="587"/>
      <c r="C8722" s="223"/>
      <c r="D8722" s="587"/>
      <c r="E8722" s="224"/>
      <c r="F8722" s="233"/>
      <c r="G8722" s="290"/>
      <c r="H8722" s="231"/>
      <c r="M8722" s="233"/>
    </row>
    <row r="8723" spans="2:13" ht="18.75" customHeight="1" x14ac:dyDescent="0.25">
      <c r="B8723" s="587" t="s">
        <v>637</v>
      </c>
      <c r="C8723" s="223" t="s">
        <v>638</v>
      </c>
      <c r="D8723" s="587"/>
      <c r="E8723" s="224"/>
      <c r="F8723" s="225"/>
      <c r="G8723" s="290"/>
      <c r="H8723" s="226"/>
      <c r="M8723" s="225"/>
    </row>
    <row r="8724" spans="2:13" ht="18.75" customHeight="1" x14ac:dyDescent="0.25">
      <c r="B8724" s="587"/>
      <c r="C8724" s="223" t="s">
        <v>210</v>
      </c>
      <c r="D8724" s="587"/>
      <c r="E8724" s="587" t="s">
        <v>1087</v>
      </c>
      <c r="F8724" s="405">
        <v>1.1000000000000001</v>
      </c>
      <c r="G8724" s="410">
        <f>Bahan!D232</f>
        <v>120000</v>
      </c>
      <c r="H8724" s="230">
        <f>+G8724*F8724</f>
        <v>132000</v>
      </c>
      <c r="M8724" s="405">
        <v>1.1000000000000001</v>
      </c>
    </row>
    <row r="8725" spans="2:13" ht="18.75" customHeight="1" x14ac:dyDescent="0.25">
      <c r="B8725" s="587"/>
      <c r="C8725" s="223" t="s">
        <v>151</v>
      </c>
      <c r="D8725" s="587"/>
      <c r="E8725" s="587" t="s">
        <v>5</v>
      </c>
      <c r="F8725" s="405">
        <v>7.4999999999999997E-2</v>
      </c>
      <c r="G8725" s="229">
        <f>G8628</f>
        <v>55000</v>
      </c>
      <c r="H8725" s="230">
        <f>+G8725*F8725</f>
        <v>4125</v>
      </c>
      <c r="M8725" s="405">
        <v>7.4999999999999997E-2</v>
      </c>
    </row>
    <row r="8726" spans="2:13" ht="18.75" customHeight="1" x14ac:dyDescent="0.25">
      <c r="B8726" s="587"/>
      <c r="C8726" s="223"/>
      <c r="D8726" s="587"/>
      <c r="E8726" s="224"/>
      <c r="F8726" s="237" t="s">
        <v>643</v>
      </c>
      <c r="G8726" s="290"/>
      <c r="H8726" s="231">
        <f>SUM(H8724)</f>
        <v>132000</v>
      </c>
      <c r="M8726" s="237" t="s">
        <v>643</v>
      </c>
    </row>
    <row r="8727" spans="2:13" ht="18.75" customHeight="1" x14ac:dyDescent="0.25">
      <c r="B8727" s="587"/>
      <c r="C8727" s="223"/>
      <c r="D8727" s="587"/>
      <c r="E8727" s="224"/>
      <c r="F8727" s="225"/>
      <c r="G8727" s="290"/>
      <c r="H8727" s="226"/>
      <c r="M8727" s="225"/>
    </row>
    <row r="8728" spans="2:13" ht="18.75" customHeight="1" x14ac:dyDescent="0.25">
      <c r="B8728" s="587" t="s">
        <v>644</v>
      </c>
      <c r="C8728" s="223" t="s">
        <v>645</v>
      </c>
      <c r="D8728" s="587"/>
      <c r="E8728" s="224"/>
      <c r="F8728" s="225"/>
      <c r="G8728" s="290"/>
      <c r="H8728" s="235"/>
      <c r="M8728" s="225"/>
    </row>
    <row r="8729" spans="2:13" ht="18.75" customHeight="1" x14ac:dyDescent="0.25">
      <c r="B8729" s="236"/>
      <c r="C8729" s="232"/>
      <c r="D8729" s="587"/>
      <c r="E8729" s="224"/>
      <c r="F8729" s="237" t="s">
        <v>646</v>
      </c>
      <c r="G8729" s="290"/>
      <c r="H8729" s="230"/>
      <c r="M8729" s="237" t="s">
        <v>646</v>
      </c>
    </row>
    <row r="8730" spans="2:13" ht="18.75" customHeight="1" x14ac:dyDescent="0.25">
      <c r="B8730" s="236"/>
      <c r="C8730" s="232"/>
      <c r="D8730" s="587"/>
      <c r="E8730" s="224"/>
      <c r="F8730" s="237"/>
      <c r="G8730" s="290"/>
      <c r="H8730" s="226"/>
      <c r="M8730" s="237"/>
    </row>
    <row r="8731" spans="2:13" ht="18.75" customHeight="1" x14ac:dyDescent="0.25">
      <c r="B8731" s="354"/>
      <c r="C8731" s="362"/>
      <c r="D8731" s="239"/>
      <c r="E8731" s="266"/>
      <c r="F8731" s="241"/>
      <c r="G8731" s="370"/>
      <c r="H8731" s="369"/>
      <c r="M8731" s="241"/>
    </row>
    <row r="8732" spans="2:13" ht="18.75" customHeight="1" x14ac:dyDescent="0.25">
      <c r="B8732" s="356" t="s">
        <v>647</v>
      </c>
      <c r="C8732" s="363" t="s">
        <v>648</v>
      </c>
      <c r="D8732" s="435"/>
      <c r="E8732" s="92"/>
      <c r="F8732" s="183"/>
      <c r="G8732" s="295"/>
      <c r="H8732" s="357">
        <f>+H8729+H8726+H8721</f>
        <v>157910</v>
      </c>
      <c r="M8732" s="183"/>
    </row>
    <row r="8733" spans="2:13" ht="18.75" customHeight="1" x14ac:dyDescent="0.25">
      <c r="B8733" s="356" t="s">
        <v>649</v>
      </c>
      <c r="C8733" s="364" t="s">
        <v>650</v>
      </c>
      <c r="D8733" s="435"/>
      <c r="E8733" s="92"/>
      <c r="F8733" s="184" t="str">
        <f>$J$5</f>
        <v>8,0 % x D</v>
      </c>
      <c r="G8733" s="295"/>
      <c r="H8733" s="358">
        <f>+H8732*$K$5</f>
        <v>12632.800000000001</v>
      </c>
      <c r="M8733" s="184" t="str">
        <f>$J$5</f>
        <v>8,0 % x D</v>
      </c>
    </row>
    <row r="8734" spans="2:13" ht="18.75" customHeight="1" x14ac:dyDescent="0.25">
      <c r="B8734" s="356" t="s">
        <v>651</v>
      </c>
      <c r="C8734" s="365" t="s">
        <v>652</v>
      </c>
      <c r="D8734" s="435"/>
      <c r="E8734" s="91"/>
      <c r="F8734" s="185"/>
      <c r="G8734" s="296"/>
      <c r="H8734" s="359">
        <f>ROUNDUP((H8733+H8732)/100,0)*100</f>
        <v>170600</v>
      </c>
      <c r="M8734" s="185"/>
    </row>
    <row r="8735" spans="2:13" ht="18.75" customHeight="1" x14ac:dyDescent="0.25">
      <c r="B8735" s="360"/>
      <c r="C8735" s="366"/>
      <c r="D8735" s="245"/>
      <c r="E8735" s="246"/>
      <c r="F8735" s="247"/>
      <c r="G8735" s="299"/>
      <c r="H8735" s="361"/>
      <c r="M8735" s="247"/>
    </row>
    <row r="8736" spans="2:13" ht="18.75" customHeight="1" x14ac:dyDescent="0.25">
      <c r="B8736" s="92"/>
      <c r="C8736" s="104"/>
      <c r="D8736" s="435"/>
      <c r="E8736" s="91"/>
      <c r="F8736" s="185"/>
      <c r="G8736" s="168"/>
      <c r="H8736" s="139"/>
      <c r="M8736" s="185"/>
    </row>
    <row r="8737" spans="2:13" ht="18.75" customHeight="1" x14ac:dyDescent="0.25">
      <c r="B8737" s="19">
        <f>B8712+1</f>
        <v>22</v>
      </c>
      <c r="C8737" s="93" t="s">
        <v>1320</v>
      </c>
      <c r="D8737" s="19"/>
      <c r="E8737" s="21"/>
      <c r="F8737" s="176"/>
      <c r="G8737" s="165"/>
      <c r="H8737" s="119"/>
      <c r="M8737" s="176"/>
    </row>
    <row r="8738" spans="2:13" ht="18.75" customHeight="1" x14ac:dyDescent="0.25">
      <c r="B8738" s="618" t="s">
        <v>620</v>
      </c>
      <c r="C8738" s="620" t="s">
        <v>621</v>
      </c>
      <c r="D8738" s="618" t="s">
        <v>622</v>
      </c>
      <c r="E8738" s="618" t="s">
        <v>2</v>
      </c>
      <c r="F8738" s="615" t="s">
        <v>623</v>
      </c>
      <c r="G8738" s="289" t="s">
        <v>624</v>
      </c>
      <c r="H8738" s="256" t="s">
        <v>625</v>
      </c>
      <c r="M8738" s="615" t="s">
        <v>623</v>
      </c>
    </row>
    <row r="8739" spans="2:13" ht="18.75" customHeight="1" x14ac:dyDescent="0.25">
      <c r="B8739" s="619"/>
      <c r="C8739" s="621"/>
      <c r="D8739" s="619"/>
      <c r="E8739" s="619"/>
      <c r="F8739" s="616"/>
      <c r="G8739" s="289" t="s">
        <v>626</v>
      </c>
      <c r="H8739" s="256" t="s">
        <v>626</v>
      </c>
      <c r="M8739" s="616"/>
    </row>
    <row r="8740" spans="2:13" ht="18.75" customHeight="1" x14ac:dyDescent="0.25">
      <c r="B8740" s="221"/>
      <c r="C8740" s="222"/>
      <c r="D8740" s="221"/>
      <c r="E8740" s="587"/>
      <c r="F8740" s="589"/>
      <c r="G8740" s="588"/>
      <c r="H8740" s="220"/>
      <c r="M8740" s="590"/>
    </row>
    <row r="8741" spans="2:13" ht="18.75" customHeight="1" x14ac:dyDescent="0.25">
      <c r="B8741" s="587" t="s">
        <v>627</v>
      </c>
      <c r="C8741" s="223" t="s">
        <v>628</v>
      </c>
      <c r="D8741" s="587"/>
      <c r="E8741" s="224"/>
      <c r="F8741" s="225"/>
      <c r="G8741" s="290"/>
      <c r="H8741" s="226"/>
      <c r="M8741" s="225"/>
    </row>
    <row r="8742" spans="2:13" ht="18.75" customHeight="1" x14ac:dyDescent="0.25">
      <c r="B8742" s="587"/>
      <c r="C8742" s="227" t="s">
        <v>629</v>
      </c>
      <c r="D8742" s="587" t="s">
        <v>630</v>
      </c>
      <c r="E8742" s="224" t="s">
        <v>631</v>
      </c>
      <c r="F8742" s="228">
        <v>1.7000000000000001E-2</v>
      </c>
      <c r="G8742" s="229">
        <f>G8717</f>
        <v>95000</v>
      </c>
      <c r="H8742" s="230">
        <f>+G8742*F8742</f>
        <v>1615.0000000000002</v>
      </c>
      <c r="M8742" s="228">
        <v>1.7000000000000001E-2</v>
      </c>
    </row>
    <row r="8743" spans="2:13" ht="18.75" customHeight="1" x14ac:dyDescent="0.25">
      <c r="B8743" s="587"/>
      <c r="C8743" s="227" t="s">
        <v>1508</v>
      </c>
      <c r="D8743" s="587" t="s">
        <v>632</v>
      </c>
      <c r="E8743" s="224" t="s">
        <v>631</v>
      </c>
      <c r="F8743" s="228">
        <v>0.17</v>
      </c>
      <c r="G8743" s="229">
        <f t="shared" ref="G8743:G8745" si="346">G8718</f>
        <v>110000</v>
      </c>
      <c r="H8743" s="230">
        <f>+G8743*F8743</f>
        <v>18700</v>
      </c>
      <c r="M8743" s="228">
        <v>0.17</v>
      </c>
    </row>
    <row r="8744" spans="2:13" ht="18.75" customHeight="1" x14ac:dyDescent="0.25">
      <c r="B8744" s="587"/>
      <c r="C8744" s="227" t="s">
        <v>633</v>
      </c>
      <c r="D8744" s="587" t="s">
        <v>634</v>
      </c>
      <c r="E8744" s="224" t="s">
        <v>631</v>
      </c>
      <c r="F8744" s="228">
        <v>1.7000000000000001E-2</v>
      </c>
      <c r="G8744" s="229">
        <f t="shared" si="346"/>
        <v>115000</v>
      </c>
      <c r="H8744" s="230">
        <f>+G8744*F8744</f>
        <v>1955.0000000000002</v>
      </c>
      <c r="M8744" s="228">
        <v>1.7000000000000001E-2</v>
      </c>
    </row>
    <row r="8745" spans="2:13" ht="18.75" customHeight="1" x14ac:dyDescent="0.25">
      <c r="B8745" s="587"/>
      <c r="C8745" s="227" t="s">
        <v>600</v>
      </c>
      <c r="D8745" s="587" t="s">
        <v>635</v>
      </c>
      <c r="E8745" s="224" t="s">
        <v>631</v>
      </c>
      <c r="F8745" s="228">
        <v>8.9999999999999993E-3</v>
      </c>
      <c r="G8745" s="229">
        <f t="shared" si="346"/>
        <v>140000</v>
      </c>
      <c r="H8745" s="230">
        <f>+G8745*F8745</f>
        <v>1260</v>
      </c>
      <c r="M8745" s="228">
        <v>8.9999999999999993E-3</v>
      </c>
    </row>
    <row r="8746" spans="2:13" ht="18.75" customHeight="1" x14ac:dyDescent="0.25">
      <c r="B8746" s="587"/>
      <c r="C8746" s="223"/>
      <c r="D8746" s="587"/>
      <c r="E8746" s="224"/>
      <c r="F8746" s="233" t="s">
        <v>636</v>
      </c>
      <c r="G8746" s="290"/>
      <c r="H8746" s="231">
        <f>SUM(H8742:H8745)</f>
        <v>23530</v>
      </c>
      <c r="M8746" s="233" t="s">
        <v>636</v>
      </c>
    </row>
    <row r="8747" spans="2:13" ht="18.75" customHeight="1" x14ac:dyDescent="0.25">
      <c r="B8747" s="587"/>
      <c r="C8747" s="223"/>
      <c r="D8747" s="587"/>
      <c r="E8747" s="224"/>
      <c r="F8747" s="233"/>
      <c r="G8747" s="290"/>
      <c r="H8747" s="231"/>
      <c r="M8747" s="233"/>
    </row>
    <row r="8748" spans="2:13" ht="18.75" customHeight="1" x14ac:dyDescent="0.25">
      <c r="B8748" s="587" t="s">
        <v>637</v>
      </c>
      <c r="C8748" s="223" t="s">
        <v>638</v>
      </c>
      <c r="D8748" s="587"/>
      <c r="E8748" s="224"/>
      <c r="F8748" s="225"/>
      <c r="G8748" s="290"/>
      <c r="H8748" s="226"/>
      <c r="M8748" s="225"/>
    </row>
    <row r="8749" spans="2:13" ht="18.75" customHeight="1" x14ac:dyDescent="0.25">
      <c r="B8749" s="587"/>
      <c r="C8749" s="223" t="s">
        <v>1313</v>
      </c>
      <c r="D8749" s="587"/>
      <c r="E8749" s="587" t="s">
        <v>1087</v>
      </c>
      <c r="F8749" s="405">
        <v>1</v>
      </c>
      <c r="G8749" s="410">
        <f>Bahan!D224</f>
        <v>350000</v>
      </c>
      <c r="H8749" s="230">
        <f>+G8749*F8749</f>
        <v>350000</v>
      </c>
      <c r="M8749" s="405">
        <v>1</v>
      </c>
    </row>
    <row r="8750" spans="2:13" ht="18.75" customHeight="1" x14ac:dyDescent="0.25">
      <c r="B8750" s="587"/>
      <c r="C8750" s="223" t="s">
        <v>151</v>
      </c>
      <c r="D8750" s="587"/>
      <c r="E8750" s="587" t="s">
        <v>5</v>
      </c>
      <c r="F8750" s="405">
        <v>7.4999999999999997E-2</v>
      </c>
      <c r="G8750" s="229">
        <f>G8725</f>
        <v>55000</v>
      </c>
      <c r="H8750" s="230">
        <f>+G8750*F8750</f>
        <v>4125</v>
      </c>
      <c r="M8750" s="405">
        <v>7.4999999999999997E-2</v>
      </c>
    </row>
    <row r="8751" spans="2:13" ht="18.75" customHeight="1" x14ac:dyDescent="0.25">
      <c r="B8751" s="587"/>
      <c r="C8751" s="223"/>
      <c r="D8751" s="587"/>
      <c r="E8751" s="224"/>
      <c r="F8751" s="237" t="s">
        <v>643</v>
      </c>
      <c r="G8751" s="290"/>
      <c r="H8751" s="231">
        <f>SUM(H8749)</f>
        <v>350000</v>
      </c>
      <c r="M8751" s="237" t="s">
        <v>643</v>
      </c>
    </row>
    <row r="8752" spans="2:13" ht="18.75" customHeight="1" x14ac:dyDescent="0.25">
      <c r="B8752" s="587"/>
      <c r="C8752" s="223"/>
      <c r="D8752" s="587"/>
      <c r="E8752" s="224"/>
      <c r="F8752" s="225"/>
      <c r="G8752" s="290"/>
      <c r="H8752" s="226"/>
      <c r="M8752" s="225"/>
    </row>
    <row r="8753" spans="1:13" ht="18.75" customHeight="1" x14ac:dyDescent="0.25">
      <c r="B8753" s="587" t="s">
        <v>644</v>
      </c>
      <c r="C8753" s="223" t="s">
        <v>645</v>
      </c>
      <c r="D8753" s="587"/>
      <c r="E8753" s="224"/>
      <c r="F8753" s="225"/>
      <c r="G8753" s="290"/>
      <c r="H8753" s="235"/>
      <c r="M8753" s="225"/>
    </row>
    <row r="8754" spans="1:13" ht="18.75" customHeight="1" x14ac:dyDescent="0.25">
      <c r="B8754" s="236"/>
      <c r="C8754" s="232"/>
      <c r="D8754" s="587"/>
      <c r="E8754" s="224"/>
      <c r="F8754" s="237" t="s">
        <v>646</v>
      </c>
      <c r="G8754" s="290"/>
      <c r="H8754" s="230"/>
      <c r="M8754" s="237" t="s">
        <v>646</v>
      </c>
    </row>
    <row r="8755" spans="1:13" ht="18.75" customHeight="1" x14ac:dyDescent="0.25">
      <c r="B8755" s="236"/>
      <c r="C8755" s="232"/>
      <c r="D8755" s="587"/>
      <c r="E8755" s="224"/>
      <c r="F8755" s="237"/>
      <c r="G8755" s="290"/>
      <c r="H8755" s="226"/>
      <c r="M8755" s="237"/>
    </row>
    <row r="8756" spans="1:13" ht="18.75" customHeight="1" x14ac:dyDescent="0.25">
      <c r="B8756" s="354"/>
      <c r="C8756" s="362"/>
      <c r="D8756" s="239"/>
      <c r="E8756" s="240"/>
      <c r="F8756" s="241"/>
      <c r="G8756" s="293"/>
      <c r="H8756" s="355"/>
      <c r="M8756" s="241"/>
    </row>
    <row r="8757" spans="1:13" ht="18.75" customHeight="1" x14ac:dyDescent="0.25">
      <c r="B8757" s="356" t="s">
        <v>647</v>
      </c>
      <c r="C8757" s="363" t="s">
        <v>648</v>
      </c>
      <c r="D8757" s="435"/>
      <c r="E8757" s="92"/>
      <c r="F8757" s="183"/>
      <c r="G8757" s="295"/>
      <c r="H8757" s="357">
        <f>+H8754+H8751+H8746</f>
        <v>373530</v>
      </c>
      <c r="M8757" s="183"/>
    </row>
    <row r="8758" spans="1:13" ht="18.75" customHeight="1" x14ac:dyDescent="0.25">
      <c r="B8758" s="356" t="s">
        <v>649</v>
      </c>
      <c r="C8758" s="364" t="s">
        <v>650</v>
      </c>
      <c r="D8758" s="435"/>
      <c r="E8758" s="92"/>
      <c r="F8758" s="184" t="str">
        <f>$J$5</f>
        <v>8,0 % x D</v>
      </c>
      <c r="G8758" s="295"/>
      <c r="H8758" s="358">
        <f>+H8757*$K$5</f>
        <v>29882.400000000001</v>
      </c>
      <c r="M8758" s="184" t="str">
        <f>$J$5</f>
        <v>8,0 % x D</v>
      </c>
    </row>
    <row r="8759" spans="1:13" ht="18.75" customHeight="1" x14ac:dyDescent="0.25">
      <c r="B8759" s="356" t="s">
        <v>651</v>
      </c>
      <c r="C8759" s="365" t="s">
        <v>652</v>
      </c>
      <c r="D8759" s="435"/>
      <c r="E8759" s="91"/>
      <c r="F8759" s="185"/>
      <c r="G8759" s="296"/>
      <c r="H8759" s="359">
        <f>ROUNDUP((H8758+H8757)/100,0)*100</f>
        <v>403500</v>
      </c>
      <c r="M8759" s="185"/>
    </row>
    <row r="8760" spans="1:13" ht="18.75" customHeight="1" x14ac:dyDescent="0.25">
      <c r="B8760" s="360"/>
      <c r="C8760" s="366"/>
      <c r="D8760" s="245"/>
      <c r="E8760" s="246"/>
      <c r="F8760" s="247"/>
      <c r="G8760" s="299"/>
      <c r="H8760" s="361"/>
      <c r="M8760" s="247"/>
    </row>
    <row r="8761" spans="1:13" ht="18.75" customHeight="1" x14ac:dyDescent="0.25">
      <c r="B8761" s="22"/>
      <c r="C8761" s="104"/>
      <c r="E8761" s="21"/>
      <c r="F8761" s="176"/>
      <c r="G8761" s="165"/>
      <c r="H8761" s="119"/>
      <c r="M8761" s="176"/>
    </row>
    <row r="8762" spans="1:13" ht="18.75" customHeight="1" x14ac:dyDescent="0.25">
      <c r="A8762" s="388" t="s">
        <v>1287</v>
      </c>
      <c r="B8762" s="389" t="s">
        <v>1321</v>
      </c>
      <c r="C8762" s="390"/>
      <c r="D8762" s="391"/>
      <c r="E8762" s="392"/>
      <c r="F8762" s="393"/>
      <c r="G8762" s="394"/>
      <c r="H8762" s="394"/>
      <c r="M8762" s="393"/>
    </row>
    <row r="8763" spans="1:13" ht="18.75" customHeight="1" x14ac:dyDescent="0.25">
      <c r="B8763" s="19"/>
      <c r="C8763" s="93"/>
      <c r="G8763" s="66"/>
      <c r="H8763" s="138"/>
    </row>
    <row r="8764" spans="1:13" ht="18.75" customHeight="1" x14ac:dyDescent="0.25">
      <c r="B8764" s="19">
        <v>1</v>
      </c>
      <c r="C8764" s="93" t="s">
        <v>1322</v>
      </c>
      <c r="D8764" s="19"/>
      <c r="E8764" s="21"/>
      <c r="F8764" s="176"/>
      <c r="G8764" s="165"/>
      <c r="H8764" s="119"/>
      <c r="M8764" s="176"/>
    </row>
    <row r="8765" spans="1:13" ht="18.75" customHeight="1" x14ac:dyDescent="0.25">
      <c r="B8765" s="618" t="s">
        <v>620</v>
      </c>
      <c r="C8765" s="620" t="s">
        <v>621</v>
      </c>
      <c r="D8765" s="618" t="s">
        <v>622</v>
      </c>
      <c r="E8765" s="618" t="s">
        <v>2</v>
      </c>
      <c r="F8765" s="615" t="s">
        <v>623</v>
      </c>
      <c r="G8765" s="289" t="s">
        <v>624</v>
      </c>
      <c r="H8765" s="256" t="s">
        <v>625</v>
      </c>
      <c r="M8765" s="615" t="s">
        <v>623</v>
      </c>
    </row>
    <row r="8766" spans="1:13" ht="18.75" customHeight="1" x14ac:dyDescent="0.25">
      <c r="B8766" s="619"/>
      <c r="C8766" s="621"/>
      <c r="D8766" s="619"/>
      <c r="E8766" s="619"/>
      <c r="F8766" s="616"/>
      <c r="G8766" s="289" t="s">
        <v>626</v>
      </c>
      <c r="H8766" s="256" t="s">
        <v>626</v>
      </c>
      <c r="M8766" s="616"/>
    </row>
    <row r="8767" spans="1:13" ht="18.75" customHeight="1" x14ac:dyDescent="0.25">
      <c r="B8767" s="221"/>
      <c r="C8767" s="222"/>
      <c r="D8767" s="221"/>
      <c r="E8767" s="587"/>
      <c r="F8767" s="589"/>
      <c r="G8767" s="588"/>
      <c r="H8767" s="220"/>
      <c r="M8767" s="590"/>
    </row>
    <row r="8768" spans="1:13" ht="18.75" customHeight="1" x14ac:dyDescent="0.25">
      <c r="B8768" s="587" t="s">
        <v>627</v>
      </c>
      <c r="C8768" s="223" t="s">
        <v>628</v>
      </c>
      <c r="D8768" s="587"/>
      <c r="E8768" s="224"/>
      <c r="F8768" s="225"/>
      <c r="G8768" s="290"/>
      <c r="H8768" s="226"/>
      <c r="M8768" s="225"/>
    </row>
    <row r="8769" spans="2:13" ht="18.75" customHeight="1" x14ac:dyDescent="0.25">
      <c r="B8769" s="587"/>
      <c r="C8769" s="227" t="s">
        <v>629</v>
      </c>
      <c r="D8769" s="587" t="s">
        <v>630</v>
      </c>
      <c r="E8769" s="224" t="s">
        <v>631</v>
      </c>
      <c r="F8769" s="228">
        <v>0.15</v>
      </c>
      <c r="G8769" s="229">
        <f>G8742</f>
        <v>95000</v>
      </c>
      <c r="H8769" s="230">
        <f>+G8769*F8769</f>
        <v>14250</v>
      </c>
      <c r="M8769" s="228">
        <v>0.15</v>
      </c>
    </row>
    <row r="8770" spans="2:13" ht="18.75" customHeight="1" x14ac:dyDescent="0.25">
      <c r="B8770" s="587"/>
      <c r="C8770" s="227" t="s">
        <v>600</v>
      </c>
      <c r="D8770" s="587" t="s">
        <v>635</v>
      </c>
      <c r="E8770" s="224" t="s">
        <v>631</v>
      </c>
      <c r="F8770" s="228">
        <v>3.0000000000000001E-3</v>
      </c>
      <c r="G8770" s="229">
        <f>G8745</f>
        <v>140000</v>
      </c>
      <c r="H8770" s="230">
        <f>+G8770*F8770</f>
        <v>420</v>
      </c>
      <c r="M8770" s="228">
        <v>3.0000000000000001E-3</v>
      </c>
    </row>
    <row r="8771" spans="2:13" ht="18.75" customHeight="1" x14ac:dyDescent="0.25">
      <c r="B8771" s="587"/>
      <c r="C8771" s="223"/>
      <c r="D8771" s="587"/>
      <c r="E8771" s="224"/>
      <c r="F8771" s="233" t="s">
        <v>636</v>
      </c>
      <c r="G8771" s="290"/>
      <c r="H8771" s="231">
        <f>SUM(H8769:H8770)</f>
        <v>14670</v>
      </c>
      <c r="M8771" s="233" t="s">
        <v>636</v>
      </c>
    </row>
    <row r="8772" spans="2:13" ht="18.75" customHeight="1" x14ac:dyDescent="0.25">
      <c r="B8772" s="587"/>
      <c r="C8772" s="223"/>
      <c r="D8772" s="587"/>
      <c r="E8772" s="224"/>
      <c r="F8772" s="233"/>
      <c r="G8772" s="290"/>
      <c r="H8772" s="231"/>
      <c r="M8772" s="233"/>
    </row>
    <row r="8773" spans="2:13" ht="18.75" customHeight="1" x14ac:dyDescent="0.25">
      <c r="B8773" s="587" t="s">
        <v>637</v>
      </c>
      <c r="C8773" s="223" t="s">
        <v>638</v>
      </c>
      <c r="D8773" s="587"/>
      <c r="E8773" s="224"/>
      <c r="F8773" s="225"/>
      <c r="G8773" s="290"/>
      <c r="H8773" s="226"/>
      <c r="M8773" s="225"/>
    </row>
    <row r="8774" spans="2:13" ht="18.75" customHeight="1" x14ac:dyDescent="0.25">
      <c r="B8774" s="587"/>
      <c r="C8774" s="223" t="s">
        <v>191</v>
      </c>
      <c r="D8774" s="587"/>
      <c r="E8774" s="587" t="s">
        <v>5</v>
      </c>
      <c r="F8774" s="405">
        <v>7.4999999999999997E-2</v>
      </c>
      <c r="G8774" s="410">
        <f>Bahan!D211</f>
        <v>17000</v>
      </c>
      <c r="H8774" s="230">
        <f>+G8774*F8774</f>
        <v>1275</v>
      </c>
      <c r="M8774" s="405">
        <v>7.4999999999999997E-2</v>
      </c>
    </row>
    <row r="8775" spans="2:13" ht="18.75" customHeight="1" x14ac:dyDescent="0.25">
      <c r="B8775" s="587"/>
      <c r="C8775" s="223"/>
      <c r="D8775" s="587"/>
      <c r="E8775" s="224"/>
      <c r="F8775" s="237" t="s">
        <v>643</v>
      </c>
      <c r="G8775" s="290"/>
      <c r="H8775" s="231">
        <f>SUM(H8774)</f>
        <v>1275</v>
      </c>
      <c r="M8775" s="237" t="s">
        <v>643</v>
      </c>
    </row>
    <row r="8776" spans="2:13" ht="18.75" customHeight="1" x14ac:dyDescent="0.25">
      <c r="B8776" s="587"/>
      <c r="C8776" s="223"/>
      <c r="D8776" s="587"/>
      <c r="E8776" s="224"/>
      <c r="F8776" s="225"/>
      <c r="G8776" s="290"/>
      <c r="H8776" s="226"/>
      <c r="M8776" s="225"/>
    </row>
    <row r="8777" spans="2:13" ht="18.75" customHeight="1" x14ac:dyDescent="0.25">
      <c r="B8777" s="587" t="s">
        <v>644</v>
      </c>
      <c r="C8777" s="223" t="s">
        <v>645</v>
      </c>
      <c r="D8777" s="587"/>
      <c r="E8777" s="224"/>
      <c r="F8777" s="225"/>
      <c r="G8777" s="290"/>
      <c r="H8777" s="235"/>
      <c r="M8777" s="225"/>
    </row>
    <row r="8778" spans="2:13" ht="18.75" customHeight="1" x14ac:dyDescent="0.25">
      <c r="B8778" s="236"/>
      <c r="C8778" s="232"/>
      <c r="D8778" s="587"/>
      <c r="E8778" s="224"/>
      <c r="F8778" s="237" t="s">
        <v>646</v>
      </c>
      <c r="G8778" s="290"/>
      <c r="H8778" s="230"/>
      <c r="M8778" s="237" t="s">
        <v>646</v>
      </c>
    </row>
    <row r="8779" spans="2:13" ht="18.75" customHeight="1" x14ac:dyDescent="0.25">
      <c r="B8779" s="236"/>
      <c r="C8779" s="232"/>
      <c r="D8779" s="587"/>
      <c r="E8779" s="224"/>
      <c r="F8779" s="237"/>
      <c r="G8779" s="290"/>
      <c r="H8779" s="226"/>
      <c r="M8779" s="237"/>
    </row>
    <row r="8780" spans="2:13" ht="18.75" customHeight="1" x14ac:dyDescent="0.25">
      <c r="B8780" s="354"/>
      <c r="C8780" s="362"/>
      <c r="D8780" s="239"/>
      <c r="E8780" s="266"/>
      <c r="F8780" s="241"/>
      <c r="G8780" s="370"/>
      <c r="H8780" s="369"/>
      <c r="M8780" s="241"/>
    </row>
    <row r="8781" spans="2:13" ht="18.75" customHeight="1" x14ac:dyDescent="0.25">
      <c r="B8781" s="356" t="s">
        <v>647</v>
      </c>
      <c r="C8781" s="363" t="s">
        <v>648</v>
      </c>
      <c r="D8781" s="435"/>
      <c r="E8781" s="92"/>
      <c r="F8781" s="183"/>
      <c r="G8781" s="295"/>
      <c r="H8781" s="357">
        <f>+H8778+H8775+H8771</f>
        <v>15945</v>
      </c>
      <c r="M8781" s="183"/>
    </row>
    <row r="8782" spans="2:13" ht="18.75" customHeight="1" x14ac:dyDescent="0.25">
      <c r="B8782" s="356" t="s">
        <v>649</v>
      </c>
      <c r="C8782" s="364" t="s">
        <v>650</v>
      </c>
      <c r="D8782" s="435"/>
      <c r="E8782" s="92"/>
      <c r="F8782" s="184" t="str">
        <f>$J$5</f>
        <v>8,0 % x D</v>
      </c>
      <c r="G8782" s="295"/>
      <c r="H8782" s="358">
        <f>+H8781*$K$5</f>
        <v>1275.6000000000001</v>
      </c>
      <c r="M8782" s="184" t="str">
        <f>$J$5</f>
        <v>8,0 % x D</v>
      </c>
    </row>
    <row r="8783" spans="2:13" ht="18.75" customHeight="1" x14ac:dyDescent="0.25">
      <c r="B8783" s="356" t="s">
        <v>651</v>
      </c>
      <c r="C8783" s="365" t="s">
        <v>652</v>
      </c>
      <c r="D8783" s="435"/>
      <c r="E8783" s="91"/>
      <c r="F8783" s="185"/>
      <c r="G8783" s="296"/>
      <c r="H8783" s="359">
        <f>ROUNDUP((H8782+H8781)/100,0)*100</f>
        <v>17300</v>
      </c>
      <c r="M8783" s="185"/>
    </row>
    <row r="8784" spans="2:13" ht="18.75" customHeight="1" x14ac:dyDescent="0.25">
      <c r="B8784" s="360"/>
      <c r="C8784" s="366"/>
      <c r="D8784" s="245"/>
      <c r="E8784" s="246"/>
      <c r="F8784" s="247"/>
      <c r="G8784" s="299"/>
      <c r="H8784" s="361"/>
      <c r="M8784" s="247"/>
    </row>
    <row r="8785" spans="2:13" ht="18.75" customHeight="1" x14ac:dyDescent="0.25">
      <c r="B8785" s="92"/>
      <c r="C8785" s="104"/>
      <c r="D8785" s="435"/>
      <c r="E8785" s="91"/>
      <c r="F8785" s="185"/>
      <c r="G8785" s="168"/>
      <c r="H8785" s="139"/>
      <c r="M8785" s="185"/>
    </row>
    <row r="8786" spans="2:13" ht="18.75" customHeight="1" x14ac:dyDescent="0.25">
      <c r="B8786" s="19">
        <v>2</v>
      </c>
      <c r="C8786" s="93" t="s">
        <v>1323</v>
      </c>
      <c r="D8786" s="19"/>
      <c r="E8786" s="21"/>
      <c r="F8786" s="176"/>
      <c r="G8786" s="165"/>
      <c r="H8786" s="119"/>
      <c r="M8786" s="176"/>
    </row>
    <row r="8787" spans="2:13" ht="18.75" customHeight="1" x14ac:dyDescent="0.25">
      <c r="B8787" s="618" t="s">
        <v>620</v>
      </c>
      <c r="C8787" s="620" t="s">
        <v>621</v>
      </c>
      <c r="D8787" s="618" t="s">
        <v>622</v>
      </c>
      <c r="E8787" s="618" t="s">
        <v>2</v>
      </c>
      <c r="F8787" s="615" t="s">
        <v>623</v>
      </c>
      <c r="G8787" s="289" t="s">
        <v>624</v>
      </c>
      <c r="H8787" s="256" t="s">
        <v>625</v>
      </c>
      <c r="M8787" s="615" t="s">
        <v>623</v>
      </c>
    </row>
    <row r="8788" spans="2:13" ht="18.75" customHeight="1" x14ac:dyDescent="0.25">
      <c r="B8788" s="619"/>
      <c r="C8788" s="621"/>
      <c r="D8788" s="619"/>
      <c r="E8788" s="619"/>
      <c r="F8788" s="616"/>
      <c r="G8788" s="289" t="s">
        <v>626</v>
      </c>
      <c r="H8788" s="256" t="s">
        <v>626</v>
      </c>
      <c r="M8788" s="616"/>
    </row>
    <row r="8789" spans="2:13" ht="18.75" customHeight="1" x14ac:dyDescent="0.25">
      <c r="B8789" s="221"/>
      <c r="C8789" s="222"/>
      <c r="D8789" s="221"/>
      <c r="E8789" s="587"/>
      <c r="F8789" s="589"/>
      <c r="G8789" s="588"/>
      <c r="H8789" s="220"/>
      <c r="M8789" s="590"/>
    </row>
    <row r="8790" spans="2:13" ht="18.75" customHeight="1" x14ac:dyDescent="0.25">
      <c r="B8790" s="587" t="s">
        <v>627</v>
      </c>
      <c r="C8790" s="223" t="s">
        <v>628</v>
      </c>
      <c r="D8790" s="587"/>
      <c r="E8790" s="224"/>
      <c r="F8790" s="225"/>
      <c r="G8790" s="290"/>
      <c r="H8790" s="226"/>
      <c r="M8790" s="225"/>
    </row>
    <row r="8791" spans="2:13" ht="18.75" customHeight="1" x14ac:dyDescent="0.25">
      <c r="B8791" s="587"/>
      <c r="C8791" s="227" t="s">
        <v>629</v>
      </c>
      <c r="D8791" s="587" t="s">
        <v>630</v>
      </c>
      <c r="E8791" s="224" t="s">
        <v>631</v>
      </c>
      <c r="F8791" s="228">
        <v>0.15</v>
      </c>
      <c r="G8791" s="229">
        <f>G8769</f>
        <v>95000</v>
      </c>
      <c r="H8791" s="230">
        <f>+G8791*F8791</f>
        <v>14250</v>
      </c>
      <c r="M8791" s="228">
        <v>0.15</v>
      </c>
    </row>
    <row r="8792" spans="2:13" ht="18.75" customHeight="1" x14ac:dyDescent="0.25">
      <c r="B8792" s="587"/>
      <c r="C8792" s="227" t="s">
        <v>600</v>
      </c>
      <c r="D8792" s="587" t="s">
        <v>635</v>
      </c>
      <c r="E8792" s="224" t="s">
        <v>631</v>
      </c>
      <c r="F8792" s="228">
        <v>3.0000000000000001E-3</v>
      </c>
      <c r="G8792" s="229">
        <f>G8770</f>
        <v>140000</v>
      </c>
      <c r="H8792" s="230">
        <f>+G8792*F8792</f>
        <v>420</v>
      </c>
      <c r="M8792" s="228">
        <v>3.0000000000000001E-3</v>
      </c>
    </row>
    <row r="8793" spans="2:13" ht="18.75" customHeight="1" x14ac:dyDescent="0.25">
      <c r="B8793" s="587"/>
      <c r="C8793" s="223"/>
      <c r="D8793" s="587"/>
      <c r="E8793" s="224"/>
      <c r="F8793" s="233" t="s">
        <v>636</v>
      </c>
      <c r="G8793" s="290"/>
      <c r="H8793" s="231">
        <f>SUM(H8791:H8792)</f>
        <v>14670</v>
      </c>
      <c r="M8793" s="233" t="s">
        <v>636</v>
      </c>
    </row>
    <row r="8794" spans="2:13" ht="18.75" customHeight="1" x14ac:dyDescent="0.25">
      <c r="B8794" s="587"/>
      <c r="C8794" s="223"/>
      <c r="D8794" s="587"/>
      <c r="E8794" s="224"/>
      <c r="F8794" s="233"/>
      <c r="G8794" s="290"/>
      <c r="H8794" s="231"/>
      <c r="M8794" s="233"/>
    </row>
    <row r="8795" spans="2:13" ht="18.75" customHeight="1" x14ac:dyDescent="0.25">
      <c r="B8795" s="587" t="s">
        <v>637</v>
      </c>
      <c r="C8795" s="223" t="s">
        <v>638</v>
      </c>
      <c r="D8795" s="587"/>
      <c r="E8795" s="224"/>
      <c r="F8795" s="225"/>
      <c r="G8795" s="290"/>
      <c r="H8795" s="226"/>
      <c r="M8795" s="225"/>
    </row>
    <row r="8796" spans="2:13" ht="18.75" customHeight="1" x14ac:dyDescent="0.25">
      <c r="B8796" s="587"/>
      <c r="C8796" s="223" t="s">
        <v>193</v>
      </c>
      <c r="D8796" s="587"/>
      <c r="E8796" s="587" t="s">
        <v>5</v>
      </c>
      <c r="F8796" s="405">
        <v>7.4999999999999997E-2</v>
      </c>
      <c r="G8796" s="410">
        <f>Bahan!D213</f>
        <v>11000</v>
      </c>
      <c r="H8796" s="230">
        <f>+G8796*F8796</f>
        <v>825</v>
      </c>
      <c r="M8796" s="405">
        <v>7.4999999999999997E-2</v>
      </c>
    </row>
    <row r="8797" spans="2:13" ht="18.75" customHeight="1" x14ac:dyDescent="0.25">
      <c r="B8797" s="587"/>
      <c r="C8797" s="223"/>
      <c r="D8797" s="587"/>
      <c r="E8797" s="224"/>
      <c r="F8797" s="237" t="s">
        <v>643</v>
      </c>
      <c r="G8797" s="290"/>
      <c r="H8797" s="231">
        <f>SUM(H8796)</f>
        <v>825</v>
      </c>
      <c r="M8797" s="237" t="s">
        <v>643</v>
      </c>
    </row>
    <row r="8798" spans="2:13" ht="18.75" customHeight="1" x14ac:dyDescent="0.25">
      <c r="B8798" s="587"/>
      <c r="C8798" s="223"/>
      <c r="D8798" s="587"/>
      <c r="E8798" s="224"/>
      <c r="F8798" s="225"/>
      <c r="G8798" s="290"/>
      <c r="H8798" s="226"/>
      <c r="M8798" s="225"/>
    </row>
    <row r="8799" spans="2:13" ht="18.75" customHeight="1" x14ac:dyDescent="0.25">
      <c r="B8799" s="587" t="s">
        <v>644</v>
      </c>
      <c r="C8799" s="223" t="s">
        <v>645</v>
      </c>
      <c r="D8799" s="587"/>
      <c r="E8799" s="224"/>
      <c r="F8799" s="225"/>
      <c r="G8799" s="290"/>
      <c r="H8799" s="235"/>
      <c r="M8799" s="225"/>
    </row>
    <row r="8800" spans="2:13" ht="18.75" customHeight="1" x14ac:dyDescent="0.25">
      <c r="B8800" s="236"/>
      <c r="C8800" s="232"/>
      <c r="D8800" s="587"/>
      <c r="E8800" s="224"/>
      <c r="F8800" s="237" t="s">
        <v>646</v>
      </c>
      <c r="G8800" s="290"/>
      <c r="H8800" s="230"/>
      <c r="M8800" s="237" t="s">
        <v>646</v>
      </c>
    </row>
    <row r="8801" spans="2:13" ht="18.75" customHeight="1" x14ac:dyDescent="0.25">
      <c r="B8801" s="236"/>
      <c r="C8801" s="232"/>
      <c r="D8801" s="587"/>
      <c r="E8801" s="224"/>
      <c r="F8801" s="237"/>
      <c r="G8801" s="290"/>
      <c r="H8801" s="226"/>
      <c r="M8801" s="237"/>
    </row>
    <row r="8802" spans="2:13" ht="18.75" customHeight="1" x14ac:dyDescent="0.25">
      <c r="B8802" s="354"/>
      <c r="C8802" s="362"/>
      <c r="D8802" s="239"/>
      <c r="E8802" s="240"/>
      <c r="F8802" s="241"/>
      <c r="G8802" s="293"/>
      <c r="H8802" s="355"/>
      <c r="M8802" s="241"/>
    </row>
    <row r="8803" spans="2:13" ht="18.75" customHeight="1" x14ac:dyDescent="0.25">
      <c r="B8803" s="356" t="s">
        <v>647</v>
      </c>
      <c r="C8803" s="363" t="s">
        <v>648</v>
      </c>
      <c r="D8803" s="435"/>
      <c r="E8803" s="92"/>
      <c r="F8803" s="183"/>
      <c r="G8803" s="295"/>
      <c r="H8803" s="357">
        <f>+H8800+H8797+H8793</f>
        <v>15495</v>
      </c>
      <c r="M8803" s="183"/>
    </row>
    <row r="8804" spans="2:13" ht="18.75" customHeight="1" x14ac:dyDescent="0.25">
      <c r="B8804" s="356" t="s">
        <v>649</v>
      </c>
      <c r="C8804" s="364" t="s">
        <v>650</v>
      </c>
      <c r="D8804" s="435"/>
      <c r="E8804" s="92"/>
      <c r="F8804" s="184" t="str">
        <f>$J$5</f>
        <v>8,0 % x D</v>
      </c>
      <c r="G8804" s="295"/>
      <c r="H8804" s="358">
        <f>+H8803*$K$5</f>
        <v>1239.6000000000001</v>
      </c>
      <c r="M8804" s="184" t="str">
        <f>$J$5</f>
        <v>8,0 % x D</v>
      </c>
    </row>
    <row r="8805" spans="2:13" ht="18.75" customHeight="1" x14ac:dyDescent="0.25">
      <c r="B8805" s="356" t="s">
        <v>651</v>
      </c>
      <c r="C8805" s="365" t="s">
        <v>652</v>
      </c>
      <c r="D8805" s="435"/>
      <c r="E8805" s="91"/>
      <c r="F8805" s="185"/>
      <c r="G8805" s="296"/>
      <c r="H8805" s="359">
        <f>ROUNDUP((H8804+H8803)/100,0)*100</f>
        <v>16800</v>
      </c>
      <c r="M8805" s="185"/>
    </row>
    <row r="8806" spans="2:13" ht="18.75" customHeight="1" x14ac:dyDescent="0.25">
      <c r="B8806" s="360"/>
      <c r="C8806" s="366"/>
      <c r="D8806" s="245"/>
      <c r="E8806" s="246"/>
      <c r="F8806" s="247"/>
      <c r="G8806" s="299"/>
      <c r="H8806" s="361"/>
      <c r="M8806" s="247"/>
    </row>
    <row r="8807" spans="2:13" ht="18.75" customHeight="1" x14ac:dyDescent="0.25">
      <c r="B8807" s="22"/>
      <c r="C8807" s="104"/>
      <c r="E8807" s="21"/>
      <c r="F8807" s="176"/>
      <c r="G8807" s="165"/>
      <c r="H8807" s="119"/>
      <c r="M8807" s="176"/>
    </row>
    <row r="8808" spans="2:13" ht="18.75" customHeight="1" x14ac:dyDescent="0.25">
      <c r="B8808" s="19">
        <v>3</v>
      </c>
      <c r="C8808" s="93" t="s">
        <v>1324</v>
      </c>
      <c r="D8808" s="19"/>
      <c r="E8808" s="21"/>
      <c r="F8808" s="176"/>
      <c r="G8808" s="165"/>
      <c r="H8808" s="119"/>
      <c r="M8808" s="176"/>
    </row>
    <row r="8809" spans="2:13" ht="18.75" customHeight="1" x14ac:dyDescent="0.25">
      <c r="B8809" s="618" t="s">
        <v>620</v>
      </c>
      <c r="C8809" s="620" t="s">
        <v>621</v>
      </c>
      <c r="D8809" s="618" t="s">
        <v>622</v>
      </c>
      <c r="E8809" s="618" t="s">
        <v>2</v>
      </c>
      <c r="F8809" s="615" t="s">
        <v>623</v>
      </c>
      <c r="G8809" s="289" t="s">
        <v>624</v>
      </c>
      <c r="H8809" s="256" t="s">
        <v>625</v>
      </c>
      <c r="M8809" s="615" t="s">
        <v>623</v>
      </c>
    </row>
    <row r="8810" spans="2:13" ht="18.75" customHeight="1" x14ac:dyDescent="0.25">
      <c r="B8810" s="619"/>
      <c r="C8810" s="621"/>
      <c r="D8810" s="619"/>
      <c r="E8810" s="619"/>
      <c r="F8810" s="616"/>
      <c r="G8810" s="289" t="s">
        <v>626</v>
      </c>
      <c r="H8810" s="256" t="s">
        <v>626</v>
      </c>
      <c r="M8810" s="616"/>
    </row>
    <row r="8811" spans="2:13" ht="18.75" customHeight="1" x14ac:dyDescent="0.25">
      <c r="B8811" s="221"/>
      <c r="C8811" s="222"/>
      <c r="D8811" s="221"/>
      <c r="E8811" s="587"/>
      <c r="F8811" s="589"/>
      <c r="G8811" s="588"/>
      <c r="H8811" s="220"/>
      <c r="M8811" s="590"/>
    </row>
    <row r="8812" spans="2:13" ht="18.75" customHeight="1" x14ac:dyDescent="0.25">
      <c r="B8812" s="587" t="s">
        <v>627</v>
      </c>
      <c r="C8812" s="223" t="s">
        <v>628</v>
      </c>
      <c r="D8812" s="587"/>
      <c r="E8812" s="224"/>
      <c r="F8812" s="225"/>
      <c r="G8812" s="290"/>
      <c r="H8812" s="226"/>
      <c r="M8812" s="225"/>
    </row>
    <row r="8813" spans="2:13" ht="18.75" customHeight="1" x14ac:dyDescent="0.25">
      <c r="B8813" s="587"/>
      <c r="C8813" s="227" t="s">
        <v>629</v>
      </c>
      <c r="D8813" s="587" t="s">
        <v>630</v>
      </c>
      <c r="E8813" s="224" t="s">
        <v>631</v>
      </c>
      <c r="F8813" s="228">
        <v>0.15</v>
      </c>
      <c r="G8813" s="229">
        <f>G8791</f>
        <v>95000</v>
      </c>
      <c r="H8813" s="230">
        <f>+G8813*F8813</f>
        <v>14250</v>
      </c>
      <c r="M8813" s="228">
        <v>0.15</v>
      </c>
    </row>
    <row r="8814" spans="2:13" ht="18.75" customHeight="1" x14ac:dyDescent="0.25">
      <c r="B8814" s="587"/>
      <c r="C8814" s="227" t="s">
        <v>600</v>
      </c>
      <c r="D8814" s="587" t="s">
        <v>635</v>
      </c>
      <c r="E8814" s="224" t="s">
        <v>631</v>
      </c>
      <c r="F8814" s="228">
        <v>8.0000000000000002E-3</v>
      </c>
      <c r="G8814" s="229">
        <f>G8792</f>
        <v>140000</v>
      </c>
      <c r="H8814" s="230">
        <f>+G8814*F8814</f>
        <v>1120</v>
      </c>
      <c r="M8814" s="228">
        <v>8.0000000000000002E-3</v>
      </c>
    </row>
    <row r="8815" spans="2:13" ht="18.75" customHeight="1" x14ac:dyDescent="0.25">
      <c r="B8815" s="587"/>
      <c r="C8815" s="223"/>
      <c r="D8815" s="587"/>
      <c r="E8815" s="224"/>
      <c r="F8815" s="233" t="s">
        <v>636</v>
      </c>
      <c r="G8815" s="290"/>
      <c r="H8815" s="231">
        <f>SUM(H8813:H8814)</f>
        <v>15370</v>
      </c>
      <c r="M8815" s="233" t="s">
        <v>636</v>
      </c>
    </row>
    <row r="8816" spans="2:13" ht="18.75" customHeight="1" x14ac:dyDescent="0.25">
      <c r="B8816" s="587"/>
      <c r="C8816" s="223"/>
      <c r="D8816" s="587"/>
      <c r="E8816" s="224"/>
      <c r="F8816" s="233"/>
      <c r="G8816" s="290"/>
      <c r="H8816" s="231"/>
      <c r="M8816" s="233"/>
    </row>
    <row r="8817" spans="2:13" ht="18.75" customHeight="1" x14ac:dyDescent="0.25">
      <c r="B8817" s="587" t="s">
        <v>637</v>
      </c>
      <c r="C8817" s="223" t="s">
        <v>638</v>
      </c>
      <c r="D8817" s="587"/>
      <c r="E8817" s="224"/>
      <c r="F8817" s="225"/>
      <c r="G8817" s="290"/>
      <c r="H8817" s="226"/>
      <c r="M8817" s="225"/>
    </row>
    <row r="8818" spans="2:13" ht="18.75" customHeight="1" x14ac:dyDescent="0.25">
      <c r="B8818" s="587"/>
      <c r="C8818" s="223" t="s">
        <v>193</v>
      </c>
      <c r="D8818" s="587"/>
      <c r="E8818" s="587" t="s">
        <v>5</v>
      </c>
      <c r="F8818" s="405">
        <v>7.4999999999999997E-2</v>
      </c>
      <c r="G8818" s="410">
        <f>+G8796</f>
        <v>11000</v>
      </c>
      <c r="H8818" s="230">
        <f>+G8818*F8818</f>
        <v>825</v>
      </c>
      <c r="M8818" s="405">
        <v>7.4999999999999997E-2</v>
      </c>
    </row>
    <row r="8819" spans="2:13" ht="18.75" customHeight="1" x14ac:dyDescent="0.25">
      <c r="B8819" s="587"/>
      <c r="C8819" s="223"/>
      <c r="D8819" s="587"/>
      <c r="E8819" s="224"/>
      <c r="F8819" s="237" t="s">
        <v>643</v>
      </c>
      <c r="G8819" s="290"/>
      <c r="H8819" s="231">
        <f>SUM(H8818)</f>
        <v>825</v>
      </c>
      <c r="M8819" s="237" t="s">
        <v>643</v>
      </c>
    </row>
    <row r="8820" spans="2:13" ht="18.75" customHeight="1" x14ac:dyDescent="0.25">
      <c r="B8820" s="587"/>
      <c r="C8820" s="223"/>
      <c r="D8820" s="587"/>
      <c r="E8820" s="224"/>
      <c r="F8820" s="225"/>
      <c r="G8820" s="290"/>
      <c r="H8820" s="226"/>
      <c r="M8820" s="225"/>
    </row>
    <row r="8821" spans="2:13" ht="18.75" customHeight="1" x14ac:dyDescent="0.25">
      <c r="B8821" s="587" t="s">
        <v>644</v>
      </c>
      <c r="C8821" s="223" t="s">
        <v>645</v>
      </c>
      <c r="D8821" s="587"/>
      <c r="E8821" s="224"/>
      <c r="F8821" s="225"/>
      <c r="G8821" s="290"/>
      <c r="H8821" s="235"/>
      <c r="M8821" s="225"/>
    </row>
    <row r="8822" spans="2:13" ht="18.75" customHeight="1" x14ac:dyDescent="0.25">
      <c r="B8822" s="236"/>
      <c r="C8822" s="232"/>
      <c r="D8822" s="587"/>
      <c r="E8822" s="224"/>
      <c r="F8822" s="237" t="s">
        <v>646</v>
      </c>
      <c r="G8822" s="290"/>
      <c r="H8822" s="230"/>
      <c r="M8822" s="237" t="s">
        <v>646</v>
      </c>
    </row>
    <row r="8823" spans="2:13" ht="18.75" customHeight="1" x14ac:dyDescent="0.25">
      <c r="B8823" s="236"/>
      <c r="C8823" s="232"/>
      <c r="D8823" s="587"/>
      <c r="E8823" s="224"/>
      <c r="F8823" s="237"/>
      <c r="G8823" s="290"/>
      <c r="H8823" s="226"/>
      <c r="M8823" s="237"/>
    </row>
    <row r="8824" spans="2:13" ht="18.75" customHeight="1" x14ac:dyDescent="0.25">
      <c r="B8824" s="354"/>
      <c r="C8824" s="362"/>
      <c r="D8824" s="239"/>
      <c r="E8824" s="266"/>
      <c r="F8824" s="241"/>
      <c r="G8824" s="370"/>
      <c r="H8824" s="369"/>
      <c r="M8824" s="241"/>
    </row>
    <row r="8825" spans="2:13" ht="18.75" customHeight="1" x14ac:dyDescent="0.25">
      <c r="B8825" s="356" t="s">
        <v>647</v>
      </c>
      <c r="C8825" s="363" t="s">
        <v>648</v>
      </c>
      <c r="D8825" s="435"/>
      <c r="E8825" s="92"/>
      <c r="F8825" s="183"/>
      <c r="G8825" s="295"/>
      <c r="H8825" s="357">
        <f>+H8822+H8819+H8815</f>
        <v>16195</v>
      </c>
      <c r="M8825" s="183"/>
    </row>
    <row r="8826" spans="2:13" ht="18.75" customHeight="1" x14ac:dyDescent="0.25">
      <c r="B8826" s="356" t="s">
        <v>649</v>
      </c>
      <c r="C8826" s="364" t="s">
        <v>650</v>
      </c>
      <c r="D8826" s="435"/>
      <c r="E8826" s="92"/>
      <c r="F8826" s="184" t="str">
        <f>$J$5</f>
        <v>8,0 % x D</v>
      </c>
      <c r="G8826" s="295"/>
      <c r="H8826" s="358">
        <f>+H8825*$K$5</f>
        <v>1295.6000000000001</v>
      </c>
      <c r="M8826" s="184" t="str">
        <f>$J$5</f>
        <v>8,0 % x D</v>
      </c>
    </row>
    <row r="8827" spans="2:13" ht="18.75" customHeight="1" x14ac:dyDescent="0.25">
      <c r="B8827" s="356" t="s">
        <v>651</v>
      </c>
      <c r="C8827" s="365" t="s">
        <v>652</v>
      </c>
      <c r="D8827" s="435"/>
      <c r="E8827" s="91"/>
      <c r="F8827" s="185"/>
      <c r="G8827" s="296"/>
      <c r="H8827" s="359">
        <f>ROUNDUP((H8826+H8825)/100,0)*100</f>
        <v>17500</v>
      </c>
      <c r="M8827" s="185"/>
    </row>
    <row r="8828" spans="2:13" ht="18.75" customHeight="1" x14ac:dyDescent="0.25">
      <c r="B8828" s="360"/>
      <c r="C8828" s="366"/>
      <c r="D8828" s="245"/>
      <c r="E8828" s="246"/>
      <c r="F8828" s="247"/>
      <c r="G8828" s="299"/>
      <c r="H8828" s="361"/>
      <c r="M8828" s="247"/>
    </row>
    <row r="8829" spans="2:13" ht="18.75" customHeight="1" x14ac:dyDescent="0.25">
      <c r="B8829" s="92"/>
      <c r="C8829" s="104"/>
      <c r="D8829" s="435"/>
      <c r="E8829" s="91"/>
      <c r="F8829" s="185"/>
      <c r="G8829" s="168"/>
      <c r="H8829" s="139"/>
      <c r="M8829" s="185"/>
    </row>
    <row r="8830" spans="2:13" ht="18.75" customHeight="1" x14ac:dyDescent="0.25">
      <c r="B8830" s="19" t="s">
        <v>1672</v>
      </c>
      <c r="C8830" s="93" t="s">
        <v>1674</v>
      </c>
      <c r="D8830" s="19"/>
      <c r="E8830" s="21"/>
      <c r="F8830" s="176"/>
      <c r="G8830" s="165"/>
      <c r="H8830" s="119"/>
      <c r="M8830" s="176"/>
    </row>
    <row r="8831" spans="2:13" ht="18.75" customHeight="1" x14ac:dyDescent="0.25">
      <c r="B8831" s="19" t="s">
        <v>1673</v>
      </c>
      <c r="C8831" s="93" t="s">
        <v>1675</v>
      </c>
      <c r="D8831" s="19"/>
      <c r="E8831" s="21"/>
      <c r="F8831" s="176"/>
      <c r="G8831" s="165"/>
      <c r="H8831" s="119"/>
      <c r="M8831" s="176"/>
    </row>
    <row r="8832" spans="2:13" ht="18.75" customHeight="1" x14ac:dyDescent="0.25">
      <c r="B8832" s="618" t="s">
        <v>620</v>
      </c>
      <c r="C8832" s="620" t="s">
        <v>621</v>
      </c>
      <c r="D8832" s="618" t="s">
        <v>622</v>
      </c>
      <c r="E8832" s="618" t="s">
        <v>2</v>
      </c>
      <c r="F8832" s="615" t="s">
        <v>623</v>
      </c>
      <c r="G8832" s="289" t="s">
        <v>624</v>
      </c>
      <c r="H8832" s="256" t="s">
        <v>625</v>
      </c>
      <c r="M8832" s="615" t="s">
        <v>623</v>
      </c>
    </row>
    <row r="8833" spans="2:13" ht="18.75" customHeight="1" x14ac:dyDescent="0.25">
      <c r="B8833" s="619"/>
      <c r="C8833" s="621"/>
      <c r="D8833" s="619"/>
      <c r="E8833" s="619"/>
      <c r="F8833" s="616"/>
      <c r="G8833" s="289" t="s">
        <v>626</v>
      </c>
      <c r="H8833" s="256" t="s">
        <v>626</v>
      </c>
      <c r="M8833" s="616"/>
    </row>
    <row r="8834" spans="2:13" ht="18.75" customHeight="1" x14ac:dyDescent="0.25">
      <c r="B8834" s="221"/>
      <c r="C8834" s="222"/>
      <c r="D8834" s="221"/>
      <c r="E8834" s="587"/>
      <c r="F8834" s="589"/>
      <c r="G8834" s="588"/>
      <c r="H8834" s="220"/>
      <c r="M8834" s="590"/>
    </row>
    <row r="8835" spans="2:13" ht="18.75" customHeight="1" x14ac:dyDescent="0.25">
      <c r="B8835" s="587" t="s">
        <v>627</v>
      </c>
      <c r="C8835" s="223" t="s">
        <v>628</v>
      </c>
      <c r="D8835" s="587"/>
      <c r="E8835" s="224"/>
      <c r="F8835" s="225"/>
      <c r="G8835" s="290"/>
      <c r="H8835" s="226"/>
      <c r="M8835" s="225"/>
    </row>
    <row r="8836" spans="2:13" ht="18.75" customHeight="1" x14ac:dyDescent="0.25">
      <c r="B8836" s="587"/>
      <c r="C8836" s="227" t="s">
        <v>629</v>
      </c>
      <c r="D8836" s="587" t="s">
        <v>630</v>
      </c>
      <c r="E8836" s="224" t="s">
        <v>631</v>
      </c>
      <c r="F8836" s="228">
        <v>2.8000000000000001E-2</v>
      </c>
      <c r="G8836" s="229">
        <f>G8742</f>
        <v>95000</v>
      </c>
      <c r="H8836" s="230">
        <f>+G8836*F8836</f>
        <v>2660</v>
      </c>
      <c r="M8836" s="228">
        <v>2.8000000000000001E-2</v>
      </c>
    </row>
    <row r="8837" spans="2:13" ht="18.75" customHeight="1" x14ac:dyDescent="0.25">
      <c r="B8837" s="587"/>
      <c r="C8837" s="227" t="s">
        <v>1508</v>
      </c>
      <c r="D8837" s="587" t="s">
        <v>632</v>
      </c>
      <c r="E8837" s="224" t="s">
        <v>631</v>
      </c>
      <c r="F8837" s="228">
        <v>7.5200000000000003E-2</v>
      </c>
      <c r="G8837" s="229">
        <f>G8743</f>
        <v>110000</v>
      </c>
      <c r="H8837" s="230">
        <f>+G8837*F8837</f>
        <v>8272</v>
      </c>
      <c r="M8837" s="228">
        <v>7.5200000000000003E-2</v>
      </c>
    </row>
    <row r="8838" spans="2:13" ht="18.75" customHeight="1" x14ac:dyDescent="0.25">
      <c r="B8838" s="587"/>
      <c r="C8838" s="227" t="s">
        <v>633</v>
      </c>
      <c r="D8838" s="587" t="s">
        <v>634</v>
      </c>
      <c r="E8838" s="224" t="s">
        <v>631</v>
      </c>
      <c r="F8838" s="228">
        <v>4.1999999999999997E-3</v>
      </c>
      <c r="G8838" s="229">
        <f>G8744</f>
        <v>115000</v>
      </c>
      <c r="H8838" s="230">
        <f>+G8838*F8838</f>
        <v>482.99999999999994</v>
      </c>
      <c r="M8838" s="228">
        <v>4.1999999999999997E-3</v>
      </c>
    </row>
    <row r="8839" spans="2:13" ht="18.75" customHeight="1" x14ac:dyDescent="0.25">
      <c r="B8839" s="587"/>
      <c r="C8839" s="227" t="s">
        <v>600</v>
      </c>
      <c r="D8839" s="587" t="s">
        <v>635</v>
      </c>
      <c r="E8839" s="224" t="s">
        <v>631</v>
      </c>
      <c r="F8839" s="228">
        <v>3.0000000000000001E-3</v>
      </c>
      <c r="G8839" s="229">
        <f>G8745</f>
        <v>140000</v>
      </c>
      <c r="H8839" s="230">
        <f>+G8839*F8839</f>
        <v>420</v>
      </c>
      <c r="M8839" s="228">
        <v>3.0000000000000001E-3</v>
      </c>
    </row>
    <row r="8840" spans="2:13" ht="18.75" customHeight="1" x14ac:dyDescent="0.25">
      <c r="B8840" s="587"/>
      <c r="C8840" s="223"/>
      <c r="D8840" s="587"/>
      <c r="E8840" s="224"/>
      <c r="F8840" s="233" t="s">
        <v>636</v>
      </c>
      <c r="G8840" s="290"/>
      <c r="H8840" s="231">
        <f>SUM(H8836:H8839)</f>
        <v>11835</v>
      </c>
      <c r="M8840" s="233" t="s">
        <v>636</v>
      </c>
    </row>
    <row r="8841" spans="2:13" ht="18.75" customHeight="1" x14ac:dyDescent="0.25">
      <c r="B8841" s="587"/>
      <c r="C8841" s="223"/>
      <c r="D8841" s="587"/>
      <c r="E8841" s="224"/>
      <c r="F8841" s="233"/>
      <c r="G8841" s="290"/>
      <c r="H8841" s="231"/>
      <c r="M8841" s="233"/>
    </row>
    <row r="8842" spans="2:13" ht="18.75" customHeight="1" x14ac:dyDescent="0.25">
      <c r="B8842" s="587" t="s">
        <v>637</v>
      </c>
      <c r="C8842" s="223" t="s">
        <v>638</v>
      </c>
      <c r="D8842" s="587"/>
      <c r="E8842" s="224"/>
      <c r="F8842" s="225"/>
      <c r="G8842" s="290"/>
      <c r="H8842" s="226"/>
      <c r="M8842" s="225"/>
    </row>
    <row r="8843" spans="2:13" ht="18.75" customHeight="1" x14ac:dyDescent="0.25">
      <c r="B8843" s="587"/>
      <c r="C8843" s="223" t="s">
        <v>1659</v>
      </c>
      <c r="D8843" s="587"/>
      <c r="E8843" s="587" t="s">
        <v>5</v>
      </c>
      <c r="F8843" s="405">
        <v>0.2</v>
      </c>
      <c r="G8843" s="410">
        <f>Bahan!D189</f>
        <v>21000</v>
      </c>
      <c r="H8843" s="230">
        <f t="shared" ref="H8843:H8849" si="347">+G8843*F8843</f>
        <v>4200</v>
      </c>
      <c r="M8843" s="405">
        <v>0.2</v>
      </c>
    </row>
    <row r="8844" spans="2:13" ht="18.75" customHeight="1" x14ac:dyDescent="0.25">
      <c r="B8844" s="587"/>
      <c r="C8844" s="223" t="s">
        <v>182</v>
      </c>
      <c r="D8844" s="587"/>
      <c r="E8844" s="587" t="s">
        <v>5</v>
      </c>
      <c r="F8844" s="405">
        <v>0.15</v>
      </c>
      <c r="G8844" s="410">
        <f>Bahan!D200</f>
        <v>45000</v>
      </c>
      <c r="H8844" s="230">
        <f t="shared" si="347"/>
        <v>6750</v>
      </c>
      <c r="M8844" s="405">
        <v>0.15</v>
      </c>
    </row>
    <row r="8845" spans="2:13" ht="18.75" customHeight="1" x14ac:dyDescent="0.25">
      <c r="B8845" s="587"/>
      <c r="C8845" s="223" t="s">
        <v>1660</v>
      </c>
      <c r="D8845" s="587"/>
      <c r="E8845" s="587" t="s">
        <v>5</v>
      </c>
      <c r="F8845" s="405">
        <v>0.17</v>
      </c>
      <c r="G8845" s="410">
        <f>Bahan!D187</f>
        <v>81000</v>
      </c>
      <c r="H8845" s="230">
        <f t="shared" si="347"/>
        <v>13770.000000000002</v>
      </c>
      <c r="M8845" s="405">
        <v>0.17</v>
      </c>
    </row>
    <row r="8846" spans="2:13" ht="18.75" customHeight="1" x14ac:dyDescent="0.25">
      <c r="B8846" s="587"/>
      <c r="C8846" s="223" t="s">
        <v>1661</v>
      </c>
      <c r="D8846" s="587"/>
      <c r="E8846" s="587" t="s">
        <v>5</v>
      </c>
      <c r="F8846" s="405">
        <v>0.26</v>
      </c>
      <c r="G8846" s="410">
        <f>Bahan!D187</f>
        <v>81000</v>
      </c>
      <c r="H8846" s="230">
        <f t="shared" si="347"/>
        <v>21060</v>
      </c>
      <c r="M8846" s="405">
        <v>0.26</v>
      </c>
    </row>
    <row r="8847" spans="2:13" ht="18.75" customHeight="1" x14ac:dyDescent="0.25">
      <c r="B8847" s="587"/>
      <c r="C8847" s="223" t="s">
        <v>179</v>
      </c>
      <c r="D8847" s="587"/>
      <c r="E8847" s="587" t="s">
        <v>28</v>
      </c>
      <c r="F8847" s="405">
        <v>0.01</v>
      </c>
      <c r="G8847" s="410">
        <f>Bahan!D196</f>
        <v>15000</v>
      </c>
      <c r="H8847" s="230">
        <f t="shared" si="347"/>
        <v>150</v>
      </c>
      <c r="M8847" s="405">
        <v>0.01</v>
      </c>
    </row>
    <row r="8848" spans="2:13" ht="18.75" customHeight="1" x14ac:dyDescent="0.25">
      <c r="B8848" s="587"/>
      <c r="C8848" s="223" t="s">
        <v>1325</v>
      </c>
      <c r="D8848" s="587"/>
      <c r="E8848" s="587" t="s">
        <v>5</v>
      </c>
      <c r="F8848" s="405">
        <v>0.03</v>
      </c>
      <c r="G8848" s="410">
        <f>Bahan!D199</f>
        <v>31000</v>
      </c>
      <c r="H8848" s="230">
        <f t="shared" si="347"/>
        <v>930</v>
      </c>
      <c r="M8848" s="405">
        <v>0.03</v>
      </c>
    </row>
    <row r="8849" spans="2:13" ht="18.75" customHeight="1" x14ac:dyDescent="0.25">
      <c r="B8849" s="587"/>
      <c r="C8849" s="223" t="s">
        <v>1326</v>
      </c>
      <c r="D8849" s="587"/>
      <c r="E8849" s="587" t="s">
        <v>18</v>
      </c>
      <c r="F8849" s="405">
        <v>0.2</v>
      </c>
      <c r="G8849" s="410">
        <f>Bahan!D182</f>
        <v>5700</v>
      </c>
      <c r="H8849" s="230">
        <f t="shared" si="347"/>
        <v>1140</v>
      </c>
      <c r="M8849" s="405">
        <v>0.2</v>
      </c>
    </row>
    <row r="8850" spans="2:13" ht="18.75" customHeight="1" x14ac:dyDescent="0.25">
      <c r="B8850" s="587"/>
      <c r="C8850" s="223"/>
      <c r="D8850" s="587"/>
      <c r="E8850" s="224"/>
      <c r="F8850" s="237" t="s">
        <v>643</v>
      </c>
      <c r="G8850" s="290"/>
      <c r="H8850" s="231">
        <f>SUM(H8843:H8849)</f>
        <v>48000</v>
      </c>
      <c r="M8850" s="237" t="s">
        <v>643</v>
      </c>
    </row>
    <row r="8851" spans="2:13" ht="18.75" customHeight="1" x14ac:dyDescent="0.25">
      <c r="B8851" s="587"/>
      <c r="C8851" s="223"/>
      <c r="D8851" s="587"/>
      <c r="E8851" s="224"/>
      <c r="F8851" s="237" t="s">
        <v>643</v>
      </c>
      <c r="G8851" s="290"/>
      <c r="H8851" s="231">
        <f>H8845+H8846+H8847+H8848+H8849</f>
        <v>37050</v>
      </c>
      <c r="M8851" s="237" t="s">
        <v>643</v>
      </c>
    </row>
    <row r="8852" spans="2:13" ht="18.75" customHeight="1" x14ac:dyDescent="0.25">
      <c r="B8852" s="587"/>
      <c r="C8852" s="223"/>
      <c r="D8852" s="587"/>
      <c r="E8852" s="224"/>
      <c r="F8852" s="225"/>
      <c r="G8852" s="290"/>
      <c r="H8852" s="226"/>
      <c r="M8852" s="225"/>
    </row>
    <row r="8853" spans="2:13" ht="18.75" customHeight="1" x14ac:dyDescent="0.25">
      <c r="B8853" s="587" t="s">
        <v>644</v>
      </c>
      <c r="C8853" s="223" t="s">
        <v>645</v>
      </c>
      <c r="D8853" s="587"/>
      <c r="E8853" s="224"/>
      <c r="F8853" s="225"/>
      <c r="G8853" s="290"/>
      <c r="H8853" s="235"/>
      <c r="M8853" s="225"/>
    </row>
    <row r="8854" spans="2:13" ht="18.75" customHeight="1" x14ac:dyDescent="0.25">
      <c r="B8854" s="236"/>
      <c r="C8854" s="232"/>
      <c r="D8854" s="587"/>
      <c r="E8854" s="224"/>
      <c r="F8854" s="237" t="s">
        <v>646</v>
      </c>
      <c r="G8854" s="290"/>
      <c r="H8854" s="230"/>
      <c r="M8854" s="237" t="s">
        <v>646</v>
      </c>
    </row>
    <row r="8855" spans="2:13" ht="18.75" customHeight="1" x14ac:dyDescent="0.25">
      <c r="B8855" s="236"/>
      <c r="C8855" s="232"/>
      <c r="D8855" s="587"/>
      <c r="E8855" s="224"/>
      <c r="F8855" s="237"/>
      <c r="G8855" s="290"/>
      <c r="H8855" s="226"/>
      <c r="M8855" s="237"/>
    </row>
    <row r="8856" spans="2:13" ht="18.75" customHeight="1" x14ac:dyDescent="0.25">
      <c r="B8856" s="354"/>
      <c r="C8856" s="362"/>
      <c r="D8856" s="239"/>
      <c r="E8856" s="266"/>
      <c r="F8856" s="241"/>
      <c r="G8856" s="370"/>
      <c r="H8856" s="369"/>
      <c r="M8856" s="241"/>
    </row>
    <row r="8857" spans="2:13" ht="18.75" customHeight="1" x14ac:dyDescent="0.25">
      <c r="B8857" s="356" t="s">
        <v>647</v>
      </c>
      <c r="C8857" s="363" t="s">
        <v>648</v>
      </c>
      <c r="D8857" s="435"/>
      <c r="E8857" s="92"/>
      <c r="F8857" s="183"/>
      <c r="G8857" s="295"/>
      <c r="H8857" s="357">
        <f>+H8854+H8850+H8840</f>
        <v>59835</v>
      </c>
      <c r="M8857" s="183"/>
    </row>
    <row r="8858" spans="2:13" ht="18.75" customHeight="1" x14ac:dyDescent="0.25">
      <c r="B8858" s="356" t="s">
        <v>649</v>
      </c>
      <c r="C8858" s="364" t="s">
        <v>650</v>
      </c>
      <c r="D8858" s="435"/>
      <c r="E8858" s="92"/>
      <c r="F8858" s="184" t="str">
        <f>$J$5</f>
        <v>8,0 % x D</v>
      </c>
      <c r="G8858" s="295"/>
      <c r="H8858" s="358">
        <f>+H8857*$K$5</f>
        <v>4786.8</v>
      </c>
      <c r="M8858" s="184" t="str">
        <f>$J$5</f>
        <v>8,0 % x D</v>
      </c>
    </row>
    <row r="8859" spans="2:13" ht="18.75" customHeight="1" x14ac:dyDescent="0.25">
      <c r="B8859" s="356" t="s">
        <v>651</v>
      </c>
      <c r="C8859" s="365" t="s">
        <v>1670</v>
      </c>
      <c r="D8859" s="435"/>
      <c r="E8859" s="91"/>
      <c r="F8859" s="185"/>
      <c r="G8859" s="296"/>
      <c r="H8859" s="359">
        <f>ROUNDUP((H8858+H8857)/100,0)*100</f>
        <v>64700</v>
      </c>
      <c r="M8859" s="185"/>
    </row>
    <row r="8860" spans="2:13" ht="18.75" customHeight="1" x14ac:dyDescent="0.25">
      <c r="B8860" s="356"/>
      <c r="C8860" s="363"/>
      <c r="D8860" s="435"/>
      <c r="E8860" s="92"/>
      <c r="F8860" s="183"/>
      <c r="G8860" s="295"/>
      <c r="H8860" s="357"/>
      <c r="M8860" s="183"/>
    </row>
    <row r="8861" spans="2:13" ht="18.75" customHeight="1" x14ac:dyDescent="0.25">
      <c r="B8861" s="356" t="s">
        <v>825</v>
      </c>
      <c r="C8861" s="363" t="s">
        <v>648</v>
      </c>
      <c r="D8861" s="435"/>
      <c r="E8861" s="92"/>
      <c r="F8861" s="183"/>
      <c r="G8861" s="295"/>
      <c r="H8861" s="357">
        <f>H8840+H8851</f>
        <v>48885</v>
      </c>
      <c r="M8861" s="183"/>
    </row>
    <row r="8862" spans="2:13" ht="18.75" customHeight="1" x14ac:dyDescent="0.25">
      <c r="B8862" s="356" t="s">
        <v>827</v>
      </c>
      <c r="C8862" s="364" t="s">
        <v>650</v>
      </c>
      <c r="D8862" s="435"/>
      <c r="E8862" s="92"/>
      <c r="F8862" s="184" t="str">
        <f>$J$5</f>
        <v>8,0 % x D</v>
      </c>
      <c r="G8862" s="295"/>
      <c r="H8862" s="358">
        <f>+H8861*$K$5</f>
        <v>3910.8</v>
      </c>
      <c r="M8862" s="184" t="str">
        <f>$J$5</f>
        <v>8,0 % x D</v>
      </c>
    </row>
    <row r="8863" spans="2:13" ht="18.75" customHeight="1" x14ac:dyDescent="0.25">
      <c r="B8863" s="356" t="s">
        <v>617</v>
      </c>
      <c r="C8863" s="365" t="s">
        <v>1671</v>
      </c>
      <c r="D8863" s="435"/>
      <c r="E8863" s="91"/>
      <c r="F8863" s="185"/>
      <c r="G8863" s="296"/>
      <c r="H8863" s="359">
        <f>ROUNDUP((H8862+H8861)/100,0)*100</f>
        <v>52800</v>
      </c>
      <c r="M8863" s="185"/>
    </row>
    <row r="8864" spans="2:13" ht="18.75" customHeight="1" x14ac:dyDescent="0.25">
      <c r="B8864" s="360"/>
      <c r="C8864" s="366"/>
      <c r="D8864" s="245"/>
      <c r="E8864" s="246"/>
      <c r="F8864" s="247"/>
      <c r="G8864" s="299"/>
      <c r="H8864" s="361"/>
      <c r="M8864" s="247"/>
    </row>
    <row r="8865" spans="2:13" ht="18.75" customHeight="1" x14ac:dyDescent="0.25">
      <c r="B8865" s="22"/>
      <c r="C8865" s="104"/>
      <c r="E8865" s="21"/>
      <c r="F8865" s="176"/>
      <c r="G8865" s="165"/>
      <c r="H8865" s="119"/>
      <c r="M8865" s="176"/>
    </row>
    <row r="8866" spans="2:13" ht="18.75" customHeight="1" x14ac:dyDescent="0.25">
      <c r="B8866" s="19">
        <v>5</v>
      </c>
      <c r="C8866" s="93" t="s">
        <v>1327</v>
      </c>
      <c r="D8866" s="19"/>
      <c r="E8866" s="21"/>
      <c r="F8866" s="176"/>
      <c r="G8866" s="165"/>
      <c r="H8866" s="119"/>
      <c r="M8866" s="176"/>
    </row>
    <row r="8867" spans="2:13" ht="18.75" customHeight="1" x14ac:dyDescent="0.25">
      <c r="B8867" s="618" t="s">
        <v>620</v>
      </c>
      <c r="C8867" s="620" t="s">
        <v>621</v>
      </c>
      <c r="D8867" s="618" t="s">
        <v>622</v>
      </c>
      <c r="E8867" s="618" t="s">
        <v>2</v>
      </c>
      <c r="F8867" s="615" t="s">
        <v>623</v>
      </c>
      <c r="G8867" s="289" t="s">
        <v>624</v>
      </c>
      <c r="H8867" s="256" t="s">
        <v>625</v>
      </c>
      <c r="M8867" s="615" t="s">
        <v>623</v>
      </c>
    </row>
    <row r="8868" spans="2:13" ht="18.75" customHeight="1" x14ac:dyDescent="0.25">
      <c r="B8868" s="619"/>
      <c r="C8868" s="621"/>
      <c r="D8868" s="619"/>
      <c r="E8868" s="619"/>
      <c r="F8868" s="616"/>
      <c r="G8868" s="289" t="s">
        <v>626</v>
      </c>
      <c r="H8868" s="256" t="s">
        <v>626</v>
      </c>
      <c r="M8868" s="616"/>
    </row>
    <row r="8869" spans="2:13" ht="18.75" customHeight="1" x14ac:dyDescent="0.25">
      <c r="B8869" s="221"/>
      <c r="C8869" s="222"/>
      <c r="D8869" s="221"/>
      <c r="E8869" s="587"/>
      <c r="F8869" s="589"/>
      <c r="G8869" s="588"/>
      <c r="H8869" s="220"/>
      <c r="M8869" s="590"/>
    </row>
    <row r="8870" spans="2:13" ht="18.75" customHeight="1" x14ac:dyDescent="0.25">
      <c r="B8870" s="587" t="s">
        <v>627</v>
      </c>
      <c r="C8870" s="223" t="s">
        <v>628</v>
      </c>
      <c r="D8870" s="587"/>
      <c r="E8870" s="224"/>
      <c r="F8870" s="225"/>
      <c r="G8870" s="290"/>
      <c r="H8870" s="226"/>
      <c r="M8870" s="225"/>
    </row>
    <row r="8871" spans="2:13" ht="18.75" customHeight="1" x14ac:dyDescent="0.25">
      <c r="B8871" s="587"/>
      <c r="C8871" s="227" t="s">
        <v>629</v>
      </c>
      <c r="D8871" s="587" t="s">
        <v>630</v>
      </c>
      <c r="E8871" s="224" t="s">
        <v>631</v>
      </c>
      <c r="F8871" s="228">
        <v>2.8000000000000001E-2</v>
      </c>
      <c r="G8871" s="229">
        <f>G8836</f>
        <v>95000</v>
      </c>
      <c r="H8871" s="230">
        <f>+G8871*F8871</f>
        <v>2660</v>
      </c>
      <c r="M8871" s="228">
        <v>2.8000000000000001E-2</v>
      </c>
    </row>
    <row r="8872" spans="2:13" ht="18.75" customHeight="1" x14ac:dyDescent="0.25">
      <c r="B8872" s="587"/>
      <c r="C8872" s="227" t="s">
        <v>1508</v>
      </c>
      <c r="D8872" s="587" t="s">
        <v>632</v>
      </c>
      <c r="E8872" s="224" t="s">
        <v>631</v>
      </c>
      <c r="F8872" s="228">
        <v>7.5200000000000003E-2</v>
      </c>
      <c r="G8872" s="229">
        <f>G8837</f>
        <v>110000</v>
      </c>
      <c r="H8872" s="230">
        <f>+G8872*F8872</f>
        <v>8272</v>
      </c>
      <c r="M8872" s="228">
        <v>7.5200000000000003E-2</v>
      </c>
    </row>
    <row r="8873" spans="2:13" ht="18.75" customHeight="1" x14ac:dyDescent="0.25">
      <c r="B8873" s="587"/>
      <c r="C8873" s="227" t="s">
        <v>633</v>
      </c>
      <c r="D8873" s="587" t="s">
        <v>634</v>
      </c>
      <c r="E8873" s="224" t="s">
        <v>631</v>
      </c>
      <c r="F8873" s="228">
        <v>4.0000000000000001E-3</v>
      </c>
      <c r="G8873" s="229">
        <f>G8838</f>
        <v>115000</v>
      </c>
      <c r="H8873" s="230">
        <f>+G8873*F8873</f>
        <v>460</v>
      </c>
      <c r="M8873" s="228">
        <v>4.0000000000000001E-3</v>
      </c>
    </row>
    <row r="8874" spans="2:13" ht="18.75" customHeight="1" x14ac:dyDescent="0.25">
      <c r="B8874" s="587"/>
      <c r="C8874" s="227" t="s">
        <v>600</v>
      </c>
      <c r="D8874" s="587" t="s">
        <v>635</v>
      </c>
      <c r="E8874" s="224" t="s">
        <v>631</v>
      </c>
      <c r="F8874" s="228">
        <v>3.0000000000000001E-3</v>
      </c>
      <c r="G8874" s="229">
        <f>G8839</f>
        <v>140000</v>
      </c>
      <c r="H8874" s="230">
        <f>+G8874*F8874</f>
        <v>420</v>
      </c>
      <c r="M8874" s="228">
        <v>3.0000000000000001E-3</v>
      </c>
    </row>
    <row r="8875" spans="2:13" ht="18.75" customHeight="1" x14ac:dyDescent="0.25">
      <c r="B8875" s="587"/>
      <c r="C8875" s="223"/>
      <c r="D8875" s="587"/>
      <c r="E8875" s="224"/>
      <c r="F8875" s="233" t="s">
        <v>636</v>
      </c>
      <c r="G8875" s="290"/>
      <c r="H8875" s="231">
        <f>SUM(H8871:H8874)</f>
        <v>11812</v>
      </c>
      <c r="M8875" s="233" t="s">
        <v>636</v>
      </c>
    </row>
    <row r="8876" spans="2:13" ht="18.75" customHeight="1" x14ac:dyDescent="0.25">
      <c r="B8876" s="587"/>
      <c r="C8876" s="223"/>
      <c r="D8876" s="587"/>
      <c r="E8876" s="224"/>
      <c r="F8876" s="233"/>
      <c r="G8876" s="290"/>
      <c r="H8876" s="231"/>
      <c r="M8876" s="233"/>
    </row>
    <row r="8877" spans="2:13" ht="18.75" customHeight="1" x14ac:dyDescent="0.25">
      <c r="B8877" s="587" t="s">
        <v>637</v>
      </c>
      <c r="C8877" s="223" t="s">
        <v>638</v>
      </c>
      <c r="D8877" s="587"/>
      <c r="E8877" s="224"/>
      <c r="F8877" s="225"/>
      <c r="G8877" s="290"/>
      <c r="H8877" s="226"/>
      <c r="M8877" s="225"/>
    </row>
    <row r="8878" spans="2:13" ht="18.75" customHeight="1" x14ac:dyDescent="0.25">
      <c r="B8878" s="587"/>
      <c r="C8878" s="223" t="s">
        <v>1328</v>
      </c>
      <c r="D8878" s="587"/>
      <c r="E8878" s="587" t="s">
        <v>5</v>
      </c>
      <c r="F8878" s="405">
        <v>0.2</v>
      </c>
      <c r="G8878" s="410">
        <f>G8843</f>
        <v>21000</v>
      </c>
      <c r="H8878" s="230">
        <f t="shared" ref="H8878:H8884" si="348">+G8878*F8878</f>
        <v>4200</v>
      </c>
      <c r="M8878" s="405">
        <v>0.2</v>
      </c>
    </row>
    <row r="8879" spans="2:13" ht="18.75" customHeight="1" x14ac:dyDescent="0.25">
      <c r="B8879" s="587"/>
      <c r="C8879" s="223" t="s">
        <v>1329</v>
      </c>
      <c r="D8879" s="587"/>
      <c r="E8879" s="587" t="s">
        <v>5</v>
      </c>
      <c r="F8879" s="405">
        <v>0.15</v>
      </c>
      <c r="G8879" s="410">
        <f>G8844</f>
        <v>45000</v>
      </c>
      <c r="H8879" s="230">
        <f t="shared" si="348"/>
        <v>6750</v>
      </c>
      <c r="M8879" s="405">
        <v>0.15</v>
      </c>
    </row>
    <row r="8880" spans="2:13" ht="18.75" customHeight="1" x14ac:dyDescent="0.25">
      <c r="B8880" s="587"/>
      <c r="C8880" s="223" t="s">
        <v>173</v>
      </c>
      <c r="D8880" s="587"/>
      <c r="E8880" s="587" t="s">
        <v>5</v>
      </c>
      <c r="F8880" s="405">
        <v>0.17</v>
      </c>
      <c r="G8880" s="410">
        <f>+G8845</f>
        <v>81000</v>
      </c>
      <c r="H8880" s="230">
        <f t="shared" si="348"/>
        <v>13770.000000000002</v>
      </c>
      <c r="M8880" s="405">
        <v>0.17</v>
      </c>
    </row>
    <row r="8881" spans="2:13" ht="18.75" customHeight="1" x14ac:dyDescent="0.25">
      <c r="B8881" s="587"/>
      <c r="C8881" s="223" t="s">
        <v>1330</v>
      </c>
      <c r="D8881" s="587"/>
      <c r="E8881" s="587" t="s">
        <v>5</v>
      </c>
      <c r="F8881" s="405">
        <v>0.35</v>
      </c>
      <c r="G8881" s="410">
        <f>+G8846</f>
        <v>81000</v>
      </c>
      <c r="H8881" s="230">
        <f t="shared" si="348"/>
        <v>28350</v>
      </c>
      <c r="M8881" s="405">
        <v>0.35</v>
      </c>
    </row>
    <row r="8882" spans="2:13" ht="18.75" customHeight="1" x14ac:dyDescent="0.25">
      <c r="B8882" s="587"/>
      <c r="C8882" s="223" t="s">
        <v>179</v>
      </c>
      <c r="D8882" s="587"/>
      <c r="E8882" s="587" t="s">
        <v>5</v>
      </c>
      <c r="F8882" s="405">
        <v>0.01</v>
      </c>
      <c r="G8882" s="410">
        <f>+G8847</f>
        <v>15000</v>
      </c>
      <c r="H8882" s="230">
        <f t="shared" si="348"/>
        <v>150</v>
      </c>
      <c r="M8882" s="405">
        <v>0.01</v>
      </c>
    </row>
    <row r="8883" spans="2:13" ht="18.75" customHeight="1" x14ac:dyDescent="0.25">
      <c r="B8883" s="587"/>
      <c r="C8883" s="223" t="s">
        <v>1331</v>
      </c>
      <c r="D8883" s="587"/>
      <c r="E8883" s="587" t="s">
        <v>5</v>
      </c>
      <c r="F8883" s="405">
        <v>0.03</v>
      </c>
      <c r="G8883" s="410">
        <f>+G8848</f>
        <v>31000</v>
      </c>
      <c r="H8883" s="230">
        <f t="shared" si="348"/>
        <v>930</v>
      </c>
      <c r="M8883" s="405">
        <v>0.03</v>
      </c>
    </row>
    <row r="8884" spans="2:13" ht="18.75" customHeight="1" x14ac:dyDescent="0.25">
      <c r="B8884" s="587"/>
      <c r="C8884" s="223" t="s">
        <v>1326</v>
      </c>
      <c r="D8884" s="587"/>
      <c r="E8884" s="587" t="s">
        <v>18</v>
      </c>
      <c r="F8884" s="405">
        <v>0.2</v>
      </c>
      <c r="G8884" s="410">
        <f>+G8849</f>
        <v>5700</v>
      </c>
      <c r="H8884" s="230">
        <f t="shared" si="348"/>
        <v>1140</v>
      </c>
      <c r="M8884" s="405">
        <v>0.2</v>
      </c>
    </row>
    <row r="8885" spans="2:13" ht="18.75" customHeight="1" x14ac:dyDescent="0.25">
      <c r="B8885" s="587"/>
      <c r="C8885" s="223"/>
      <c r="D8885" s="587"/>
      <c r="E8885" s="224"/>
      <c r="F8885" s="237" t="s">
        <v>643</v>
      </c>
      <c r="G8885" s="290"/>
      <c r="H8885" s="231">
        <f>SUM(H8878:H8884)</f>
        <v>55290</v>
      </c>
      <c r="M8885" s="237" t="s">
        <v>643</v>
      </c>
    </row>
    <row r="8886" spans="2:13" ht="18.75" customHeight="1" x14ac:dyDescent="0.25">
      <c r="B8886" s="587"/>
      <c r="C8886" s="223"/>
      <c r="D8886" s="587"/>
      <c r="E8886" s="224"/>
      <c r="F8886" s="225"/>
      <c r="G8886" s="290"/>
      <c r="H8886" s="226"/>
      <c r="M8886" s="225"/>
    </row>
    <row r="8887" spans="2:13" ht="18.75" customHeight="1" x14ac:dyDescent="0.25">
      <c r="B8887" s="587" t="s">
        <v>644</v>
      </c>
      <c r="C8887" s="223" t="s">
        <v>645</v>
      </c>
      <c r="D8887" s="587"/>
      <c r="E8887" s="224"/>
      <c r="F8887" s="225"/>
      <c r="G8887" s="290"/>
      <c r="H8887" s="235"/>
      <c r="M8887" s="225"/>
    </row>
    <row r="8888" spans="2:13" ht="18.75" customHeight="1" x14ac:dyDescent="0.25">
      <c r="B8888" s="236"/>
      <c r="C8888" s="232"/>
      <c r="D8888" s="587"/>
      <c r="E8888" s="224"/>
      <c r="F8888" s="237" t="s">
        <v>646</v>
      </c>
      <c r="G8888" s="290"/>
      <c r="H8888" s="230"/>
      <c r="M8888" s="237" t="s">
        <v>646</v>
      </c>
    </row>
    <row r="8889" spans="2:13" ht="18.75" customHeight="1" x14ac:dyDescent="0.25">
      <c r="B8889" s="236"/>
      <c r="C8889" s="232"/>
      <c r="D8889" s="587"/>
      <c r="E8889" s="224"/>
      <c r="F8889" s="237"/>
      <c r="G8889" s="290"/>
      <c r="H8889" s="226"/>
      <c r="M8889" s="237"/>
    </row>
    <row r="8890" spans="2:13" ht="18.75" customHeight="1" x14ac:dyDescent="0.25">
      <c r="B8890" s="354"/>
      <c r="C8890" s="362"/>
      <c r="D8890" s="239"/>
      <c r="E8890" s="266"/>
      <c r="F8890" s="241"/>
      <c r="G8890" s="370"/>
      <c r="H8890" s="369"/>
      <c r="M8890" s="241"/>
    </row>
    <row r="8891" spans="2:13" ht="18.75" customHeight="1" x14ac:dyDescent="0.25">
      <c r="B8891" s="356" t="s">
        <v>647</v>
      </c>
      <c r="C8891" s="363" t="s">
        <v>648</v>
      </c>
      <c r="D8891" s="435"/>
      <c r="E8891" s="92"/>
      <c r="F8891" s="183"/>
      <c r="G8891" s="295"/>
      <c r="H8891" s="357">
        <f>+H8888+H8885+H8875</f>
        <v>67102</v>
      </c>
      <c r="M8891" s="183"/>
    </row>
    <row r="8892" spans="2:13" ht="18.75" customHeight="1" x14ac:dyDescent="0.25">
      <c r="B8892" s="356" t="s">
        <v>649</v>
      </c>
      <c r="C8892" s="364" t="s">
        <v>650</v>
      </c>
      <c r="D8892" s="435"/>
      <c r="E8892" s="92"/>
      <c r="F8892" s="184" t="str">
        <f>$J$5</f>
        <v>8,0 % x D</v>
      </c>
      <c r="G8892" s="295"/>
      <c r="H8892" s="358">
        <f>+H8891*$K$5</f>
        <v>5368.16</v>
      </c>
      <c r="M8892" s="184" t="str">
        <f>$J$5</f>
        <v>8,0 % x D</v>
      </c>
    </row>
    <row r="8893" spans="2:13" ht="18.75" customHeight="1" x14ac:dyDescent="0.25">
      <c r="B8893" s="356" t="s">
        <v>651</v>
      </c>
      <c r="C8893" s="365" t="s">
        <v>652</v>
      </c>
      <c r="D8893" s="435"/>
      <c r="E8893" s="91"/>
      <c r="F8893" s="185"/>
      <c r="G8893" s="296"/>
      <c r="H8893" s="359">
        <f>ROUNDUP((H8892+H8891)/100,0)*100</f>
        <v>72500</v>
      </c>
      <c r="M8893" s="185"/>
    </row>
    <row r="8894" spans="2:13" ht="18.75" customHeight="1" x14ac:dyDescent="0.25">
      <c r="B8894" s="360"/>
      <c r="C8894" s="366"/>
      <c r="D8894" s="245"/>
      <c r="E8894" s="246"/>
      <c r="F8894" s="247"/>
      <c r="G8894" s="299"/>
      <c r="H8894" s="361"/>
      <c r="M8894" s="247"/>
    </row>
    <row r="8895" spans="2:13" ht="18.75" customHeight="1" x14ac:dyDescent="0.25">
      <c r="B8895" s="92"/>
      <c r="C8895" s="104"/>
      <c r="D8895" s="435"/>
      <c r="E8895" s="91"/>
      <c r="F8895" s="185"/>
      <c r="G8895" s="168"/>
      <c r="H8895" s="139"/>
      <c r="M8895" s="185"/>
    </row>
    <row r="8896" spans="2:13" ht="18.75" customHeight="1" x14ac:dyDescent="0.25">
      <c r="B8896" s="19">
        <v>6</v>
      </c>
      <c r="C8896" s="93" t="s">
        <v>1332</v>
      </c>
      <c r="D8896" s="19"/>
      <c r="E8896" s="21"/>
      <c r="F8896" s="176"/>
      <c r="G8896" s="165"/>
      <c r="H8896" s="119"/>
      <c r="M8896" s="176"/>
    </row>
    <row r="8897" spans="2:13" ht="18.75" customHeight="1" x14ac:dyDescent="0.25">
      <c r="B8897" s="618" t="s">
        <v>620</v>
      </c>
      <c r="C8897" s="620" t="s">
        <v>621</v>
      </c>
      <c r="D8897" s="618" t="s">
        <v>622</v>
      </c>
      <c r="E8897" s="618" t="s">
        <v>2</v>
      </c>
      <c r="F8897" s="615" t="s">
        <v>623</v>
      </c>
      <c r="G8897" s="289" t="s">
        <v>624</v>
      </c>
      <c r="H8897" s="256" t="s">
        <v>625</v>
      </c>
      <c r="M8897" s="615" t="s">
        <v>623</v>
      </c>
    </row>
    <row r="8898" spans="2:13" ht="18.75" customHeight="1" x14ac:dyDescent="0.25">
      <c r="B8898" s="619"/>
      <c r="C8898" s="621"/>
      <c r="D8898" s="619"/>
      <c r="E8898" s="619"/>
      <c r="F8898" s="616"/>
      <c r="G8898" s="289" t="s">
        <v>626</v>
      </c>
      <c r="H8898" s="256" t="s">
        <v>626</v>
      </c>
      <c r="M8898" s="616"/>
    </row>
    <row r="8899" spans="2:13" ht="18.75" customHeight="1" x14ac:dyDescent="0.25">
      <c r="B8899" s="221"/>
      <c r="C8899" s="222"/>
      <c r="D8899" s="221"/>
      <c r="E8899" s="587"/>
      <c r="F8899" s="589"/>
      <c r="G8899" s="588"/>
      <c r="H8899" s="220"/>
      <c r="M8899" s="590"/>
    </row>
    <row r="8900" spans="2:13" ht="18.75" customHeight="1" x14ac:dyDescent="0.25">
      <c r="B8900" s="587" t="s">
        <v>627</v>
      </c>
      <c r="C8900" s="223" t="s">
        <v>628</v>
      </c>
      <c r="D8900" s="587"/>
      <c r="E8900" s="224"/>
      <c r="F8900" s="225"/>
      <c r="G8900" s="290"/>
      <c r="H8900" s="226"/>
      <c r="M8900" s="225"/>
    </row>
    <row r="8901" spans="2:13" ht="18.75" customHeight="1" x14ac:dyDescent="0.25">
      <c r="B8901" s="587"/>
      <c r="C8901" s="227" t="s">
        <v>629</v>
      </c>
      <c r="D8901" s="587" t="s">
        <v>630</v>
      </c>
      <c r="E8901" s="224" t="s">
        <v>631</v>
      </c>
      <c r="F8901" s="228">
        <v>7.4999999999999997E-2</v>
      </c>
      <c r="G8901" s="229">
        <f>G8871</f>
        <v>95000</v>
      </c>
      <c r="H8901" s="230">
        <f>+G8901*F8901</f>
        <v>7125</v>
      </c>
      <c r="M8901" s="228">
        <v>7.4999999999999997E-2</v>
      </c>
    </row>
    <row r="8902" spans="2:13" ht="18.75" customHeight="1" x14ac:dyDescent="0.25">
      <c r="B8902" s="587"/>
      <c r="C8902" s="227" t="s">
        <v>1508</v>
      </c>
      <c r="D8902" s="587" t="s">
        <v>632</v>
      </c>
      <c r="E8902" s="224" t="s">
        <v>631</v>
      </c>
      <c r="F8902" s="228">
        <v>7.5300000000000006E-2</v>
      </c>
      <c r="G8902" s="229">
        <f>G8872</f>
        <v>110000</v>
      </c>
      <c r="H8902" s="230">
        <f>+G8902*F8902</f>
        <v>8283</v>
      </c>
      <c r="M8902" s="228">
        <v>7.5300000000000006E-2</v>
      </c>
    </row>
    <row r="8903" spans="2:13" ht="18.75" customHeight="1" x14ac:dyDescent="0.25">
      <c r="B8903" s="587"/>
      <c r="C8903" s="227" t="s">
        <v>633</v>
      </c>
      <c r="D8903" s="587" t="s">
        <v>634</v>
      </c>
      <c r="E8903" s="224" t="s">
        <v>631</v>
      </c>
      <c r="F8903" s="228">
        <v>7.5300000000000006E-2</v>
      </c>
      <c r="G8903" s="229">
        <f>G8873</f>
        <v>115000</v>
      </c>
      <c r="H8903" s="230">
        <f>+G8903*F8903</f>
        <v>8659.5</v>
      </c>
      <c r="M8903" s="228">
        <v>7.5300000000000006E-2</v>
      </c>
    </row>
    <row r="8904" spans="2:13" ht="18.75" customHeight="1" x14ac:dyDescent="0.25">
      <c r="B8904" s="587"/>
      <c r="C8904" s="227" t="s">
        <v>600</v>
      </c>
      <c r="D8904" s="587" t="s">
        <v>635</v>
      </c>
      <c r="E8904" s="224" t="s">
        <v>631</v>
      </c>
      <c r="F8904" s="228">
        <v>3.0000000000000001E-3</v>
      </c>
      <c r="G8904" s="229">
        <f>G8874</f>
        <v>140000</v>
      </c>
      <c r="H8904" s="230">
        <f>+G8904*F8904</f>
        <v>420</v>
      </c>
      <c r="M8904" s="228">
        <v>3.0000000000000001E-3</v>
      </c>
    </row>
    <row r="8905" spans="2:13" ht="18.75" customHeight="1" x14ac:dyDescent="0.25">
      <c r="B8905" s="587"/>
      <c r="C8905" s="223"/>
      <c r="D8905" s="587"/>
      <c r="E8905" s="224"/>
      <c r="F8905" s="233" t="s">
        <v>636</v>
      </c>
      <c r="G8905" s="290"/>
      <c r="H8905" s="231">
        <f>SUM(H8901:H8904)</f>
        <v>24487.5</v>
      </c>
      <c r="M8905" s="233" t="s">
        <v>636</v>
      </c>
    </row>
    <row r="8906" spans="2:13" ht="18.75" customHeight="1" x14ac:dyDescent="0.25">
      <c r="B8906" s="587"/>
      <c r="C8906" s="223"/>
      <c r="D8906" s="587"/>
      <c r="E8906" s="224"/>
      <c r="F8906" s="233"/>
      <c r="G8906" s="290"/>
      <c r="H8906" s="231"/>
      <c r="M8906" s="233"/>
    </row>
    <row r="8907" spans="2:13" ht="18.75" customHeight="1" x14ac:dyDescent="0.25">
      <c r="B8907" s="587" t="s">
        <v>637</v>
      </c>
      <c r="C8907" s="223" t="s">
        <v>638</v>
      </c>
      <c r="D8907" s="587"/>
      <c r="E8907" s="224"/>
      <c r="F8907" s="225"/>
      <c r="G8907" s="290"/>
      <c r="H8907" s="226"/>
      <c r="M8907" s="225"/>
    </row>
    <row r="8908" spans="2:13" ht="18.75" customHeight="1" x14ac:dyDescent="0.25">
      <c r="B8908" s="587"/>
      <c r="C8908" s="223" t="s">
        <v>1333</v>
      </c>
      <c r="D8908" s="587"/>
      <c r="E8908" s="587" t="s">
        <v>6</v>
      </c>
      <c r="F8908" s="405">
        <v>0.36</v>
      </c>
      <c r="G8908" s="410">
        <f>Bahan!D206</f>
        <v>68000</v>
      </c>
      <c r="H8908" s="230">
        <f>+G8908*F8908</f>
        <v>24480</v>
      </c>
      <c r="M8908" s="405">
        <v>0.36</v>
      </c>
    </row>
    <row r="8909" spans="2:13" ht="18.75" customHeight="1" x14ac:dyDescent="0.25">
      <c r="B8909" s="587"/>
      <c r="C8909" s="223"/>
      <c r="D8909" s="587"/>
      <c r="E8909" s="224"/>
      <c r="F8909" s="237" t="s">
        <v>643</v>
      </c>
      <c r="G8909" s="290"/>
      <c r="H8909" s="231">
        <f>SUM(H8908:H8908)</f>
        <v>24480</v>
      </c>
      <c r="M8909" s="237" t="s">
        <v>643</v>
      </c>
    </row>
    <row r="8910" spans="2:13" ht="18.75" customHeight="1" x14ac:dyDescent="0.25">
      <c r="B8910" s="587"/>
      <c r="C8910" s="223"/>
      <c r="D8910" s="587"/>
      <c r="E8910" s="224"/>
      <c r="F8910" s="225"/>
      <c r="G8910" s="290"/>
      <c r="H8910" s="226"/>
      <c r="M8910" s="225"/>
    </row>
    <row r="8911" spans="2:13" ht="18.75" customHeight="1" x14ac:dyDescent="0.25">
      <c r="B8911" s="587" t="s">
        <v>644</v>
      </c>
      <c r="C8911" s="223" t="s">
        <v>645</v>
      </c>
      <c r="D8911" s="587"/>
      <c r="E8911" s="224"/>
      <c r="F8911" s="225"/>
      <c r="G8911" s="290"/>
      <c r="H8911" s="235"/>
      <c r="M8911" s="225"/>
    </row>
    <row r="8912" spans="2:13" ht="18.75" customHeight="1" x14ac:dyDescent="0.25">
      <c r="B8912" s="236"/>
      <c r="C8912" s="232"/>
      <c r="D8912" s="587"/>
      <c r="E8912" s="224"/>
      <c r="F8912" s="237" t="s">
        <v>646</v>
      </c>
      <c r="G8912" s="290"/>
      <c r="H8912" s="230"/>
      <c r="M8912" s="237" t="s">
        <v>646</v>
      </c>
    </row>
    <row r="8913" spans="2:13" ht="18.75" customHeight="1" x14ac:dyDescent="0.25">
      <c r="B8913" s="236"/>
      <c r="C8913" s="232"/>
      <c r="D8913" s="587"/>
      <c r="E8913" s="224"/>
      <c r="F8913" s="237"/>
      <c r="G8913" s="290"/>
      <c r="H8913" s="226"/>
      <c r="M8913" s="237"/>
    </row>
    <row r="8914" spans="2:13" ht="18.75" customHeight="1" x14ac:dyDescent="0.25">
      <c r="B8914" s="354"/>
      <c r="C8914" s="362"/>
      <c r="D8914" s="239"/>
      <c r="E8914" s="266"/>
      <c r="F8914" s="241"/>
      <c r="G8914" s="370"/>
      <c r="H8914" s="369"/>
      <c r="M8914" s="241"/>
    </row>
    <row r="8915" spans="2:13" ht="18.75" customHeight="1" x14ac:dyDescent="0.25">
      <c r="B8915" s="356" t="s">
        <v>647</v>
      </c>
      <c r="C8915" s="363" t="s">
        <v>648</v>
      </c>
      <c r="D8915" s="435"/>
      <c r="E8915" s="92"/>
      <c r="F8915" s="183"/>
      <c r="G8915" s="295"/>
      <c r="H8915" s="357">
        <f>+H8912+H8909+H8905</f>
        <v>48967.5</v>
      </c>
      <c r="M8915" s="183"/>
    </row>
    <row r="8916" spans="2:13" ht="18.75" customHeight="1" x14ac:dyDescent="0.25">
      <c r="B8916" s="356" t="s">
        <v>649</v>
      </c>
      <c r="C8916" s="364" t="s">
        <v>650</v>
      </c>
      <c r="D8916" s="435"/>
      <c r="E8916" s="92"/>
      <c r="F8916" s="184" t="str">
        <f>$J$5</f>
        <v>8,0 % x D</v>
      </c>
      <c r="G8916" s="295"/>
      <c r="H8916" s="358">
        <f>+H8915*$K$5</f>
        <v>3917.4</v>
      </c>
      <c r="M8916" s="184" t="str">
        <f>$J$5</f>
        <v>8,0 % x D</v>
      </c>
    </row>
    <row r="8917" spans="2:13" ht="18.75" customHeight="1" x14ac:dyDescent="0.25">
      <c r="B8917" s="356" t="s">
        <v>651</v>
      </c>
      <c r="C8917" s="365" t="s">
        <v>652</v>
      </c>
      <c r="D8917" s="435"/>
      <c r="E8917" s="91"/>
      <c r="F8917" s="185"/>
      <c r="G8917" s="296"/>
      <c r="H8917" s="359">
        <f>ROUNDUP((H8916+H8915)/100,0)*100</f>
        <v>52900</v>
      </c>
      <c r="M8917" s="185"/>
    </row>
    <row r="8918" spans="2:13" ht="18.75" customHeight="1" x14ac:dyDescent="0.25">
      <c r="B8918" s="360"/>
      <c r="C8918" s="366"/>
      <c r="D8918" s="245"/>
      <c r="E8918" s="246"/>
      <c r="F8918" s="247"/>
      <c r="G8918" s="299"/>
      <c r="H8918" s="361"/>
      <c r="M8918" s="247"/>
    </row>
    <row r="8919" spans="2:13" ht="18.75" customHeight="1" x14ac:dyDescent="0.25">
      <c r="B8919" s="22"/>
      <c r="C8919" s="104"/>
      <c r="E8919" s="21"/>
      <c r="F8919" s="176"/>
      <c r="G8919" s="165"/>
      <c r="H8919" s="119"/>
      <c r="M8919" s="176"/>
    </row>
    <row r="8920" spans="2:13" ht="18.75" customHeight="1" x14ac:dyDescent="0.25">
      <c r="B8920" s="19">
        <v>7</v>
      </c>
      <c r="C8920" s="93" t="s">
        <v>1334</v>
      </c>
      <c r="D8920" s="19"/>
      <c r="E8920" s="21"/>
      <c r="F8920" s="176"/>
      <c r="G8920" s="165"/>
      <c r="H8920" s="119"/>
      <c r="M8920" s="176"/>
    </row>
    <row r="8921" spans="2:13" ht="18.75" customHeight="1" x14ac:dyDescent="0.25">
      <c r="B8921" s="618" t="s">
        <v>620</v>
      </c>
      <c r="C8921" s="620" t="s">
        <v>621</v>
      </c>
      <c r="D8921" s="618" t="s">
        <v>622</v>
      </c>
      <c r="E8921" s="618" t="s">
        <v>2</v>
      </c>
      <c r="F8921" s="615" t="s">
        <v>623</v>
      </c>
      <c r="G8921" s="289" t="s">
        <v>624</v>
      </c>
      <c r="H8921" s="256" t="s">
        <v>625</v>
      </c>
      <c r="M8921" s="615" t="s">
        <v>623</v>
      </c>
    </row>
    <row r="8922" spans="2:13" ht="18.75" customHeight="1" x14ac:dyDescent="0.25">
      <c r="B8922" s="619"/>
      <c r="C8922" s="621"/>
      <c r="D8922" s="619"/>
      <c r="E8922" s="619"/>
      <c r="F8922" s="616"/>
      <c r="G8922" s="289" t="s">
        <v>626</v>
      </c>
      <c r="H8922" s="256" t="s">
        <v>626</v>
      </c>
      <c r="M8922" s="616"/>
    </row>
    <row r="8923" spans="2:13" ht="18.75" customHeight="1" x14ac:dyDescent="0.25">
      <c r="B8923" s="221"/>
      <c r="C8923" s="222"/>
      <c r="D8923" s="221"/>
      <c r="E8923" s="587"/>
      <c r="F8923" s="589"/>
      <c r="G8923" s="588"/>
      <c r="H8923" s="220"/>
      <c r="M8923" s="590"/>
    </row>
    <row r="8924" spans="2:13" ht="18.75" customHeight="1" x14ac:dyDescent="0.25">
      <c r="B8924" s="587" t="s">
        <v>627</v>
      </c>
      <c r="C8924" s="223" t="s">
        <v>628</v>
      </c>
      <c r="D8924" s="587"/>
      <c r="E8924" s="224"/>
      <c r="F8924" s="225"/>
      <c r="G8924" s="290"/>
      <c r="H8924" s="226"/>
      <c r="M8924" s="225"/>
    </row>
    <row r="8925" spans="2:13" ht="18.75" customHeight="1" x14ac:dyDescent="0.25">
      <c r="B8925" s="587"/>
      <c r="C8925" s="227" t="s">
        <v>629</v>
      </c>
      <c r="D8925" s="587" t="s">
        <v>630</v>
      </c>
      <c r="E8925" s="224" t="s">
        <v>631</v>
      </c>
      <c r="F8925" s="228">
        <v>0.16</v>
      </c>
      <c r="G8925" s="229">
        <f>G8901</f>
        <v>95000</v>
      </c>
      <c r="H8925" s="230">
        <f>+G8925*F8925</f>
        <v>15200</v>
      </c>
      <c r="M8925" s="228">
        <v>0.16</v>
      </c>
    </row>
    <row r="8926" spans="2:13" ht="18.75" customHeight="1" x14ac:dyDescent="0.25">
      <c r="B8926" s="587"/>
      <c r="C8926" s="227" t="s">
        <v>1508</v>
      </c>
      <c r="D8926" s="587" t="s">
        <v>632</v>
      </c>
      <c r="E8926" s="224" t="s">
        <v>631</v>
      </c>
      <c r="F8926" s="228">
        <v>7.4999999999999997E-2</v>
      </c>
      <c r="G8926" s="229">
        <f>G8902</f>
        <v>110000</v>
      </c>
      <c r="H8926" s="230">
        <f>+G8926*F8926</f>
        <v>8250</v>
      </c>
      <c r="M8926" s="228">
        <v>7.4999999999999997E-2</v>
      </c>
    </row>
    <row r="8927" spans="2:13" ht="18.75" customHeight="1" x14ac:dyDescent="0.25">
      <c r="B8927" s="587"/>
      <c r="C8927" s="227" t="s">
        <v>633</v>
      </c>
      <c r="D8927" s="587" t="s">
        <v>634</v>
      </c>
      <c r="E8927" s="224" t="s">
        <v>631</v>
      </c>
      <c r="F8927" s="228">
        <v>1.6E-2</v>
      </c>
      <c r="G8927" s="229">
        <f>G8903</f>
        <v>115000</v>
      </c>
      <c r="H8927" s="230">
        <f>+G8927*F8927</f>
        <v>1840</v>
      </c>
      <c r="M8927" s="228">
        <v>1.6E-2</v>
      </c>
    </row>
    <row r="8928" spans="2:13" ht="18.75" customHeight="1" x14ac:dyDescent="0.25">
      <c r="B8928" s="587"/>
      <c r="C8928" s="227" t="s">
        <v>600</v>
      </c>
      <c r="D8928" s="587" t="s">
        <v>635</v>
      </c>
      <c r="E8928" s="224" t="s">
        <v>631</v>
      </c>
      <c r="F8928" s="228">
        <v>3.0000000000000001E-3</v>
      </c>
      <c r="G8928" s="229">
        <f>G8904</f>
        <v>140000</v>
      </c>
      <c r="H8928" s="230">
        <f>+G8928*F8928</f>
        <v>420</v>
      </c>
      <c r="M8928" s="228">
        <v>3.0000000000000001E-3</v>
      </c>
    </row>
    <row r="8929" spans="2:13" ht="18.75" customHeight="1" x14ac:dyDescent="0.25">
      <c r="B8929" s="587"/>
      <c r="C8929" s="223"/>
      <c r="D8929" s="587"/>
      <c r="E8929" s="224"/>
      <c r="F8929" s="233" t="s">
        <v>636</v>
      </c>
      <c r="G8929" s="290"/>
      <c r="H8929" s="231">
        <f>SUM(H8925:H8928)</f>
        <v>25710</v>
      </c>
      <c r="M8929" s="233" t="s">
        <v>636</v>
      </c>
    </row>
    <row r="8930" spans="2:13" ht="18.75" customHeight="1" x14ac:dyDescent="0.25">
      <c r="B8930" s="587"/>
      <c r="C8930" s="223"/>
      <c r="D8930" s="587"/>
      <c r="E8930" s="224"/>
      <c r="F8930" s="233"/>
      <c r="G8930" s="290"/>
      <c r="H8930" s="231"/>
      <c r="M8930" s="233"/>
    </row>
    <row r="8931" spans="2:13" ht="18.75" customHeight="1" x14ac:dyDescent="0.25">
      <c r="B8931" s="587" t="s">
        <v>637</v>
      </c>
      <c r="C8931" s="223" t="s">
        <v>638</v>
      </c>
      <c r="D8931" s="587"/>
      <c r="E8931" s="224"/>
      <c r="F8931" s="225"/>
      <c r="G8931" s="290"/>
      <c r="H8931" s="226"/>
      <c r="M8931" s="225"/>
    </row>
    <row r="8932" spans="2:13" ht="18.75" customHeight="1" x14ac:dyDescent="0.25">
      <c r="B8932" s="587"/>
      <c r="C8932" s="223" t="s">
        <v>1662</v>
      </c>
      <c r="D8932" s="587"/>
      <c r="E8932" s="587" t="s">
        <v>6</v>
      </c>
      <c r="F8932" s="405">
        <v>0.15</v>
      </c>
      <c r="G8932" s="410">
        <f>Bahan!D202</f>
        <v>50000</v>
      </c>
      <c r="H8932" s="230">
        <f>+G8932*F8932</f>
        <v>7500</v>
      </c>
      <c r="M8932" s="405">
        <v>0.15</v>
      </c>
    </row>
    <row r="8933" spans="2:13" ht="18.75" customHeight="1" x14ac:dyDescent="0.25">
      <c r="B8933" s="587"/>
      <c r="C8933" s="223" t="s">
        <v>1335</v>
      </c>
      <c r="D8933" s="587"/>
      <c r="E8933" s="587" t="s">
        <v>6</v>
      </c>
      <c r="F8933" s="405">
        <v>0.372</v>
      </c>
      <c r="G8933" s="410">
        <f>Bahan!D203</f>
        <v>67000</v>
      </c>
      <c r="H8933" s="230">
        <f>+G8933*F8933</f>
        <v>24924</v>
      </c>
      <c r="M8933" s="405">
        <v>0.372</v>
      </c>
    </row>
    <row r="8934" spans="2:13" ht="18.75" customHeight="1" x14ac:dyDescent="0.25">
      <c r="B8934" s="587"/>
      <c r="C8934" s="223" t="s">
        <v>1326</v>
      </c>
      <c r="D8934" s="587"/>
      <c r="E8934" s="587" t="s">
        <v>18</v>
      </c>
      <c r="F8934" s="405">
        <v>2</v>
      </c>
      <c r="G8934" s="410">
        <f>+G8884</f>
        <v>5700</v>
      </c>
      <c r="H8934" s="230">
        <f>+G8934*F8934</f>
        <v>11400</v>
      </c>
      <c r="M8934" s="405">
        <v>2</v>
      </c>
    </row>
    <row r="8935" spans="2:13" ht="18.75" customHeight="1" x14ac:dyDescent="0.25">
      <c r="B8935" s="587"/>
      <c r="C8935" s="223"/>
      <c r="D8935" s="587"/>
      <c r="E8935" s="224"/>
      <c r="F8935" s="237" t="s">
        <v>643</v>
      </c>
      <c r="G8935" s="290"/>
      <c r="H8935" s="231">
        <f>SUM(H8932:H8934)</f>
        <v>43824</v>
      </c>
      <c r="M8935" s="237" t="s">
        <v>643</v>
      </c>
    </row>
    <row r="8936" spans="2:13" ht="18.75" customHeight="1" x14ac:dyDescent="0.25">
      <c r="B8936" s="587"/>
      <c r="C8936" s="223"/>
      <c r="D8936" s="587"/>
      <c r="E8936" s="224"/>
      <c r="F8936" s="225"/>
      <c r="G8936" s="290"/>
      <c r="H8936" s="226"/>
      <c r="M8936" s="225"/>
    </row>
    <row r="8937" spans="2:13" ht="18.75" customHeight="1" x14ac:dyDescent="0.25">
      <c r="B8937" s="587" t="s">
        <v>644</v>
      </c>
      <c r="C8937" s="223" t="s">
        <v>645</v>
      </c>
      <c r="D8937" s="587"/>
      <c r="E8937" s="224"/>
      <c r="F8937" s="225"/>
      <c r="G8937" s="290"/>
      <c r="H8937" s="235"/>
      <c r="M8937" s="225"/>
    </row>
    <row r="8938" spans="2:13" ht="18.75" customHeight="1" x14ac:dyDescent="0.25">
      <c r="B8938" s="236"/>
      <c r="C8938" s="232"/>
      <c r="D8938" s="587"/>
      <c r="E8938" s="224"/>
      <c r="F8938" s="237" t="s">
        <v>646</v>
      </c>
      <c r="G8938" s="290"/>
      <c r="H8938" s="230"/>
      <c r="M8938" s="237" t="s">
        <v>646</v>
      </c>
    </row>
    <row r="8939" spans="2:13" ht="18.75" customHeight="1" x14ac:dyDescent="0.25">
      <c r="B8939" s="236"/>
      <c r="C8939" s="232"/>
      <c r="D8939" s="587"/>
      <c r="E8939" s="224"/>
      <c r="F8939" s="237"/>
      <c r="G8939" s="290"/>
      <c r="H8939" s="226"/>
      <c r="M8939" s="237"/>
    </row>
    <row r="8940" spans="2:13" ht="18.75" customHeight="1" x14ac:dyDescent="0.25">
      <c r="B8940" s="354"/>
      <c r="C8940" s="362"/>
      <c r="D8940" s="239"/>
      <c r="E8940" s="266"/>
      <c r="F8940" s="241"/>
      <c r="G8940" s="370"/>
      <c r="H8940" s="369"/>
      <c r="M8940" s="241"/>
    </row>
    <row r="8941" spans="2:13" ht="18.75" customHeight="1" x14ac:dyDescent="0.25">
      <c r="B8941" s="356" t="s">
        <v>647</v>
      </c>
      <c r="C8941" s="363" t="s">
        <v>648</v>
      </c>
      <c r="D8941" s="435"/>
      <c r="E8941" s="92"/>
      <c r="F8941" s="183"/>
      <c r="G8941" s="295"/>
      <c r="H8941" s="357">
        <f>+H8938+H8935+H8929</f>
        <v>69534</v>
      </c>
      <c r="M8941" s="183"/>
    </row>
    <row r="8942" spans="2:13" ht="18.75" customHeight="1" x14ac:dyDescent="0.25">
      <c r="B8942" s="356" t="s">
        <v>649</v>
      </c>
      <c r="C8942" s="364" t="s">
        <v>650</v>
      </c>
      <c r="D8942" s="435"/>
      <c r="E8942" s="92"/>
      <c r="F8942" s="184" t="str">
        <f>$J$5</f>
        <v>8,0 % x D</v>
      </c>
      <c r="G8942" s="295"/>
      <c r="H8942" s="358">
        <f>+H8941*$K$5</f>
        <v>5562.72</v>
      </c>
      <c r="M8942" s="184" t="str">
        <f>$J$5</f>
        <v>8,0 % x D</v>
      </c>
    </row>
    <row r="8943" spans="2:13" ht="18.75" customHeight="1" x14ac:dyDescent="0.25">
      <c r="B8943" s="356" t="s">
        <v>651</v>
      </c>
      <c r="C8943" s="365" t="s">
        <v>652</v>
      </c>
      <c r="D8943" s="435"/>
      <c r="E8943" s="91"/>
      <c r="F8943" s="185"/>
      <c r="G8943" s="296"/>
      <c r="H8943" s="359">
        <f>ROUNDUP((H8942+H8941)/100,0)*100</f>
        <v>75100</v>
      </c>
      <c r="M8943" s="185"/>
    </row>
    <row r="8944" spans="2:13" ht="18.75" customHeight="1" x14ac:dyDescent="0.25">
      <c r="B8944" s="371"/>
      <c r="C8944" s="373"/>
      <c r="D8944" s="245"/>
      <c r="E8944" s="246"/>
      <c r="F8944" s="247"/>
      <c r="G8944" s="299"/>
      <c r="H8944" s="372"/>
      <c r="M8944" s="247"/>
    </row>
    <row r="8945" spans="2:13" ht="18.75" customHeight="1" x14ac:dyDescent="0.25">
      <c r="B8945" s="435"/>
      <c r="C8945" s="111"/>
      <c r="D8945" s="435"/>
      <c r="E8945" s="91"/>
      <c r="F8945" s="185"/>
      <c r="G8945" s="168"/>
      <c r="H8945" s="211"/>
      <c r="M8945" s="185"/>
    </row>
    <row r="8946" spans="2:13" ht="18.75" customHeight="1" x14ac:dyDescent="0.25">
      <c r="B8946" s="19">
        <v>8</v>
      </c>
      <c r="C8946" s="93" t="s">
        <v>1336</v>
      </c>
      <c r="D8946" s="19"/>
      <c r="E8946" s="21"/>
      <c r="F8946" s="176"/>
      <c r="G8946" s="165"/>
      <c r="H8946" s="119"/>
      <c r="M8946" s="176"/>
    </row>
    <row r="8947" spans="2:13" ht="18.75" customHeight="1" x14ac:dyDescent="0.25">
      <c r="B8947" s="618" t="s">
        <v>620</v>
      </c>
      <c r="C8947" s="620" t="s">
        <v>621</v>
      </c>
      <c r="D8947" s="618" t="s">
        <v>622</v>
      </c>
      <c r="E8947" s="618" t="s">
        <v>2</v>
      </c>
      <c r="F8947" s="615" t="s">
        <v>623</v>
      </c>
      <c r="G8947" s="289" t="s">
        <v>624</v>
      </c>
      <c r="H8947" s="256" t="s">
        <v>625</v>
      </c>
      <c r="M8947" s="615" t="s">
        <v>623</v>
      </c>
    </row>
    <row r="8948" spans="2:13" ht="18.75" customHeight="1" x14ac:dyDescent="0.25">
      <c r="B8948" s="619"/>
      <c r="C8948" s="621"/>
      <c r="D8948" s="619"/>
      <c r="E8948" s="619"/>
      <c r="F8948" s="616"/>
      <c r="G8948" s="289" t="s">
        <v>626</v>
      </c>
      <c r="H8948" s="256" t="s">
        <v>626</v>
      </c>
      <c r="M8948" s="616"/>
    </row>
    <row r="8949" spans="2:13" ht="18.75" customHeight="1" x14ac:dyDescent="0.25">
      <c r="B8949" s="221"/>
      <c r="C8949" s="222"/>
      <c r="D8949" s="221"/>
      <c r="E8949" s="587"/>
      <c r="F8949" s="589"/>
      <c r="G8949" s="588"/>
      <c r="H8949" s="220"/>
      <c r="M8949" s="590"/>
    </row>
    <row r="8950" spans="2:13" ht="18.75" customHeight="1" x14ac:dyDescent="0.25">
      <c r="B8950" s="587" t="s">
        <v>627</v>
      </c>
      <c r="C8950" s="223" t="s">
        <v>628</v>
      </c>
      <c r="D8950" s="587"/>
      <c r="E8950" s="224"/>
      <c r="F8950" s="225"/>
      <c r="G8950" s="290"/>
      <c r="H8950" s="226"/>
      <c r="M8950" s="225"/>
    </row>
    <row r="8951" spans="2:13" ht="18.75" customHeight="1" x14ac:dyDescent="0.25">
      <c r="B8951" s="587"/>
      <c r="C8951" s="227" t="s">
        <v>629</v>
      </c>
      <c r="D8951" s="587" t="s">
        <v>630</v>
      </c>
      <c r="E8951" s="224" t="s">
        <v>631</v>
      </c>
      <c r="F8951" s="228">
        <v>0.1</v>
      </c>
      <c r="G8951" s="229">
        <f>G8925</f>
        <v>95000</v>
      </c>
      <c r="H8951" s="230">
        <f>+G8951*F8951</f>
        <v>9500</v>
      </c>
      <c r="M8951" s="228">
        <v>0.1</v>
      </c>
    </row>
    <row r="8952" spans="2:13" ht="18.75" customHeight="1" x14ac:dyDescent="0.25">
      <c r="B8952" s="587"/>
      <c r="C8952" s="227" t="s">
        <v>600</v>
      </c>
      <c r="D8952" s="587" t="s">
        <v>635</v>
      </c>
      <c r="E8952" s="224" t="s">
        <v>631</v>
      </c>
      <c r="F8952" s="228">
        <v>6.0000000000000001E-3</v>
      </c>
      <c r="G8952" s="229">
        <f>G8928</f>
        <v>140000</v>
      </c>
      <c r="H8952" s="230">
        <f>+G8952*F8952</f>
        <v>840</v>
      </c>
      <c r="M8952" s="228">
        <v>6.0000000000000001E-3</v>
      </c>
    </row>
    <row r="8953" spans="2:13" ht="18.75" customHeight="1" x14ac:dyDescent="0.25">
      <c r="B8953" s="587"/>
      <c r="C8953" s="223"/>
      <c r="D8953" s="587"/>
      <c r="E8953" s="224"/>
      <c r="F8953" s="233" t="s">
        <v>636</v>
      </c>
      <c r="G8953" s="290"/>
      <c r="H8953" s="231">
        <f>SUM(H8951:H8952)</f>
        <v>10340</v>
      </c>
      <c r="M8953" s="233" t="s">
        <v>636</v>
      </c>
    </row>
    <row r="8954" spans="2:13" ht="18.75" customHeight="1" x14ac:dyDescent="0.25">
      <c r="B8954" s="587"/>
      <c r="C8954" s="223"/>
      <c r="D8954" s="587"/>
      <c r="E8954" s="224"/>
      <c r="F8954" s="233"/>
      <c r="G8954" s="290"/>
      <c r="H8954" s="231"/>
      <c r="M8954" s="233"/>
    </row>
    <row r="8955" spans="2:13" ht="18.75" customHeight="1" x14ac:dyDescent="0.25">
      <c r="B8955" s="587" t="s">
        <v>637</v>
      </c>
      <c r="C8955" s="223" t="s">
        <v>638</v>
      </c>
      <c r="D8955" s="587"/>
      <c r="E8955" s="224"/>
      <c r="F8955" s="225"/>
      <c r="G8955" s="290"/>
      <c r="H8955" s="226"/>
      <c r="M8955" s="225"/>
    </row>
    <row r="8956" spans="2:13" ht="18.75" customHeight="1" x14ac:dyDescent="0.25">
      <c r="B8956" s="587"/>
      <c r="C8956" s="223" t="s">
        <v>1337</v>
      </c>
      <c r="D8956" s="587"/>
      <c r="E8956" s="587" t="s">
        <v>6</v>
      </c>
      <c r="F8956" s="405">
        <v>0.35</v>
      </c>
      <c r="G8956" s="410">
        <f>Bahan!D204</f>
        <v>40000</v>
      </c>
      <c r="H8956" s="230">
        <f>+G8956*F8956</f>
        <v>14000</v>
      </c>
      <c r="M8956" s="405">
        <v>0.35</v>
      </c>
    </row>
    <row r="8957" spans="2:13" ht="18.75" customHeight="1" x14ac:dyDescent="0.25">
      <c r="B8957" s="587"/>
      <c r="C8957" s="223" t="s">
        <v>1338</v>
      </c>
      <c r="D8957" s="587"/>
      <c r="E8957" s="587" t="s">
        <v>28</v>
      </c>
      <c r="F8957" s="405">
        <v>0.01</v>
      </c>
      <c r="G8957" s="410">
        <f>G8882</f>
        <v>15000</v>
      </c>
      <c r="H8957" s="230">
        <f>+G8957*F8957</f>
        <v>150</v>
      </c>
      <c r="M8957" s="405">
        <v>0.01</v>
      </c>
    </row>
    <row r="8958" spans="2:13" ht="18.75" customHeight="1" x14ac:dyDescent="0.25">
      <c r="B8958" s="587"/>
      <c r="C8958" s="223"/>
      <c r="D8958" s="587"/>
      <c r="E8958" s="224"/>
      <c r="F8958" s="237" t="s">
        <v>643</v>
      </c>
      <c r="G8958" s="290"/>
      <c r="H8958" s="231">
        <f>SUM(H8956:H8957)</f>
        <v>14150</v>
      </c>
      <c r="M8958" s="237" t="s">
        <v>643</v>
      </c>
    </row>
    <row r="8959" spans="2:13" ht="18.75" customHeight="1" x14ac:dyDescent="0.25">
      <c r="B8959" s="587"/>
      <c r="C8959" s="223"/>
      <c r="D8959" s="587"/>
      <c r="E8959" s="224"/>
      <c r="F8959" s="237"/>
      <c r="G8959" s="290"/>
      <c r="H8959" s="231"/>
      <c r="M8959" s="237"/>
    </row>
    <row r="8960" spans="2:13" ht="18.75" customHeight="1" x14ac:dyDescent="0.25">
      <c r="B8960" s="587" t="s">
        <v>644</v>
      </c>
      <c r="C8960" s="223" t="s">
        <v>645</v>
      </c>
      <c r="D8960" s="587"/>
      <c r="E8960" s="224"/>
      <c r="F8960" s="225"/>
      <c r="G8960" s="290"/>
      <c r="H8960" s="235"/>
      <c r="M8960" s="225"/>
    </row>
    <row r="8961" spans="2:13" ht="18.75" customHeight="1" x14ac:dyDescent="0.25">
      <c r="B8961" s="236"/>
      <c r="C8961" s="232"/>
      <c r="D8961" s="587"/>
      <c r="E8961" s="224"/>
      <c r="F8961" s="237" t="s">
        <v>646</v>
      </c>
      <c r="G8961" s="290"/>
      <c r="H8961" s="230"/>
      <c r="M8961" s="237" t="s">
        <v>646</v>
      </c>
    </row>
    <row r="8962" spans="2:13" ht="18.75" customHeight="1" x14ac:dyDescent="0.25">
      <c r="B8962" s="236"/>
      <c r="C8962" s="232"/>
      <c r="D8962" s="587"/>
      <c r="E8962" s="224"/>
      <c r="F8962" s="237"/>
      <c r="G8962" s="290"/>
      <c r="H8962" s="226"/>
      <c r="M8962" s="237"/>
    </row>
    <row r="8963" spans="2:13" ht="18.75" customHeight="1" x14ac:dyDescent="0.25">
      <c r="B8963" s="354"/>
      <c r="C8963" s="362"/>
      <c r="D8963" s="239"/>
      <c r="E8963" s="266"/>
      <c r="F8963" s="241"/>
      <c r="G8963" s="370"/>
      <c r="H8963" s="369"/>
      <c r="M8963" s="241"/>
    </row>
    <row r="8964" spans="2:13" ht="18.75" customHeight="1" x14ac:dyDescent="0.25">
      <c r="B8964" s="356" t="s">
        <v>647</v>
      </c>
      <c r="C8964" s="363" t="s">
        <v>648</v>
      </c>
      <c r="D8964" s="435"/>
      <c r="E8964" s="92"/>
      <c r="F8964" s="183"/>
      <c r="G8964" s="295"/>
      <c r="H8964" s="357">
        <f>+H8961+H8958+H8953</f>
        <v>24490</v>
      </c>
      <c r="M8964" s="183"/>
    </row>
    <row r="8965" spans="2:13" ht="18.75" customHeight="1" x14ac:dyDescent="0.25">
      <c r="B8965" s="356" t="s">
        <v>649</v>
      </c>
      <c r="C8965" s="364" t="s">
        <v>650</v>
      </c>
      <c r="D8965" s="435"/>
      <c r="E8965" s="92"/>
      <c r="F8965" s="184" t="str">
        <f>$J$5</f>
        <v>8,0 % x D</v>
      </c>
      <c r="G8965" s="295"/>
      <c r="H8965" s="358">
        <f>+H8964*$K$5</f>
        <v>1959.2</v>
      </c>
      <c r="M8965" s="184" t="str">
        <f>$J$5</f>
        <v>8,0 % x D</v>
      </c>
    </row>
    <row r="8966" spans="2:13" ht="18.75" customHeight="1" x14ac:dyDescent="0.25">
      <c r="B8966" s="356" t="s">
        <v>651</v>
      </c>
      <c r="C8966" s="365" t="s">
        <v>652</v>
      </c>
      <c r="D8966" s="435"/>
      <c r="E8966" s="91"/>
      <c r="F8966" s="185"/>
      <c r="G8966" s="296"/>
      <c r="H8966" s="359">
        <f>ROUNDUP((H8965+H8964)/100,0)*100</f>
        <v>26500</v>
      </c>
      <c r="M8966" s="185"/>
    </row>
    <row r="8967" spans="2:13" ht="18.75" customHeight="1" x14ac:dyDescent="0.25">
      <c r="B8967" s="360"/>
      <c r="C8967" s="366"/>
      <c r="D8967" s="245"/>
      <c r="E8967" s="246"/>
      <c r="F8967" s="247"/>
      <c r="G8967" s="299"/>
      <c r="H8967" s="361"/>
      <c r="M8967" s="247"/>
    </row>
    <row r="8968" spans="2:13" ht="18.75" customHeight="1" x14ac:dyDescent="0.25">
      <c r="B8968" s="22"/>
      <c r="C8968" s="104"/>
      <c r="E8968" s="21"/>
      <c r="F8968" s="176"/>
      <c r="G8968" s="165"/>
      <c r="H8968" s="119"/>
      <c r="M8968" s="176"/>
    </row>
    <row r="8969" spans="2:13" ht="18.75" customHeight="1" x14ac:dyDescent="0.25">
      <c r="B8969" s="19">
        <v>9</v>
      </c>
      <c r="C8969" s="93" t="s">
        <v>1339</v>
      </c>
      <c r="D8969" s="19"/>
      <c r="E8969" s="21"/>
      <c r="F8969" s="176"/>
      <c r="G8969" s="165"/>
      <c r="H8969" s="119"/>
      <c r="M8969" s="176"/>
    </row>
    <row r="8970" spans="2:13" ht="18.75" customHeight="1" x14ac:dyDescent="0.25">
      <c r="B8970" s="618" t="s">
        <v>620</v>
      </c>
      <c r="C8970" s="620" t="s">
        <v>621</v>
      </c>
      <c r="D8970" s="618" t="s">
        <v>622</v>
      </c>
      <c r="E8970" s="618" t="s">
        <v>2</v>
      </c>
      <c r="F8970" s="615" t="s">
        <v>623</v>
      </c>
      <c r="G8970" s="289" t="s">
        <v>624</v>
      </c>
      <c r="H8970" s="256" t="s">
        <v>625</v>
      </c>
      <c r="M8970" s="615" t="s">
        <v>623</v>
      </c>
    </row>
    <row r="8971" spans="2:13" ht="18.75" customHeight="1" x14ac:dyDescent="0.25">
      <c r="B8971" s="619"/>
      <c r="C8971" s="621"/>
      <c r="D8971" s="619"/>
      <c r="E8971" s="619"/>
      <c r="F8971" s="616"/>
      <c r="G8971" s="289" t="s">
        <v>626</v>
      </c>
      <c r="H8971" s="256" t="s">
        <v>626</v>
      </c>
      <c r="M8971" s="616"/>
    </row>
    <row r="8972" spans="2:13" ht="18.75" customHeight="1" x14ac:dyDescent="0.25">
      <c r="B8972" s="221"/>
      <c r="C8972" s="222"/>
      <c r="D8972" s="221"/>
      <c r="E8972" s="587"/>
      <c r="F8972" s="589"/>
      <c r="G8972" s="588"/>
      <c r="H8972" s="220"/>
      <c r="M8972" s="590"/>
    </row>
    <row r="8973" spans="2:13" ht="18.75" customHeight="1" x14ac:dyDescent="0.25">
      <c r="B8973" s="587" t="s">
        <v>627</v>
      </c>
      <c r="C8973" s="223" t="s">
        <v>628</v>
      </c>
      <c r="D8973" s="587"/>
      <c r="E8973" s="224"/>
      <c r="F8973" s="225"/>
      <c r="G8973" s="290"/>
      <c r="H8973" s="226"/>
      <c r="M8973" s="225"/>
    </row>
    <row r="8974" spans="2:13" ht="18.75" customHeight="1" x14ac:dyDescent="0.25">
      <c r="B8974" s="587"/>
      <c r="C8974" s="227" t="s">
        <v>629</v>
      </c>
      <c r="D8974" s="587" t="s">
        <v>630</v>
      </c>
      <c r="E8974" s="224" t="s">
        <v>631</v>
      </c>
      <c r="F8974" s="228">
        <v>0.16</v>
      </c>
      <c r="G8974" s="229">
        <f>G8925</f>
        <v>95000</v>
      </c>
      <c r="H8974" s="230">
        <f>+G8974*F8974</f>
        <v>15200</v>
      </c>
      <c r="M8974" s="228">
        <v>0.16</v>
      </c>
    </row>
    <row r="8975" spans="2:13" ht="18.75" customHeight="1" x14ac:dyDescent="0.25">
      <c r="B8975" s="587"/>
      <c r="C8975" s="227" t="s">
        <v>1508</v>
      </c>
      <c r="D8975" s="587" t="s">
        <v>632</v>
      </c>
      <c r="E8975" s="224" t="s">
        <v>631</v>
      </c>
      <c r="F8975" s="228">
        <v>0.16</v>
      </c>
      <c r="G8975" s="229">
        <f>G8926</f>
        <v>110000</v>
      </c>
      <c r="H8975" s="230">
        <f>+G8975*F8975</f>
        <v>17600</v>
      </c>
      <c r="M8975" s="228">
        <v>0.16</v>
      </c>
    </row>
    <row r="8976" spans="2:13" ht="18.75" customHeight="1" x14ac:dyDescent="0.25">
      <c r="B8976" s="587"/>
      <c r="C8976" s="227" t="s">
        <v>633</v>
      </c>
      <c r="D8976" s="587" t="s">
        <v>634</v>
      </c>
      <c r="E8976" s="224" t="s">
        <v>631</v>
      </c>
      <c r="F8976" s="228">
        <v>1.6E-2</v>
      </c>
      <c r="G8976" s="229">
        <f>G8927</f>
        <v>115000</v>
      </c>
      <c r="H8976" s="230">
        <f>+G8976*F8976</f>
        <v>1840</v>
      </c>
      <c r="M8976" s="228">
        <v>1.6E-2</v>
      </c>
    </row>
    <row r="8977" spans="2:13" ht="18.75" customHeight="1" x14ac:dyDescent="0.25">
      <c r="B8977" s="587"/>
      <c r="C8977" s="227" t="s">
        <v>600</v>
      </c>
      <c r="D8977" s="587" t="s">
        <v>635</v>
      </c>
      <c r="E8977" s="224" t="s">
        <v>631</v>
      </c>
      <c r="F8977" s="228">
        <v>3.0000000000000001E-3</v>
      </c>
      <c r="G8977" s="229">
        <f>G8928</f>
        <v>140000</v>
      </c>
      <c r="H8977" s="230">
        <f>+G8977*F8977</f>
        <v>420</v>
      </c>
      <c r="M8977" s="228">
        <v>3.0000000000000001E-3</v>
      </c>
    </row>
    <row r="8978" spans="2:13" ht="18.75" customHeight="1" x14ac:dyDescent="0.25">
      <c r="B8978" s="587"/>
      <c r="C8978" s="223"/>
      <c r="D8978" s="587"/>
      <c r="E8978" s="224"/>
      <c r="F8978" s="233" t="s">
        <v>636</v>
      </c>
      <c r="G8978" s="290"/>
      <c r="H8978" s="231">
        <f>SUM(H8974:H8977)</f>
        <v>35060</v>
      </c>
      <c r="M8978" s="233" t="s">
        <v>636</v>
      </c>
    </row>
    <row r="8979" spans="2:13" ht="18.75" customHeight="1" x14ac:dyDescent="0.25">
      <c r="B8979" s="587"/>
      <c r="C8979" s="223"/>
      <c r="D8979" s="587"/>
      <c r="E8979" s="224"/>
      <c r="F8979" s="233"/>
      <c r="G8979" s="290"/>
      <c r="H8979" s="231"/>
      <c r="M8979" s="233"/>
    </row>
    <row r="8980" spans="2:13" ht="18.75" customHeight="1" x14ac:dyDescent="0.25">
      <c r="B8980" s="587" t="s">
        <v>637</v>
      </c>
      <c r="C8980" s="223" t="s">
        <v>638</v>
      </c>
      <c r="D8980" s="587"/>
      <c r="E8980" s="224"/>
      <c r="F8980" s="225"/>
      <c r="G8980" s="290"/>
      <c r="H8980" s="226"/>
      <c r="M8980" s="225"/>
    </row>
    <row r="8981" spans="2:13" ht="18.75" customHeight="1" x14ac:dyDescent="0.25">
      <c r="B8981" s="587"/>
      <c r="C8981" s="223" t="s">
        <v>188</v>
      </c>
      <c r="D8981" s="587"/>
      <c r="E8981" s="587" t="s">
        <v>6</v>
      </c>
      <c r="F8981" s="405">
        <v>0.15</v>
      </c>
      <c r="G8981" s="410">
        <f>Bahan!D208</f>
        <v>60000</v>
      </c>
      <c r="H8981" s="230">
        <f>+G8981*F8981</f>
        <v>9000</v>
      </c>
      <c r="M8981" s="405">
        <v>0.15</v>
      </c>
    </row>
    <row r="8982" spans="2:13" ht="18.75" customHeight="1" x14ac:dyDescent="0.25">
      <c r="B8982" s="587"/>
      <c r="C8982" s="223" t="s">
        <v>1340</v>
      </c>
      <c r="D8982" s="587"/>
      <c r="E8982" s="587" t="s">
        <v>5</v>
      </c>
      <c r="F8982" s="405">
        <v>7.4999999999999997E-2</v>
      </c>
      <c r="G8982" s="410">
        <f>Bahan!D195</f>
        <v>48000</v>
      </c>
      <c r="H8982" s="230">
        <f>+G8982*F8982</f>
        <v>3600</v>
      </c>
      <c r="M8982" s="405">
        <v>7.4999999999999997E-2</v>
      </c>
    </row>
    <row r="8983" spans="2:13" ht="18.75" customHeight="1" x14ac:dyDescent="0.25">
      <c r="B8983" s="587"/>
      <c r="C8983" s="223" t="s">
        <v>1326</v>
      </c>
      <c r="D8983" s="587"/>
      <c r="E8983" s="587" t="s">
        <v>18</v>
      </c>
      <c r="F8983" s="405">
        <v>0.1</v>
      </c>
      <c r="G8983" s="410">
        <f>+G8934</f>
        <v>5700</v>
      </c>
      <c r="H8983" s="230">
        <f>+G8983*F8983</f>
        <v>570</v>
      </c>
      <c r="M8983" s="405">
        <v>0.1</v>
      </c>
    </row>
    <row r="8984" spans="2:13" ht="18.75" customHeight="1" x14ac:dyDescent="0.25">
      <c r="B8984" s="587"/>
      <c r="C8984" s="223"/>
      <c r="D8984" s="587"/>
      <c r="E8984" s="224"/>
      <c r="F8984" s="237" t="s">
        <v>643</v>
      </c>
      <c r="G8984" s="290"/>
      <c r="H8984" s="231">
        <f>SUM(H8981:H8983)</f>
        <v>13170</v>
      </c>
      <c r="M8984" s="237" t="s">
        <v>643</v>
      </c>
    </row>
    <row r="8985" spans="2:13" ht="18.75" customHeight="1" x14ac:dyDescent="0.25">
      <c r="B8985" s="587"/>
      <c r="C8985" s="223"/>
      <c r="D8985" s="587"/>
      <c r="E8985" s="224"/>
      <c r="F8985" s="225"/>
      <c r="G8985" s="290"/>
      <c r="H8985" s="226"/>
      <c r="M8985" s="225"/>
    </row>
    <row r="8986" spans="2:13" ht="18.75" customHeight="1" x14ac:dyDescent="0.25">
      <c r="B8986" s="587" t="s">
        <v>644</v>
      </c>
      <c r="C8986" s="223" t="s">
        <v>645</v>
      </c>
      <c r="D8986" s="587"/>
      <c r="E8986" s="224"/>
      <c r="F8986" s="225"/>
      <c r="G8986" s="290"/>
      <c r="H8986" s="235"/>
      <c r="M8986" s="225"/>
    </row>
    <row r="8987" spans="2:13" ht="18.75" customHeight="1" x14ac:dyDescent="0.25">
      <c r="B8987" s="236"/>
      <c r="C8987" s="232"/>
      <c r="D8987" s="587"/>
      <c r="E8987" s="224"/>
      <c r="F8987" s="237" t="s">
        <v>646</v>
      </c>
      <c r="G8987" s="290"/>
      <c r="H8987" s="230"/>
      <c r="M8987" s="237" t="s">
        <v>646</v>
      </c>
    </row>
    <row r="8988" spans="2:13" ht="18.75" customHeight="1" x14ac:dyDescent="0.25">
      <c r="B8988" s="236"/>
      <c r="C8988" s="232"/>
      <c r="D8988" s="587"/>
      <c r="E8988" s="224"/>
      <c r="F8988" s="237"/>
      <c r="G8988" s="290"/>
      <c r="H8988" s="226"/>
      <c r="M8988" s="237"/>
    </row>
    <row r="8989" spans="2:13" ht="18.75" customHeight="1" x14ac:dyDescent="0.25">
      <c r="B8989" s="354"/>
      <c r="C8989" s="362"/>
      <c r="D8989" s="239"/>
      <c r="E8989" s="266"/>
      <c r="F8989" s="241"/>
      <c r="G8989" s="370"/>
      <c r="H8989" s="369"/>
      <c r="M8989" s="241"/>
    </row>
    <row r="8990" spans="2:13" ht="18.75" customHeight="1" x14ac:dyDescent="0.25">
      <c r="B8990" s="356" t="s">
        <v>647</v>
      </c>
      <c r="C8990" s="363" t="s">
        <v>648</v>
      </c>
      <c r="D8990" s="435"/>
      <c r="E8990" s="92"/>
      <c r="F8990" s="183"/>
      <c r="G8990" s="295"/>
      <c r="H8990" s="357">
        <f>+H8987+H8984+H8978</f>
        <v>48230</v>
      </c>
      <c r="M8990" s="183"/>
    </row>
    <row r="8991" spans="2:13" ht="18.75" customHeight="1" x14ac:dyDescent="0.25">
      <c r="B8991" s="356" t="s">
        <v>649</v>
      </c>
      <c r="C8991" s="364" t="s">
        <v>650</v>
      </c>
      <c r="D8991" s="435"/>
      <c r="E8991" s="92"/>
      <c r="F8991" s="184" t="str">
        <f>$J$5</f>
        <v>8,0 % x D</v>
      </c>
      <c r="G8991" s="295"/>
      <c r="H8991" s="358">
        <f>+H8990*$K$5</f>
        <v>3858.4</v>
      </c>
      <c r="M8991" s="184" t="str">
        <f>$J$5</f>
        <v>8,0 % x D</v>
      </c>
    </row>
    <row r="8992" spans="2:13" ht="18.75" customHeight="1" x14ac:dyDescent="0.25">
      <c r="B8992" s="356" t="s">
        <v>651</v>
      </c>
      <c r="C8992" s="365" t="s">
        <v>652</v>
      </c>
      <c r="D8992" s="435"/>
      <c r="E8992" s="91"/>
      <c r="F8992" s="185"/>
      <c r="G8992" s="296"/>
      <c r="H8992" s="359">
        <f>ROUNDUP((H8991+H8990)/100,0)*100</f>
        <v>52100</v>
      </c>
      <c r="M8992" s="185"/>
    </row>
    <row r="8993" spans="2:13" ht="18.75" customHeight="1" x14ac:dyDescent="0.25">
      <c r="B8993" s="360"/>
      <c r="C8993" s="366"/>
      <c r="D8993" s="245"/>
      <c r="E8993" s="246"/>
      <c r="F8993" s="247"/>
      <c r="G8993" s="299"/>
      <c r="H8993" s="361"/>
      <c r="M8993" s="247"/>
    </row>
    <row r="8994" spans="2:13" ht="18.75" customHeight="1" x14ac:dyDescent="0.25">
      <c r="B8994" s="92"/>
      <c r="C8994" s="104"/>
      <c r="D8994" s="435"/>
      <c r="E8994" s="91"/>
      <c r="F8994" s="185"/>
      <c r="G8994" s="168"/>
      <c r="H8994" s="139"/>
      <c r="M8994" s="185"/>
    </row>
    <row r="8995" spans="2:13" ht="18.75" customHeight="1" x14ac:dyDescent="0.25">
      <c r="B8995" s="19">
        <f>+B8969+1</f>
        <v>10</v>
      </c>
      <c r="C8995" s="93" t="s">
        <v>1341</v>
      </c>
      <c r="D8995" s="19"/>
      <c r="E8995" s="21"/>
      <c r="F8995" s="176"/>
      <c r="G8995" s="165"/>
      <c r="H8995" s="119"/>
      <c r="M8995" s="176"/>
    </row>
    <row r="8996" spans="2:13" ht="18.75" customHeight="1" x14ac:dyDescent="0.25">
      <c r="B8996" s="618" t="s">
        <v>620</v>
      </c>
      <c r="C8996" s="620" t="s">
        <v>621</v>
      </c>
      <c r="D8996" s="618" t="s">
        <v>622</v>
      </c>
      <c r="E8996" s="618" t="s">
        <v>2</v>
      </c>
      <c r="F8996" s="615" t="s">
        <v>623</v>
      </c>
      <c r="G8996" s="289" t="s">
        <v>624</v>
      </c>
      <c r="H8996" s="256" t="s">
        <v>625</v>
      </c>
      <c r="M8996" s="615" t="s">
        <v>623</v>
      </c>
    </row>
    <row r="8997" spans="2:13" ht="18.75" customHeight="1" x14ac:dyDescent="0.25">
      <c r="B8997" s="619"/>
      <c r="C8997" s="621"/>
      <c r="D8997" s="619"/>
      <c r="E8997" s="619"/>
      <c r="F8997" s="616"/>
      <c r="G8997" s="289" t="s">
        <v>626</v>
      </c>
      <c r="H8997" s="256" t="s">
        <v>626</v>
      </c>
      <c r="M8997" s="616"/>
    </row>
    <row r="8998" spans="2:13" ht="18.75" customHeight="1" x14ac:dyDescent="0.25">
      <c r="B8998" s="221"/>
      <c r="C8998" s="222"/>
      <c r="D8998" s="221"/>
      <c r="E8998" s="587"/>
      <c r="F8998" s="589"/>
      <c r="G8998" s="588"/>
      <c r="H8998" s="220"/>
      <c r="M8998" s="590"/>
    </row>
    <row r="8999" spans="2:13" ht="18.75" customHeight="1" x14ac:dyDescent="0.25">
      <c r="B8999" s="587" t="s">
        <v>627</v>
      </c>
      <c r="C8999" s="223" t="s">
        <v>628</v>
      </c>
      <c r="D8999" s="587"/>
      <c r="E8999" s="224"/>
      <c r="F8999" s="225"/>
      <c r="G8999" s="290"/>
      <c r="H8999" s="226"/>
      <c r="M8999" s="225"/>
    </row>
    <row r="9000" spans="2:13" ht="18.75" customHeight="1" x14ac:dyDescent="0.25">
      <c r="B9000" s="587"/>
      <c r="C9000" s="227" t="s">
        <v>629</v>
      </c>
      <c r="D9000" s="587" t="s">
        <v>630</v>
      </c>
      <c r="E9000" s="224" t="s">
        <v>631</v>
      </c>
      <c r="F9000" s="228">
        <v>0.02</v>
      </c>
      <c r="G9000" s="229">
        <f>G8974</f>
        <v>95000</v>
      </c>
      <c r="H9000" s="230">
        <f>+G9000*F9000</f>
        <v>1900</v>
      </c>
      <c r="M9000" s="228">
        <v>0.02</v>
      </c>
    </row>
    <row r="9001" spans="2:13" ht="18.75" customHeight="1" x14ac:dyDescent="0.25">
      <c r="B9001" s="587"/>
      <c r="C9001" s="227" t="s">
        <v>1508</v>
      </c>
      <c r="D9001" s="587" t="s">
        <v>632</v>
      </c>
      <c r="E9001" s="224" t="s">
        <v>631</v>
      </c>
      <c r="F9001" s="228">
        <v>7.5300000000000006E-2</v>
      </c>
      <c r="G9001" s="229">
        <f>G8975</f>
        <v>110000</v>
      </c>
      <c r="H9001" s="230">
        <f>+G9001*F9001</f>
        <v>8283</v>
      </c>
      <c r="M9001" s="228">
        <v>7.5300000000000006E-2</v>
      </c>
    </row>
    <row r="9002" spans="2:13" ht="18.75" customHeight="1" x14ac:dyDescent="0.25">
      <c r="B9002" s="587"/>
      <c r="C9002" s="227" t="s">
        <v>633</v>
      </c>
      <c r="D9002" s="587" t="s">
        <v>634</v>
      </c>
      <c r="E9002" s="224" t="s">
        <v>631</v>
      </c>
      <c r="F9002" s="228">
        <v>6.3E-3</v>
      </c>
      <c r="G9002" s="229">
        <f>G8976</f>
        <v>115000</v>
      </c>
      <c r="H9002" s="230">
        <f>+G9002*F9002</f>
        <v>724.5</v>
      </c>
      <c r="M9002" s="228">
        <v>6.3E-3</v>
      </c>
    </row>
    <row r="9003" spans="2:13" ht="18.75" customHeight="1" x14ac:dyDescent="0.25">
      <c r="B9003" s="587"/>
      <c r="C9003" s="227" t="s">
        <v>600</v>
      </c>
      <c r="D9003" s="587" t="s">
        <v>635</v>
      </c>
      <c r="E9003" s="224" t="s">
        <v>631</v>
      </c>
      <c r="F9003" s="228">
        <v>3.0000000000000001E-3</v>
      </c>
      <c r="G9003" s="229">
        <f>G8977</f>
        <v>140000</v>
      </c>
      <c r="H9003" s="230">
        <f>+G9003*F9003</f>
        <v>420</v>
      </c>
      <c r="M9003" s="228">
        <v>3.0000000000000001E-3</v>
      </c>
    </row>
    <row r="9004" spans="2:13" ht="18.75" customHeight="1" x14ac:dyDescent="0.25">
      <c r="B9004" s="587"/>
      <c r="C9004" s="223"/>
      <c r="D9004" s="587"/>
      <c r="E9004" s="224"/>
      <c r="F9004" s="233" t="s">
        <v>636</v>
      </c>
      <c r="G9004" s="290"/>
      <c r="H9004" s="231">
        <f>SUM(H9000:H9003)</f>
        <v>11327.5</v>
      </c>
      <c r="M9004" s="233" t="s">
        <v>636</v>
      </c>
    </row>
    <row r="9005" spans="2:13" ht="18.75" customHeight="1" x14ac:dyDescent="0.25">
      <c r="B9005" s="587"/>
      <c r="C9005" s="223"/>
      <c r="D9005" s="587"/>
      <c r="E9005" s="224"/>
      <c r="F9005" s="233"/>
      <c r="G9005" s="290"/>
      <c r="H9005" s="230"/>
      <c r="M9005" s="233"/>
    </row>
    <row r="9006" spans="2:13" ht="18.75" customHeight="1" x14ac:dyDescent="0.25">
      <c r="B9006" s="587" t="s">
        <v>637</v>
      </c>
      <c r="C9006" s="223" t="s">
        <v>638</v>
      </c>
      <c r="D9006" s="587"/>
      <c r="E9006" s="224"/>
      <c r="F9006" s="225"/>
      <c r="G9006" s="290"/>
      <c r="H9006" s="226"/>
      <c r="M9006" s="225"/>
    </row>
    <row r="9007" spans="2:13" ht="18.75" customHeight="1" x14ac:dyDescent="0.25">
      <c r="B9007" s="587"/>
      <c r="C9007" s="223" t="s">
        <v>183</v>
      </c>
      <c r="D9007" s="587"/>
      <c r="E9007" s="587" t="s">
        <v>5</v>
      </c>
      <c r="F9007" s="405">
        <v>0.1</v>
      </c>
      <c r="G9007" s="410">
        <f>Bahan!D201</f>
        <v>20000</v>
      </c>
      <c r="H9007" s="230">
        <f>+G9007*F9007</f>
        <v>2000</v>
      </c>
      <c r="M9007" s="405">
        <v>0.1</v>
      </c>
    </row>
    <row r="9008" spans="2:13" ht="18.75" customHeight="1" x14ac:dyDescent="0.25">
      <c r="B9008" s="587"/>
      <c r="C9008" s="223" t="s">
        <v>1664</v>
      </c>
      <c r="D9008" s="587"/>
      <c r="E9008" s="587" t="s">
        <v>5</v>
      </c>
      <c r="F9008" s="405">
        <v>0.1</v>
      </c>
      <c r="G9008" s="410">
        <f>Bahan!D193</f>
        <v>45000</v>
      </c>
      <c r="H9008" s="230">
        <f>+G9008*F9008</f>
        <v>4500</v>
      </c>
      <c r="M9008" s="405">
        <v>0.1</v>
      </c>
    </row>
    <row r="9009" spans="2:13" ht="18.75" customHeight="1" x14ac:dyDescent="0.25">
      <c r="B9009" s="587"/>
      <c r="C9009" s="223" t="s">
        <v>1665</v>
      </c>
      <c r="D9009" s="587"/>
      <c r="E9009" s="587" t="s">
        <v>5</v>
      </c>
      <c r="F9009" s="405">
        <v>0.26</v>
      </c>
      <c r="G9009" s="410">
        <f>G9008</f>
        <v>45000</v>
      </c>
      <c r="H9009" s="230">
        <f>+G9009*F9009</f>
        <v>11700</v>
      </c>
      <c r="M9009" s="405">
        <v>0.26</v>
      </c>
    </row>
    <row r="9010" spans="2:13" ht="18.75" customHeight="1" x14ac:dyDescent="0.25">
      <c r="B9010" s="587"/>
      <c r="C9010" s="223"/>
      <c r="D9010" s="587"/>
      <c r="E9010" s="224"/>
      <c r="F9010" s="237" t="s">
        <v>643</v>
      </c>
      <c r="G9010" s="290"/>
      <c r="H9010" s="231">
        <f>SUM(H9007:H9009)</f>
        <v>18200</v>
      </c>
      <c r="M9010" s="237" t="s">
        <v>643</v>
      </c>
    </row>
    <row r="9011" spans="2:13" ht="18.75" customHeight="1" x14ac:dyDescent="0.25">
      <c r="B9011" s="587"/>
      <c r="C9011" s="223"/>
      <c r="D9011" s="587"/>
      <c r="E9011" s="224"/>
      <c r="F9011" s="225"/>
      <c r="G9011" s="290"/>
      <c r="H9011" s="226"/>
      <c r="M9011" s="225"/>
    </row>
    <row r="9012" spans="2:13" ht="18.75" customHeight="1" x14ac:dyDescent="0.25">
      <c r="B9012" s="587" t="s">
        <v>644</v>
      </c>
      <c r="C9012" s="223" t="s">
        <v>645</v>
      </c>
      <c r="D9012" s="587"/>
      <c r="E9012" s="224"/>
      <c r="F9012" s="225"/>
      <c r="G9012" s="290"/>
      <c r="H9012" s="235"/>
      <c r="M9012" s="225"/>
    </row>
    <row r="9013" spans="2:13" ht="18.75" customHeight="1" x14ac:dyDescent="0.25">
      <c r="B9013" s="236"/>
      <c r="C9013" s="232"/>
      <c r="D9013" s="587"/>
      <c r="E9013" s="224"/>
      <c r="F9013" s="237" t="s">
        <v>646</v>
      </c>
      <c r="G9013" s="290"/>
      <c r="H9013" s="230"/>
      <c r="M9013" s="237" t="s">
        <v>646</v>
      </c>
    </row>
    <row r="9014" spans="2:13" ht="18.75" customHeight="1" x14ac:dyDescent="0.25">
      <c r="B9014" s="236"/>
      <c r="C9014" s="232"/>
      <c r="D9014" s="587"/>
      <c r="E9014" s="224"/>
      <c r="F9014" s="237"/>
      <c r="G9014" s="290"/>
      <c r="H9014" s="226"/>
      <c r="M9014" s="237"/>
    </row>
    <row r="9015" spans="2:13" ht="18.75" customHeight="1" x14ac:dyDescent="0.25">
      <c r="B9015" s="354"/>
      <c r="C9015" s="362"/>
      <c r="D9015" s="239"/>
      <c r="E9015" s="266"/>
      <c r="F9015" s="241"/>
      <c r="G9015" s="370"/>
      <c r="H9015" s="369"/>
      <c r="M9015" s="241"/>
    </row>
    <row r="9016" spans="2:13" ht="18.75" customHeight="1" x14ac:dyDescent="0.25">
      <c r="B9016" s="356" t="s">
        <v>647</v>
      </c>
      <c r="C9016" s="363" t="s">
        <v>648</v>
      </c>
      <c r="D9016" s="435"/>
      <c r="E9016" s="92"/>
      <c r="F9016" s="183"/>
      <c r="G9016" s="295"/>
      <c r="H9016" s="357">
        <f>+H9013+H9010+H9004</f>
        <v>29527.5</v>
      </c>
      <c r="M9016" s="183"/>
    </row>
    <row r="9017" spans="2:13" ht="18.75" customHeight="1" x14ac:dyDescent="0.25">
      <c r="B9017" s="356" t="s">
        <v>649</v>
      </c>
      <c r="C9017" s="364" t="s">
        <v>650</v>
      </c>
      <c r="D9017" s="435"/>
      <c r="E9017" s="92"/>
      <c r="F9017" s="184" t="str">
        <f>$J$5</f>
        <v>8,0 % x D</v>
      </c>
      <c r="G9017" s="295"/>
      <c r="H9017" s="358">
        <f>+H9016*$K$5</f>
        <v>2362.2000000000003</v>
      </c>
      <c r="M9017" s="184" t="str">
        <f>$J$5</f>
        <v>8,0 % x D</v>
      </c>
    </row>
    <row r="9018" spans="2:13" ht="18.75" customHeight="1" x14ac:dyDescent="0.25">
      <c r="B9018" s="356" t="s">
        <v>651</v>
      </c>
      <c r="C9018" s="365" t="s">
        <v>652</v>
      </c>
      <c r="D9018" s="435"/>
      <c r="E9018" s="91"/>
      <c r="F9018" s="185"/>
      <c r="G9018" s="296"/>
      <c r="H9018" s="359">
        <f>ROUNDUP((H9017+H9016)/100,0)*100</f>
        <v>31900</v>
      </c>
      <c r="M9018" s="185"/>
    </row>
    <row r="9019" spans="2:13" ht="18.75" customHeight="1" x14ac:dyDescent="0.25">
      <c r="B9019" s="360"/>
      <c r="C9019" s="366"/>
      <c r="D9019" s="245"/>
      <c r="E9019" s="246"/>
      <c r="F9019" s="247"/>
      <c r="G9019" s="299"/>
      <c r="H9019" s="361"/>
      <c r="M9019" s="247"/>
    </row>
    <row r="9020" spans="2:13" ht="18.75" customHeight="1" x14ac:dyDescent="0.25">
      <c r="B9020" s="22"/>
      <c r="C9020" s="104"/>
      <c r="E9020" s="21"/>
      <c r="F9020" s="176"/>
      <c r="G9020" s="165"/>
      <c r="H9020" s="119"/>
      <c r="M9020" s="176"/>
    </row>
    <row r="9021" spans="2:13" ht="18.75" customHeight="1" x14ac:dyDescent="0.25">
      <c r="B9021" s="19">
        <f>+B8995+1</f>
        <v>11</v>
      </c>
      <c r="C9021" s="93" t="s">
        <v>1342</v>
      </c>
      <c r="D9021" s="19"/>
      <c r="E9021" s="21"/>
      <c r="F9021" s="176"/>
      <c r="G9021" s="165"/>
      <c r="H9021" s="119"/>
      <c r="M9021" s="176"/>
    </row>
    <row r="9022" spans="2:13" ht="18.75" customHeight="1" x14ac:dyDescent="0.25">
      <c r="B9022" s="618" t="s">
        <v>620</v>
      </c>
      <c r="C9022" s="620" t="s">
        <v>621</v>
      </c>
      <c r="D9022" s="618" t="s">
        <v>622</v>
      </c>
      <c r="E9022" s="618" t="s">
        <v>2</v>
      </c>
      <c r="F9022" s="615" t="s">
        <v>623</v>
      </c>
      <c r="G9022" s="289" t="s">
        <v>624</v>
      </c>
      <c r="H9022" s="256" t="s">
        <v>625</v>
      </c>
      <c r="M9022" s="615" t="s">
        <v>623</v>
      </c>
    </row>
    <row r="9023" spans="2:13" ht="18.75" customHeight="1" x14ac:dyDescent="0.25">
      <c r="B9023" s="619"/>
      <c r="C9023" s="621"/>
      <c r="D9023" s="619"/>
      <c r="E9023" s="619"/>
      <c r="F9023" s="616"/>
      <c r="G9023" s="289" t="s">
        <v>626</v>
      </c>
      <c r="H9023" s="256" t="s">
        <v>626</v>
      </c>
      <c r="M9023" s="616"/>
    </row>
    <row r="9024" spans="2:13" ht="18.75" customHeight="1" x14ac:dyDescent="0.25">
      <c r="B9024" s="221"/>
      <c r="C9024" s="222"/>
      <c r="D9024" s="221"/>
      <c r="E9024" s="587"/>
      <c r="F9024" s="589"/>
      <c r="G9024" s="588"/>
      <c r="H9024" s="220"/>
      <c r="M9024" s="590"/>
    </row>
    <row r="9025" spans="2:13" ht="18.75" customHeight="1" x14ac:dyDescent="0.25">
      <c r="B9025" s="587" t="s">
        <v>627</v>
      </c>
      <c r="C9025" s="223" t="s">
        <v>628</v>
      </c>
      <c r="D9025" s="587"/>
      <c r="E9025" s="224"/>
      <c r="F9025" s="225"/>
      <c r="G9025" s="290"/>
      <c r="H9025" s="226"/>
      <c r="M9025" s="225"/>
    </row>
    <row r="9026" spans="2:13" ht="18.75" customHeight="1" x14ac:dyDescent="0.25">
      <c r="B9026" s="587"/>
      <c r="C9026" s="227" t="s">
        <v>629</v>
      </c>
      <c r="D9026" s="587" t="s">
        <v>630</v>
      </c>
      <c r="E9026" s="224" t="s">
        <v>631</v>
      </c>
      <c r="F9026" s="228">
        <v>2.8000000000000001E-2</v>
      </c>
      <c r="G9026" s="229">
        <f>G9000</f>
        <v>95000</v>
      </c>
      <c r="H9026" s="230">
        <f>+G9026*F9026</f>
        <v>2660</v>
      </c>
      <c r="M9026" s="228">
        <v>2.8000000000000001E-2</v>
      </c>
    </row>
    <row r="9027" spans="2:13" ht="18.75" customHeight="1" x14ac:dyDescent="0.25">
      <c r="B9027" s="587"/>
      <c r="C9027" s="227" t="s">
        <v>1508</v>
      </c>
      <c r="D9027" s="587" t="s">
        <v>632</v>
      </c>
      <c r="E9027" s="224" t="s">
        <v>631</v>
      </c>
      <c r="F9027" s="228">
        <v>7.5200000000000003E-2</v>
      </c>
      <c r="G9027" s="229">
        <f>G9001</f>
        <v>110000</v>
      </c>
      <c r="H9027" s="230">
        <f>+G9027*F9027</f>
        <v>8272</v>
      </c>
      <c r="M9027" s="228">
        <v>7.5200000000000003E-2</v>
      </c>
    </row>
    <row r="9028" spans="2:13" ht="18.75" customHeight="1" x14ac:dyDescent="0.25">
      <c r="B9028" s="587"/>
      <c r="C9028" s="227" t="s">
        <v>633</v>
      </c>
      <c r="D9028" s="587" t="s">
        <v>634</v>
      </c>
      <c r="E9028" s="224" t="s">
        <v>631</v>
      </c>
      <c r="F9028" s="228">
        <v>4.1999999999999997E-3</v>
      </c>
      <c r="G9028" s="229">
        <f>G9002</f>
        <v>115000</v>
      </c>
      <c r="H9028" s="230">
        <f>+G9028*F9028</f>
        <v>482.99999999999994</v>
      </c>
      <c r="M9028" s="228">
        <v>4.1999999999999997E-3</v>
      </c>
    </row>
    <row r="9029" spans="2:13" ht="18.75" customHeight="1" x14ac:dyDescent="0.25">
      <c r="B9029" s="587"/>
      <c r="C9029" s="227" t="s">
        <v>600</v>
      </c>
      <c r="D9029" s="587" t="s">
        <v>635</v>
      </c>
      <c r="E9029" s="224" t="s">
        <v>631</v>
      </c>
      <c r="F9029" s="228">
        <v>3.0000000000000001E-3</v>
      </c>
      <c r="G9029" s="229">
        <f>G9003</f>
        <v>140000</v>
      </c>
      <c r="H9029" s="230">
        <f>+G9029*F9029</f>
        <v>420</v>
      </c>
      <c r="M9029" s="228">
        <v>3.0000000000000001E-3</v>
      </c>
    </row>
    <row r="9030" spans="2:13" ht="18.75" customHeight="1" x14ac:dyDescent="0.25">
      <c r="B9030" s="587"/>
      <c r="C9030" s="223"/>
      <c r="D9030" s="587"/>
      <c r="E9030" s="224"/>
      <c r="F9030" s="233" t="s">
        <v>636</v>
      </c>
      <c r="G9030" s="290"/>
      <c r="H9030" s="231">
        <f>SUM(H9026:H9029)</f>
        <v>11835</v>
      </c>
      <c r="M9030" s="233" t="s">
        <v>636</v>
      </c>
    </row>
    <row r="9031" spans="2:13" ht="18.75" customHeight="1" x14ac:dyDescent="0.25">
      <c r="B9031" s="587"/>
      <c r="C9031" s="223"/>
      <c r="D9031" s="587"/>
      <c r="E9031" s="224"/>
      <c r="F9031" s="233"/>
      <c r="G9031" s="290"/>
      <c r="H9031" s="231"/>
      <c r="M9031" s="233"/>
    </row>
    <row r="9032" spans="2:13" ht="18.75" customHeight="1" x14ac:dyDescent="0.25">
      <c r="B9032" s="587" t="s">
        <v>637</v>
      </c>
      <c r="C9032" s="223" t="s">
        <v>638</v>
      </c>
      <c r="D9032" s="587"/>
      <c r="E9032" s="224"/>
      <c r="F9032" s="225"/>
      <c r="G9032" s="290"/>
      <c r="H9032" s="226"/>
      <c r="M9032" s="225"/>
    </row>
    <row r="9033" spans="2:13" ht="18.75" customHeight="1" x14ac:dyDescent="0.25">
      <c r="B9033" s="587"/>
      <c r="C9033" s="223" t="s">
        <v>173</v>
      </c>
      <c r="D9033" s="587"/>
      <c r="E9033" s="587" t="s">
        <v>5</v>
      </c>
      <c r="F9033" s="405">
        <v>0.12</v>
      </c>
      <c r="G9033" s="410">
        <f>+G9008</f>
        <v>45000</v>
      </c>
      <c r="H9033" s="230">
        <f>+G9033*F9033</f>
        <v>5400</v>
      </c>
      <c r="M9033" s="405">
        <v>0.12</v>
      </c>
    </row>
    <row r="9034" spans="2:13" ht="18.75" customHeight="1" x14ac:dyDescent="0.25">
      <c r="B9034" s="587"/>
      <c r="C9034" s="223" t="s">
        <v>1360</v>
      </c>
      <c r="D9034" s="587"/>
      <c r="E9034" s="587" t="s">
        <v>5</v>
      </c>
      <c r="F9034" s="405">
        <v>0.18</v>
      </c>
      <c r="G9034" s="410">
        <f>+G9009</f>
        <v>45000</v>
      </c>
      <c r="H9034" s="230">
        <f>+G9034*F9034</f>
        <v>8100</v>
      </c>
      <c r="M9034" s="405">
        <v>0.18</v>
      </c>
    </row>
    <row r="9035" spans="2:13" ht="18.75" customHeight="1" x14ac:dyDescent="0.25">
      <c r="B9035" s="587"/>
      <c r="C9035" s="223"/>
      <c r="D9035" s="587"/>
      <c r="E9035" s="224"/>
      <c r="F9035" s="237" t="s">
        <v>643</v>
      </c>
      <c r="G9035" s="290"/>
      <c r="H9035" s="231">
        <f>SUM(H9033:H9034)</f>
        <v>13500</v>
      </c>
      <c r="M9035" s="237" t="s">
        <v>643</v>
      </c>
    </row>
    <row r="9036" spans="2:13" ht="18.75" customHeight="1" x14ac:dyDescent="0.25">
      <c r="B9036" s="587"/>
      <c r="C9036" s="223"/>
      <c r="D9036" s="587"/>
      <c r="E9036" s="224"/>
      <c r="F9036" s="225"/>
      <c r="G9036" s="290"/>
      <c r="H9036" s="226"/>
      <c r="M9036" s="225"/>
    </row>
    <row r="9037" spans="2:13" ht="18.75" customHeight="1" x14ac:dyDescent="0.25">
      <c r="B9037" s="587" t="s">
        <v>644</v>
      </c>
      <c r="C9037" s="223" t="s">
        <v>645</v>
      </c>
      <c r="D9037" s="587"/>
      <c r="E9037" s="224"/>
      <c r="F9037" s="225"/>
      <c r="G9037" s="290"/>
      <c r="H9037" s="235"/>
      <c r="M9037" s="225"/>
    </row>
    <row r="9038" spans="2:13" ht="18.75" customHeight="1" x14ac:dyDescent="0.25">
      <c r="B9038" s="236"/>
      <c r="C9038" s="232"/>
      <c r="D9038" s="587"/>
      <c r="E9038" s="224"/>
      <c r="F9038" s="237" t="s">
        <v>646</v>
      </c>
      <c r="G9038" s="290"/>
      <c r="H9038" s="230"/>
      <c r="M9038" s="237" t="s">
        <v>646</v>
      </c>
    </row>
    <row r="9039" spans="2:13" ht="18.75" customHeight="1" x14ac:dyDescent="0.25">
      <c r="B9039" s="236"/>
      <c r="C9039" s="232"/>
      <c r="D9039" s="587"/>
      <c r="E9039" s="224"/>
      <c r="F9039" s="237"/>
      <c r="G9039" s="290"/>
      <c r="H9039" s="226"/>
      <c r="M9039" s="237"/>
    </row>
    <row r="9040" spans="2:13" ht="18.75" customHeight="1" x14ac:dyDescent="0.25">
      <c r="B9040" s="354"/>
      <c r="C9040" s="362"/>
      <c r="D9040" s="239"/>
      <c r="E9040" s="266"/>
      <c r="F9040" s="241"/>
      <c r="G9040" s="370"/>
      <c r="H9040" s="369"/>
      <c r="M9040" s="241"/>
    </row>
    <row r="9041" spans="2:13" ht="18.75" customHeight="1" x14ac:dyDescent="0.25">
      <c r="B9041" s="356" t="s">
        <v>647</v>
      </c>
      <c r="C9041" s="363" t="s">
        <v>648</v>
      </c>
      <c r="D9041" s="435"/>
      <c r="E9041" s="92"/>
      <c r="F9041" s="183"/>
      <c r="G9041" s="295"/>
      <c r="H9041" s="357">
        <f>+H9038+H9035+H9030</f>
        <v>25335</v>
      </c>
      <c r="M9041" s="183"/>
    </row>
    <row r="9042" spans="2:13" ht="18.75" customHeight="1" x14ac:dyDescent="0.25">
      <c r="B9042" s="356" t="s">
        <v>649</v>
      </c>
      <c r="C9042" s="364" t="s">
        <v>650</v>
      </c>
      <c r="D9042" s="435"/>
      <c r="E9042" s="92"/>
      <c r="F9042" s="184" t="str">
        <f>$J$5</f>
        <v>8,0 % x D</v>
      </c>
      <c r="G9042" s="295"/>
      <c r="H9042" s="358">
        <f>+H9041*$K$5</f>
        <v>2026.8</v>
      </c>
      <c r="M9042" s="184" t="str">
        <f>$J$5</f>
        <v>8,0 % x D</v>
      </c>
    </row>
    <row r="9043" spans="2:13" ht="18.75" customHeight="1" x14ac:dyDescent="0.25">
      <c r="B9043" s="356" t="s">
        <v>651</v>
      </c>
      <c r="C9043" s="365" t="s">
        <v>652</v>
      </c>
      <c r="D9043" s="435"/>
      <c r="E9043" s="91"/>
      <c r="F9043" s="185"/>
      <c r="G9043" s="296"/>
      <c r="H9043" s="359">
        <f>ROUNDUP((H9042+H9041)/100,0)*100</f>
        <v>27400</v>
      </c>
      <c r="M9043" s="185"/>
    </row>
    <row r="9044" spans="2:13" ht="18.75" customHeight="1" x14ac:dyDescent="0.25">
      <c r="B9044" s="360"/>
      <c r="C9044" s="366"/>
      <c r="D9044" s="245"/>
      <c r="E9044" s="246"/>
      <c r="F9044" s="247"/>
      <c r="G9044" s="299"/>
      <c r="H9044" s="361"/>
      <c r="M9044" s="247"/>
    </row>
    <row r="9045" spans="2:13" ht="18.75" customHeight="1" x14ac:dyDescent="0.25">
      <c r="B9045" s="92"/>
      <c r="C9045" s="104"/>
      <c r="D9045" s="435"/>
      <c r="E9045" s="91"/>
      <c r="F9045" s="185"/>
      <c r="G9045" s="168"/>
      <c r="H9045" s="139"/>
      <c r="M9045" s="185"/>
    </row>
    <row r="9046" spans="2:13" ht="18.75" customHeight="1" x14ac:dyDescent="0.25">
      <c r="B9046" s="19">
        <v>12</v>
      </c>
      <c r="C9046" s="93" t="s">
        <v>1343</v>
      </c>
      <c r="D9046" s="19"/>
      <c r="E9046" s="21"/>
      <c r="F9046" s="176"/>
      <c r="G9046" s="165"/>
      <c r="H9046" s="119"/>
      <c r="M9046" s="176"/>
    </row>
    <row r="9047" spans="2:13" ht="18.75" customHeight="1" x14ac:dyDescent="0.25">
      <c r="B9047" s="618" t="s">
        <v>620</v>
      </c>
      <c r="C9047" s="620" t="s">
        <v>621</v>
      </c>
      <c r="D9047" s="618" t="s">
        <v>622</v>
      </c>
      <c r="E9047" s="618" t="s">
        <v>2</v>
      </c>
      <c r="F9047" s="615" t="s">
        <v>623</v>
      </c>
      <c r="G9047" s="289" t="s">
        <v>624</v>
      </c>
      <c r="H9047" s="256" t="s">
        <v>625</v>
      </c>
      <c r="M9047" s="615" t="s">
        <v>623</v>
      </c>
    </row>
    <row r="9048" spans="2:13" ht="18.75" customHeight="1" x14ac:dyDescent="0.25">
      <c r="B9048" s="619"/>
      <c r="C9048" s="621"/>
      <c r="D9048" s="619"/>
      <c r="E9048" s="619"/>
      <c r="F9048" s="616"/>
      <c r="G9048" s="289" t="s">
        <v>626</v>
      </c>
      <c r="H9048" s="256" t="s">
        <v>626</v>
      </c>
      <c r="M9048" s="616"/>
    </row>
    <row r="9049" spans="2:13" ht="18.75" customHeight="1" x14ac:dyDescent="0.25">
      <c r="B9049" s="221"/>
      <c r="C9049" s="222"/>
      <c r="D9049" s="221"/>
      <c r="E9049" s="587"/>
      <c r="F9049" s="589"/>
      <c r="G9049" s="588"/>
      <c r="H9049" s="220"/>
      <c r="M9049" s="590"/>
    </row>
    <row r="9050" spans="2:13" ht="18.75" customHeight="1" x14ac:dyDescent="0.25">
      <c r="B9050" s="587" t="s">
        <v>627</v>
      </c>
      <c r="C9050" s="223" t="s">
        <v>628</v>
      </c>
      <c r="D9050" s="587"/>
      <c r="E9050" s="224"/>
      <c r="F9050" s="225"/>
      <c r="G9050" s="290"/>
      <c r="H9050" s="226"/>
      <c r="M9050" s="225"/>
    </row>
    <row r="9051" spans="2:13" ht="18.75" customHeight="1" x14ac:dyDescent="0.25">
      <c r="B9051" s="587"/>
      <c r="C9051" s="227" t="s">
        <v>629</v>
      </c>
      <c r="D9051" s="587" t="s">
        <v>630</v>
      </c>
      <c r="E9051" s="224" t="s">
        <v>631</v>
      </c>
      <c r="F9051" s="228">
        <v>2.8000000000000001E-2</v>
      </c>
      <c r="G9051" s="229">
        <f>G9026</f>
        <v>95000</v>
      </c>
      <c r="H9051" s="230">
        <f>+G9051*F9051</f>
        <v>2660</v>
      </c>
      <c r="M9051" s="228">
        <v>2.8000000000000001E-2</v>
      </c>
    </row>
    <row r="9052" spans="2:13" ht="18.75" customHeight="1" x14ac:dyDescent="0.25">
      <c r="B9052" s="587"/>
      <c r="C9052" s="227" t="s">
        <v>1508</v>
      </c>
      <c r="D9052" s="587" t="s">
        <v>632</v>
      </c>
      <c r="E9052" s="224" t="s">
        <v>631</v>
      </c>
      <c r="F9052" s="228">
        <v>7.5200000000000003E-2</v>
      </c>
      <c r="G9052" s="229">
        <f>G9027</f>
        <v>110000</v>
      </c>
      <c r="H9052" s="230">
        <f>+G9052*F9052</f>
        <v>8272</v>
      </c>
      <c r="M9052" s="228">
        <v>7.5200000000000003E-2</v>
      </c>
    </row>
    <row r="9053" spans="2:13" ht="18.75" customHeight="1" x14ac:dyDescent="0.25">
      <c r="B9053" s="587"/>
      <c r="C9053" s="227" t="s">
        <v>633</v>
      </c>
      <c r="D9053" s="587" t="s">
        <v>634</v>
      </c>
      <c r="E9053" s="224" t="s">
        <v>631</v>
      </c>
      <c r="F9053" s="228">
        <v>4.1999999999999997E-3</v>
      </c>
      <c r="G9053" s="229">
        <f>G9028</f>
        <v>115000</v>
      </c>
      <c r="H9053" s="230">
        <f>+G9053*F9053</f>
        <v>482.99999999999994</v>
      </c>
      <c r="M9053" s="228">
        <v>4.1999999999999997E-3</v>
      </c>
    </row>
    <row r="9054" spans="2:13" ht="18.75" customHeight="1" x14ac:dyDescent="0.25">
      <c r="B9054" s="587"/>
      <c r="C9054" s="227" t="s">
        <v>600</v>
      </c>
      <c r="D9054" s="587" t="s">
        <v>635</v>
      </c>
      <c r="E9054" s="224" t="s">
        <v>631</v>
      </c>
      <c r="F9054" s="228">
        <v>3.0000000000000001E-3</v>
      </c>
      <c r="G9054" s="229">
        <f>G9029</f>
        <v>140000</v>
      </c>
      <c r="H9054" s="230">
        <f>+G9054*F9054</f>
        <v>420</v>
      </c>
      <c r="M9054" s="228">
        <v>3.0000000000000001E-3</v>
      </c>
    </row>
    <row r="9055" spans="2:13" ht="18.75" customHeight="1" x14ac:dyDescent="0.25">
      <c r="B9055" s="587"/>
      <c r="C9055" s="223"/>
      <c r="D9055" s="587"/>
      <c r="E9055" s="224"/>
      <c r="F9055" s="233" t="s">
        <v>636</v>
      </c>
      <c r="G9055" s="290"/>
      <c r="H9055" s="231">
        <f>SUM(H9051:H9054)</f>
        <v>11835</v>
      </c>
      <c r="M9055" s="233" t="s">
        <v>636</v>
      </c>
    </row>
    <row r="9056" spans="2:13" ht="18.75" customHeight="1" x14ac:dyDescent="0.25">
      <c r="B9056" s="587"/>
      <c r="C9056" s="223"/>
      <c r="D9056" s="587"/>
      <c r="E9056" s="224"/>
      <c r="F9056" s="233"/>
      <c r="G9056" s="290"/>
      <c r="H9056" s="231"/>
      <c r="M9056" s="233"/>
    </row>
    <row r="9057" spans="2:13" ht="18.75" customHeight="1" x14ac:dyDescent="0.25">
      <c r="B9057" s="587" t="s">
        <v>637</v>
      </c>
      <c r="C9057" s="223" t="s">
        <v>638</v>
      </c>
      <c r="D9057" s="587"/>
      <c r="E9057" s="224"/>
      <c r="F9057" s="225"/>
      <c r="G9057" s="290"/>
      <c r="H9057" s="226"/>
      <c r="M9057" s="225"/>
    </row>
    <row r="9058" spans="2:13" ht="18.75" customHeight="1" x14ac:dyDescent="0.25">
      <c r="B9058" s="587"/>
      <c r="C9058" s="223" t="s">
        <v>189</v>
      </c>
      <c r="D9058" s="587"/>
      <c r="E9058" s="587" t="s">
        <v>5</v>
      </c>
      <c r="F9058" s="405">
        <v>0.1</v>
      </c>
      <c r="G9058" s="410">
        <f>Bahan!D209</f>
        <v>17000</v>
      </c>
      <c r="H9058" s="230">
        <f>+G9058*F9058</f>
        <v>1700</v>
      </c>
      <c r="M9058" s="405">
        <v>0.1</v>
      </c>
    </row>
    <row r="9059" spans="2:13" ht="18.75" customHeight="1" x14ac:dyDescent="0.25">
      <c r="B9059" s="587"/>
      <c r="C9059" s="223"/>
      <c r="D9059" s="587"/>
      <c r="E9059" s="224"/>
      <c r="F9059" s="237" t="s">
        <v>643</v>
      </c>
      <c r="G9059" s="290"/>
      <c r="H9059" s="231">
        <f>SUM(H9058:H9058)</f>
        <v>1700</v>
      </c>
      <c r="M9059" s="237" t="s">
        <v>643</v>
      </c>
    </row>
    <row r="9060" spans="2:13" ht="18.75" customHeight="1" x14ac:dyDescent="0.25">
      <c r="B9060" s="587"/>
      <c r="C9060" s="223"/>
      <c r="D9060" s="587"/>
      <c r="E9060" s="224"/>
      <c r="F9060" s="225"/>
      <c r="G9060" s="290"/>
      <c r="H9060" s="226"/>
      <c r="M9060" s="225"/>
    </row>
    <row r="9061" spans="2:13" ht="18.75" customHeight="1" x14ac:dyDescent="0.25">
      <c r="B9061" s="587" t="s">
        <v>644</v>
      </c>
      <c r="C9061" s="223" t="s">
        <v>645</v>
      </c>
      <c r="D9061" s="587"/>
      <c r="E9061" s="224"/>
      <c r="F9061" s="225"/>
      <c r="G9061" s="290"/>
      <c r="H9061" s="235"/>
      <c r="M9061" s="225"/>
    </row>
    <row r="9062" spans="2:13" ht="18.75" customHeight="1" x14ac:dyDescent="0.25">
      <c r="B9062" s="236"/>
      <c r="C9062" s="232"/>
      <c r="D9062" s="587"/>
      <c r="E9062" s="224"/>
      <c r="F9062" s="237" t="s">
        <v>646</v>
      </c>
      <c r="G9062" s="290"/>
      <c r="H9062" s="230"/>
      <c r="M9062" s="237" t="s">
        <v>646</v>
      </c>
    </row>
    <row r="9063" spans="2:13" ht="18.75" customHeight="1" x14ac:dyDescent="0.25">
      <c r="B9063" s="236"/>
      <c r="C9063" s="232"/>
      <c r="D9063" s="587"/>
      <c r="E9063" s="224"/>
      <c r="F9063" s="237"/>
      <c r="G9063" s="290"/>
      <c r="H9063" s="226"/>
      <c r="M9063" s="237"/>
    </row>
    <row r="9064" spans="2:13" ht="18.75" customHeight="1" x14ac:dyDescent="0.25">
      <c r="B9064" s="354"/>
      <c r="C9064" s="362"/>
      <c r="D9064" s="239"/>
      <c r="E9064" s="266"/>
      <c r="F9064" s="241"/>
      <c r="G9064" s="370"/>
      <c r="H9064" s="369"/>
      <c r="M9064" s="241"/>
    </row>
    <row r="9065" spans="2:13" ht="18.75" customHeight="1" x14ac:dyDescent="0.25">
      <c r="B9065" s="356" t="s">
        <v>647</v>
      </c>
      <c r="C9065" s="363" t="s">
        <v>648</v>
      </c>
      <c r="D9065" s="435"/>
      <c r="E9065" s="92"/>
      <c r="F9065" s="183"/>
      <c r="G9065" s="295"/>
      <c r="H9065" s="357">
        <f>+H9062+H9059+H9055</f>
        <v>13535</v>
      </c>
      <c r="M9065" s="183"/>
    </row>
    <row r="9066" spans="2:13" ht="18.75" customHeight="1" x14ac:dyDescent="0.25">
      <c r="B9066" s="356" t="s">
        <v>649</v>
      </c>
      <c r="C9066" s="364" t="s">
        <v>650</v>
      </c>
      <c r="D9066" s="435"/>
      <c r="E9066" s="92"/>
      <c r="F9066" s="184" t="str">
        <f>$J$5</f>
        <v>8,0 % x D</v>
      </c>
      <c r="G9066" s="295"/>
      <c r="H9066" s="358">
        <f>+H9065*$K$5</f>
        <v>1082.8</v>
      </c>
      <c r="M9066" s="184" t="str">
        <f>$J$5</f>
        <v>8,0 % x D</v>
      </c>
    </row>
    <row r="9067" spans="2:13" ht="18.75" customHeight="1" x14ac:dyDescent="0.25">
      <c r="B9067" s="356" t="s">
        <v>651</v>
      </c>
      <c r="C9067" s="365" t="s">
        <v>652</v>
      </c>
      <c r="D9067" s="435"/>
      <c r="E9067" s="91"/>
      <c r="F9067" s="185"/>
      <c r="G9067" s="296"/>
      <c r="H9067" s="359">
        <f>ROUNDUP((H9066+H9065)/100,0)*100</f>
        <v>14700</v>
      </c>
      <c r="M9067" s="185"/>
    </row>
    <row r="9068" spans="2:13" ht="18.75" customHeight="1" x14ac:dyDescent="0.25">
      <c r="B9068" s="360"/>
      <c r="C9068" s="366"/>
      <c r="D9068" s="245"/>
      <c r="E9068" s="246"/>
      <c r="F9068" s="247"/>
      <c r="G9068" s="299"/>
      <c r="H9068" s="361"/>
      <c r="M9068" s="247"/>
    </row>
    <row r="9069" spans="2:13" ht="18.75" customHeight="1" x14ac:dyDescent="0.25">
      <c r="B9069" s="22"/>
      <c r="C9069" s="104"/>
      <c r="E9069" s="21"/>
      <c r="F9069" s="176"/>
      <c r="G9069" s="165"/>
      <c r="H9069" s="119"/>
      <c r="M9069" s="176"/>
    </row>
    <row r="9070" spans="2:13" ht="18.75" customHeight="1" x14ac:dyDescent="0.25">
      <c r="B9070" s="19">
        <v>13</v>
      </c>
      <c r="C9070" s="93" t="s">
        <v>1344</v>
      </c>
      <c r="D9070" s="19"/>
      <c r="E9070" s="21"/>
      <c r="F9070" s="176"/>
      <c r="G9070" s="165"/>
      <c r="H9070" s="119"/>
      <c r="M9070" s="176"/>
    </row>
    <row r="9071" spans="2:13" ht="18.75" customHeight="1" x14ac:dyDescent="0.25">
      <c r="B9071" s="618" t="s">
        <v>620</v>
      </c>
      <c r="C9071" s="620" t="s">
        <v>621</v>
      </c>
      <c r="D9071" s="618" t="s">
        <v>622</v>
      </c>
      <c r="E9071" s="618" t="s">
        <v>2</v>
      </c>
      <c r="F9071" s="615" t="s">
        <v>623</v>
      </c>
      <c r="G9071" s="289" t="s">
        <v>624</v>
      </c>
      <c r="H9071" s="256" t="s">
        <v>625</v>
      </c>
      <c r="M9071" s="615" t="s">
        <v>623</v>
      </c>
    </row>
    <row r="9072" spans="2:13" ht="18.75" customHeight="1" x14ac:dyDescent="0.25">
      <c r="B9072" s="619"/>
      <c r="C9072" s="621"/>
      <c r="D9072" s="619"/>
      <c r="E9072" s="619"/>
      <c r="F9072" s="616"/>
      <c r="G9072" s="289" t="s">
        <v>626</v>
      </c>
      <c r="H9072" s="256" t="s">
        <v>626</v>
      </c>
      <c r="M9072" s="616"/>
    </row>
    <row r="9073" spans="2:13" ht="18.75" customHeight="1" x14ac:dyDescent="0.25">
      <c r="B9073" s="221"/>
      <c r="C9073" s="222"/>
      <c r="D9073" s="221"/>
      <c r="E9073" s="587"/>
      <c r="F9073" s="589"/>
      <c r="G9073" s="588"/>
      <c r="H9073" s="220"/>
      <c r="M9073" s="590"/>
    </row>
    <row r="9074" spans="2:13" ht="18.75" customHeight="1" x14ac:dyDescent="0.25">
      <c r="B9074" s="587" t="s">
        <v>627</v>
      </c>
      <c r="C9074" s="223" t="s">
        <v>628</v>
      </c>
      <c r="D9074" s="587"/>
      <c r="E9074" s="224"/>
      <c r="F9074" s="225"/>
      <c r="G9074" s="290"/>
      <c r="H9074" s="226"/>
      <c r="M9074" s="225"/>
    </row>
    <row r="9075" spans="2:13" ht="18.75" customHeight="1" x14ac:dyDescent="0.25">
      <c r="B9075" s="587"/>
      <c r="C9075" s="227" t="s">
        <v>629</v>
      </c>
      <c r="D9075" s="587" t="s">
        <v>630</v>
      </c>
      <c r="E9075" s="224" t="s">
        <v>631</v>
      </c>
      <c r="F9075" s="228">
        <v>0.15</v>
      </c>
      <c r="G9075" s="229">
        <f>G9051</f>
        <v>95000</v>
      </c>
      <c r="H9075" s="230">
        <f>+G9075*F9075</f>
        <v>14250</v>
      </c>
      <c r="M9075" s="228">
        <v>0.15</v>
      </c>
    </row>
    <row r="9076" spans="2:13" ht="18.75" customHeight="1" x14ac:dyDescent="0.25">
      <c r="B9076" s="587"/>
      <c r="C9076" s="227" t="s">
        <v>1508</v>
      </c>
      <c r="D9076" s="587" t="s">
        <v>632</v>
      </c>
      <c r="E9076" s="224" t="s">
        <v>631</v>
      </c>
      <c r="F9076" s="228">
        <v>1E-3</v>
      </c>
      <c r="G9076" s="229">
        <f>G9052</f>
        <v>110000</v>
      </c>
      <c r="H9076" s="230">
        <f>+G9076*F9076</f>
        <v>110</v>
      </c>
      <c r="M9076" s="228">
        <v>1E-3</v>
      </c>
    </row>
    <row r="9077" spans="2:13" ht="18.75" customHeight="1" x14ac:dyDescent="0.25">
      <c r="B9077" s="587"/>
      <c r="C9077" s="227" t="s">
        <v>633</v>
      </c>
      <c r="D9077" s="587" t="s">
        <v>634</v>
      </c>
      <c r="E9077" s="224" t="s">
        <v>631</v>
      </c>
      <c r="F9077" s="228">
        <v>1E-4</v>
      </c>
      <c r="G9077" s="229">
        <f>G9053</f>
        <v>115000</v>
      </c>
      <c r="H9077" s="230">
        <f>+G9077*F9077</f>
        <v>11.5</v>
      </c>
      <c r="M9077" s="228">
        <v>1E-4</v>
      </c>
    </row>
    <row r="9078" spans="2:13" ht="18.75" customHeight="1" x14ac:dyDescent="0.25">
      <c r="B9078" s="587"/>
      <c r="C9078" s="227" t="s">
        <v>600</v>
      </c>
      <c r="D9078" s="587" t="s">
        <v>635</v>
      </c>
      <c r="E9078" s="224" t="s">
        <v>631</v>
      </c>
      <c r="F9078" s="228">
        <v>2.5000000000000001E-3</v>
      </c>
      <c r="G9078" s="229">
        <f>G9054</f>
        <v>140000</v>
      </c>
      <c r="H9078" s="230">
        <f>+G9078*F9078</f>
        <v>350</v>
      </c>
      <c r="M9078" s="228">
        <v>2.5000000000000001E-3</v>
      </c>
    </row>
    <row r="9079" spans="2:13" ht="18.75" customHeight="1" x14ac:dyDescent="0.25">
      <c r="B9079" s="587"/>
      <c r="C9079" s="223"/>
      <c r="D9079" s="587"/>
      <c r="E9079" s="224"/>
      <c r="F9079" s="233" t="s">
        <v>636</v>
      </c>
      <c r="G9079" s="290"/>
      <c r="H9079" s="231">
        <f>SUM(H9075:H9078)</f>
        <v>14721.5</v>
      </c>
      <c r="M9079" s="233" t="s">
        <v>636</v>
      </c>
    </row>
    <row r="9080" spans="2:13" ht="18.75" customHeight="1" x14ac:dyDescent="0.25">
      <c r="B9080" s="587"/>
      <c r="C9080" s="223"/>
      <c r="D9080" s="587"/>
      <c r="E9080" s="224"/>
      <c r="F9080" s="233"/>
      <c r="G9080" s="290"/>
      <c r="H9080" s="231"/>
      <c r="M9080" s="233"/>
    </row>
    <row r="9081" spans="2:13" ht="18.75" customHeight="1" x14ac:dyDescent="0.25">
      <c r="B9081" s="587" t="s">
        <v>637</v>
      </c>
      <c r="C9081" s="223" t="s">
        <v>638</v>
      </c>
      <c r="D9081" s="587"/>
      <c r="E9081" s="224"/>
      <c r="F9081" s="225"/>
      <c r="G9081" s="290"/>
      <c r="H9081" s="226"/>
      <c r="M9081" s="225"/>
    </row>
    <row r="9082" spans="2:13" ht="18.75" customHeight="1" x14ac:dyDescent="0.25">
      <c r="B9082" s="587"/>
      <c r="C9082" s="223" t="s">
        <v>190</v>
      </c>
      <c r="D9082" s="587"/>
      <c r="E9082" s="587" t="s">
        <v>5</v>
      </c>
      <c r="F9082" s="405">
        <v>0.15</v>
      </c>
      <c r="G9082" s="410">
        <f>Bahan!D210</f>
        <v>21000</v>
      </c>
      <c r="H9082" s="230">
        <f>+G9082*F9082</f>
        <v>3150</v>
      </c>
      <c r="M9082" s="405">
        <v>0.15</v>
      </c>
    </row>
    <row r="9083" spans="2:13" ht="18.75" customHeight="1" x14ac:dyDescent="0.25">
      <c r="B9083" s="587"/>
      <c r="C9083" s="223" t="s">
        <v>1326</v>
      </c>
      <c r="D9083" s="587"/>
      <c r="E9083" s="587" t="s">
        <v>18</v>
      </c>
      <c r="F9083" s="405">
        <v>0.1</v>
      </c>
      <c r="G9083" s="410">
        <f>+G8983</f>
        <v>5700</v>
      </c>
      <c r="H9083" s="230">
        <f>+G9083*F9083</f>
        <v>570</v>
      </c>
      <c r="M9083" s="405">
        <v>0.1</v>
      </c>
    </row>
    <row r="9084" spans="2:13" ht="18.75" customHeight="1" x14ac:dyDescent="0.25">
      <c r="B9084" s="587"/>
      <c r="C9084" s="223" t="s">
        <v>1345</v>
      </c>
      <c r="D9084" s="587"/>
      <c r="E9084" s="587" t="s">
        <v>226</v>
      </c>
      <c r="F9084" s="405">
        <v>0.25</v>
      </c>
      <c r="G9084" s="410">
        <f>Bahan!D392</f>
        <v>75000</v>
      </c>
      <c r="H9084" s="230">
        <f>+G9084*F9084</f>
        <v>18750</v>
      </c>
      <c r="M9084" s="405">
        <v>0.25</v>
      </c>
    </row>
    <row r="9085" spans="2:13" ht="18.75" customHeight="1" x14ac:dyDescent="0.25">
      <c r="B9085" s="587"/>
      <c r="C9085" s="223"/>
      <c r="D9085" s="587"/>
      <c r="E9085" s="224"/>
      <c r="F9085" s="237" t="s">
        <v>643</v>
      </c>
      <c r="G9085" s="290"/>
      <c r="H9085" s="231">
        <f>SUM(H9082:H9084)</f>
        <v>22470</v>
      </c>
      <c r="M9085" s="237" t="s">
        <v>643</v>
      </c>
    </row>
    <row r="9086" spans="2:13" ht="18.75" customHeight="1" x14ac:dyDescent="0.25">
      <c r="B9086" s="587"/>
      <c r="C9086" s="223"/>
      <c r="D9086" s="587"/>
      <c r="E9086" s="224"/>
      <c r="F9086" s="225"/>
      <c r="G9086" s="290"/>
      <c r="H9086" s="226"/>
      <c r="M9086" s="225"/>
    </row>
    <row r="9087" spans="2:13" ht="18.75" customHeight="1" x14ac:dyDescent="0.25">
      <c r="B9087" s="587" t="s">
        <v>644</v>
      </c>
      <c r="C9087" s="223" t="s">
        <v>645</v>
      </c>
      <c r="D9087" s="587"/>
      <c r="E9087" s="224"/>
      <c r="F9087" s="225"/>
      <c r="G9087" s="290"/>
      <c r="H9087" s="235"/>
      <c r="M9087" s="225"/>
    </row>
    <row r="9088" spans="2:13" ht="18.75" customHeight="1" x14ac:dyDescent="0.25">
      <c r="B9088" s="236"/>
      <c r="C9088" s="232"/>
      <c r="D9088" s="587"/>
      <c r="E9088" s="224"/>
      <c r="F9088" s="237" t="s">
        <v>646</v>
      </c>
      <c r="G9088" s="290"/>
      <c r="H9088" s="230"/>
      <c r="M9088" s="237" t="s">
        <v>646</v>
      </c>
    </row>
    <row r="9089" spans="2:13" ht="18.75" customHeight="1" x14ac:dyDescent="0.25">
      <c r="B9089" s="236"/>
      <c r="C9089" s="232"/>
      <c r="D9089" s="587"/>
      <c r="E9089" s="224"/>
      <c r="F9089" s="237"/>
      <c r="G9089" s="290"/>
      <c r="H9089" s="226"/>
      <c r="M9089" s="237"/>
    </row>
    <row r="9090" spans="2:13" ht="18.75" customHeight="1" x14ac:dyDescent="0.25">
      <c r="B9090" s="354"/>
      <c r="C9090" s="362"/>
      <c r="D9090" s="239"/>
      <c r="E9090" s="266"/>
      <c r="F9090" s="241"/>
      <c r="G9090" s="370"/>
      <c r="H9090" s="369"/>
      <c r="M9090" s="241"/>
    </row>
    <row r="9091" spans="2:13" ht="18.75" customHeight="1" x14ac:dyDescent="0.25">
      <c r="B9091" s="356" t="s">
        <v>647</v>
      </c>
      <c r="C9091" s="363" t="s">
        <v>648</v>
      </c>
      <c r="D9091" s="435"/>
      <c r="E9091" s="92"/>
      <c r="F9091" s="183"/>
      <c r="G9091" s="295"/>
      <c r="H9091" s="357">
        <f>+H9088+H9085+H9079</f>
        <v>37191.5</v>
      </c>
      <c r="M9091" s="183"/>
    </row>
    <row r="9092" spans="2:13" ht="18.75" customHeight="1" x14ac:dyDescent="0.25">
      <c r="B9092" s="356" t="s">
        <v>649</v>
      </c>
      <c r="C9092" s="364" t="s">
        <v>650</v>
      </c>
      <c r="D9092" s="435"/>
      <c r="E9092" s="92"/>
      <c r="F9092" s="184" t="str">
        <f>$J$5</f>
        <v>8,0 % x D</v>
      </c>
      <c r="G9092" s="295"/>
      <c r="H9092" s="358">
        <f>+H9091*$K$5</f>
        <v>2975.32</v>
      </c>
      <c r="M9092" s="184" t="str">
        <f>$J$5</f>
        <v>8,0 % x D</v>
      </c>
    </row>
    <row r="9093" spans="2:13" ht="18.75" customHeight="1" x14ac:dyDescent="0.25">
      <c r="B9093" s="356" t="s">
        <v>651</v>
      </c>
      <c r="C9093" s="365" t="s">
        <v>652</v>
      </c>
      <c r="D9093" s="435"/>
      <c r="E9093" s="91"/>
      <c r="F9093" s="185"/>
      <c r="G9093" s="296"/>
      <c r="H9093" s="359">
        <f>ROUNDUP((H9092+H9091)/100,0)*100</f>
        <v>40200</v>
      </c>
      <c r="M9093" s="185"/>
    </row>
    <row r="9094" spans="2:13" ht="18.75" customHeight="1" x14ac:dyDescent="0.25">
      <c r="B9094" s="360"/>
      <c r="C9094" s="366"/>
      <c r="D9094" s="245"/>
      <c r="E9094" s="246"/>
      <c r="F9094" s="247"/>
      <c r="G9094" s="299"/>
      <c r="H9094" s="361"/>
      <c r="M9094" s="247"/>
    </row>
    <row r="9095" spans="2:13" ht="18.75" customHeight="1" x14ac:dyDescent="0.25">
      <c r="B9095" s="92"/>
      <c r="C9095" s="104"/>
      <c r="D9095" s="435"/>
      <c r="E9095" s="91"/>
      <c r="F9095" s="185"/>
      <c r="G9095" s="168"/>
      <c r="H9095" s="139"/>
      <c r="M9095" s="185"/>
    </row>
    <row r="9096" spans="2:13" ht="18.75" customHeight="1" x14ac:dyDescent="0.25">
      <c r="B9096" s="19">
        <v>14</v>
      </c>
      <c r="C9096" s="93" t="s">
        <v>1346</v>
      </c>
      <c r="D9096" s="19"/>
      <c r="E9096" s="21"/>
      <c r="F9096" s="176"/>
      <c r="G9096" s="165"/>
      <c r="H9096" s="119"/>
      <c r="M9096" s="176"/>
    </row>
    <row r="9097" spans="2:13" ht="18.75" customHeight="1" x14ac:dyDescent="0.25">
      <c r="B9097" s="618" t="s">
        <v>620</v>
      </c>
      <c r="C9097" s="620" t="s">
        <v>621</v>
      </c>
      <c r="D9097" s="618" t="s">
        <v>622</v>
      </c>
      <c r="E9097" s="618" t="s">
        <v>2</v>
      </c>
      <c r="F9097" s="615" t="s">
        <v>623</v>
      </c>
      <c r="G9097" s="289" t="s">
        <v>624</v>
      </c>
      <c r="H9097" s="256" t="s">
        <v>625</v>
      </c>
      <c r="M9097" s="615" t="s">
        <v>623</v>
      </c>
    </row>
    <row r="9098" spans="2:13" ht="18.75" customHeight="1" x14ac:dyDescent="0.25">
      <c r="B9098" s="619"/>
      <c r="C9098" s="621"/>
      <c r="D9098" s="619"/>
      <c r="E9098" s="619"/>
      <c r="F9098" s="616"/>
      <c r="G9098" s="289" t="s">
        <v>626</v>
      </c>
      <c r="H9098" s="256" t="s">
        <v>626</v>
      </c>
      <c r="M9098" s="616"/>
    </row>
    <row r="9099" spans="2:13" ht="18.75" customHeight="1" x14ac:dyDescent="0.25">
      <c r="B9099" s="221"/>
      <c r="C9099" s="222"/>
      <c r="D9099" s="221"/>
      <c r="E9099" s="587"/>
      <c r="F9099" s="589"/>
      <c r="G9099" s="588"/>
      <c r="H9099" s="220"/>
      <c r="M9099" s="590"/>
    </row>
    <row r="9100" spans="2:13" ht="18.75" customHeight="1" x14ac:dyDescent="0.25">
      <c r="B9100" s="587" t="s">
        <v>627</v>
      </c>
      <c r="C9100" s="223" t="s">
        <v>628</v>
      </c>
      <c r="D9100" s="587"/>
      <c r="E9100" s="224"/>
      <c r="F9100" s="225"/>
      <c r="G9100" s="290"/>
      <c r="H9100" s="226"/>
      <c r="M9100" s="225"/>
    </row>
    <row r="9101" spans="2:13" ht="18.75" customHeight="1" x14ac:dyDescent="0.25">
      <c r="B9101" s="587"/>
      <c r="C9101" s="227" t="s">
        <v>629</v>
      </c>
      <c r="D9101" s="587" t="s">
        <v>630</v>
      </c>
      <c r="E9101" s="224" t="s">
        <v>631</v>
      </c>
      <c r="F9101" s="228">
        <v>7.4999999999999997E-2</v>
      </c>
      <c r="G9101" s="229">
        <f>G9051</f>
        <v>95000</v>
      </c>
      <c r="H9101" s="230">
        <f>+G9101*F9101</f>
        <v>7125</v>
      </c>
      <c r="M9101" s="228">
        <v>7.4999999999999997E-2</v>
      </c>
    </row>
    <row r="9102" spans="2:13" ht="18.75" customHeight="1" x14ac:dyDescent="0.25">
      <c r="B9102" s="587"/>
      <c r="C9102" s="227" t="s">
        <v>1508</v>
      </c>
      <c r="D9102" s="587" t="s">
        <v>632</v>
      </c>
      <c r="E9102" s="224" t="s">
        <v>631</v>
      </c>
      <c r="F9102" s="228">
        <v>5.0000000000000001E-3</v>
      </c>
      <c r="G9102" s="229">
        <f>G9052</f>
        <v>110000</v>
      </c>
      <c r="H9102" s="230">
        <f>+G9102*F9102</f>
        <v>550</v>
      </c>
      <c r="M9102" s="228">
        <v>5.0000000000000001E-3</v>
      </c>
    </row>
    <row r="9103" spans="2:13" ht="18.75" customHeight="1" x14ac:dyDescent="0.25">
      <c r="B9103" s="587"/>
      <c r="C9103" s="227" t="s">
        <v>633</v>
      </c>
      <c r="D9103" s="587" t="s">
        <v>634</v>
      </c>
      <c r="E9103" s="224" t="s">
        <v>631</v>
      </c>
      <c r="F9103" s="228">
        <v>5.0000000000000001E-4</v>
      </c>
      <c r="G9103" s="229">
        <f>G9053</f>
        <v>115000</v>
      </c>
      <c r="H9103" s="230">
        <f>+G9103*F9103</f>
        <v>57.5</v>
      </c>
      <c r="M9103" s="228">
        <v>5.0000000000000001E-4</v>
      </c>
    </row>
    <row r="9104" spans="2:13" ht="18.75" customHeight="1" x14ac:dyDescent="0.25">
      <c r="B9104" s="587"/>
      <c r="C9104" s="227" t="s">
        <v>600</v>
      </c>
      <c r="D9104" s="587" t="s">
        <v>635</v>
      </c>
      <c r="E9104" s="224" t="s">
        <v>631</v>
      </c>
      <c r="F9104" s="228">
        <v>2.5000000000000001E-3</v>
      </c>
      <c r="G9104" s="229">
        <f>G9054</f>
        <v>140000</v>
      </c>
      <c r="H9104" s="230">
        <f>+G9104*F9104</f>
        <v>350</v>
      </c>
      <c r="M9104" s="228">
        <v>2.5000000000000001E-3</v>
      </c>
    </row>
    <row r="9105" spans="2:13" ht="18.75" customHeight="1" x14ac:dyDescent="0.25">
      <c r="B9105" s="587"/>
      <c r="C9105" s="223"/>
      <c r="D9105" s="587"/>
      <c r="E9105" s="224"/>
      <c r="F9105" s="233" t="s">
        <v>636</v>
      </c>
      <c r="G9105" s="290"/>
      <c r="H9105" s="231">
        <f>SUM(H9101:H9104)</f>
        <v>8082.5</v>
      </c>
      <c r="M9105" s="233" t="s">
        <v>636</v>
      </c>
    </row>
    <row r="9106" spans="2:13" ht="18.75" customHeight="1" x14ac:dyDescent="0.25">
      <c r="B9106" s="587"/>
      <c r="C9106" s="223"/>
      <c r="D9106" s="587"/>
      <c r="E9106" s="224"/>
      <c r="F9106" s="233"/>
      <c r="G9106" s="290"/>
      <c r="H9106" s="230"/>
      <c r="M9106" s="233"/>
    </row>
    <row r="9107" spans="2:13" ht="18.75" customHeight="1" x14ac:dyDescent="0.25">
      <c r="B9107" s="587" t="s">
        <v>637</v>
      </c>
      <c r="C9107" s="223" t="s">
        <v>638</v>
      </c>
      <c r="D9107" s="587"/>
      <c r="E9107" s="224"/>
      <c r="F9107" s="225"/>
      <c r="G9107" s="290"/>
      <c r="H9107" s="226"/>
      <c r="M9107" s="225"/>
    </row>
    <row r="9108" spans="2:13" ht="18.75" customHeight="1" x14ac:dyDescent="0.25">
      <c r="B9108" s="587"/>
      <c r="C9108" s="223" t="s">
        <v>190</v>
      </c>
      <c r="D9108" s="587"/>
      <c r="E9108" s="587" t="s">
        <v>5</v>
      </c>
      <c r="F9108" s="405">
        <v>0.3</v>
      </c>
      <c r="G9108" s="410">
        <f>+G9082</f>
        <v>21000</v>
      </c>
      <c r="H9108" s="230">
        <f>+G9108*F9108</f>
        <v>6300</v>
      </c>
      <c r="M9108" s="405">
        <v>0.3</v>
      </c>
    </row>
    <row r="9109" spans="2:13" ht="18.75" customHeight="1" x14ac:dyDescent="0.25">
      <c r="B9109" s="587"/>
      <c r="C9109" s="223" t="s">
        <v>1326</v>
      </c>
      <c r="D9109" s="587"/>
      <c r="E9109" s="587" t="s">
        <v>18</v>
      </c>
      <c r="F9109" s="405">
        <v>0.2</v>
      </c>
      <c r="G9109" s="410">
        <f>+G9083</f>
        <v>5700</v>
      </c>
      <c r="H9109" s="230">
        <f>+G9109*F9109</f>
        <v>1140</v>
      </c>
      <c r="M9109" s="405">
        <v>0.2</v>
      </c>
    </row>
    <row r="9110" spans="2:13" ht="18.75" customHeight="1" x14ac:dyDescent="0.25">
      <c r="B9110" s="587"/>
      <c r="C9110" s="223" t="s">
        <v>1345</v>
      </c>
      <c r="D9110" s="587"/>
      <c r="E9110" s="587" t="s">
        <v>226</v>
      </c>
      <c r="F9110" s="405">
        <v>0.25</v>
      </c>
      <c r="G9110" s="410">
        <f>+G9084</f>
        <v>75000</v>
      </c>
      <c r="H9110" s="230">
        <f>+G9110*F9110</f>
        <v>18750</v>
      </c>
      <c r="M9110" s="405">
        <v>0.25</v>
      </c>
    </row>
    <row r="9111" spans="2:13" ht="18.75" customHeight="1" x14ac:dyDescent="0.25">
      <c r="B9111" s="587"/>
      <c r="C9111" s="223"/>
      <c r="D9111" s="587"/>
      <c r="E9111" s="224"/>
      <c r="F9111" s="237" t="s">
        <v>643</v>
      </c>
      <c r="G9111" s="290"/>
      <c r="H9111" s="231">
        <f>SUM(H9108:H9110)</f>
        <v>26190</v>
      </c>
      <c r="M9111" s="237" t="s">
        <v>643</v>
      </c>
    </row>
    <row r="9112" spans="2:13" ht="18.75" customHeight="1" x14ac:dyDescent="0.25">
      <c r="B9112" s="587"/>
      <c r="C9112" s="223"/>
      <c r="D9112" s="587"/>
      <c r="E9112" s="224"/>
      <c r="F9112" s="225"/>
      <c r="G9112" s="290"/>
      <c r="H9112" s="226"/>
      <c r="M9112" s="225"/>
    </row>
    <row r="9113" spans="2:13" ht="18.75" customHeight="1" x14ac:dyDescent="0.25">
      <c r="B9113" s="587" t="s">
        <v>644</v>
      </c>
      <c r="C9113" s="223" t="s">
        <v>645</v>
      </c>
      <c r="D9113" s="587"/>
      <c r="E9113" s="224"/>
      <c r="F9113" s="225"/>
      <c r="G9113" s="290"/>
      <c r="H9113" s="235"/>
      <c r="M9113" s="225"/>
    </row>
    <row r="9114" spans="2:13" ht="18.75" customHeight="1" x14ac:dyDescent="0.25">
      <c r="B9114" s="236"/>
      <c r="C9114" s="232"/>
      <c r="D9114" s="587"/>
      <c r="E9114" s="224"/>
      <c r="F9114" s="237" t="s">
        <v>646</v>
      </c>
      <c r="G9114" s="290"/>
      <c r="H9114" s="230"/>
      <c r="M9114" s="237" t="s">
        <v>646</v>
      </c>
    </row>
    <row r="9115" spans="2:13" ht="18.75" customHeight="1" x14ac:dyDescent="0.25">
      <c r="B9115" s="236"/>
      <c r="C9115" s="232"/>
      <c r="D9115" s="587"/>
      <c r="E9115" s="224"/>
      <c r="F9115" s="237"/>
      <c r="G9115" s="290"/>
      <c r="H9115" s="226"/>
      <c r="M9115" s="237"/>
    </row>
    <row r="9116" spans="2:13" ht="18.75" customHeight="1" x14ac:dyDescent="0.25">
      <c r="B9116" s="354"/>
      <c r="C9116" s="362"/>
      <c r="D9116" s="239"/>
      <c r="E9116" s="266"/>
      <c r="F9116" s="241"/>
      <c r="G9116" s="370"/>
      <c r="H9116" s="369"/>
      <c r="M9116" s="241"/>
    </row>
    <row r="9117" spans="2:13" ht="18.75" customHeight="1" x14ac:dyDescent="0.25">
      <c r="B9117" s="356" t="s">
        <v>647</v>
      </c>
      <c r="C9117" s="363" t="s">
        <v>648</v>
      </c>
      <c r="D9117" s="435"/>
      <c r="E9117" s="92"/>
      <c r="F9117" s="183"/>
      <c r="G9117" s="295"/>
      <c r="H9117" s="357">
        <f>+H9114+H9111+H9105</f>
        <v>34272.5</v>
      </c>
      <c r="M9117" s="183"/>
    </row>
    <row r="9118" spans="2:13" ht="18.75" customHeight="1" x14ac:dyDescent="0.25">
      <c r="B9118" s="356" t="s">
        <v>649</v>
      </c>
      <c r="C9118" s="364" t="s">
        <v>650</v>
      </c>
      <c r="D9118" s="435"/>
      <c r="E9118" s="92"/>
      <c r="F9118" s="184" t="str">
        <f>$J$5</f>
        <v>8,0 % x D</v>
      </c>
      <c r="G9118" s="295"/>
      <c r="H9118" s="358">
        <f>+H9117*$K$5</f>
        <v>2741.8</v>
      </c>
      <c r="M9118" s="184" t="str">
        <f>$J$5</f>
        <v>8,0 % x D</v>
      </c>
    </row>
    <row r="9119" spans="2:13" ht="18.75" customHeight="1" x14ac:dyDescent="0.25">
      <c r="B9119" s="356" t="s">
        <v>651</v>
      </c>
      <c r="C9119" s="365" t="s">
        <v>652</v>
      </c>
      <c r="D9119" s="435"/>
      <c r="E9119" s="91"/>
      <c r="F9119" s="185"/>
      <c r="G9119" s="296"/>
      <c r="H9119" s="359">
        <f>ROUNDUP((H9118+H9117)/100,0)*100</f>
        <v>37100</v>
      </c>
      <c r="M9119" s="185"/>
    </row>
    <row r="9120" spans="2:13" ht="18.75" customHeight="1" x14ac:dyDescent="0.25">
      <c r="B9120" s="360"/>
      <c r="C9120" s="366"/>
      <c r="D9120" s="245"/>
      <c r="E9120" s="246"/>
      <c r="F9120" s="247"/>
      <c r="G9120" s="299"/>
      <c r="H9120" s="361"/>
      <c r="M9120" s="247"/>
    </row>
    <row r="9121" spans="2:13" ht="18.75" customHeight="1" x14ac:dyDescent="0.25">
      <c r="B9121" s="22"/>
      <c r="C9121" s="104"/>
      <c r="E9121" s="21"/>
      <c r="F9121" s="176"/>
      <c r="G9121" s="165"/>
      <c r="H9121" s="119"/>
      <c r="M9121" s="176"/>
    </row>
    <row r="9122" spans="2:13" ht="18.75" customHeight="1" x14ac:dyDescent="0.25">
      <c r="B9122" s="19">
        <v>15</v>
      </c>
      <c r="C9122" s="93" t="s">
        <v>1347</v>
      </c>
      <c r="D9122" s="19"/>
      <c r="E9122" s="21"/>
      <c r="F9122" s="176"/>
      <c r="G9122" s="165"/>
      <c r="H9122" s="119"/>
      <c r="M9122" s="176"/>
    </row>
    <row r="9123" spans="2:13" ht="18.75" customHeight="1" x14ac:dyDescent="0.25">
      <c r="B9123" s="618" t="s">
        <v>620</v>
      </c>
      <c r="C9123" s="620" t="s">
        <v>621</v>
      </c>
      <c r="D9123" s="618" t="s">
        <v>622</v>
      </c>
      <c r="E9123" s="618" t="s">
        <v>2</v>
      </c>
      <c r="F9123" s="615" t="s">
        <v>623</v>
      </c>
      <c r="G9123" s="289" t="s">
        <v>624</v>
      </c>
      <c r="H9123" s="256" t="s">
        <v>625</v>
      </c>
      <c r="M9123" s="615" t="s">
        <v>623</v>
      </c>
    </row>
    <row r="9124" spans="2:13" ht="18.75" customHeight="1" x14ac:dyDescent="0.25">
      <c r="B9124" s="619"/>
      <c r="C9124" s="621"/>
      <c r="D9124" s="619"/>
      <c r="E9124" s="619"/>
      <c r="F9124" s="616"/>
      <c r="G9124" s="289" t="s">
        <v>626</v>
      </c>
      <c r="H9124" s="256" t="s">
        <v>626</v>
      </c>
      <c r="M9124" s="616"/>
    </row>
    <row r="9125" spans="2:13" ht="18.75" customHeight="1" x14ac:dyDescent="0.25">
      <c r="B9125" s="221"/>
      <c r="C9125" s="222"/>
      <c r="D9125" s="221"/>
      <c r="E9125" s="587"/>
      <c r="F9125" s="589"/>
      <c r="G9125" s="588"/>
      <c r="H9125" s="220"/>
      <c r="M9125" s="590"/>
    </row>
    <row r="9126" spans="2:13" ht="18.75" customHeight="1" x14ac:dyDescent="0.25">
      <c r="B9126" s="587" t="s">
        <v>627</v>
      </c>
      <c r="C9126" s="223" t="s">
        <v>628</v>
      </c>
      <c r="D9126" s="587"/>
      <c r="E9126" s="224"/>
      <c r="F9126" s="225"/>
      <c r="G9126" s="290"/>
      <c r="H9126" s="226"/>
      <c r="M9126" s="225"/>
    </row>
    <row r="9127" spans="2:13" ht="18.75" customHeight="1" x14ac:dyDescent="0.25">
      <c r="B9127" s="587"/>
      <c r="C9127" s="227" t="s">
        <v>629</v>
      </c>
      <c r="D9127" s="587" t="s">
        <v>630</v>
      </c>
      <c r="E9127" s="224" t="s">
        <v>631</v>
      </c>
      <c r="F9127" s="228">
        <v>0.02</v>
      </c>
      <c r="G9127" s="229">
        <f>G9101</f>
        <v>95000</v>
      </c>
      <c r="H9127" s="230">
        <f>+G9127*F9127</f>
        <v>1900</v>
      </c>
      <c r="M9127" s="228">
        <v>0.02</v>
      </c>
    </row>
    <row r="9128" spans="2:13" ht="18.75" customHeight="1" x14ac:dyDescent="0.25">
      <c r="B9128" s="587"/>
      <c r="C9128" s="227" t="s">
        <v>1508</v>
      </c>
      <c r="D9128" s="587" t="s">
        <v>632</v>
      </c>
      <c r="E9128" s="224" t="s">
        <v>631</v>
      </c>
      <c r="F9128" s="228">
        <v>0.2</v>
      </c>
      <c r="G9128" s="229">
        <f>G9102</f>
        <v>110000</v>
      </c>
      <c r="H9128" s="230">
        <f>+G9128*F9128</f>
        <v>22000</v>
      </c>
      <c r="M9128" s="228">
        <v>0.2</v>
      </c>
    </row>
    <row r="9129" spans="2:13" ht="18.75" customHeight="1" x14ac:dyDescent="0.25">
      <c r="B9129" s="587"/>
      <c r="C9129" s="227" t="s">
        <v>633</v>
      </c>
      <c r="D9129" s="587" t="s">
        <v>634</v>
      </c>
      <c r="E9129" s="224" t="s">
        <v>631</v>
      </c>
      <c r="F9129" s="228">
        <v>0.02</v>
      </c>
      <c r="G9129" s="229">
        <f>G9103</f>
        <v>115000</v>
      </c>
      <c r="H9129" s="230">
        <f>+G9129*F9129</f>
        <v>2300</v>
      </c>
      <c r="M9129" s="228">
        <v>0.02</v>
      </c>
    </row>
    <row r="9130" spans="2:13" ht="18.75" customHeight="1" x14ac:dyDescent="0.25">
      <c r="B9130" s="587"/>
      <c r="C9130" s="227" t="s">
        <v>600</v>
      </c>
      <c r="D9130" s="587" t="s">
        <v>635</v>
      </c>
      <c r="E9130" s="224" t="s">
        <v>631</v>
      </c>
      <c r="F9130" s="228">
        <v>2.5000000000000001E-3</v>
      </c>
      <c r="G9130" s="229">
        <f>G9104</f>
        <v>140000</v>
      </c>
      <c r="H9130" s="230">
        <f>+G9130*F9130</f>
        <v>350</v>
      </c>
      <c r="M9130" s="228">
        <v>2.5000000000000001E-3</v>
      </c>
    </row>
    <row r="9131" spans="2:13" ht="18.75" customHeight="1" x14ac:dyDescent="0.25">
      <c r="B9131" s="587"/>
      <c r="C9131" s="223"/>
      <c r="D9131" s="587"/>
      <c r="E9131" s="224"/>
      <c r="F9131" s="233" t="s">
        <v>636</v>
      </c>
      <c r="G9131" s="290"/>
      <c r="H9131" s="231">
        <f>SUM(H9127:H9130)</f>
        <v>26550</v>
      </c>
      <c r="M9131" s="233" t="s">
        <v>636</v>
      </c>
    </row>
    <row r="9132" spans="2:13" ht="18.75" customHeight="1" x14ac:dyDescent="0.25">
      <c r="B9132" s="587"/>
      <c r="C9132" s="223"/>
      <c r="D9132" s="587"/>
      <c r="E9132" s="224"/>
      <c r="F9132" s="233"/>
      <c r="G9132" s="290"/>
      <c r="H9132" s="230"/>
      <c r="M9132" s="233"/>
    </row>
    <row r="9133" spans="2:13" ht="18.75" customHeight="1" x14ac:dyDescent="0.25">
      <c r="B9133" s="587" t="s">
        <v>637</v>
      </c>
      <c r="C9133" s="223" t="s">
        <v>638</v>
      </c>
      <c r="D9133" s="587"/>
      <c r="E9133" s="224"/>
      <c r="F9133" s="225"/>
      <c r="G9133" s="290"/>
      <c r="H9133" s="226"/>
      <c r="M9133" s="225"/>
    </row>
    <row r="9134" spans="2:13" ht="18.75" customHeight="1" x14ac:dyDescent="0.25">
      <c r="B9134" s="587"/>
      <c r="C9134" s="223" t="s">
        <v>549</v>
      </c>
      <c r="D9134" s="587"/>
      <c r="E9134" s="587" t="s">
        <v>1087</v>
      </c>
      <c r="F9134" s="405">
        <v>1.2</v>
      </c>
      <c r="G9134" s="410">
        <f>Bahan!D611</f>
        <v>235000</v>
      </c>
      <c r="H9134" s="230">
        <f>+G9134*F9134</f>
        <v>282000</v>
      </c>
      <c r="M9134" s="405">
        <v>1.2</v>
      </c>
    </row>
    <row r="9135" spans="2:13" ht="18.75" customHeight="1" x14ac:dyDescent="0.25">
      <c r="B9135" s="587"/>
      <c r="C9135" s="223" t="s">
        <v>1062</v>
      </c>
      <c r="D9135" s="587"/>
      <c r="E9135" s="587" t="s">
        <v>5</v>
      </c>
      <c r="F9135" s="405">
        <v>0.2</v>
      </c>
      <c r="G9135" s="410">
        <f>Bahan!D198</f>
        <v>15000</v>
      </c>
      <c r="H9135" s="230">
        <f>+G9135*F9135</f>
        <v>3000</v>
      </c>
      <c r="M9135" s="405">
        <v>0.2</v>
      </c>
    </row>
    <row r="9136" spans="2:13" ht="18.75" customHeight="1" x14ac:dyDescent="0.25">
      <c r="B9136" s="587"/>
      <c r="C9136" s="223"/>
      <c r="D9136" s="587"/>
      <c r="E9136" s="224"/>
      <c r="F9136" s="237" t="s">
        <v>643</v>
      </c>
      <c r="G9136" s="290"/>
      <c r="H9136" s="231">
        <f>SUM(H9134:H9135)</f>
        <v>285000</v>
      </c>
      <c r="M9136" s="237" t="s">
        <v>643</v>
      </c>
    </row>
    <row r="9137" spans="2:13" ht="18.75" customHeight="1" x14ac:dyDescent="0.25">
      <c r="B9137" s="587"/>
      <c r="C9137" s="223"/>
      <c r="D9137" s="587"/>
      <c r="E9137" s="224"/>
      <c r="F9137" s="225"/>
      <c r="G9137" s="290"/>
      <c r="H9137" s="226"/>
      <c r="M9137" s="225"/>
    </row>
    <row r="9138" spans="2:13" ht="18.75" customHeight="1" x14ac:dyDescent="0.25">
      <c r="B9138" s="587" t="s">
        <v>644</v>
      </c>
      <c r="C9138" s="223" t="s">
        <v>645</v>
      </c>
      <c r="D9138" s="587"/>
      <c r="E9138" s="224"/>
      <c r="F9138" s="225"/>
      <c r="G9138" s="290"/>
      <c r="H9138" s="235"/>
      <c r="M9138" s="225"/>
    </row>
    <row r="9139" spans="2:13" ht="18.75" customHeight="1" x14ac:dyDescent="0.25">
      <c r="B9139" s="236"/>
      <c r="C9139" s="232"/>
      <c r="D9139" s="587"/>
      <c r="E9139" s="224"/>
      <c r="F9139" s="237" t="s">
        <v>646</v>
      </c>
      <c r="G9139" s="290"/>
      <c r="H9139" s="230"/>
      <c r="M9139" s="237" t="s">
        <v>646</v>
      </c>
    </row>
    <row r="9140" spans="2:13" ht="18.75" customHeight="1" x14ac:dyDescent="0.25">
      <c r="B9140" s="236"/>
      <c r="C9140" s="232"/>
      <c r="D9140" s="587"/>
      <c r="E9140" s="224"/>
      <c r="F9140" s="237"/>
      <c r="G9140" s="290"/>
      <c r="H9140" s="226"/>
      <c r="M9140" s="237"/>
    </row>
    <row r="9141" spans="2:13" ht="18.75" customHeight="1" x14ac:dyDescent="0.25">
      <c r="B9141" s="354"/>
      <c r="C9141" s="362"/>
      <c r="D9141" s="239"/>
      <c r="E9141" s="266"/>
      <c r="F9141" s="241"/>
      <c r="G9141" s="370"/>
      <c r="H9141" s="369"/>
      <c r="M9141" s="241"/>
    </row>
    <row r="9142" spans="2:13" ht="18.75" customHeight="1" x14ac:dyDescent="0.25">
      <c r="B9142" s="356" t="s">
        <v>647</v>
      </c>
      <c r="C9142" s="363" t="s">
        <v>648</v>
      </c>
      <c r="D9142" s="435"/>
      <c r="E9142" s="92"/>
      <c r="F9142" s="183"/>
      <c r="G9142" s="295"/>
      <c r="H9142" s="357">
        <f>+H9139+H9136+H9131</f>
        <v>311550</v>
      </c>
      <c r="M9142" s="183"/>
    </row>
    <row r="9143" spans="2:13" ht="18.75" customHeight="1" x14ac:dyDescent="0.25">
      <c r="B9143" s="356" t="s">
        <v>649</v>
      </c>
      <c r="C9143" s="364" t="s">
        <v>650</v>
      </c>
      <c r="D9143" s="435"/>
      <c r="E9143" s="92"/>
      <c r="F9143" s="184" t="str">
        <f>$J$5</f>
        <v>8,0 % x D</v>
      </c>
      <c r="G9143" s="295"/>
      <c r="H9143" s="358">
        <f>+H9142*$K$5</f>
        <v>24924</v>
      </c>
      <c r="M9143" s="184" t="str">
        <f>$J$5</f>
        <v>8,0 % x D</v>
      </c>
    </row>
    <row r="9144" spans="2:13" ht="18.75" customHeight="1" x14ac:dyDescent="0.25">
      <c r="B9144" s="356" t="s">
        <v>651</v>
      </c>
      <c r="C9144" s="365" t="s">
        <v>652</v>
      </c>
      <c r="D9144" s="435"/>
      <c r="E9144" s="91"/>
      <c r="F9144" s="185"/>
      <c r="G9144" s="296"/>
      <c r="H9144" s="359">
        <f>ROUNDUP((H9143+H9142)/100,0)*100</f>
        <v>336500</v>
      </c>
      <c r="M9144" s="185"/>
    </row>
    <row r="9145" spans="2:13" ht="18.75" customHeight="1" x14ac:dyDescent="0.25">
      <c r="B9145" s="360"/>
      <c r="C9145" s="366"/>
      <c r="D9145" s="245"/>
      <c r="E9145" s="246"/>
      <c r="F9145" s="247"/>
      <c r="G9145" s="299"/>
      <c r="H9145" s="361"/>
      <c r="M9145" s="247"/>
    </row>
    <row r="9146" spans="2:13" ht="18.75" customHeight="1" x14ac:dyDescent="0.25">
      <c r="B9146" s="92"/>
      <c r="C9146" s="104"/>
      <c r="D9146" s="435"/>
      <c r="E9146" s="91"/>
      <c r="F9146" s="185"/>
      <c r="G9146" s="168"/>
      <c r="H9146" s="139"/>
      <c r="M9146" s="185"/>
    </row>
    <row r="9147" spans="2:13" ht="18.75" customHeight="1" x14ac:dyDescent="0.25">
      <c r="B9147" s="19">
        <v>16</v>
      </c>
      <c r="C9147" s="93" t="s">
        <v>1348</v>
      </c>
      <c r="D9147" s="19"/>
      <c r="E9147" s="21"/>
      <c r="F9147" s="176"/>
      <c r="G9147" s="165"/>
      <c r="H9147" s="119"/>
      <c r="M9147" s="176"/>
    </row>
    <row r="9148" spans="2:13" ht="18.75" customHeight="1" x14ac:dyDescent="0.25">
      <c r="B9148" s="618" t="s">
        <v>620</v>
      </c>
      <c r="C9148" s="620" t="s">
        <v>621</v>
      </c>
      <c r="D9148" s="618" t="s">
        <v>622</v>
      </c>
      <c r="E9148" s="618" t="s">
        <v>2</v>
      </c>
      <c r="F9148" s="615" t="s">
        <v>623</v>
      </c>
      <c r="G9148" s="289" t="s">
        <v>624</v>
      </c>
      <c r="H9148" s="256" t="s">
        <v>625</v>
      </c>
      <c r="M9148" s="615" t="s">
        <v>623</v>
      </c>
    </row>
    <row r="9149" spans="2:13" ht="18.75" customHeight="1" x14ac:dyDescent="0.25">
      <c r="B9149" s="619"/>
      <c r="C9149" s="621"/>
      <c r="D9149" s="619"/>
      <c r="E9149" s="619"/>
      <c r="F9149" s="616"/>
      <c r="G9149" s="289" t="s">
        <v>626</v>
      </c>
      <c r="H9149" s="256" t="s">
        <v>626</v>
      </c>
      <c r="M9149" s="616"/>
    </row>
    <row r="9150" spans="2:13" ht="18.75" customHeight="1" x14ac:dyDescent="0.25">
      <c r="B9150" s="221"/>
      <c r="C9150" s="222"/>
      <c r="D9150" s="221"/>
      <c r="E9150" s="587"/>
      <c r="F9150" s="589"/>
      <c r="G9150" s="588"/>
      <c r="H9150" s="220"/>
      <c r="M9150" s="590"/>
    </row>
    <row r="9151" spans="2:13" ht="18.75" customHeight="1" x14ac:dyDescent="0.25">
      <c r="B9151" s="587" t="s">
        <v>627</v>
      </c>
      <c r="C9151" s="223" t="s">
        <v>628</v>
      </c>
      <c r="D9151" s="587"/>
      <c r="E9151" s="224"/>
      <c r="F9151" s="225"/>
      <c r="G9151" s="290"/>
      <c r="H9151" s="226"/>
      <c r="M9151" s="225"/>
    </row>
    <row r="9152" spans="2:13" ht="18.75" customHeight="1" x14ac:dyDescent="0.25">
      <c r="B9152" s="587"/>
      <c r="C9152" s="227" t="s">
        <v>629</v>
      </c>
      <c r="D9152" s="587" t="s">
        <v>630</v>
      </c>
      <c r="E9152" s="224" t="s">
        <v>631</v>
      </c>
      <c r="F9152" s="228">
        <v>0.25</v>
      </c>
      <c r="G9152" s="229">
        <f>G9127</f>
        <v>95000</v>
      </c>
      <c r="H9152" s="230">
        <f>+G9152*F9152</f>
        <v>23750</v>
      </c>
      <c r="M9152" s="228">
        <v>0.25</v>
      </c>
    </row>
    <row r="9153" spans="2:13" ht="18.75" customHeight="1" x14ac:dyDescent="0.25">
      <c r="B9153" s="587"/>
      <c r="C9153" s="227" t="s">
        <v>1508</v>
      </c>
      <c r="D9153" s="587" t="s">
        <v>632</v>
      </c>
      <c r="E9153" s="224" t="s">
        <v>631</v>
      </c>
      <c r="F9153" s="228">
        <v>0.22500000000000001</v>
      </c>
      <c r="G9153" s="229">
        <f>G9128</f>
        <v>110000</v>
      </c>
      <c r="H9153" s="230">
        <f>+G9153*F9153</f>
        <v>24750</v>
      </c>
      <c r="M9153" s="228">
        <v>0.22500000000000001</v>
      </c>
    </row>
    <row r="9154" spans="2:13" ht="18.75" customHeight="1" x14ac:dyDescent="0.25">
      <c r="B9154" s="587"/>
      <c r="C9154" s="227" t="s">
        <v>633</v>
      </c>
      <c r="D9154" s="587" t="s">
        <v>634</v>
      </c>
      <c r="E9154" s="224" t="s">
        <v>631</v>
      </c>
      <c r="F9154" s="228">
        <v>2.2499999999999999E-2</v>
      </c>
      <c r="G9154" s="229">
        <f>G9129</f>
        <v>115000</v>
      </c>
      <c r="H9154" s="230">
        <f>+G9154*F9154</f>
        <v>2587.5</v>
      </c>
      <c r="M9154" s="228">
        <v>2.2499999999999999E-2</v>
      </c>
    </row>
    <row r="9155" spans="2:13" ht="18.75" customHeight="1" x14ac:dyDescent="0.25">
      <c r="B9155" s="587"/>
      <c r="C9155" s="227" t="s">
        <v>600</v>
      </c>
      <c r="D9155" s="587" t="s">
        <v>635</v>
      </c>
      <c r="E9155" s="224" t="s">
        <v>631</v>
      </c>
      <c r="F9155" s="228">
        <v>7.4999999999999997E-3</v>
      </c>
      <c r="G9155" s="229">
        <f>G9130</f>
        <v>140000</v>
      </c>
      <c r="H9155" s="230">
        <f>+G9155*F9155</f>
        <v>1050</v>
      </c>
      <c r="M9155" s="228">
        <v>7.4999999999999997E-3</v>
      </c>
    </row>
    <row r="9156" spans="2:13" ht="18.75" customHeight="1" x14ac:dyDescent="0.25">
      <c r="B9156" s="587"/>
      <c r="C9156" s="223"/>
      <c r="D9156" s="587"/>
      <c r="E9156" s="224"/>
      <c r="F9156" s="233" t="s">
        <v>636</v>
      </c>
      <c r="G9156" s="290"/>
      <c r="H9156" s="231">
        <f>SUM(H9152:H9155)</f>
        <v>52137.5</v>
      </c>
      <c r="M9156" s="233" t="s">
        <v>636</v>
      </c>
    </row>
    <row r="9157" spans="2:13" ht="18.75" customHeight="1" x14ac:dyDescent="0.25">
      <c r="B9157" s="587"/>
      <c r="C9157" s="223"/>
      <c r="D9157" s="587"/>
      <c r="E9157" s="224"/>
      <c r="F9157" s="233"/>
      <c r="G9157" s="290"/>
      <c r="H9157" s="231"/>
      <c r="M9157" s="233"/>
    </row>
    <row r="9158" spans="2:13" ht="18.75" customHeight="1" x14ac:dyDescent="0.25">
      <c r="B9158" s="587" t="s">
        <v>637</v>
      </c>
      <c r="C9158" s="223" t="s">
        <v>638</v>
      </c>
      <c r="D9158" s="587"/>
      <c r="E9158" s="224"/>
      <c r="F9158" s="225"/>
      <c r="G9158" s="290"/>
      <c r="H9158" s="226"/>
      <c r="M9158" s="225"/>
    </row>
    <row r="9159" spans="2:13" ht="18.75" customHeight="1" x14ac:dyDescent="0.25">
      <c r="B9159" s="587"/>
      <c r="C9159" s="223" t="s">
        <v>176</v>
      </c>
      <c r="D9159" s="587"/>
      <c r="E9159" s="587" t="s">
        <v>5</v>
      </c>
      <c r="F9159" s="405">
        <v>0.1</v>
      </c>
      <c r="G9159" s="410">
        <f>Bahan!D188</f>
        <v>40000</v>
      </c>
      <c r="H9159" s="230">
        <f>+G9159*F9159</f>
        <v>4000</v>
      </c>
      <c r="M9159" s="405">
        <v>0.1</v>
      </c>
    </row>
    <row r="9160" spans="2:13" ht="18.75" customHeight="1" x14ac:dyDescent="0.25">
      <c r="B9160" s="587"/>
      <c r="C9160" s="223" t="s">
        <v>1325</v>
      </c>
      <c r="D9160" s="587"/>
      <c r="E9160" s="587" t="s">
        <v>1349</v>
      </c>
      <c r="F9160" s="405">
        <v>0.01</v>
      </c>
      <c r="G9160" s="410">
        <f>G8883</f>
        <v>31000</v>
      </c>
      <c r="H9160" s="230">
        <f>+G9160*F9160</f>
        <v>310</v>
      </c>
      <c r="M9160" s="405">
        <v>0.01</v>
      </c>
    </row>
    <row r="9161" spans="2:13" ht="18.75" customHeight="1" x14ac:dyDescent="0.25">
      <c r="B9161" s="587"/>
      <c r="C9161" s="223" t="s">
        <v>179</v>
      </c>
      <c r="D9161" s="587"/>
      <c r="E9161" s="587" t="s">
        <v>16</v>
      </c>
      <c r="F9161" s="405">
        <v>0.01</v>
      </c>
      <c r="G9161" s="410">
        <f>G8957</f>
        <v>15000</v>
      </c>
      <c r="H9161" s="230">
        <f>+G9161*F9161</f>
        <v>150</v>
      </c>
      <c r="M9161" s="405">
        <v>0.01</v>
      </c>
    </row>
    <row r="9162" spans="2:13" ht="18.75" customHeight="1" x14ac:dyDescent="0.25">
      <c r="B9162" s="587"/>
      <c r="C9162" s="223" t="s">
        <v>1350</v>
      </c>
      <c r="D9162" s="587"/>
      <c r="E9162" s="587" t="s">
        <v>52</v>
      </c>
      <c r="F9162" s="405">
        <v>2E-3</v>
      </c>
      <c r="G9162" s="410">
        <f>Bahan!D274</f>
        <v>3750000</v>
      </c>
      <c r="H9162" s="230">
        <f>+G9162*F9162</f>
        <v>7500</v>
      </c>
      <c r="M9162" s="405">
        <v>2E-3</v>
      </c>
    </row>
    <row r="9163" spans="2:13" ht="18.75" customHeight="1" x14ac:dyDescent="0.25">
      <c r="B9163" s="587"/>
      <c r="C9163" s="223"/>
      <c r="D9163" s="587"/>
      <c r="E9163" s="224"/>
      <c r="F9163" s="237" t="s">
        <v>643</v>
      </c>
      <c r="G9163" s="290"/>
      <c r="H9163" s="231">
        <f>SUM(H9159:H9162)</f>
        <v>11960</v>
      </c>
      <c r="M9163" s="237" t="s">
        <v>643</v>
      </c>
    </row>
    <row r="9164" spans="2:13" ht="18.75" customHeight="1" x14ac:dyDescent="0.25">
      <c r="B9164" s="587"/>
      <c r="C9164" s="223"/>
      <c r="D9164" s="587"/>
      <c r="E9164" s="224"/>
      <c r="F9164" s="225"/>
      <c r="G9164" s="290"/>
      <c r="H9164" s="226"/>
      <c r="M9164" s="225"/>
    </row>
    <row r="9165" spans="2:13" ht="18.75" customHeight="1" x14ac:dyDescent="0.25">
      <c r="B9165" s="587" t="s">
        <v>644</v>
      </c>
      <c r="C9165" s="223" t="s">
        <v>645</v>
      </c>
      <c r="D9165" s="587"/>
      <c r="E9165" s="224"/>
      <c r="F9165" s="225"/>
      <c r="G9165" s="290"/>
      <c r="H9165" s="235"/>
      <c r="M9165" s="225"/>
    </row>
    <row r="9166" spans="2:13" ht="18.75" customHeight="1" x14ac:dyDescent="0.25">
      <c r="B9166" s="236"/>
      <c r="C9166" s="232"/>
      <c r="D9166" s="587"/>
      <c r="E9166" s="224"/>
      <c r="F9166" s="237" t="s">
        <v>646</v>
      </c>
      <c r="G9166" s="290"/>
      <c r="H9166" s="230"/>
      <c r="M9166" s="237" t="s">
        <v>646</v>
      </c>
    </row>
    <row r="9167" spans="2:13" ht="18.75" customHeight="1" x14ac:dyDescent="0.25">
      <c r="B9167" s="236"/>
      <c r="C9167" s="232"/>
      <c r="D9167" s="587"/>
      <c r="E9167" s="224"/>
      <c r="F9167" s="237"/>
      <c r="G9167" s="290"/>
      <c r="H9167" s="226"/>
      <c r="M9167" s="237"/>
    </row>
    <row r="9168" spans="2:13" ht="18.75" customHeight="1" x14ac:dyDescent="0.25">
      <c r="B9168" s="354"/>
      <c r="C9168" s="362"/>
      <c r="D9168" s="239"/>
      <c r="E9168" s="266"/>
      <c r="F9168" s="241"/>
      <c r="G9168" s="370"/>
      <c r="H9168" s="369"/>
      <c r="M9168" s="241"/>
    </row>
    <row r="9169" spans="2:13" ht="18.75" customHeight="1" x14ac:dyDescent="0.25">
      <c r="B9169" s="356" t="s">
        <v>647</v>
      </c>
      <c r="C9169" s="363" t="s">
        <v>648</v>
      </c>
      <c r="D9169" s="435"/>
      <c r="E9169" s="92"/>
      <c r="F9169" s="183"/>
      <c r="G9169" s="295"/>
      <c r="H9169" s="357">
        <f>+H9166+H9163+H9156</f>
        <v>64097.5</v>
      </c>
      <c r="M9169" s="183"/>
    </row>
    <row r="9170" spans="2:13" ht="18.75" customHeight="1" x14ac:dyDescent="0.25">
      <c r="B9170" s="356" t="s">
        <v>649</v>
      </c>
      <c r="C9170" s="364" t="s">
        <v>650</v>
      </c>
      <c r="D9170" s="435"/>
      <c r="E9170" s="92"/>
      <c r="F9170" s="184" t="str">
        <f>$J$5</f>
        <v>8,0 % x D</v>
      </c>
      <c r="G9170" s="295"/>
      <c r="H9170" s="358">
        <f>+H9169*$K$5</f>
        <v>5127.8</v>
      </c>
      <c r="M9170" s="184" t="str">
        <f>$J$5</f>
        <v>8,0 % x D</v>
      </c>
    </row>
    <row r="9171" spans="2:13" ht="18.75" customHeight="1" x14ac:dyDescent="0.25">
      <c r="B9171" s="356" t="s">
        <v>651</v>
      </c>
      <c r="C9171" s="365" t="s">
        <v>652</v>
      </c>
      <c r="D9171" s="435"/>
      <c r="E9171" s="91"/>
      <c r="F9171" s="185"/>
      <c r="G9171" s="296"/>
      <c r="H9171" s="359">
        <f>ROUNDUP((H9170+H9169)/100,0)*100</f>
        <v>69300</v>
      </c>
      <c r="M9171" s="185"/>
    </row>
    <row r="9172" spans="2:13" ht="18.75" customHeight="1" x14ac:dyDescent="0.25">
      <c r="B9172" s="360"/>
      <c r="C9172" s="366"/>
      <c r="D9172" s="245"/>
      <c r="E9172" s="246"/>
      <c r="F9172" s="247"/>
      <c r="G9172" s="299"/>
      <c r="H9172" s="361"/>
      <c r="M9172" s="247"/>
    </row>
    <row r="9173" spans="2:13" ht="18.75" customHeight="1" x14ac:dyDescent="0.25">
      <c r="B9173" s="22"/>
      <c r="C9173" s="104"/>
      <c r="E9173" s="21"/>
      <c r="F9173" s="176"/>
      <c r="G9173" s="165"/>
      <c r="H9173" s="119"/>
      <c r="M9173" s="176"/>
    </row>
    <row r="9174" spans="2:13" ht="18.75" customHeight="1" x14ac:dyDescent="0.25">
      <c r="B9174" s="19">
        <v>17</v>
      </c>
      <c r="C9174" s="93" t="s">
        <v>1351</v>
      </c>
      <c r="D9174" s="19"/>
      <c r="E9174" s="21"/>
      <c r="F9174" s="176"/>
      <c r="G9174" s="165"/>
      <c r="H9174" s="119"/>
      <c r="M9174" s="176"/>
    </row>
    <row r="9175" spans="2:13" ht="18.75" customHeight="1" x14ac:dyDescent="0.25">
      <c r="B9175" s="618" t="s">
        <v>620</v>
      </c>
      <c r="C9175" s="620" t="s">
        <v>621</v>
      </c>
      <c r="D9175" s="618" t="s">
        <v>622</v>
      </c>
      <c r="E9175" s="618" t="s">
        <v>2</v>
      </c>
      <c r="F9175" s="615" t="s">
        <v>623</v>
      </c>
      <c r="G9175" s="289" t="s">
        <v>624</v>
      </c>
      <c r="H9175" s="256" t="s">
        <v>625</v>
      </c>
      <c r="M9175" s="615" t="s">
        <v>623</v>
      </c>
    </row>
    <row r="9176" spans="2:13" ht="18.75" customHeight="1" x14ac:dyDescent="0.25">
      <c r="B9176" s="619"/>
      <c r="C9176" s="621"/>
      <c r="D9176" s="619"/>
      <c r="E9176" s="619"/>
      <c r="F9176" s="616"/>
      <c r="G9176" s="289" t="s">
        <v>626</v>
      </c>
      <c r="H9176" s="256" t="s">
        <v>626</v>
      </c>
      <c r="M9176" s="616"/>
    </row>
    <row r="9177" spans="2:13" ht="18.75" customHeight="1" x14ac:dyDescent="0.25">
      <c r="B9177" s="221"/>
      <c r="C9177" s="222"/>
      <c r="D9177" s="221"/>
      <c r="E9177" s="587"/>
      <c r="F9177" s="589"/>
      <c r="G9177" s="588"/>
      <c r="H9177" s="220"/>
      <c r="M9177" s="590"/>
    </row>
    <row r="9178" spans="2:13" ht="18.75" customHeight="1" x14ac:dyDescent="0.25">
      <c r="B9178" s="587" t="s">
        <v>627</v>
      </c>
      <c r="C9178" s="223" t="s">
        <v>628</v>
      </c>
      <c r="D9178" s="587"/>
      <c r="E9178" s="224"/>
      <c r="F9178" s="225"/>
      <c r="G9178" s="290"/>
      <c r="H9178" s="226"/>
      <c r="M9178" s="225"/>
    </row>
    <row r="9179" spans="2:13" ht="18.75" customHeight="1" x14ac:dyDescent="0.25">
      <c r="B9179" s="587"/>
      <c r="C9179" s="227" t="s">
        <v>629</v>
      </c>
      <c r="D9179" s="587" t="s">
        <v>630</v>
      </c>
      <c r="E9179" s="224" t="s">
        <v>631</v>
      </c>
      <c r="F9179" s="228">
        <v>7.0000000000000007E-2</v>
      </c>
      <c r="G9179" s="229">
        <f>G9152</f>
        <v>95000</v>
      </c>
      <c r="H9179" s="230">
        <f>+G9179*F9179</f>
        <v>6650.0000000000009</v>
      </c>
      <c r="M9179" s="228">
        <v>7.0000000000000007E-2</v>
      </c>
    </row>
    <row r="9180" spans="2:13" ht="18.75" customHeight="1" x14ac:dyDescent="0.25">
      <c r="B9180" s="587"/>
      <c r="C9180" s="227" t="s">
        <v>1508</v>
      </c>
      <c r="D9180" s="587" t="s">
        <v>632</v>
      </c>
      <c r="E9180" s="224" t="s">
        <v>631</v>
      </c>
      <c r="F9180" s="228">
        <v>8.9999999999999993E-3</v>
      </c>
      <c r="G9180" s="229">
        <f>G9153</f>
        <v>110000</v>
      </c>
      <c r="H9180" s="230">
        <f>+G9180*F9180</f>
        <v>989.99999999999989</v>
      </c>
      <c r="M9180" s="228">
        <v>8.9999999999999993E-3</v>
      </c>
    </row>
    <row r="9181" spans="2:13" ht="18.75" customHeight="1" x14ac:dyDescent="0.25">
      <c r="B9181" s="587"/>
      <c r="C9181" s="227" t="s">
        <v>633</v>
      </c>
      <c r="D9181" s="587" t="s">
        <v>634</v>
      </c>
      <c r="E9181" s="224" t="s">
        <v>631</v>
      </c>
      <c r="F9181" s="228">
        <v>6.0000000000000001E-3</v>
      </c>
      <c r="G9181" s="229">
        <f>G9154</f>
        <v>115000</v>
      </c>
      <c r="H9181" s="230">
        <f>+G9181*F9181</f>
        <v>690</v>
      </c>
      <c r="M9181" s="228">
        <v>6.0000000000000001E-3</v>
      </c>
    </row>
    <row r="9182" spans="2:13" ht="18.75" customHeight="1" x14ac:dyDescent="0.25">
      <c r="B9182" s="587"/>
      <c r="C9182" s="227" t="s">
        <v>600</v>
      </c>
      <c r="D9182" s="587" t="s">
        <v>635</v>
      </c>
      <c r="E9182" s="224" t="s">
        <v>631</v>
      </c>
      <c r="F9182" s="228">
        <v>3.0000000000000001E-3</v>
      </c>
      <c r="G9182" s="229">
        <f>G9155</f>
        <v>140000</v>
      </c>
      <c r="H9182" s="230">
        <f>+G9182*F9182</f>
        <v>420</v>
      </c>
      <c r="M9182" s="228">
        <v>3.0000000000000001E-3</v>
      </c>
    </row>
    <row r="9183" spans="2:13" ht="18.75" customHeight="1" x14ac:dyDescent="0.25">
      <c r="B9183" s="587"/>
      <c r="C9183" s="223"/>
      <c r="D9183" s="587"/>
      <c r="E9183" s="224"/>
      <c r="F9183" s="233" t="s">
        <v>636</v>
      </c>
      <c r="G9183" s="290"/>
      <c r="H9183" s="231">
        <f>SUM(H9179:H9182)</f>
        <v>8750</v>
      </c>
      <c r="M9183" s="233" t="s">
        <v>636</v>
      </c>
    </row>
    <row r="9184" spans="2:13" ht="18.75" customHeight="1" x14ac:dyDescent="0.25">
      <c r="B9184" s="587"/>
      <c r="C9184" s="223"/>
      <c r="D9184" s="587"/>
      <c r="E9184" s="224"/>
      <c r="F9184" s="233"/>
      <c r="G9184" s="290"/>
      <c r="H9184" s="231"/>
      <c r="M9184" s="233"/>
    </row>
    <row r="9185" spans="2:13" ht="18.75" customHeight="1" x14ac:dyDescent="0.25">
      <c r="B9185" s="587" t="s">
        <v>637</v>
      </c>
      <c r="C9185" s="223" t="s">
        <v>638</v>
      </c>
      <c r="D9185" s="587"/>
      <c r="E9185" s="224"/>
      <c r="F9185" s="225"/>
      <c r="G9185" s="290"/>
      <c r="H9185" s="226"/>
      <c r="M9185" s="225"/>
    </row>
    <row r="9186" spans="2:13" ht="18.75" customHeight="1" x14ac:dyDescent="0.25">
      <c r="B9186" s="587"/>
      <c r="C9186" s="223" t="s">
        <v>1352</v>
      </c>
      <c r="D9186" s="587"/>
      <c r="E9186" s="587" t="s">
        <v>5</v>
      </c>
      <c r="F9186" s="405">
        <v>0.26</v>
      </c>
      <c r="G9186" s="410">
        <f>Bahan!D194</f>
        <v>82000</v>
      </c>
      <c r="H9186" s="230">
        <f>+G9186*F9186</f>
        <v>21320</v>
      </c>
      <c r="M9186" s="405">
        <v>0.26</v>
      </c>
    </row>
    <row r="9187" spans="2:13" ht="18.75" customHeight="1" x14ac:dyDescent="0.25">
      <c r="B9187" s="587"/>
      <c r="C9187" s="223" t="s">
        <v>1353</v>
      </c>
      <c r="D9187" s="587"/>
      <c r="E9187" s="587" t="s">
        <v>5</v>
      </c>
      <c r="F9187" s="405">
        <v>0.2</v>
      </c>
      <c r="G9187" s="410">
        <f>Bahan!D182</f>
        <v>5700</v>
      </c>
      <c r="H9187" s="230">
        <f>+G9187*F9187</f>
        <v>1140</v>
      </c>
      <c r="M9187" s="405">
        <v>0.2</v>
      </c>
    </row>
    <row r="9188" spans="2:13" ht="18.75" customHeight="1" x14ac:dyDescent="0.25">
      <c r="B9188" s="587"/>
      <c r="C9188" s="223" t="s">
        <v>179</v>
      </c>
      <c r="D9188" s="587"/>
      <c r="E9188" s="587" t="s">
        <v>5</v>
      </c>
      <c r="F9188" s="405">
        <v>0.01</v>
      </c>
      <c r="G9188" s="410">
        <f>+G9161</f>
        <v>15000</v>
      </c>
      <c r="H9188" s="230">
        <f>+G9188*F9188</f>
        <v>150</v>
      </c>
      <c r="M9188" s="405">
        <v>0.01</v>
      </c>
    </row>
    <row r="9189" spans="2:13" ht="18.75" customHeight="1" x14ac:dyDescent="0.25">
      <c r="B9189" s="587"/>
      <c r="C9189" s="223"/>
      <c r="D9189" s="587"/>
      <c r="E9189" s="224"/>
      <c r="F9189" s="237" t="s">
        <v>643</v>
      </c>
      <c r="G9189" s="290"/>
      <c r="H9189" s="231">
        <f>SUM(H9186:H9188)</f>
        <v>22610</v>
      </c>
      <c r="M9189" s="237" t="s">
        <v>643</v>
      </c>
    </row>
    <row r="9190" spans="2:13" ht="18.75" customHeight="1" x14ac:dyDescent="0.25">
      <c r="B9190" s="587"/>
      <c r="C9190" s="223"/>
      <c r="D9190" s="587"/>
      <c r="E9190" s="224"/>
      <c r="F9190" s="225"/>
      <c r="G9190" s="290"/>
      <c r="H9190" s="226"/>
      <c r="M9190" s="225"/>
    </row>
    <row r="9191" spans="2:13" ht="18.75" customHeight="1" x14ac:dyDescent="0.25">
      <c r="B9191" s="587" t="s">
        <v>644</v>
      </c>
      <c r="C9191" s="223" t="s">
        <v>645</v>
      </c>
      <c r="D9191" s="587"/>
      <c r="E9191" s="224"/>
      <c r="F9191" s="225"/>
      <c r="G9191" s="290"/>
      <c r="H9191" s="235"/>
      <c r="M9191" s="225"/>
    </row>
    <row r="9192" spans="2:13" ht="18.75" customHeight="1" x14ac:dyDescent="0.25">
      <c r="B9192" s="236"/>
      <c r="C9192" s="232"/>
      <c r="D9192" s="587"/>
      <c r="E9192" s="224"/>
      <c r="F9192" s="237" t="s">
        <v>646</v>
      </c>
      <c r="G9192" s="290"/>
      <c r="H9192" s="230"/>
      <c r="M9192" s="237" t="s">
        <v>646</v>
      </c>
    </row>
    <row r="9193" spans="2:13" ht="18.75" customHeight="1" x14ac:dyDescent="0.25">
      <c r="B9193" s="236"/>
      <c r="C9193" s="232"/>
      <c r="D9193" s="587"/>
      <c r="E9193" s="224"/>
      <c r="F9193" s="237"/>
      <c r="G9193" s="290"/>
      <c r="H9193" s="226"/>
      <c r="M9193" s="237"/>
    </row>
    <row r="9194" spans="2:13" ht="18.75" customHeight="1" x14ac:dyDescent="0.25">
      <c r="B9194" s="354"/>
      <c r="C9194" s="362"/>
      <c r="D9194" s="239"/>
      <c r="E9194" s="266"/>
      <c r="F9194" s="241"/>
      <c r="G9194" s="370"/>
      <c r="H9194" s="369"/>
      <c r="M9194" s="241"/>
    </row>
    <row r="9195" spans="2:13" ht="18.75" customHeight="1" x14ac:dyDescent="0.25">
      <c r="B9195" s="356" t="s">
        <v>647</v>
      </c>
      <c r="C9195" s="363" t="s">
        <v>648</v>
      </c>
      <c r="D9195" s="435"/>
      <c r="E9195" s="92"/>
      <c r="F9195" s="183"/>
      <c r="G9195" s="295"/>
      <c r="H9195" s="357">
        <f>+H9192+H9189+H9183</f>
        <v>31360</v>
      </c>
      <c r="M9195" s="183"/>
    </row>
    <row r="9196" spans="2:13" ht="18.75" customHeight="1" x14ac:dyDescent="0.25">
      <c r="B9196" s="356" t="s">
        <v>649</v>
      </c>
      <c r="C9196" s="364" t="s">
        <v>650</v>
      </c>
      <c r="D9196" s="435"/>
      <c r="E9196" s="92"/>
      <c r="F9196" s="184" t="str">
        <f>$J$5</f>
        <v>8,0 % x D</v>
      </c>
      <c r="G9196" s="295"/>
      <c r="H9196" s="358">
        <f>+H9195*$K$5</f>
        <v>2508.8000000000002</v>
      </c>
      <c r="M9196" s="184" t="str">
        <f>$J$5</f>
        <v>8,0 % x D</v>
      </c>
    </row>
    <row r="9197" spans="2:13" ht="18.75" customHeight="1" x14ac:dyDescent="0.25">
      <c r="B9197" s="356" t="s">
        <v>651</v>
      </c>
      <c r="C9197" s="365" t="s">
        <v>652</v>
      </c>
      <c r="D9197" s="435"/>
      <c r="E9197" s="91"/>
      <c r="F9197" s="185"/>
      <c r="G9197" s="296"/>
      <c r="H9197" s="359">
        <f>ROUNDUP((H9196+H9195)/100,0)*100</f>
        <v>33900</v>
      </c>
      <c r="M9197" s="185"/>
    </row>
    <row r="9198" spans="2:13" ht="18.75" customHeight="1" x14ac:dyDescent="0.25">
      <c r="B9198" s="360"/>
      <c r="C9198" s="366"/>
      <c r="D9198" s="245"/>
      <c r="E9198" s="246"/>
      <c r="F9198" s="247"/>
      <c r="G9198" s="299"/>
      <c r="H9198" s="361"/>
      <c r="M9198" s="247"/>
    </row>
    <row r="9199" spans="2:13" ht="18.75" customHeight="1" x14ac:dyDescent="0.25">
      <c r="B9199" s="92"/>
      <c r="C9199" s="104"/>
      <c r="D9199" s="435"/>
      <c r="E9199" s="91"/>
      <c r="F9199" s="185"/>
      <c r="G9199" s="168"/>
      <c r="H9199" s="139"/>
      <c r="M9199" s="185"/>
    </row>
    <row r="9200" spans="2:13" ht="18.75" customHeight="1" x14ac:dyDescent="0.25">
      <c r="B9200" s="19">
        <v>18</v>
      </c>
      <c r="C9200" s="93" t="s">
        <v>1354</v>
      </c>
      <c r="D9200" s="19"/>
      <c r="E9200" s="21"/>
      <c r="F9200" s="176"/>
      <c r="G9200" s="165"/>
      <c r="H9200" s="119"/>
      <c r="M9200" s="176"/>
    </row>
    <row r="9201" spans="2:13" ht="18.75" customHeight="1" x14ac:dyDescent="0.25">
      <c r="B9201" s="618" t="s">
        <v>620</v>
      </c>
      <c r="C9201" s="620" t="s">
        <v>621</v>
      </c>
      <c r="D9201" s="618" t="s">
        <v>622</v>
      </c>
      <c r="E9201" s="618" t="s">
        <v>2</v>
      </c>
      <c r="F9201" s="615" t="s">
        <v>623</v>
      </c>
      <c r="G9201" s="289" t="s">
        <v>624</v>
      </c>
      <c r="H9201" s="256" t="s">
        <v>625</v>
      </c>
      <c r="M9201" s="615" t="s">
        <v>623</v>
      </c>
    </row>
    <row r="9202" spans="2:13" ht="18.75" customHeight="1" x14ac:dyDescent="0.25">
      <c r="B9202" s="619"/>
      <c r="C9202" s="621"/>
      <c r="D9202" s="619"/>
      <c r="E9202" s="619"/>
      <c r="F9202" s="616"/>
      <c r="G9202" s="289" t="s">
        <v>626</v>
      </c>
      <c r="H9202" s="256" t="s">
        <v>626</v>
      </c>
      <c r="M9202" s="616"/>
    </row>
    <row r="9203" spans="2:13" ht="18.75" customHeight="1" x14ac:dyDescent="0.25">
      <c r="B9203" s="221"/>
      <c r="C9203" s="222"/>
      <c r="D9203" s="221"/>
      <c r="E9203" s="587"/>
      <c r="F9203" s="589"/>
      <c r="G9203" s="588"/>
      <c r="H9203" s="220"/>
      <c r="M9203" s="590"/>
    </row>
    <row r="9204" spans="2:13" ht="18.75" customHeight="1" x14ac:dyDescent="0.25">
      <c r="B9204" s="587" t="s">
        <v>627</v>
      </c>
      <c r="C9204" s="223" t="s">
        <v>628</v>
      </c>
      <c r="D9204" s="587"/>
      <c r="E9204" s="224"/>
      <c r="F9204" s="225"/>
      <c r="G9204" s="290"/>
      <c r="H9204" s="226"/>
      <c r="M9204" s="225"/>
    </row>
    <row r="9205" spans="2:13" ht="18.75" customHeight="1" x14ac:dyDescent="0.25">
      <c r="B9205" s="587"/>
      <c r="C9205" s="227" t="s">
        <v>629</v>
      </c>
      <c r="D9205" s="587" t="s">
        <v>630</v>
      </c>
      <c r="E9205" s="224" t="s">
        <v>631</v>
      </c>
      <c r="F9205" s="228">
        <f>F9179</f>
        <v>7.0000000000000007E-2</v>
      </c>
      <c r="G9205" s="229">
        <f>G9152</f>
        <v>95000</v>
      </c>
      <c r="H9205" s="230">
        <f>+G9205*F9205</f>
        <v>6650.0000000000009</v>
      </c>
      <c r="M9205" s="228">
        <f>M9179</f>
        <v>7.0000000000000007E-2</v>
      </c>
    </row>
    <row r="9206" spans="2:13" ht="18.75" customHeight="1" x14ac:dyDescent="0.25">
      <c r="B9206" s="587"/>
      <c r="C9206" s="227" t="s">
        <v>1508</v>
      </c>
      <c r="D9206" s="587" t="s">
        <v>632</v>
      </c>
      <c r="E9206" s="224" t="s">
        <v>631</v>
      </c>
      <c r="F9206" s="228">
        <f>F9180</f>
        <v>8.9999999999999993E-3</v>
      </c>
      <c r="G9206" s="229">
        <f>G9153</f>
        <v>110000</v>
      </c>
      <c r="H9206" s="230">
        <f>+G9206*F9206</f>
        <v>989.99999999999989</v>
      </c>
      <c r="M9206" s="228">
        <f>M9180</f>
        <v>8.9999999999999993E-3</v>
      </c>
    </row>
    <row r="9207" spans="2:13" ht="18.75" customHeight="1" x14ac:dyDescent="0.25">
      <c r="B9207" s="587"/>
      <c r="C9207" s="227" t="s">
        <v>633</v>
      </c>
      <c r="D9207" s="587" t="s">
        <v>634</v>
      </c>
      <c r="E9207" s="224" t="s">
        <v>631</v>
      </c>
      <c r="F9207" s="228">
        <f>F9181</f>
        <v>6.0000000000000001E-3</v>
      </c>
      <c r="G9207" s="229">
        <f>G9154</f>
        <v>115000</v>
      </c>
      <c r="H9207" s="230">
        <f>+G9207*F9207</f>
        <v>690</v>
      </c>
      <c r="M9207" s="228">
        <f>M9181</f>
        <v>6.0000000000000001E-3</v>
      </c>
    </row>
    <row r="9208" spans="2:13" ht="18.75" customHeight="1" x14ac:dyDescent="0.25">
      <c r="B9208" s="587"/>
      <c r="C9208" s="227" t="s">
        <v>600</v>
      </c>
      <c r="D9208" s="587" t="s">
        <v>635</v>
      </c>
      <c r="E9208" s="224" t="s">
        <v>631</v>
      </c>
      <c r="F9208" s="228">
        <v>3.0000000000000001E-3</v>
      </c>
      <c r="G9208" s="229">
        <f>G9155</f>
        <v>140000</v>
      </c>
      <c r="H9208" s="230">
        <f>+G9208*F9208</f>
        <v>420</v>
      </c>
      <c r="M9208" s="228">
        <v>3.0000000000000001E-3</v>
      </c>
    </row>
    <row r="9209" spans="2:13" ht="18.75" customHeight="1" x14ac:dyDescent="0.25">
      <c r="B9209" s="587"/>
      <c r="C9209" s="223"/>
      <c r="D9209" s="587"/>
      <c r="E9209" s="224"/>
      <c r="F9209" s="233" t="s">
        <v>636</v>
      </c>
      <c r="G9209" s="290"/>
      <c r="H9209" s="231">
        <f>SUM(H9205:H9208)</f>
        <v>8750</v>
      </c>
      <c r="M9209" s="233" t="s">
        <v>636</v>
      </c>
    </row>
    <row r="9210" spans="2:13" ht="18.75" customHeight="1" x14ac:dyDescent="0.25">
      <c r="B9210" s="587"/>
      <c r="C9210" s="223"/>
      <c r="D9210" s="587"/>
      <c r="E9210" s="224"/>
      <c r="F9210" s="233"/>
      <c r="G9210" s="290"/>
      <c r="H9210" s="231"/>
      <c r="M9210" s="233"/>
    </row>
    <row r="9211" spans="2:13" ht="18.75" customHeight="1" x14ac:dyDescent="0.25">
      <c r="B9211" s="587" t="s">
        <v>637</v>
      </c>
      <c r="C9211" s="223" t="s">
        <v>638</v>
      </c>
      <c r="D9211" s="587"/>
      <c r="E9211" s="224"/>
      <c r="F9211" s="225"/>
      <c r="G9211" s="290"/>
      <c r="H9211" s="226"/>
      <c r="M9211" s="225"/>
    </row>
    <row r="9212" spans="2:13" ht="18.75" customHeight="1" x14ac:dyDescent="0.25">
      <c r="B9212" s="587"/>
      <c r="C9212" s="223" t="s">
        <v>1355</v>
      </c>
      <c r="D9212" s="587"/>
      <c r="E9212" s="587" t="s">
        <v>5</v>
      </c>
      <c r="F9212" s="406">
        <v>0.1</v>
      </c>
      <c r="G9212" s="229">
        <f>G9213</f>
        <v>70000</v>
      </c>
      <c r="H9212" s="226">
        <f>F9212*G9212</f>
        <v>7000</v>
      </c>
      <c r="M9212" s="406">
        <v>0.1</v>
      </c>
    </row>
    <row r="9213" spans="2:13" ht="18.75" customHeight="1" x14ac:dyDescent="0.25">
      <c r="B9213" s="587"/>
      <c r="C9213" s="223" t="s">
        <v>1668</v>
      </c>
      <c r="D9213" s="587"/>
      <c r="E9213" s="587" t="s">
        <v>5</v>
      </c>
      <c r="F9213" s="405">
        <v>0.26</v>
      </c>
      <c r="G9213" s="410">
        <f>Bahan!D191</f>
        <v>70000</v>
      </c>
      <c r="H9213" s="230">
        <f>+G9213*F9213</f>
        <v>18200</v>
      </c>
      <c r="M9213" s="405">
        <v>0.26</v>
      </c>
    </row>
    <row r="9214" spans="2:13" ht="18.75" customHeight="1" x14ac:dyDescent="0.25">
      <c r="B9214" s="587"/>
      <c r="C9214" s="223" t="s">
        <v>179</v>
      </c>
      <c r="D9214" s="587"/>
      <c r="E9214" s="587" t="s">
        <v>5</v>
      </c>
      <c r="F9214" s="405">
        <v>0.01</v>
      </c>
      <c r="G9214" s="410">
        <f>G9188</f>
        <v>15000</v>
      </c>
      <c r="H9214" s="230">
        <f>+G9214*F9214</f>
        <v>150</v>
      </c>
      <c r="M9214" s="405">
        <v>0.01</v>
      </c>
    </row>
    <row r="9215" spans="2:13" ht="18.75" customHeight="1" x14ac:dyDescent="0.25">
      <c r="B9215" s="587"/>
      <c r="C9215" s="223"/>
      <c r="D9215" s="587"/>
      <c r="E9215" s="224"/>
      <c r="F9215" s="237" t="s">
        <v>643</v>
      </c>
      <c r="G9215" s="290"/>
      <c r="H9215" s="231">
        <f>SUM(H9212:H9214)</f>
        <v>25350</v>
      </c>
      <c r="M9215" s="237" t="s">
        <v>643</v>
      </c>
    </row>
    <row r="9216" spans="2:13" ht="18.75" customHeight="1" x14ac:dyDescent="0.25">
      <c r="B9216" s="587"/>
      <c r="C9216" s="223"/>
      <c r="D9216" s="587"/>
      <c r="E9216" s="224"/>
      <c r="F9216" s="225"/>
      <c r="G9216" s="290"/>
      <c r="H9216" s="226"/>
      <c r="M9216" s="225"/>
    </row>
    <row r="9217" spans="2:13" ht="18.75" customHeight="1" x14ac:dyDescent="0.25">
      <c r="B9217" s="587" t="s">
        <v>644</v>
      </c>
      <c r="C9217" s="223" t="s">
        <v>645</v>
      </c>
      <c r="D9217" s="587"/>
      <c r="E9217" s="224"/>
      <c r="F9217" s="225"/>
      <c r="G9217" s="290"/>
      <c r="H9217" s="235"/>
      <c r="M9217" s="225"/>
    </row>
    <row r="9218" spans="2:13" ht="18.75" customHeight="1" x14ac:dyDescent="0.25">
      <c r="B9218" s="236"/>
      <c r="C9218" s="232"/>
      <c r="D9218" s="587"/>
      <c r="E9218" s="224"/>
      <c r="F9218" s="237" t="s">
        <v>646</v>
      </c>
      <c r="G9218" s="290"/>
      <c r="H9218" s="230"/>
      <c r="M9218" s="237" t="s">
        <v>646</v>
      </c>
    </row>
    <row r="9219" spans="2:13" ht="18.75" customHeight="1" x14ac:dyDescent="0.25">
      <c r="B9219" s="236"/>
      <c r="C9219" s="232"/>
      <c r="D9219" s="587"/>
      <c r="E9219" s="224"/>
      <c r="F9219" s="237"/>
      <c r="G9219" s="290"/>
      <c r="H9219" s="226"/>
      <c r="M9219" s="237"/>
    </row>
    <row r="9220" spans="2:13" ht="18.75" customHeight="1" x14ac:dyDescent="0.25">
      <c r="B9220" s="354"/>
      <c r="C9220" s="362"/>
      <c r="D9220" s="239"/>
      <c r="E9220" s="266"/>
      <c r="F9220" s="241"/>
      <c r="G9220" s="370"/>
      <c r="H9220" s="369"/>
      <c r="M9220" s="241"/>
    </row>
    <row r="9221" spans="2:13" ht="18.75" customHeight="1" x14ac:dyDescent="0.25">
      <c r="B9221" s="356" t="s">
        <v>647</v>
      </c>
      <c r="C9221" s="363" t="s">
        <v>648</v>
      </c>
      <c r="D9221" s="435"/>
      <c r="E9221" s="92"/>
      <c r="F9221" s="183"/>
      <c r="G9221" s="295"/>
      <c r="H9221" s="357">
        <f>+H9218+H9215+H9209</f>
        <v>34100</v>
      </c>
      <c r="M9221" s="183"/>
    </row>
    <row r="9222" spans="2:13" ht="18.75" customHeight="1" x14ac:dyDescent="0.25">
      <c r="B9222" s="356" t="s">
        <v>649</v>
      </c>
      <c r="C9222" s="364" t="s">
        <v>650</v>
      </c>
      <c r="D9222" s="435"/>
      <c r="E9222" s="92"/>
      <c r="F9222" s="184" t="str">
        <f>$J$5</f>
        <v>8,0 % x D</v>
      </c>
      <c r="G9222" s="295"/>
      <c r="H9222" s="358">
        <f>+H9221*$K$5</f>
        <v>2728</v>
      </c>
      <c r="M9222" s="184" t="str">
        <f>$J$5</f>
        <v>8,0 % x D</v>
      </c>
    </row>
    <row r="9223" spans="2:13" ht="18.75" customHeight="1" x14ac:dyDescent="0.25">
      <c r="B9223" s="356" t="s">
        <v>651</v>
      </c>
      <c r="C9223" s="365" t="s">
        <v>652</v>
      </c>
      <c r="D9223" s="435"/>
      <c r="E9223" s="91"/>
      <c r="F9223" s="185"/>
      <c r="G9223" s="296"/>
      <c r="H9223" s="359">
        <f>ROUNDUP((H9222+H9221)/100,0)*100</f>
        <v>36900</v>
      </c>
      <c r="M9223" s="185"/>
    </row>
    <row r="9224" spans="2:13" ht="18.75" customHeight="1" x14ac:dyDescent="0.25">
      <c r="B9224" s="360"/>
      <c r="C9224" s="366"/>
      <c r="D9224" s="245"/>
      <c r="E9224" s="246"/>
      <c r="F9224" s="247"/>
      <c r="G9224" s="299"/>
      <c r="H9224" s="361"/>
      <c r="M9224" s="247"/>
    </row>
    <row r="9225" spans="2:13" ht="18.75" customHeight="1" x14ac:dyDescent="0.25">
      <c r="B9225" s="22"/>
      <c r="C9225" s="104"/>
      <c r="E9225" s="21"/>
      <c r="F9225" s="176"/>
      <c r="G9225" s="165"/>
      <c r="H9225" s="119"/>
      <c r="M9225" s="176"/>
    </row>
    <row r="9226" spans="2:13" ht="18.75" customHeight="1" x14ac:dyDescent="0.25">
      <c r="B9226" s="19">
        <v>19</v>
      </c>
      <c r="C9226" s="93" t="s">
        <v>1356</v>
      </c>
      <c r="D9226" s="19"/>
      <c r="E9226" s="21"/>
      <c r="F9226" s="176"/>
      <c r="G9226" s="165"/>
      <c r="H9226" s="119"/>
      <c r="M9226" s="176"/>
    </row>
    <row r="9227" spans="2:13" ht="18.75" customHeight="1" x14ac:dyDescent="0.25">
      <c r="B9227" s="618" t="s">
        <v>620</v>
      </c>
      <c r="C9227" s="620" t="s">
        <v>621</v>
      </c>
      <c r="D9227" s="618" t="s">
        <v>622</v>
      </c>
      <c r="E9227" s="618" t="s">
        <v>2</v>
      </c>
      <c r="F9227" s="615" t="s">
        <v>623</v>
      </c>
      <c r="G9227" s="289" t="s">
        <v>624</v>
      </c>
      <c r="H9227" s="256" t="s">
        <v>625</v>
      </c>
      <c r="M9227" s="615" t="s">
        <v>623</v>
      </c>
    </row>
    <row r="9228" spans="2:13" ht="18.75" customHeight="1" x14ac:dyDescent="0.25">
      <c r="B9228" s="619"/>
      <c r="C9228" s="621"/>
      <c r="D9228" s="619"/>
      <c r="E9228" s="619"/>
      <c r="F9228" s="616"/>
      <c r="G9228" s="289" t="s">
        <v>626</v>
      </c>
      <c r="H9228" s="256" t="s">
        <v>626</v>
      </c>
      <c r="M9228" s="616"/>
    </row>
    <row r="9229" spans="2:13" ht="18.75" customHeight="1" x14ac:dyDescent="0.25">
      <c r="B9229" s="221"/>
      <c r="C9229" s="222"/>
      <c r="D9229" s="221"/>
      <c r="E9229" s="587"/>
      <c r="F9229" s="589"/>
      <c r="G9229" s="588"/>
      <c r="H9229" s="220"/>
      <c r="M9229" s="590"/>
    </row>
    <row r="9230" spans="2:13" ht="18.75" customHeight="1" x14ac:dyDescent="0.25">
      <c r="B9230" s="587" t="s">
        <v>627</v>
      </c>
      <c r="C9230" s="223" t="s">
        <v>628</v>
      </c>
      <c r="D9230" s="587"/>
      <c r="E9230" s="224"/>
      <c r="F9230" s="225"/>
      <c r="G9230" s="290"/>
      <c r="H9230" s="226"/>
      <c r="M9230" s="225"/>
    </row>
    <row r="9231" spans="2:13" ht="18.75" customHeight="1" x14ac:dyDescent="0.25">
      <c r="B9231" s="587"/>
      <c r="C9231" s="227" t="s">
        <v>629</v>
      </c>
      <c r="D9231" s="587" t="s">
        <v>630</v>
      </c>
      <c r="E9231" s="224" t="s">
        <v>631</v>
      </c>
      <c r="F9231" s="228">
        <v>0.16</v>
      </c>
      <c r="G9231" s="229">
        <f>G9205</f>
        <v>95000</v>
      </c>
      <c r="H9231" s="230">
        <f>+G9231*F9231</f>
        <v>15200</v>
      </c>
      <c r="M9231" s="228">
        <v>0.16</v>
      </c>
    </row>
    <row r="9232" spans="2:13" ht="18.75" customHeight="1" x14ac:dyDescent="0.25">
      <c r="B9232" s="587"/>
      <c r="C9232" s="227" t="s">
        <v>1508</v>
      </c>
      <c r="D9232" s="587" t="s">
        <v>632</v>
      </c>
      <c r="E9232" s="224" t="s">
        <v>631</v>
      </c>
      <c r="F9232" s="228">
        <v>7.5300000000000006E-2</v>
      </c>
      <c r="G9232" s="229">
        <f>G9206</f>
        <v>110000</v>
      </c>
      <c r="H9232" s="230">
        <f>+G9232*F9232</f>
        <v>8283</v>
      </c>
      <c r="M9232" s="228">
        <v>7.5300000000000006E-2</v>
      </c>
    </row>
    <row r="9233" spans="2:13" ht="18.75" customHeight="1" x14ac:dyDescent="0.25">
      <c r="B9233" s="587"/>
      <c r="C9233" s="227" t="s">
        <v>633</v>
      </c>
      <c r="D9233" s="587" t="s">
        <v>634</v>
      </c>
      <c r="E9233" s="224" t="s">
        <v>631</v>
      </c>
      <c r="F9233" s="228">
        <v>6.3E-3</v>
      </c>
      <c r="G9233" s="229">
        <f>G9207</f>
        <v>115000</v>
      </c>
      <c r="H9233" s="230">
        <f>+G9233*F9233</f>
        <v>724.5</v>
      </c>
      <c r="M9233" s="228">
        <v>6.3E-3</v>
      </c>
    </row>
    <row r="9234" spans="2:13" ht="18.75" customHeight="1" x14ac:dyDescent="0.25">
      <c r="B9234" s="587"/>
      <c r="C9234" s="227" t="s">
        <v>600</v>
      </c>
      <c r="D9234" s="587" t="s">
        <v>635</v>
      </c>
      <c r="E9234" s="224" t="s">
        <v>631</v>
      </c>
      <c r="F9234" s="228">
        <v>3.0000000000000001E-3</v>
      </c>
      <c r="G9234" s="229">
        <f>G9208</f>
        <v>140000</v>
      </c>
      <c r="H9234" s="230">
        <f>+G9234*F9234</f>
        <v>420</v>
      </c>
      <c r="M9234" s="228">
        <v>3.0000000000000001E-3</v>
      </c>
    </row>
    <row r="9235" spans="2:13" ht="18.75" customHeight="1" x14ac:dyDescent="0.25">
      <c r="B9235" s="587"/>
      <c r="C9235" s="223"/>
      <c r="D9235" s="587"/>
      <c r="E9235" s="224"/>
      <c r="F9235" s="233" t="s">
        <v>636</v>
      </c>
      <c r="G9235" s="290"/>
      <c r="H9235" s="231">
        <f>SUM(H9231:H9234)</f>
        <v>24627.5</v>
      </c>
      <c r="M9235" s="233" t="s">
        <v>636</v>
      </c>
    </row>
    <row r="9236" spans="2:13" ht="18.75" customHeight="1" x14ac:dyDescent="0.25">
      <c r="B9236" s="587"/>
      <c r="C9236" s="223"/>
      <c r="D9236" s="587"/>
      <c r="E9236" s="224"/>
      <c r="F9236" s="233"/>
      <c r="G9236" s="290"/>
      <c r="H9236" s="231"/>
      <c r="M9236" s="233"/>
    </row>
    <row r="9237" spans="2:13" ht="18.75" customHeight="1" x14ac:dyDescent="0.25">
      <c r="B9237" s="587" t="s">
        <v>637</v>
      </c>
      <c r="C9237" s="223" t="s">
        <v>638</v>
      </c>
      <c r="D9237" s="587"/>
      <c r="E9237" s="224"/>
      <c r="F9237" s="225"/>
      <c r="G9237" s="290"/>
      <c r="H9237" s="226"/>
      <c r="M9237" s="225"/>
    </row>
    <row r="9238" spans="2:13" ht="18.75" customHeight="1" x14ac:dyDescent="0.25">
      <c r="B9238" s="587"/>
      <c r="C9238" s="223" t="s">
        <v>173</v>
      </c>
      <c r="D9238" s="587"/>
      <c r="E9238" s="587" t="s">
        <v>5</v>
      </c>
      <c r="F9238" s="228">
        <v>0.1</v>
      </c>
      <c r="G9238" s="229">
        <f>Bahan!D185</f>
        <v>61000</v>
      </c>
      <c r="H9238" s="226">
        <f>F9238*G9238</f>
        <v>6100</v>
      </c>
      <c r="M9238" s="228">
        <v>0.1</v>
      </c>
    </row>
    <row r="9239" spans="2:13" ht="18.75" customHeight="1" x14ac:dyDescent="0.25">
      <c r="B9239" s="587"/>
      <c r="C9239" s="223" t="s">
        <v>1357</v>
      </c>
      <c r="D9239" s="587"/>
      <c r="E9239" s="587" t="s">
        <v>5</v>
      </c>
      <c r="F9239" s="405">
        <v>0.26</v>
      </c>
      <c r="G9239" s="410">
        <f>Bahan!D190</f>
        <v>40000</v>
      </c>
      <c r="H9239" s="230">
        <f>+G9239*F9239</f>
        <v>10400</v>
      </c>
      <c r="M9239" s="405">
        <v>0.26</v>
      </c>
    </row>
    <row r="9240" spans="2:13" ht="18.75" customHeight="1" x14ac:dyDescent="0.25">
      <c r="B9240" s="587"/>
      <c r="C9240" s="223" t="s">
        <v>179</v>
      </c>
      <c r="D9240" s="587"/>
      <c r="E9240" s="587" t="s">
        <v>16</v>
      </c>
      <c r="F9240" s="405">
        <v>0.01</v>
      </c>
      <c r="G9240" s="410">
        <f>G9214</f>
        <v>15000</v>
      </c>
      <c r="H9240" s="230">
        <f>+G9240*F9240</f>
        <v>150</v>
      </c>
      <c r="M9240" s="405">
        <v>0.01</v>
      </c>
    </row>
    <row r="9241" spans="2:13" ht="18.75" customHeight="1" x14ac:dyDescent="0.25">
      <c r="B9241" s="587"/>
      <c r="C9241" s="223"/>
      <c r="D9241" s="587"/>
      <c r="E9241" s="224"/>
      <c r="F9241" s="237" t="s">
        <v>643</v>
      </c>
      <c r="G9241" s="290"/>
      <c r="H9241" s="231">
        <f>SUM(H9238:H9240)</f>
        <v>16650</v>
      </c>
      <c r="M9241" s="237" t="s">
        <v>643</v>
      </c>
    </row>
    <row r="9242" spans="2:13" ht="18.75" customHeight="1" x14ac:dyDescent="0.25">
      <c r="B9242" s="587"/>
      <c r="C9242" s="223"/>
      <c r="D9242" s="587"/>
      <c r="E9242" s="224"/>
      <c r="F9242" s="225"/>
      <c r="G9242" s="290"/>
      <c r="H9242" s="226"/>
      <c r="M9242" s="225"/>
    </row>
    <row r="9243" spans="2:13" ht="18.75" customHeight="1" x14ac:dyDescent="0.25">
      <c r="B9243" s="587" t="s">
        <v>644</v>
      </c>
      <c r="C9243" s="223" t="s">
        <v>645</v>
      </c>
      <c r="D9243" s="587"/>
      <c r="E9243" s="224"/>
      <c r="F9243" s="225"/>
      <c r="G9243" s="290"/>
      <c r="H9243" s="235"/>
      <c r="M9243" s="225"/>
    </row>
    <row r="9244" spans="2:13" ht="18.75" customHeight="1" x14ac:dyDescent="0.25">
      <c r="B9244" s="236"/>
      <c r="C9244" s="232"/>
      <c r="D9244" s="587"/>
      <c r="E9244" s="224"/>
      <c r="F9244" s="237" t="s">
        <v>646</v>
      </c>
      <c r="G9244" s="290"/>
      <c r="H9244" s="230"/>
      <c r="M9244" s="237" t="s">
        <v>646</v>
      </c>
    </row>
    <row r="9245" spans="2:13" ht="18.75" customHeight="1" x14ac:dyDescent="0.25">
      <c r="B9245" s="236"/>
      <c r="C9245" s="232"/>
      <c r="D9245" s="587"/>
      <c r="E9245" s="224"/>
      <c r="F9245" s="237"/>
      <c r="G9245" s="290"/>
      <c r="H9245" s="226"/>
      <c r="M9245" s="237"/>
    </row>
    <row r="9246" spans="2:13" ht="18.75" customHeight="1" x14ac:dyDescent="0.25">
      <c r="B9246" s="354"/>
      <c r="C9246" s="362"/>
      <c r="D9246" s="239"/>
      <c r="E9246" s="266"/>
      <c r="F9246" s="241"/>
      <c r="G9246" s="370"/>
      <c r="H9246" s="369"/>
      <c r="M9246" s="241"/>
    </row>
    <row r="9247" spans="2:13" ht="18.75" customHeight="1" x14ac:dyDescent="0.25">
      <c r="B9247" s="356" t="s">
        <v>647</v>
      </c>
      <c r="C9247" s="363" t="s">
        <v>648</v>
      </c>
      <c r="D9247" s="435"/>
      <c r="E9247" s="92"/>
      <c r="F9247" s="183"/>
      <c r="G9247" s="295"/>
      <c r="H9247" s="357">
        <f>+H9244+H9241+H9235</f>
        <v>41277.5</v>
      </c>
      <c r="M9247" s="183"/>
    </row>
    <row r="9248" spans="2:13" ht="18.75" customHeight="1" x14ac:dyDescent="0.25">
      <c r="B9248" s="356" t="s">
        <v>649</v>
      </c>
      <c r="C9248" s="364" t="s">
        <v>650</v>
      </c>
      <c r="D9248" s="435"/>
      <c r="E9248" s="92"/>
      <c r="F9248" s="184" t="str">
        <f>$J$5</f>
        <v>8,0 % x D</v>
      </c>
      <c r="G9248" s="295"/>
      <c r="H9248" s="358">
        <f>+H9247*$K$5</f>
        <v>3302.2000000000003</v>
      </c>
      <c r="M9248" s="184" t="str">
        <f>$J$5</f>
        <v>8,0 % x D</v>
      </c>
    </row>
    <row r="9249" spans="2:13" ht="18.75" customHeight="1" x14ac:dyDescent="0.25">
      <c r="B9249" s="356" t="s">
        <v>651</v>
      </c>
      <c r="C9249" s="365" t="s">
        <v>652</v>
      </c>
      <c r="D9249" s="435"/>
      <c r="E9249" s="91"/>
      <c r="F9249" s="185"/>
      <c r="G9249" s="296"/>
      <c r="H9249" s="359">
        <f>ROUNDUP((H9248+H9247)/100,0)*100</f>
        <v>44600</v>
      </c>
      <c r="M9249" s="185"/>
    </row>
    <row r="9250" spans="2:13" ht="18.75" customHeight="1" x14ac:dyDescent="0.25">
      <c r="B9250" s="360"/>
      <c r="C9250" s="366"/>
      <c r="D9250" s="245"/>
      <c r="E9250" s="246"/>
      <c r="F9250" s="247"/>
      <c r="G9250" s="299"/>
      <c r="H9250" s="361"/>
      <c r="M9250" s="247"/>
    </row>
    <row r="9251" spans="2:13" ht="18.75" customHeight="1" x14ac:dyDescent="0.25">
      <c r="B9251" s="92"/>
      <c r="C9251" s="104"/>
      <c r="D9251" s="435"/>
      <c r="E9251" s="91"/>
      <c r="F9251" s="185"/>
      <c r="G9251" s="168"/>
      <c r="H9251" s="139"/>
      <c r="M9251" s="185"/>
    </row>
    <row r="9252" spans="2:13" ht="18.75" customHeight="1" x14ac:dyDescent="0.25">
      <c r="B9252" s="19">
        <v>20</v>
      </c>
      <c r="C9252" s="93" t="s">
        <v>1358</v>
      </c>
      <c r="D9252" s="19"/>
      <c r="E9252" s="21"/>
      <c r="F9252" s="176"/>
      <c r="G9252" s="165"/>
      <c r="H9252" s="119"/>
      <c r="M9252" s="176"/>
    </row>
    <row r="9253" spans="2:13" ht="18.75" customHeight="1" x14ac:dyDescent="0.25">
      <c r="B9253" s="618" t="s">
        <v>620</v>
      </c>
      <c r="C9253" s="620" t="s">
        <v>621</v>
      </c>
      <c r="D9253" s="618" t="s">
        <v>622</v>
      </c>
      <c r="E9253" s="618" t="s">
        <v>2</v>
      </c>
      <c r="F9253" s="615" t="s">
        <v>623</v>
      </c>
      <c r="G9253" s="289" t="s">
        <v>624</v>
      </c>
      <c r="H9253" s="256" t="s">
        <v>625</v>
      </c>
      <c r="M9253" s="615" t="s">
        <v>623</v>
      </c>
    </row>
    <row r="9254" spans="2:13" ht="18.75" customHeight="1" x14ac:dyDescent="0.25">
      <c r="B9254" s="619"/>
      <c r="C9254" s="621"/>
      <c r="D9254" s="619"/>
      <c r="E9254" s="619"/>
      <c r="F9254" s="616"/>
      <c r="G9254" s="289" t="s">
        <v>626</v>
      </c>
      <c r="H9254" s="256" t="s">
        <v>626</v>
      </c>
      <c r="M9254" s="616"/>
    </row>
    <row r="9255" spans="2:13" ht="18.75" customHeight="1" x14ac:dyDescent="0.25">
      <c r="B9255" s="221"/>
      <c r="C9255" s="222"/>
      <c r="D9255" s="221"/>
      <c r="E9255" s="587"/>
      <c r="F9255" s="589"/>
      <c r="G9255" s="588"/>
      <c r="H9255" s="220"/>
      <c r="M9255" s="590"/>
    </row>
    <row r="9256" spans="2:13" ht="18.75" customHeight="1" x14ac:dyDescent="0.25">
      <c r="B9256" s="587" t="s">
        <v>627</v>
      </c>
      <c r="C9256" s="223" t="s">
        <v>628</v>
      </c>
      <c r="D9256" s="587"/>
      <c r="E9256" s="224"/>
      <c r="F9256" s="225"/>
      <c r="G9256" s="290"/>
      <c r="H9256" s="226"/>
      <c r="M9256" s="225"/>
    </row>
    <row r="9257" spans="2:13" ht="18.75" customHeight="1" x14ac:dyDescent="0.25">
      <c r="B9257" s="587"/>
      <c r="C9257" s="227" t="s">
        <v>629</v>
      </c>
      <c r="D9257" s="587" t="s">
        <v>630</v>
      </c>
      <c r="E9257" s="224" t="s">
        <v>631</v>
      </c>
      <c r="F9257" s="228">
        <v>0.4</v>
      </c>
      <c r="G9257" s="229">
        <f>G9231</f>
        <v>95000</v>
      </c>
      <c r="H9257" s="230">
        <f>+G9257*F9257</f>
        <v>38000</v>
      </c>
      <c r="M9257" s="228">
        <v>0.4</v>
      </c>
    </row>
    <row r="9258" spans="2:13" ht="18.75" customHeight="1" x14ac:dyDescent="0.25">
      <c r="B9258" s="587"/>
      <c r="C9258" s="227" t="s">
        <v>1508</v>
      </c>
      <c r="D9258" s="587" t="s">
        <v>632</v>
      </c>
      <c r="E9258" s="224" t="s">
        <v>631</v>
      </c>
      <c r="F9258" s="228">
        <v>0.72499999999999998</v>
      </c>
      <c r="G9258" s="229">
        <f>G9232</f>
        <v>110000</v>
      </c>
      <c r="H9258" s="230">
        <f>+G9258*F9258</f>
        <v>79750</v>
      </c>
      <c r="M9258" s="228">
        <v>0.72499999999999998</v>
      </c>
    </row>
    <row r="9259" spans="2:13" ht="18.75" customHeight="1" x14ac:dyDescent="0.25">
      <c r="B9259" s="587"/>
      <c r="C9259" s="227" t="s">
        <v>633</v>
      </c>
      <c r="D9259" s="587" t="s">
        <v>634</v>
      </c>
      <c r="E9259" s="224" t="s">
        <v>631</v>
      </c>
      <c r="F9259" s="228">
        <v>0.08</v>
      </c>
      <c r="G9259" s="229">
        <f>G9233</f>
        <v>115000</v>
      </c>
      <c r="H9259" s="230">
        <f>+G9259*F9259</f>
        <v>9200</v>
      </c>
      <c r="M9259" s="228">
        <v>0.08</v>
      </c>
    </row>
    <row r="9260" spans="2:13" ht="18.75" customHeight="1" x14ac:dyDescent="0.25">
      <c r="B9260" s="587"/>
      <c r="C9260" s="227" t="s">
        <v>600</v>
      </c>
      <c r="D9260" s="587" t="s">
        <v>635</v>
      </c>
      <c r="E9260" s="224" t="s">
        <v>631</v>
      </c>
      <c r="F9260" s="228">
        <v>0.02</v>
      </c>
      <c r="G9260" s="229">
        <f>G9234</f>
        <v>140000</v>
      </c>
      <c r="H9260" s="230">
        <f>+G9260*F9260</f>
        <v>2800</v>
      </c>
      <c r="M9260" s="228">
        <v>0.02</v>
      </c>
    </row>
    <row r="9261" spans="2:13" ht="18.75" customHeight="1" x14ac:dyDescent="0.25">
      <c r="B9261" s="587"/>
      <c r="C9261" s="223"/>
      <c r="D9261" s="587"/>
      <c r="E9261" s="224"/>
      <c r="F9261" s="233" t="s">
        <v>636</v>
      </c>
      <c r="G9261" s="290"/>
      <c r="H9261" s="231">
        <f>SUM(H9257:H9260)</f>
        <v>129750</v>
      </c>
      <c r="M9261" s="233" t="s">
        <v>636</v>
      </c>
    </row>
    <row r="9262" spans="2:13" ht="18.75" customHeight="1" x14ac:dyDescent="0.25">
      <c r="B9262" s="587"/>
      <c r="C9262" s="223"/>
      <c r="D9262" s="587"/>
      <c r="E9262" s="224"/>
      <c r="F9262" s="233"/>
      <c r="G9262" s="290"/>
      <c r="H9262" s="231"/>
      <c r="M9262" s="233"/>
    </row>
    <row r="9263" spans="2:13" ht="18.75" customHeight="1" x14ac:dyDescent="0.25">
      <c r="B9263" s="587" t="s">
        <v>637</v>
      </c>
      <c r="C9263" s="223" t="s">
        <v>638</v>
      </c>
      <c r="D9263" s="587"/>
      <c r="E9263" s="224"/>
      <c r="F9263" s="225"/>
      <c r="G9263" s="290"/>
      <c r="H9263" s="226"/>
      <c r="M9263" s="225"/>
    </row>
    <row r="9264" spans="2:13" ht="18.75" customHeight="1" x14ac:dyDescent="0.25">
      <c r="B9264" s="587"/>
      <c r="C9264" s="223" t="s">
        <v>173</v>
      </c>
      <c r="D9264" s="587"/>
      <c r="E9264" s="587" t="s">
        <v>5</v>
      </c>
      <c r="F9264" s="405">
        <v>0.1</v>
      </c>
      <c r="G9264" s="410">
        <f>G9238</f>
        <v>61000</v>
      </c>
      <c r="H9264" s="230">
        <f>+G9264*F9264</f>
        <v>6100</v>
      </c>
      <c r="M9264" s="405">
        <v>0.1</v>
      </c>
    </row>
    <row r="9265" spans="2:13" ht="18.75" customHeight="1" x14ac:dyDescent="0.25">
      <c r="B9265" s="587"/>
      <c r="C9265" s="223" t="s">
        <v>1359</v>
      </c>
      <c r="D9265" s="587"/>
      <c r="E9265" s="587" t="s">
        <v>5</v>
      </c>
      <c r="F9265" s="405">
        <v>0.1</v>
      </c>
      <c r="G9265" s="410">
        <f>Bahan!D184</f>
        <v>62000</v>
      </c>
      <c r="H9265" s="230">
        <f>+G9265*F9265</f>
        <v>6200</v>
      </c>
      <c r="M9265" s="405">
        <v>0.1</v>
      </c>
    </row>
    <row r="9266" spans="2:13" ht="18.75" customHeight="1" x14ac:dyDescent="0.25">
      <c r="B9266" s="587"/>
      <c r="C9266" s="223" t="s">
        <v>1360</v>
      </c>
      <c r="D9266" s="587"/>
      <c r="E9266" s="587" t="s">
        <v>5</v>
      </c>
      <c r="F9266" s="405">
        <v>7.4999999999999997E-2</v>
      </c>
      <c r="G9266" s="410">
        <f>Bahan!D186</f>
        <v>62000</v>
      </c>
      <c r="H9266" s="230">
        <f>+G9266*F9266</f>
        <v>4650</v>
      </c>
      <c r="M9266" s="405">
        <v>7.4999999999999997E-2</v>
      </c>
    </row>
    <row r="9267" spans="2:13" ht="18.75" customHeight="1" x14ac:dyDescent="0.25">
      <c r="B9267" s="587"/>
      <c r="C9267" s="223" t="s">
        <v>179</v>
      </c>
      <c r="D9267" s="587"/>
      <c r="E9267" s="587" t="s">
        <v>16</v>
      </c>
      <c r="F9267" s="405">
        <v>0.01</v>
      </c>
      <c r="G9267" s="410">
        <f>+G9240</f>
        <v>15000</v>
      </c>
      <c r="H9267" s="230">
        <f>+G9267*F9267</f>
        <v>150</v>
      </c>
      <c r="M9267" s="405">
        <v>0.01</v>
      </c>
    </row>
    <row r="9268" spans="2:13" ht="18.75" customHeight="1" x14ac:dyDescent="0.25">
      <c r="B9268" s="587"/>
      <c r="C9268" s="223" t="s">
        <v>1331</v>
      </c>
      <c r="D9268" s="587"/>
      <c r="E9268" s="587" t="s">
        <v>6</v>
      </c>
      <c r="F9268" s="405">
        <v>0.01</v>
      </c>
      <c r="G9268" s="410">
        <f>G9160</f>
        <v>31000</v>
      </c>
      <c r="H9268" s="230">
        <f>+G9268*F9268</f>
        <v>310</v>
      </c>
      <c r="M9268" s="405">
        <v>0.01</v>
      </c>
    </row>
    <row r="9269" spans="2:13" ht="18.75" customHeight="1" x14ac:dyDescent="0.25">
      <c r="B9269" s="587"/>
      <c r="C9269" s="223"/>
      <c r="D9269" s="587"/>
      <c r="E9269" s="224"/>
      <c r="F9269" s="237" t="s">
        <v>643</v>
      </c>
      <c r="G9269" s="290"/>
      <c r="H9269" s="231">
        <f>SUM(H9264:H9268)</f>
        <v>17410</v>
      </c>
      <c r="M9269" s="237" t="s">
        <v>643</v>
      </c>
    </row>
    <row r="9270" spans="2:13" ht="18.75" customHeight="1" x14ac:dyDescent="0.25">
      <c r="B9270" s="587"/>
      <c r="C9270" s="223"/>
      <c r="D9270" s="587"/>
      <c r="E9270" s="224"/>
      <c r="F9270" s="225"/>
      <c r="G9270" s="290"/>
      <c r="H9270" s="226"/>
      <c r="M9270" s="225"/>
    </row>
    <row r="9271" spans="2:13" ht="18.75" customHeight="1" x14ac:dyDescent="0.25">
      <c r="B9271" s="587" t="s">
        <v>644</v>
      </c>
      <c r="C9271" s="223" t="s">
        <v>645</v>
      </c>
      <c r="D9271" s="587"/>
      <c r="E9271" s="224"/>
      <c r="F9271" s="225"/>
      <c r="G9271" s="290"/>
      <c r="H9271" s="235"/>
      <c r="M9271" s="225"/>
    </row>
    <row r="9272" spans="2:13" ht="18.75" customHeight="1" x14ac:dyDescent="0.25">
      <c r="B9272" s="236"/>
      <c r="C9272" s="232"/>
      <c r="D9272" s="587"/>
      <c r="E9272" s="224"/>
      <c r="F9272" s="237" t="s">
        <v>646</v>
      </c>
      <c r="G9272" s="290"/>
      <c r="H9272" s="230"/>
      <c r="M9272" s="237" t="s">
        <v>646</v>
      </c>
    </row>
    <row r="9273" spans="2:13" ht="18.75" customHeight="1" x14ac:dyDescent="0.25">
      <c r="B9273" s="236"/>
      <c r="C9273" s="232"/>
      <c r="D9273" s="587"/>
      <c r="E9273" s="224"/>
      <c r="F9273" s="237"/>
      <c r="G9273" s="290"/>
      <c r="H9273" s="226"/>
      <c r="M9273" s="237"/>
    </row>
    <row r="9274" spans="2:13" ht="18.75" customHeight="1" x14ac:dyDescent="0.25">
      <c r="B9274" s="354"/>
      <c r="C9274" s="362"/>
      <c r="D9274" s="239"/>
      <c r="E9274" s="266"/>
      <c r="F9274" s="241"/>
      <c r="G9274" s="370"/>
      <c r="H9274" s="369"/>
      <c r="M9274" s="241"/>
    </row>
    <row r="9275" spans="2:13" ht="18.75" customHeight="1" x14ac:dyDescent="0.25">
      <c r="B9275" s="356" t="s">
        <v>647</v>
      </c>
      <c r="C9275" s="363" t="s">
        <v>648</v>
      </c>
      <c r="D9275" s="435"/>
      <c r="E9275" s="92"/>
      <c r="F9275" s="183"/>
      <c r="G9275" s="295"/>
      <c r="H9275" s="357">
        <f>+H9272+H9269+H9261</f>
        <v>147160</v>
      </c>
      <c r="M9275" s="183"/>
    </row>
    <row r="9276" spans="2:13" ht="18.75" customHeight="1" x14ac:dyDescent="0.25">
      <c r="B9276" s="356" t="s">
        <v>649</v>
      </c>
      <c r="C9276" s="364" t="s">
        <v>650</v>
      </c>
      <c r="D9276" s="435"/>
      <c r="E9276" s="92"/>
      <c r="F9276" s="184" t="str">
        <f>$J$5</f>
        <v>8,0 % x D</v>
      </c>
      <c r="G9276" s="295"/>
      <c r="H9276" s="358">
        <f>+H9275*$K$5</f>
        <v>11772.800000000001</v>
      </c>
      <c r="M9276" s="184" t="str">
        <f>$J$5</f>
        <v>8,0 % x D</v>
      </c>
    </row>
    <row r="9277" spans="2:13" ht="18.75" customHeight="1" x14ac:dyDescent="0.25">
      <c r="B9277" s="356" t="s">
        <v>651</v>
      </c>
      <c r="C9277" s="365" t="s">
        <v>652</v>
      </c>
      <c r="D9277" s="435"/>
      <c r="E9277" s="91"/>
      <c r="F9277" s="185"/>
      <c r="G9277" s="296"/>
      <c r="H9277" s="359">
        <f>ROUNDUP((H9276+H9275)/100,0)*100</f>
        <v>159000</v>
      </c>
      <c r="M9277" s="185"/>
    </row>
    <row r="9278" spans="2:13" ht="18.75" customHeight="1" x14ac:dyDescent="0.25">
      <c r="B9278" s="360"/>
      <c r="C9278" s="366"/>
      <c r="D9278" s="245"/>
      <c r="E9278" s="246"/>
      <c r="F9278" s="247"/>
      <c r="G9278" s="299"/>
      <c r="H9278" s="361"/>
      <c r="M9278" s="247"/>
    </row>
    <row r="9279" spans="2:13" ht="18.75" customHeight="1" x14ac:dyDescent="0.25">
      <c r="B9279" s="22"/>
      <c r="C9279" s="104"/>
      <c r="E9279" s="21"/>
      <c r="F9279" s="176"/>
      <c r="G9279" s="165"/>
      <c r="H9279" s="119"/>
      <c r="M9279" s="176"/>
    </row>
    <row r="9280" spans="2:13" ht="18.75" customHeight="1" x14ac:dyDescent="0.25">
      <c r="B9280" s="19">
        <v>21</v>
      </c>
      <c r="C9280" s="93" t="s">
        <v>1361</v>
      </c>
      <c r="D9280" s="19"/>
      <c r="E9280" s="21"/>
      <c r="F9280" s="176"/>
      <c r="G9280" s="165"/>
      <c r="H9280" s="119"/>
      <c r="M9280" s="176"/>
    </row>
    <row r="9281" spans="2:13" ht="18.75" customHeight="1" x14ac:dyDescent="0.25">
      <c r="B9281" s="618" t="s">
        <v>620</v>
      </c>
      <c r="C9281" s="620" t="s">
        <v>621</v>
      </c>
      <c r="D9281" s="618" t="s">
        <v>622</v>
      </c>
      <c r="E9281" s="618" t="s">
        <v>2</v>
      </c>
      <c r="F9281" s="615" t="s">
        <v>623</v>
      </c>
      <c r="G9281" s="289" t="s">
        <v>624</v>
      </c>
      <c r="H9281" s="256" t="s">
        <v>625</v>
      </c>
      <c r="M9281" s="615" t="s">
        <v>623</v>
      </c>
    </row>
    <row r="9282" spans="2:13" ht="18.75" customHeight="1" x14ac:dyDescent="0.25">
      <c r="B9282" s="619"/>
      <c r="C9282" s="621"/>
      <c r="D9282" s="619"/>
      <c r="E9282" s="619"/>
      <c r="F9282" s="616"/>
      <c r="G9282" s="289" t="s">
        <v>626</v>
      </c>
      <c r="H9282" s="256" t="s">
        <v>626</v>
      </c>
      <c r="M9282" s="616"/>
    </row>
    <row r="9283" spans="2:13" ht="18.75" customHeight="1" x14ac:dyDescent="0.25">
      <c r="B9283" s="221"/>
      <c r="C9283" s="222"/>
      <c r="D9283" s="221"/>
      <c r="E9283" s="587"/>
      <c r="F9283" s="589"/>
      <c r="G9283" s="588"/>
      <c r="H9283" s="220"/>
      <c r="M9283" s="590"/>
    </row>
    <row r="9284" spans="2:13" ht="18.75" customHeight="1" x14ac:dyDescent="0.25">
      <c r="B9284" s="587" t="s">
        <v>627</v>
      </c>
      <c r="C9284" s="223" t="s">
        <v>628</v>
      </c>
      <c r="D9284" s="587"/>
      <c r="E9284" s="224"/>
      <c r="F9284" s="225"/>
      <c r="G9284" s="290"/>
      <c r="H9284" s="226"/>
      <c r="M9284" s="225"/>
    </row>
    <row r="9285" spans="2:13" ht="18.75" customHeight="1" x14ac:dyDescent="0.25">
      <c r="B9285" s="587"/>
      <c r="C9285" s="227" t="s">
        <v>629</v>
      </c>
      <c r="D9285" s="587" t="s">
        <v>630</v>
      </c>
      <c r="E9285" s="224" t="s">
        <v>631</v>
      </c>
      <c r="F9285" s="228">
        <f>F9231</f>
        <v>0.16</v>
      </c>
      <c r="G9285" s="229">
        <f>G9257</f>
        <v>95000</v>
      </c>
      <c r="H9285" s="230">
        <f>+G9285*F9285</f>
        <v>15200</v>
      </c>
      <c r="M9285" s="228">
        <f>M9231</f>
        <v>0.16</v>
      </c>
    </row>
    <row r="9286" spans="2:13" ht="18.75" customHeight="1" x14ac:dyDescent="0.25">
      <c r="B9286" s="587"/>
      <c r="C9286" s="227" t="s">
        <v>1508</v>
      </c>
      <c r="D9286" s="587" t="s">
        <v>632</v>
      </c>
      <c r="E9286" s="224" t="s">
        <v>631</v>
      </c>
      <c r="F9286" s="228">
        <v>0.16</v>
      </c>
      <c r="G9286" s="229">
        <f>G9258</f>
        <v>110000</v>
      </c>
      <c r="H9286" s="230">
        <f>+G9286*F9286</f>
        <v>17600</v>
      </c>
      <c r="M9286" s="228">
        <v>0.16</v>
      </c>
    </row>
    <row r="9287" spans="2:13" ht="18.75" customHeight="1" x14ac:dyDescent="0.25">
      <c r="B9287" s="587"/>
      <c r="C9287" s="227" t="s">
        <v>633</v>
      </c>
      <c r="D9287" s="587" t="s">
        <v>634</v>
      </c>
      <c r="E9287" s="224" t="s">
        <v>631</v>
      </c>
      <c r="F9287" s="228">
        <f>F9259</f>
        <v>0.08</v>
      </c>
      <c r="G9287" s="229">
        <f>G9259</f>
        <v>115000</v>
      </c>
      <c r="H9287" s="230">
        <f>+G9287*F9287</f>
        <v>9200</v>
      </c>
      <c r="M9287" s="228">
        <f>M9259</f>
        <v>0.08</v>
      </c>
    </row>
    <row r="9288" spans="2:13" ht="18.75" customHeight="1" x14ac:dyDescent="0.25">
      <c r="B9288" s="587"/>
      <c r="C9288" s="227" t="s">
        <v>600</v>
      </c>
      <c r="D9288" s="587" t="s">
        <v>635</v>
      </c>
      <c r="E9288" s="224" t="s">
        <v>631</v>
      </c>
      <c r="F9288" s="228">
        <f>F9260</f>
        <v>0.02</v>
      </c>
      <c r="G9288" s="229">
        <f>G9260</f>
        <v>140000</v>
      </c>
      <c r="H9288" s="230">
        <f>+G9288*F9288</f>
        <v>2800</v>
      </c>
      <c r="M9288" s="228">
        <f>M9260</f>
        <v>0.02</v>
      </c>
    </row>
    <row r="9289" spans="2:13" ht="18.75" customHeight="1" x14ac:dyDescent="0.25">
      <c r="B9289" s="587"/>
      <c r="C9289" s="223"/>
      <c r="D9289" s="587"/>
      <c r="E9289" s="224"/>
      <c r="F9289" s="233" t="s">
        <v>636</v>
      </c>
      <c r="G9289" s="290"/>
      <c r="H9289" s="231">
        <f>SUM(H9285:H9288)</f>
        <v>44800</v>
      </c>
      <c r="M9289" s="233" t="s">
        <v>636</v>
      </c>
    </row>
    <row r="9290" spans="2:13" ht="18.75" customHeight="1" x14ac:dyDescent="0.25">
      <c r="B9290" s="587"/>
      <c r="C9290" s="223"/>
      <c r="D9290" s="587"/>
      <c r="E9290" s="224"/>
      <c r="F9290" s="233"/>
      <c r="G9290" s="290"/>
      <c r="H9290" s="231"/>
      <c r="M9290" s="233"/>
    </row>
    <row r="9291" spans="2:13" ht="18.75" customHeight="1" x14ac:dyDescent="0.25">
      <c r="B9291" s="587" t="s">
        <v>637</v>
      </c>
      <c r="C9291" s="223" t="s">
        <v>638</v>
      </c>
      <c r="D9291" s="587"/>
      <c r="E9291" s="224"/>
      <c r="F9291" s="225"/>
      <c r="G9291" s="290"/>
      <c r="H9291" s="226"/>
      <c r="M9291" s="225"/>
    </row>
    <row r="9292" spans="2:13" ht="18.75" customHeight="1" x14ac:dyDescent="0.25">
      <c r="B9292" s="587"/>
      <c r="C9292" s="223" t="s">
        <v>173</v>
      </c>
      <c r="D9292" s="587"/>
      <c r="E9292" s="587" t="s">
        <v>5</v>
      </c>
      <c r="F9292" s="406">
        <v>0.1</v>
      </c>
      <c r="G9292" s="229">
        <f>G9293</f>
        <v>67000</v>
      </c>
      <c r="H9292" s="226">
        <f>F9292*G9292</f>
        <v>6700</v>
      </c>
      <c r="M9292" s="406">
        <v>0.1</v>
      </c>
    </row>
    <row r="9293" spans="2:13" ht="18.75" customHeight="1" x14ac:dyDescent="0.25">
      <c r="B9293" s="587"/>
      <c r="C9293" s="223" t="s">
        <v>1362</v>
      </c>
      <c r="D9293" s="587"/>
      <c r="E9293" s="587" t="s">
        <v>5</v>
      </c>
      <c r="F9293" s="405">
        <v>0.26</v>
      </c>
      <c r="G9293" s="410">
        <f>Bahan!D207</f>
        <v>67000</v>
      </c>
      <c r="H9293" s="230">
        <f>+G9293*F9293</f>
        <v>17420</v>
      </c>
      <c r="M9293" s="405">
        <v>0.26</v>
      </c>
    </row>
    <row r="9294" spans="2:13" ht="18.75" customHeight="1" x14ac:dyDescent="0.25">
      <c r="B9294" s="587"/>
      <c r="C9294" s="223" t="s">
        <v>1338</v>
      </c>
      <c r="D9294" s="587"/>
      <c r="E9294" s="587" t="s">
        <v>28</v>
      </c>
      <c r="F9294" s="405">
        <v>0.01</v>
      </c>
      <c r="G9294" s="410">
        <f>G9267</f>
        <v>15000</v>
      </c>
      <c r="H9294" s="230">
        <f>+G9294*F9294</f>
        <v>150</v>
      </c>
      <c r="M9294" s="405">
        <v>0.01</v>
      </c>
    </row>
    <row r="9295" spans="2:13" ht="18.75" customHeight="1" x14ac:dyDescent="0.25">
      <c r="B9295" s="587"/>
      <c r="C9295" s="223"/>
      <c r="D9295" s="587"/>
      <c r="E9295" s="224"/>
      <c r="F9295" s="237" t="s">
        <v>643</v>
      </c>
      <c r="G9295" s="290"/>
      <c r="H9295" s="231">
        <f>SUM(H9292:H9294)</f>
        <v>24270</v>
      </c>
      <c r="M9295" s="237" t="s">
        <v>643</v>
      </c>
    </row>
    <row r="9296" spans="2:13" ht="18.75" customHeight="1" x14ac:dyDescent="0.25">
      <c r="B9296" s="587"/>
      <c r="C9296" s="223"/>
      <c r="D9296" s="587"/>
      <c r="E9296" s="224"/>
      <c r="F9296" s="225"/>
      <c r="G9296" s="290"/>
      <c r="H9296" s="226"/>
      <c r="M9296" s="225"/>
    </row>
    <row r="9297" spans="2:13" ht="18.75" customHeight="1" x14ac:dyDescent="0.25">
      <c r="B9297" s="587" t="s">
        <v>644</v>
      </c>
      <c r="C9297" s="223" t="s">
        <v>645</v>
      </c>
      <c r="D9297" s="587"/>
      <c r="E9297" s="224"/>
      <c r="F9297" s="225"/>
      <c r="G9297" s="290"/>
      <c r="H9297" s="235"/>
      <c r="M9297" s="225"/>
    </row>
    <row r="9298" spans="2:13" ht="18.75" customHeight="1" x14ac:dyDescent="0.25">
      <c r="B9298" s="236"/>
      <c r="C9298" s="232"/>
      <c r="D9298" s="587"/>
      <c r="E9298" s="224"/>
      <c r="F9298" s="237" t="s">
        <v>646</v>
      </c>
      <c r="G9298" s="290"/>
      <c r="H9298" s="230"/>
      <c r="M9298" s="237" t="s">
        <v>646</v>
      </c>
    </row>
    <row r="9299" spans="2:13" ht="18.75" customHeight="1" x14ac:dyDescent="0.25">
      <c r="B9299" s="236"/>
      <c r="C9299" s="232"/>
      <c r="D9299" s="587"/>
      <c r="E9299" s="224"/>
      <c r="F9299" s="237"/>
      <c r="G9299" s="290"/>
      <c r="H9299" s="226"/>
      <c r="M9299" s="237"/>
    </row>
    <row r="9300" spans="2:13" ht="18.75" customHeight="1" x14ac:dyDescent="0.25">
      <c r="B9300" s="354"/>
      <c r="C9300" s="362"/>
      <c r="D9300" s="239"/>
      <c r="E9300" s="266"/>
      <c r="F9300" s="241"/>
      <c r="G9300" s="370"/>
      <c r="H9300" s="369"/>
      <c r="M9300" s="241"/>
    </row>
    <row r="9301" spans="2:13" ht="18.75" customHeight="1" x14ac:dyDescent="0.25">
      <c r="B9301" s="356" t="s">
        <v>647</v>
      </c>
      <c r="C9301" s="363" t="s">
        <v>648</v>
      </c>
      <c r="D9301" s="435"/>
      <c r="E9301" s="92"/>
      <c r="F9301" s="183"/>
      <c r="G9301" s="295"/>
      <c r="H9301" s="357">
        <f>+H9298+H9295+H9289</f>
        <v>69070</v>
      </c>
      <c r="M9301" s="183"/>
    </row>
    <row r="9302" spans="2:13" ht="18.75" customHeight="1" x14ac:dyDescent="0.25">
      <c r="B9302" s="356" t="s">
        <v>649</v>
      </c>
      <c r="C9302" s="364" t="s">
        <v>650</v>
      </c>
      <c r="D9302" s="435"/>
      <c r="E9302" s="92"/>
      <c r="F9302" s="184" t="str">
        <f>$J$5</f>
        <v>8,0 % x D</v>
      </c>
      <c r="G9302" s="295"/>
      <c r="H9302" s="358">
        <f>+H9301*$K$5</f>
        <v>5525.6</v>
      </c>
      <c r="M9302" s="184" t="str">
        <f>$J$5</f>
        <v>8,0 % x D</v>
      </c>
    </row>
    <row r="9303" spans="2:13" ht="18.75" customHeight="1" x14ac:dyDescent="0.25">
      <c r="B9303" s="356" t="s">
        <v>651</v>
      </c>
      <c r="C9303" s="365" t="s">
        <v>652</v>
      </c>
      <c r="D9303" s="435"/>
      <c r="E9303" s="91"/>
      <c r="F9303" s="185"/>
      <c r="G9303" s="296"/>
      <c r="H9303" s="359">
        <f>ROUNDUP((H9302+H9301)/100,0)*100</f>
        <v>74600</v>
      </c>
      <c r="M9303" s="185"/>
    </row>
    <row r="9304" spans="2:13" ht="18.75" customHeight="1" x14ac:dyDescent="0.25">
      <c r="B9304" s="360"/>
      <c r="C9304" s="366"/>
      <c r="D9304" s="245"/>
      <c r="E9304" s="246"/>
      <c r="F9304" s="247"/>
      <c r="G9304" s="299"/>
      <c r="H9304" s="361"/>
      <c r="M9304" s="247"/>
    </row>
    <row r="9305" spans="2:13" ht="18.75" customHeight="1" x14ac:dyDescent="0.25">
      <c r="B9305" s="92"/>
      <c r="C9305" s="104"/>
      <c r="D9305" s="435"/>
      <c r="E9305" s="91"/>
      <c r="F9305" s="185"/>
      <c r="G9305" s="168"/>
      <c r="H9305" s="139"/>
      <c r="M9305" s="185"/>
    </row>
    <row r="9306" spans="2:13" ht="18.75" customHeight="1" x14ac:dyDescent="0.25">
      <c r="B9306" s="19">
        <f>B9280+1</f>
        <v>22</v>
      </c>
      <c r="C9306" s="93" t="s">
        <v>1363</v>
      </c>
      <c r="D9306" s="19"/>
      <c r="E9306" s="21"/>
      <c r="F9306" s="176"/>
      <c r="G9306" s="165"/>
      <c r="H9306" s="119"/>
      <c r="M9306" s="176"/>
    </row>
    <row r="9307" spans="2:13" ht="18.75" customHeight="1" x14ac:dyDescent="0.25">
      <c r="B9307" s="618" t="s">
        <v>620</v>
      </c>
      <c r="C9307" s="620" t="s">
        <v>621</v>
      </c>
      <c r="D9307" s="618" t="s">
        <v>622</v>
      </c>
      <c r="E9307" s="618" t="s">
        <v>2</v>
      </c>
      <c r="F9307" s="615" t="s">
        <v>623</v>
      </c>
      <c r="G9307" s="289" t="s">
        <v>624</v>
      </c>
      <c r="H9307" s="256" t="s">
        <v>625</v>
      </c>
      <c r="M9307" s="615" t="s">
        <v>623</v>
      </c>
    </row>
    <row r="9308" spans="2:13" ht="18.75" customHeight="1" x14ac:dyDescent="0.25">
      <c r="B9308" s="619"/>
      <c r="C9308" s="621"/>
      <c r="D9308" s="619"/>
      <c r="E9308" s="619"/>
      <c r="F9308" s="616"/>
      <c r="G9308" s="289" t="s">
        <v>626</v>
      </c>
      <c r="H9308" s="256" t="s">
        <v>626</v>
      </c>
      <c r="M9308" s="616"/>
    </row>
    <row r="9309" spans="2:13" ht="18.75" customHeight="1" x14ac:dyDescent="0.25">
      <c r="B9309" s="221"/>
      <c r="C9309" s="222"/>
      <c r="D9309" s="221"/>
      <c r="E9309" s="587"/>
      <c r="F9309" s="589"/>
      <c r="G9309" s="588"/>
      <c r="H9309" s="220"/>
      <c r="M9309" s="590"/>
    </row>
    <row r="9310" spans="2:13" ht="18.75" customHeight="1" x14ac:dyDescent="0.25">
      <c r="B9310" s="587" t="s">
        <v>627</v>
      </c>
      <c r="C9310" s="223" t="s">
        <v>628</v>
      </c>
      <c r="D9310" s="587"/>
      <c r="E9310" s="224"/>
      <c r="F9310" s="225"/>
      <c r="G9310" s="290"/>
      <c r="H9310" s="226"/>
      <c r="M9310" s="225"/>
    </row>
    <row r="9311" spans="2:13" ht="18.75" customHeight="1" x14ac:dyDescent="0.25">
      <c r="B9311" s="587"/>
      <c r="C9311" s="227" t="s">
        <v>629</v>
      </c>
      <c r="D9311" s="587" t="s">
        <v>630</v>
      </c>
      <c r="E9311" s="224" t="s">
        <v>631</v>
      </c>
      <c r="F9311" s="228">
        <v>0.25</v>
      </c>
      <c r="G9311" s="229">
        <f>G9285</f>
        <v>95000</v>
      </c>
      <c r="H9311" s="230">
        <f>+G9311*F9311</f>
        <v>23750</v>
      </c>
      <c r="M9311" s="228">
        <v>0.25</v>
      </c>
    </row>
    <row r="9312" spans="2:13" ht="18.75" customHeight="1" x14ac:dyDescent="0.25">
      <c r="B9312" s="587"/>
      <c r="C9312" s="227" t="s">
        <v>1508</v>
      </c>
      <c r="D9312" s="587" t="s">
        <v>632</v>
      </c>
      <c r="E9312" s="224" t="s">
        <v>631</v>
      </c>
      <c r="F9312" s="228">
        <v>0.25</v>
      </c>
      <c r="G9312" s="229">
        <f t="shared" ref="G9312:G9314" si="349">G9286</f>
        <v>110000</v>
      </c>
      <c r="H9312" s="230">
        <f>+G9312*F9312</f>
        <v>27500</v>
      </c>
      <c r="M9312" s="228">
        <v>0.25</v>
      </c>
    </row>
    <row r="9313" spans="2:13" ht="18.75" customHeight="1" x14ac:dyDescent="0.25">
      <c r="B9313" s="587"/>
      <c r="C9313" s="227" t="s">
        <v>633</v>
      </c>
      <c r="D9313" s="587" t="s">
        <v>634</v>
      </c>
      <c r="E9313" s="224" t="s">
        <v>631</v>
      </c>
      <c r="F9313" s="228">
        <v>2.5000000000000001E-2</v>
      </c>
      <c r="G9313" s="229">
        <f t="shared" si="349"/>
        <v>115000</v>
      </c>
      <c r="H9313" s="230">
        <f>+G9313*F9313</f>
        <v>2875</v>
      </c>
      <c r="M9313" s="228">
        <v>2.5000000000000001E-2</v>
      </c>
    </row>
    <row r="9314" spans="2:13" ht="18.75" customHeight="1" x14ac:dyDescent="0.25">
      <c r="B9314" s="587"/>
      <c r="C9314" s="227" t="s">
        <v>600</v>
      </c>
      <c r="D9314" s="587" t="s">
        <v>635</v>
      </c>
      <c r="E9314" s="224" t="s">
        <v>631</v>
      </c>
      <c r="F9314" s="228">
        <v>1.2999999999999999E-3</v>
      </c>
      <c r="G9314" s="229">
        <f t="shared" si="349"/>
        <v>140000</v>
      </c>
      <c r="H9314" s="230">
        <f>+G9314*F9314</f>
        <v>182</v>
      </c>
      <c r="M9314" s="228">
        <v>1.2999999999999999E-3</v>
      </c>
    </row>
    <row r="9315" spans="2:13" ht="18.75" customHeight="1" x14ac:dyDescent="0.25">
      <c r="B9315" s="587"/>
      <c r="C9315" s="223"/>
      <c r="D9315" s="587"/>
      <c r="E9315" s="224"/>
      <c r="F9315" s="233" t="s">
        <v>636</v>
      </c>
      <c r="G9315" s="290"/>
      <c r="H9315" s="231">
        <f>SUM(H9311:H9314)</f>
        <v>54307</v>
      </c>
      <c r="M9315" s="233" t="s">
        <v>636</v>
      </c>
    </row>
    <row r="9316" spans="2:13" ht="18.75" customHeight="1" x14ac:dyDescent="0.25">
      <c r="B9316" s="587"/>
      <c r="C9316" s="223"/>
      <c r="D9316" s="587"/>
      <c r="E9316" s="224"/>
      <c r="F9316" s="233"/>
      <c r="G9316" s="290"/>
      <c r="H9316" s="231"/>
      <c r="M9316" s="233"/>
    </row>
    <row r="9317" spans="2:13" ht="18.75" customHeight="1" x14ac:dyDescent="0.25">
      <c r="B9317" s="587" t="s">
        <v>637</v>
      </c>
      <c r="C9317" s="223" t="s">
        <v>638</v>
      </c>
      <c r="D9317" s="587"/>
      <c r="E9317" s="224"/>
      <c r="F9317" s="225"/>
      <c r="G9317" s="290"/>
      <c r="H9317" s="226"/>
      <c r="M9317" s="225"/>
    </row>
    <row r="9318" spans="2:13" ht="18.75" customHeight="1" x14ac:dyDescent="0.25">
      <c r="B9318" s="587"/>
      <c r="C9318" s="223" t="s">
        <v>1364</v>
      </c>
      <c r="D9318" s="587"/>
      <c r="E9318" s="587" t="s">
        <v>5</v>
      </c>
      <c r="F9318" s="405">
        <v>0.1</v>
      </c>
      <c r="G9318" s="410">
        <f>Bahan!D188</f>
        <v>40000</v>
      </c>
      <c r="H9318" s="230">
        <f>+G9318*F9318</f>
        <v>4000</v>
      </c>
      <c r="M9318" s="405">
        <v>0.1</v>
      </c>
    </row>
    <row r="9319" spans="2:13" ht="18.75" customHeight="1" x14ac:dyDescent="0.25">
      <c r="B9319" s="587"/>
      <c r="C9319" s="223" t="s">
        <v>176</v>
      </c>
      <c r="D9319" s="587"/>
      <c r="E9319" s="587" t="s">
        <v>5</v>
      </c>
      <c r="F9319" s="405">
        <v>0.1</v>
      </c>
      <c r="G9319" s="410">
        <f>Bahan!D188</f>
        <v>40000</v>
      </c>
      <c r="H9319" s="230">
        <f>+G9319*F9319</f>
        <v>4000</v>
      </c>
      <c r="M9319" s="405">
        <v>0.1</v>
      </c>
    </row>
    <row r="9320" spans="2:13" ht="18.75" customHeight="1" x14ac:dyDescent="0.25">
      <c r="B9320" s="587"/>
      <c r="C9320" s="223" t="s">
        <v>1365</v>
      </c>
      <c r="D9320" s="587"/>
      <c r="E9320" s="587" t="s">
        <v>5</v>
      </c>
      <c r="F9320" s="405">
        <v>0.08</v>
      </c>
      <c r="G9320" s="410">
        <f>Bahan!D183</f>
        <v>81000</v>
      </c>
      <c r="H9320" s="230">
        <f>+G9320*F9320</f>
        <v>6480</v>
      </c>
      <c r="M9320" s="405">
        <v>0.08</v>
      </c>
    </row>
    <row r="9321" spans="2:13" ht="18.75" customHeight="1" x14ac:dyDescent="0.25">
      <c r="B9321" s="587"/>
      <c r="C9321" s="223" t="s">
        <v>1366</v>
      </c>
      <c r="D9321" s="587"/>
      <c r="E9321" s="587" t="s">
        <v>7</v>
      </c>
      <c r="F9321" s="405">
        <v>0.01</v>
      </c>
      <c r="G9321" s="410">
        <f>G9268</f>
        <v>31000</v>
      </c>
      <c r="H9321" s="230">
        <f>+G9321*F9321</f>
        <v>310</v>
      </c>
      <c r="M9321" s="405">
        <v>0.01</v>
      </c>
    </row>
    <row r="9322" spans="2:13" ht="18.75" customHeight="1" x14ac:dyDescent="0.25">
      <c r="B9322" s="587"/>
      <c r="C9322" s="223" t="s">
        <v>1338</v>
      </c>
      <c r="D9322" s="587"/>
      <c r="E9322" s="587" t="s">
        <v>28</v>
      </c>
      <c r="F9322" s="405">
        <v>0.01</v>
      </c>
      <c r="G9322" s="410">
        <f>G9294</f>
        <v>15000</v>
      </c>
      <c r="H9322" s="230">
        <f>+G9322*F9322</f>
        <v>150</v>
      </c>
      <c r="M9322" s="405">
        <v>0.01</v>
      </c>
    </row>
    <row r="9323" spans="2:13" ht="18.75" customHeight="1" x14ac:dyDescent="0.25">
      <c r="B9323" s="587"/>
      <c r="C9323" s="223"/>
      <c r="D9323" s="587"/>
      <c r="E9323" s="224"/>
      <c r="F9323" s="237" t="s">
        <v>643</v>
      </c>
      <c r="G9323" s="290"/>
      <c r="H9323" s="231">
        <f>SUM(H9318:H9322)</f>
        <v>14940</v>
      </c>
      <c r="M9323" s="237" t="s">
        <v>643</v>
      </c>
    </row>
    <row r="9324" spans="2:13" ht="18.75" customHeight="1" x14ac:dyDescent="0.25">
      <c r="B9324" s="587"/>
      <c r="C9324" s="223"/>
      <c r="D9324" s="587"/>
      <c r="E9324" s="224"/>
      <c r="F9324" s="225"/>
      <c r="G9324" s="290"/>
      <c r="H9324" s="226"/>
      <c r="M9324" s="225"/>
    </row>
    <row r="9325" spans="2:13" ht="18.75" customHeight="1" x14ac:dyDescent="0.25">
      <c r="B9325" s="587" t="s">
        <v>644</v>
      </c>
      <c r="C9325" s="223" t="s">
        <v>645</v>
      </c>
      <c r="D9325" s="587"/>
      <c r="E9325" s="224"/>
      <c r="F9325" s="225"/>
      <c r="G9325" s="290"/>
      <c r="H9325" s="235"/>
      <c r="M9325" s="225"/>
    </row>
    <row r="9326" spans="2:13" ht="18.75" customHeight="1" x14ac:dyDescent="0.25">
      <c r="B9326" s="236"/>
      <c r="C9326" s="232"/>
      <c r="D9326" s="587"/>
      <c r="E9326" s="224"/>
      <c r="F9326" s="237" t="s">
        <v>646</v>
      </c>
      <c r="G9326" s="290"/>
      <c r="H9326" s="230"/>
      <c r="M9326" s="237" t="s">
        <v>646</v>
      </c>
    </row>
    <row r="9327" spans="2:13" ht="18.75" customHeight="1" x14ac:dyDescent="0.25">
      <c r="B9327" s="236"/>
      <c r="C9327" s="232"/>
      <c r="D9327" s="587"/>
      <c r="E9327" s="224"/>
      <c r="F9327" s="237"/>
      <c r="G9327" s="290"/>
      <c r="H9327" s="226"/>
      <c r="M9327" s="237"/>
    </row>
    <row r="9328" spans="2:13" ht="18.75" customHeight="1" x14ac:dyDescent="0.25">
      <c r="B9328" s="354"/>
      <c r="C9328" s="362"/>
      <c r="D9328" s="239"/>
      <c r="E9328" s="266"/>
      <c r="F9328" s="241"/>
      <c r="G9328" s="370"/>
      <c r="H9328" s="369"/>
      <c r="M9328" s="241"/>
    </row>
    <row r="9329" spans="1:13" ht="18.75" customHeight="1" x14ac:dyDescent="0.25">
      <c r="B9329" s="356" t="s">
        <v>647</v>
      </c>
      <c r="C9329" s="363" t="s">
        <v>648</v>
      </c>
      <c r="D9329" s="435"/>
      <c r="E9329" s="92"/>
      <c r="F9329" s="183"/>
      <c r="G9329" s="295"/>
      <c r="H9329" s="357">
        <f>+H9326+H9323+H9315</f>
        <v>69247</v>
      </c>
      <c r="M9329" s="183"/>
    </row>
    <row r="9330" spans="1:13" ht="18.75" customHeight="1" x14ac:dyDescent="0.25">
      <c r="B9330" s="356" t="s">
        <v>649</v>
      </c>
      <c r="C9330" s="364" t="s">
        <v>650</v>
      </c>
      <c r="D9330" s="435"/>
      <c r="E9330" s="92"/>
      <c r="F9330" s="184" t="str">
        <f>$J$5</f>
        <v>8,0 % x D</v>
      </c>
      <c r="G9330" s="295"/>
      <c r="H9330" s="358">
        <f>+H9329*$K$5</f>
        <v>5539.76</v>
      </c>
      <c r="M9330" s="184" t="str">
        <f>$J$5</f>
        <v>8,0 % x D</v>
      </c>
    </row>
    <row r="9331" spans="1:13" ht="18.75" customHeight="1" x14ac:dyDescent="0.25">
      <c r="B9331" s="356" t="s">
        <v>651</v>
      </c>
      <c r="C9331" s="365" t="s">
        <v>652</v>
      </c>
      <c r="D9331" s="435"/>
      <c r="E9331" s="91"/>
      <c r="F9331" s="185"/>
      <c r="G9331" s="296"/>
      <c r="H9331" s="359">
        <f>ROUNDUP((H9330+H9329)/100,0)*100</f>
        <v>74800</v>
      </c>
      <c r="M9331" s="185"/>
    </row>
    <row r="9332" spans="1:13" ht="18.75" customHeight="1" x14ac:dyDescent="0.25">
      <c r="B9332" s="360"/>
      <c r="C9332" s="366"/>
      <c r="D9332" s="245"/>
      <c r="E9332" s="246"/>
      <c r="F9332" s="247"/>
      <c r="G9332" s="299"/>
      <c r="H9332" s="361"/>
      <c r="M9332" s="247"/>
    </row>
    <row r="9333" spans="1:13" ht="18.75" customHeight="1" x14ac:dyDescent="0.25">
      <c r="G9333" s="66"/>
      <c r="H9333" s="138"/>
    </row>
    <row r="9334" spans="1:13" ht="18.75" customHeight="1" x14ac:dyDescent="0.25">
      <c r="A9334" s="388" t="s">
        <v>1770</v>
      </c>
      <c r="B9334" s="389" t="s">
        <v>1368</v>
      </c>
      <c r="C9334" s="388"/>
      <c r="D9334" s="449"/>
      <c r="E9334" s="450"/>
      <c r="F9334" s="451"/>
      <c r="G9334" s="452"/>
      <c r="H9334" s="453"/>
      <c r="M9334" s="451"/>
    </row>
    <row r="9335" spans="1:13" ht="18.75" customHeight="1" x14ac:dyDescent="0.25">
      <c r="B9335" s="19"/>
      <c r="C9335" s="93"/>
      <c r="D9335" s="19"/>
      <c r="E9335" s="21"/>
      <c r="F9335" s="176"/>
      <c r="G9335" s="165"/>
      <c r="H9335" s="119"/>
      <c r="M9335" s="176"/>
    </row>
    <row r="9336" spans="1:13" ht="18.75" customHeight="1" x14ac:dyDescent="0.25">
      <c r="B9336" s="19">
        <v>1</v>
      </c>
      <c r="C9336" s="93" t="s">
        <v>1680</v>
      </c>
      <c r="D9336" s="19"/>
      <c r="E9336" s="21"/>
      <c r="F9336" s="176"/>
      <c r="G9336" s="165"/>
      <c r="H9336" s="119"/>
      <c r="M9336" s="176"/>
    </row>
    <row r="9337" spans="1:13" ht="18.75" customHeight="1" x14ac:dyDescent="0.25">
      <c r="B9337" s="618" t="s">
        <v>620</v>
      </c>
      <c r="C9337" s="620" t="s">
        <v>621</v>
      </c>
      <c r="D9337" s="618" t="s">
        <v>622</v>
      </c>
      <c r="E9337" s="618" t="s">
        <v>2</v>
      </c>
      <c r="F9337" s="615" t="s">
        <v>623</v>
      </c>
      <c r="G9337" s="300" t="s">
        <v>624</v>
      </c>
      <c r="H9337" s="257" t="s">
        <v>625</v>
      </c>
      <c r="M9337" s="615" t="s">
        <v>623</v>
      </c>
    </row>
    <row r="9338" spans="1:13" ht="18.75" customHeight="1" x14ac:dyDescent="0.25">
      <c r="B9338" s="619"/>
      <c r="C9338" s="621"/>
      <c r="D9338" s="619"/>
      <c r="E9338" s="619"/>
      <c r="F9338" s="616"/>
      <c r="G9338" s="585" t="s">
        <v>626</v>
      </c>
      <c r="H9338" s="586" t="s">
        <v>626</v>
      </c>
      <c r="M9338" s="616"/>
    </row>
    <row r="9339" spans="1:13" ht="18.75" customHeight="1" x14ac:dyDescent="0.25">
      <c r="B9339" s="221"/>
      <c r="C9339" s="222"/>
      <c r="D9339" s="221"/>
      <c r="E9339" s="550"/>
      <c r="F9339" s="555"/>
      <c r="G9339" s="551"/>
      <c r="H9339" s="220"/>
      <c r="M9339" s="590"/>
    </row>
    <row r="9340" spans="1:13" ht="18.75" customHeight="1" x14ac:dyDescent="0.25">
      <c r="B9340" s="550" t="s">
        <v>627</v>
      </c>
      <c r="C9340" s="223" t="s">
        <v>628</v>
      </c>
      <c r="D9340" s="550"/>
      <c r="E9340" s="224"/>
      <c r="F9340" s="225"/>
      <c r="G9340" s="290"/>
      <c r="H9340" s="226"/>
      <c r="M9340" s="225"/>
    </row>
    <row r="9341" spans="1:13" ht="18.75" customHeight="1" x14ac:dyDescent="0.25">
      <c r="B9341" s="550"/>
      <c r="C9341" s="227" t="s">
        <v>629</v>
      </c>
      <c r="D9341" s="550" t="s">
        <v>630</v>
      </c>
      <c r="E9341" s="224" t="s">
        <v>631</v>
      </c>
      <c r="F9341" s="228">
        <v>3.3</v>
      </c>
      <c r="G9341" s="229">
        <f>G9311</f>
        <v>95000</v>
      </c>
      <c r="H9341" s="230">
        <f>+G9341*F9341</f>
        <v>313500</v>
      </c>
      <c r="M9341" s="228">
        <v>3.3</v>
      </c>
    </row>
    <row r="9342" spans="1:13" ht="18.75" customHeight="1" x14ac:dyDescent="0.25">
      <c r="B9342" s="550"/>
      <c r="C9342" s="227" t="s">
        <v>1508</v>
      </c>
      <c r="D9342" s="550" t="s">
        <v>632</v>
      </c>
      <c r="E9342" s="224" t="s">
        <v>631</v>
      </c>
      <c r="F9342" s="228">
        <v>1.1000000000000001</v>
      </c>
      <c r="G9342" s="229">
        <f t="shared" ref="G9342:G9344" si="350">G9312</f>
        <v>110000</v>
      </c>
      <c r="H9342" s="230">
        <f>+G9342*F9342</f>
        <v>121000.00000000001</v>
      </c>
      <c r="M9342" s="228">
        <v>1.1000000000000001</v>
      </c>
    </row>
    <row r="9343" spans="1:13" ht="18.75" customHeight="1" x14ac:dyDescent="0.25">
      <c r="B9343" s="550"/>
      <c r="C9343" s="227" t="s">
        <v>633</v>
      </c>
      <c r="D9343" s="550" t="s">
        <v>634</v>
      </c>
      <c r="E9343" s="224" t="s">
        <v>631</v>
      </c>
      <c r="F9343" s="228">
        <v>0.01</v>
      </c>
      <c r="G9343" s="229">
        <f t="shared" si="350"/>
        <v>115000</v>
      </c>
      <c r="H9343" s="230">
        <f>+G9343*F9343</f>
        <v>1150</v>
      </c>
      <c r="M9343" s="228">
        <v>0.01</v>
      </c>
    </row>
    <row r="9344" spans="1:13" ht="18.75" customHeight="1" x14ac:dyDescent="0.25">
      <c r="B9344" s="550"/>
      <c r="C9344" s="227" t="s">
        <v>600</v>
      </c>
      <c r="D9344" s="550" t="s">
        <v>635</v>
      </c>
      <c r="E9344" s="224" t="s">
        <v>631</v>
      </c>
      <c r="F9344" s="228">
        <v>0.16</v>
      </c>
      <c r="G9344" s="229">
        <f t="shared" si="350"/>
        <v>140000</v>
      </c>
      <c r="H9344" s="230">
        <f>+G9344*F9344</f>
        <v>22400</v>
      </c>
      <c r="M9344" s="228">
        <v>0.16</v>
      </c>
    </row>
    <row r="9345" spans="2:13" ht="18.75" customHeight="1" x14ac:dyDescent="0.25">
      <c r="B9345" s="550"/>
      <c r="C9345" s="223"/>
      <c r="D9345" s="550"/>
      <c r="E9345" s="224"/>
      <c r="F9345" s="237" t="s">
        <v>636</v>
      </c>
      <c r="G9345" s="290"/>
      <c r="H9345" s="231">
        <f>SUM(H9341:H9344)</f>
        <v>458050</v>
      </c>
      <c r="M9345" s="237" t="s">
        <v>636</v>
      </c>
    </row>
    <row r="9346" spans="2:13" ht="18.75" customHeight="1" x14ac:dyDescent="0.25">
      <c r="B9346" s="550"/>
      <c r="C9346" s="223"/>
      <c r="D9346" s="550"/>
      <c r="E9346" s="224"/>
      <c r="F9346" s="237"/>
      <c r="G9346" s="290"/>
      <c r="H9346" s="231"/>
      <c r="M9346" s="237"/>
    </row>
    <row r="9347" spans="2:13" ht="18.75" customHeight="1" x14ac:dyDescent="0.25">
      <c r="B9347" s="550" t="s">
        <v>637</v>
      </c>
      <c r="C9347" s="223" t="s">
        <v>638</v>
      </c>
      <c r="D9347" s="550"/>
      <c r="E9347" s="224"/>
      <c r="F9347" s="225"/>
      <c r="G9347" s="290"/>
      <c r="H9347" s="226"/>
      <c r="M9347" s="225"/>
    </row>
    <row r="9348" spans="2:13" ht="18.75" customHeight="1" x14ac:dyDescent="0.25">
      <c r="B9348" s="550"/>
      <c r="C9348" s="232" t="s">
        <v>1681</v>
      </c>
      <c r="D9348" s="550"/>
      <c r="E9348" s="550" t="s">
        <v>1369</v>
      </c>
      <c r="F9348" s="233">
        <v>1</v>
      </c>
      <c r="G9348" s="234">
        <f>Bahan!D568</f>
        <v>2200000</v>
      </c>
      <c r="H9348" s="235">
        <f>G9348*F9348</f>
        <v>2200000</v>
      </c>
      <c r="M9348" s="233">
        <v>1</v>
      </c>
    </row>
    <row r="9349" spans="2:13" ht="18.75" customHeight="1" x14ac:dyDescent="0.25">
      <c r="B9349" s="550"/>
      <c r="C9349" s="232" t="s">
        <v>1370</v>
      </c>
      <c r="D9349" s="550"/>
      <c r="E9349" s="550" t="s">
        <v>546</v>
      </c>
      <c r="F9349" s="233" t="s">
        <v>1371</v>
      </c>
      <c r="G9349" s="234">
        <f>+G9348*6%</f>
        <v>132000</v>
      </c>
      <c r="H9349" s="235">
        <f>G9349*0.075</f>
        <v>9900</v>
      </c>
      <c r="M9349" s="233" t="s">
        <v>1371</v>
      </c>
    </row>
    <row r="9350" spans="2:13" ht="18.75" customHeight="1" x14ac:dyDescent="0.25">
      <c r="B9350" s="550"/>
      <c r="C9350" s="223"/>
      <c r="D9350" s="550"/>
      <c r="E9350" s="224"/>
      <c r="F9350" s="237" t="s">
        <v>643</v>
      </c>
      <c r="G9350" s="290"/>
      <c r="H9350" s="231">
        <f>SUM(H9348:H9349)</f>
        <v>2209900</v>
      </c>
      <c r="M9350" s="237" t="s">
        <v>643</v>
      </c>
    </row>
    <row r="9351" spans="2:13" ht="18.75" customHeight="1" x14ac:dyDescent="0.25">
      <c r="B9351" s="550"/>
      <c r="C9351" s="223"/>
      <c r="D9351" s="550"/>
      <c r="E9351" s="224"/>
      <c r="F9351" s="225"/>
      <c r="G9351" s="290"/>
      <c r="H9351" s="226"/>
      <c r="M9351" s="225"/>
    </row>
    <row r="9352" spans="2:13" ht="18.75" customHeight="1" x14ac:dyDescent="0.25">
      <c r="B9352" s="550" t="s">
        <v>644</v>
      </c>
      <c r="C9352" s="223" t="s">
        <v>645</v>
      </c>
      <c r="D9352" s="550"/>
      <c r="E9352" s="224"/>
      <c r="F9352" s="225"/>
      <c r="G9352" s="290"/>
      <c r="H9352" s="235">
        <f>+G9352*F9352</f>
        <v>0</v>
      </c>
      <c r="M9352" s="225"/>
    </row>
    <row r="9353" spans="2:13" ht="18.75" customHeight="1" x14ac:dyDescent="0.25">
      <c r="B9353" s="236"/>
      <c r="C9353" s="232"/>
      <c r="D9353" s="550"/>
      <c r="E9353" s="224"/>
      <c r="F9353" s="237" t="s">
        <v>646</v>
      </c>
      <c r="G9353" s="290"/>
      <c r="H9353" s="230">
        <f>SUM(H9352)</f>
        <v>0</v>
      </c>
      <c r="M9353" s="237" t="s">
        <v>646</v>
      </c>
    </row>
    <row r="9354" spans="2:13" ht="18.75" customHeight="1" x14ac:dyDescent="0.25">
      <c r="B9354" s="236"/>
      <c r="C9354" s="562"/>
      <c r="D9354" s="563"/>
      <c r="E9354" s="564"/>
      <c r="F9354" s="565"/>
      <c r="G9354" s="566"/>
      <c r="H9354" s="226"/>
      <c r="M9354" s="565"/>
    </row>
    <row r="9355" spans="2:13" ht="18.75" customHeight="1" x14ac:dyDescent="0.25">
      <c r="B9355" s="354"/>
      <c r="C9355" s="362"/>
      <c r="D9355" s="239"/>
      <c r="E9355" s="266"/>
      <c r="F9355" s="241"/>
      <c r="G9355" s="370"/>
      <c r="H9355" s="369"/>
      <c r="M9355" s="241"/>
    </row>
    <row r="9356" spans="2:13" ht="18.75" customHeight="1" x14ac:dyDescent="0.25">
      <c r="B9356" s="356" t="s">
        <v>647</v>
      </c>
      <c r="C9356" s="364" t="s">
        <v>648</v>
      </c>
      <c r="D9356" s="435"/>
      <c r="E9356" s="92"/>
      <c r="F9356" s="183"/>
      <c r="G9356" s="295"/>
      <c r="H9356" s="357">
        <f>+H9353+H9350+H9345</f>
        <v>2667950</v>
      </c>
      <c r="M9356" s="183"/>
    </row>
    <row r="9357" spans="2:13" ht="18.75" customHeight="1" x14ac:dyDescent="0.25">
      <c r="B9357" s="356" t="s">
        <v>649</v>
      </c>
      <c r="C9357" s="364" t="s">
        <v>650</v>
      </c>
      <c r="D9357" s="435"/>
      <c r="E9357" s="92"/>
      <c r="F9357" s="184" t="str">
        <f>$J$5</f>
        <v>8,0 % x D</v>
      </c>
      <c r="G9357" s="295"/>
      <c r="H9357" s="358">
        <f>+H9356*$K$5</f>
        <v>213436</v>
      </c>
      <c r="M9357" s="184" t="str">
        <f>$J$5</f>
        <v>8,0 % x D</v>
      </c>
    </row>
    <row r="9358" spans="2:13" ht="18.75" customHeight="1" x14ac:dyDescent="0.25">
      <c r="B9358" s="356" t="s">
        <v>651</v>
      </c>
      <c r="C9358" s="365" t="s">
        <v>652</v>
      </c>
      <c r="D9358" s="435"/>
      <c r="E9358" s="91"/>
      <c r="F9358" s="185"/>
      <c r="G9358" s="296"/>
      <c r="H9358" s="359">
        <f>ROUNDUP((H9357+H9356)/100,0)*100</f>
        <v>2881400</v>
      </c>
      <c r="M9358" s="185"/>
    </row>
    <row r="9359" spans="2:13" ht="18.75" customHeight="1" x14ac:dyDescent="0.25">
      <c r="B9359" s="360"/>
      <c r="C9359" s="581"/>
      <c r="D9359" s="245"/>
      <c r="E9359" s="246"/>
      <c r="F9359" s="247"/>
      <c r="G9359" s="299"/>
      <c r="H9359" s="361"/>
      <c r="M9359" s="247"/>
    </row>
    <row r="9360" spans="2:13" ht="18.75" customHeight="1" x14ac:dyDescent="0.25">
      <c r="B9360" s="92"/>
      <c r="C9360" s="242"/>
      <c r="D9360" s="435"/>
      <c r="E9360" s="91"/>
      <c r="F9360" s="185"/>
      <c r="G9360" s="168"/>
      <c r="H9360" s="139"/>
      <c r="M9360" s="185"/>
    </row>
    <row r="9361" spans="2:13" ht="18.75" customHeight="1" x14ac:dyDescent="0.25">
      <c r="B9361" s="19">
        <f>B9336+1</f>
        <v>2</v>
      </c>
      <c r="C9361" s="93" t="s">
        <v>1679</v>
      </c>
      <c r="D9361" s="19"/>
      <c r="E9361" s="21"/>
      <c r="F9361" s="176"/>
      <c r="G9361" s="165"/>
      <c r="H9361" s="119"/>
      <c r="M9361" s="176"/>
    </row>
    <row r="9362" spans="2:13" ht="18.75" customHeight="1" x14ac:dyDescent="0.25">
      <c r="B9362" s="618" t="s">
        <v>620</v>
      </c>
      <c r="C9362" s="620" t="s">
        <v>621</v>
      </c>
      <c r="D9362" s="618" t="s">
        <v>622</v>
      </c>
      <c r="E9362" s="618" t="s">
        <v>2</v>
      </c>
      <c r="F9362" s="615" t="s">
        <v>623</v>
      </c>
      <c r="G9362" s="300" t="s">
        <v>624</v>
      </c>
      <c r="H9362" s="257" t="s">
        <v>625</v>
      </c>
      <c r="M9362" s="615" t="s">
        <v>623</v>
      </c>
    </row>
    <row r="9363" spans="2:13" ht="18.75" customHeight="1" x14ac:dyDescent="0.25">
      <c r="B9363" s="619"/>
      <c r="C9363" s="621"/>
      <c r="D9363" s="619"/>
      <c r="E9363" s="619"/>
      <c r="F9363" s="616"/>
      <c r="G9363" s="585" t="s">
        <v>626</v>
      </c>
      <c r="H9363" s="586" t="s">
        <v>626</v>
      </c>
      <c r="M9363" s="616"/>
    </row>
    <row r="9364" spans="2:13" ht="18.75" customHeight="1" x14ac:dyDescent="0.25">
      <c r="B9364" s="221"/>
      <c r="C9364" s="222"/>
      <c r="D9364" s="221"/>
      <c r="E9364" s="550"/>
      <c r="F9364" s="555"/>
      <c r="G9364" s="551"/>
      <c r="H9364" s="220"/>
      <c r="M9364" s="590"/>
    </row>
    <row r="9365" spans="2:13" ht="18.75" customHeight="1" x14ac:dyDescent="0.25">
      <c r="B9365" s="550" t="s">
        <v>627</v>
      </c>
      <c r="C9365" s="223" t="s">
        <v>628</v>
      </c>
      <c r="D9365" s="550"/>
      <c r="E9365" s="224"/>
      <c r="F9365" s="225"/>
      <c r="G9365" s="290"/>
      <c r="H9365" s="226"/>
      <c r="M9365" s="225"/>
    </row>
    <row r="9366" spans="2:13" ht="18.75" customHeight="1" x14ac:dyDescent="0.25">
      <c r="B9366" s="550"/>
      <c r="C9366" s="227" t="s">
        <v>629</v>
      </c>
      <c r="D9366" s="550" t="s">
        <v>630</v>
      </c>
      <c r="E9366" s="224" t="s">
        <v>631</v>
      </c>
      <c r="F9366" s="228">
        <v>1</v>
      </c>
      <c r="G9366" s="229">
        <f>G9341</f>
        <v>95000</v>
      </c>
      <c r="H9366" s="230">
        <f>+G9366*F9366</f>
        <v>95000</v>
      </c>
      <c r="M9366" s="228">
        <v>1</v>
      </c>
    </row>
    <row r="9367" spans="2:13" ht="18.75" customHeight="1" x14ac:dyDescent="0.25">
      <c r="B9367" s="550"/>
      <c r="C9367" s="227" t="s">
        <v>1508</v>
      </c>
      <c r="D9367" s="550" t="s">
        <v>632</v>
      </c>
      <c r="E9367" s="224" t="s">
        <v>631</v>
      </c>
      <c r="F9367" s="228">
        <v>1.5</v>
      </c>
      <c r="G9367" s="229">
        <f>G9342</f>
        <v>110000</v>
      </c>
      <c r="H9367" s="230">
        <f>+G9367*F9367</f>
        <v>165000</v>
      </c>
      <c r="M9367" s="228">
        <v>1.5</v>
      </c>
    </row>
    <row r="9368" spans="2:13" ht="18.75" customHeight="1" x14ac:dyDescent="0.25">
      <c r="B9368" s="550"/>
      <c r="C9368" s="227" t="s">
        <v>633</v>
      </c>
      <c r="D9368" s="550" t="s">
        <v>634</v>
      </c>
      <c r="E9368" s="224" t="s">
        <v>631</v>
      </c>
      <c r="F9368" s="228">
        <v>0.15</v>
      </c>
      <c r="G9368" s="229">
        <f>G9343</f>
        <v>115000</v>
      </c>
      <c r="H9368" s="230">
        <f>+G9368*F9368</f>
        <v>17250</v>
      </c>
      <c r="M9368" s="228">
        <v>0.15</v>
      </c>
    </row>
    <row r="9369" spans="2:13" ht="18.75" customHeight="1" x14ac:dyDescent="0.25">
      <c r="B9369" s="550"/>
      <c r="C9369" s="227" t="s">
        <v>600</v>
      </c>
      <c r="D9369" s="550" t="s">
        <v>635</v>
      </c>
      <c r="E9369" s="224" t="s">
        <v>631</v>
      </c>
      <c r="F9369" s="228">
        <v>7.4999999999999997E-2</v>
      </c>
      <c r="G9369" s="229">
        <f>G9344</f>
        <v>140000</v>
      </c>
      <c r="H9369" s="230">
        <f>+G9369*F9369</f>
        <v>10500</v>
      </c>
      <c r="M9369" s="228">
        <v>7.4999999999999997E-2</v>
      </c>
    </row>
    <row r="9370" spans="2:13" ht="18.75" customHeight="1" x14ac:dyDescent="0.25">
      <c r="B9370" s="550"/>
      <c r="C9370" s="223"/>
      <c r="D9370" s="550"/>
      <c r="E9370" s="224"/>
      <c r="F9370" s="237" t="s">
        <v>636</v>
      </c>
      <c r="G9370" s="290"/>
      <c r="H9370" s="231">
        <f>SUM(H9366:H9369)</f>
        <v>287750</v>
      </c>
      <c r="M9370" s="237" t="s">
        <v>636</v>
      </c>
    </row>
    <row r="9371" spans="2:13" ht="18.75" customHeight="1" x14ac:dyDescent="0.25">
      <c r="B9371" s="550"/>
      <c r="C9371" s="223"/>
      <c r="D9371" s="550"/>
      <c r="E9371" s="224"/>
      <c r="F9371" s="237"/>
      <c r="G9371" s="290"/>
      <c r="H9371" s="231"/>
      <c r="M9371" s="237"/>
    </row>
    <row r="9372" spans="2:13" ht="18.75" customHeight="1" x14ac:dyDescent="0.25">
      <c r="B9372" s="550" t="s">
        <v>637</v>
      </c>
      <c r="C9372" s="223" t="s">
        <v>638</v>
      </c>
      <c r="D9372" s="550"/>
      <c r="E9372" s="224"/>
      <c r="F9372" s="225"/>
      <c r="G9372" s="290"/>
      <c r="H9372" s="226"/>
      <c r="M9372" s="225"/>
    </row>
    <row r="9373" spans="2:13" ht="18.75" customHeight="1" x14ac:dyDescent="0.25">
      <c r="B9373" s="550"/>
      <c r="C9373" s="232" t="s">
        <v>1682</v>
      </c>
      <c r="D9373" s="550"/>
      <c r="E9373" s="550" t="s">
        <v>1369</v>
      </c>
      <c r="F9373" s="233">
        <v>1</v>
      </c>
      <c r="G9373" s="234">
        <f>Bahan!D569</f>
        <v>190000</v>
      </c>
      <c r="H9373" s="235">
        <f>G9373*F9373</f>
        <v>190000</v>
      </c>
      <c r="M9373" s="233">
        <v>1</v>
      </c>
    </row>
    <row r="9374" spans="2:13" ht="18.75" customHeight="1" x14ac:dyDescent="0.25">
      <c r="B9374" s="550"/>
      <c r="C9374" s="232" t="s">
        <v>708</v>
      </c>
      <c r="D9374" s="550"/>
      <c r="E9374" s="550" t="s">
        <v>5</v>
      </c>
      <c r="F9374" s="233">
        <v>6</v>
      </c>
      <c r="G9374" s="234">
        <f>G5541</f>
        <v>1700</v>
      </c>
      <c r="H9374" s="230">
        <f>+G9374*F9374</f>
        <v>10200</v>
      </c>
      <c r="M9374" s="233">
        <v>6</v>
      </c>
    </row>
    <row r="9375" spans="2:13" ht="18.75" customHeight="1" x14ac:dyDescent="0.25">
      <c r="B9375" s="550"/>
      <c r="C9375" s="232" t="s">
        <v>661</v>
      </c>
      <c r="D9375" s="550"/>
      <c r="E9375" s="550" t="s">
        <v>8</v>
      </c>
      <c r="F9375" s="233">
        <v>0.01</v>
      </c>
      <c r="G9375" s="234">
        <f>G5542</f>
        <v>230000</v>
      </c>
      <c r="H9375" s="230">
        <f>G9375*F9375</f>
        <v>2300</v>
      </c>
      <c r="M9375" s="233">
        <v>0.01</v>
      </c>
    </row>
    <row r="9376" spans="2:13" ht="18.75" customHeight="1" x14ac:dyDescent="0.25">
      <c r="B9376" s="550"/>
      <c r="C9376" s="232" t="s">
        <v>663</v>
      </c>
      <c r="D9376" s="550"/>
      <c r="E9376" s="550" t="s">
        <v>16</v>
      </c>
      <c r="F9376" s="233">
        <v>7</v>
      </c>
      <c r="G9376" s="234">
        <f>Bahan!D69</f>
        <v>3750</v>
      </c>
      <c r="H9376" s="230">
        <f>F9376*G9376</f>
        <v>26250</v>
      </c>
      <c r="M9376" s="233">
        <v>7</v>
      </c>
    </row>
    <row r="9377" spans="2:13" ht="18.75" customHeight="1" x14ac:dyDescent="0.25">
      <c r="B9377" s="550"/>
      <c r="C9377" s="223"/>
      <c r="D9377" s="550"/>
      <c r="E9377" s="224"/>
      <c r="F9377" s="237" t="s">
        <v>643</v>
      </c>
      <c r="G9377" s="290"/>
      <c r="H9377" s="231">
        <f>SUM(H9373:H9376)</f>
        <v>228750</v>
      </c>
      <c r="M9377" s="237" t="s">
        <v>643</v>
      </c>
    </row>
    <row r="9378" spans="2:13" ht="18.75" customHeight="1" x14ac:dyDescent="0.25">
      <c r="B9378" s="550"/>
      <c r="C9378" s="223"/>
      <c r="D9378" s="550"/>
      <c r="E9378" s="224"/>
      <c r="F9378" s="225"/>
      <c r="G9378" s="290"/>
      <c r="H9378" s="226"/>
      <c r="M9378" s="225"/>
    </row>
    <row r="9379" spans="2:13" ht="18.75" customHeight="1" x14ac:dyDescent="0.25">
      <c r="B9379" s="550" t="s">
        <v>644</v>
      </c>
      <c r="C9379" s="223" t="s">
        <v>645</v>
      </c>
      <c r="D9379" s="550"/>
      <c r="E9379" s="224"/>
      <c r="F9379" s="225"/>
      <c r="G9379" s="290"/>
      <c r="H9379" s="235">
        <f>+G9379*F9379</f>
        <v>0</v>
      </c>
      <c r="M9379" s="225"/>
    </row>
    <row r="9380" spans="2:13" ht="18.75" customHeight="1" x14ac:dyDescent="0.25">
      <c r="B9380" s="236"/>
      <c r="C9380" s="232"/>
      <c r="D9380" s="550"/>
      <c r="E9380" s="224"/>
      <c r="F9380" s="237" t="s">
        <v>646</v>
      </c>
      <c r="G9380" s="290"/>
      <c r="H9380" s="230">
        <f>SUM(H9379)</f>
        <v>0</v>
      </c>
      <c r="M9380" s="237" t="s">
        <v>646</v>
      </c>
    </row>
    <row r="9381" spans="2:13" ht="18.75" customHeight="1" x14ac:dyDescent="0.25">
      <c r="B9381" s="236"/>
      <c r="C9381" s="562"/>
      <c r="D9381" s="563"/>
      <c r="E9381" s="564"/>
      <c r="F9381" s="565"/>
      <c r="G9381" s="566"/>
      <c r="H9381" s="226"/>
      <c r="M9381" s="565"/>
    </row>
    <row r="9382" spans="2:13" ht="18.75" customHeight="1" x14ac:dyDescent="0.25">
      <c r="B9382" s="354"/>
      <c r="C9382" s="362"/>
      <c r="D9382" s="239"/>
      <c r="E9382" s="266"/>
      <c r="F9382" s="241"/>
      <c r="G9382" s="370"/>
      <c r="H9382" s="369"/>
      <c r="M9382" s="241"/>
    </row>
    <row r="9383" spans="2:13" ht="18.75" customHeight="1" x14ac:dyDescent="0.25">
      <c r="B9383" s="356" t="s">
        <v>647</v>
      </c>
      <c r="C9383" s="364" t="s">
        <v>648</v>
      </c>
      <c r="D9383" s="435"/>
      <c r="E9383" s="92"/>
      <c r="F9383" s="183"/>
      <c r="G9383" s="295"/>
      <c r="H9383" s="357">
        <f>+H9380+H9377+H9370</f>
        <v>516500</v>
      </c>
      <c r="M9383" s="183"/>
    </row>
    <row r="9384" spans="2:13" ht="18.75" customHeight="1" x14ac:dyDescent="0.25">
      <c r="B9384" s="356" t="s">
        <v>649</v>
      </c>
      <c r="C9384" s="364" t="s">
        <v>650</v>
      </c>
      <c r="D9384" s="435"/>
      <c r="E9384" s="92"/>
      <c r="F9384" s="184" t="str">
        <f>$J$5</f>
        <v>8,0 % x D</v>
      </c>
      <c r="G9384" s="295"/>
      <c r="H9384" s="358">
        <f>+H9383*$K$5</f>
        <v>41320</v>
      </c>
      <c r="M9384" s="184" t="str">
        <f>$J$5</f>
        <v>8,0 % x D</v>
      </c>
    </row>
    <row r="9385" spans="2:13" ht="18.75" customHeight="1" x14ac:dyDescent="0.25">
      <c r="B9385" s="356" t="s">
        <v>651</v>
      </c>
      <c r="C9385" s="365" t="s">
        <v>652</v>
      </c>
      <c r="D9385" s="435"/>
      <c r="E9385" s="91"/>
      <c r="F9385" s="185"/>
      <c r="G9385" s="296"/>
      <c r="H9385" s="359">
        <f>ROUNDUP((H9384+H9383)/100,0)*100</f>
        <v>557900</v>
      </c>
      <c r="M9385" s="185"/>
    </row>
    <row r="9386" spans="2:13" ht="18.75" customHeight="1" x14ac:dyDescent="0.25">
      <c r="B9386" s="360"/>
      <c r="C9386" s="581"/>
      <c r="D9386" s="245"/>
      <c r="E9386" s="246"/>
      <c r="F9386" s="247"/>
      <c r="G9386" s="299"/>
      <c r="H9386" s="361"/>
      <c r="M9386" s="247"/>
    </row>
    <row r="9387" spans="2:13" ht="18.75" customHeight="1" x14ac:dyDescent="0.25">
      <c r="B9387" s="22"/>
      <c r="E9387" s="21"/>
      <c r="F9387" s="176"/>
      <c r="G9387" s="165"/>
      <c r="H9387" s="119"/>
      <c r="M9387" s="176"/>
    </row>
    <row r="9388" spans="2:13" ht="18.75" customHeight="1" x14ac:dyDescent="0.25">
      <c r="B9388" s="19">
        <f>B9361+1</f>
        <v>3</v>
      </c>
      <c r="C9388" s="93" t="s">
        <v>1372</v>
      </c>
      <c r="D9388" s="19"/>
      <c r="E9388" s="21"/>
      <c r="F9388" s="176"/>
      <c r="G9388" s="165"/>
      <c r="H9388" s="119"/>
      <c r="M9388" s="176"/>
    </row>
    <row r="9389" spans="2:13" ht="18.75" customHeight="1" x14ac:dyDescent="0.25">
      <c r="B9389" s="618" t="s">
        <v>620</v>
      </c>
      <c r="C9389" s="620" t="s">
        <v>621</v>
      </c>
      <c r="D9389" s="618" t="s">
        <v>622</v>
      </c>
      <c r="E9389" s="618" t="s">
        <v>2</v>
      </c>
      <c r="F9389" s="615" t="s">
        <v>623</v>
      </c>
      <c r="G9389" s="300" t="s">
        <v>624</v>
      </c>
      <c r="H9389" s="257" t="s">
        <v>625</v>
      </c>
      <c r="M9389" s="615" t="s">
        <v>623</v>
      </c>
    </row>
    <row r="9390" spans="2:13" ht="18.75" customHeight="1" x14ac:dyDescent="0.25">
      <c r="B9390" s="619"/>
      <c r="C9390" s="621"/>
      <c r="D9390" s="619"/>
      <c r="E9390" s="619"/>
      <c r="F9390" s="616"/>
      <c r="G9390" s="585" t="s">
        <v>626</v>
      </c>
      <c r="H9390" s="586" t="s">
        <v>626</v>
      </c>
      <c r="M9390" s="616"/>
    </row>
    <row r="9391" spans="2:13" ht="18.75" customHeight="1" x14ac:dyDescent="0.25">
      <c r="B9391" s="221"/>
      <c r="C9391" s="222"/>
      <c r="D9391" s="221"/>
      <c r="E9391" s="550"/>
      <c r="F9391" s="555"/>
      <c r="G9391" s="551"/>
      <c r="H9391" s="220"/>
      <c r="M9391" s="590"/>
    </row>
    <row r="9392" spans="2:13" ht="18.75" customHeight="1" x14ac:dyDescent="0.25">
      <c r="B9392" s="550" t="s">
        <v>627</v>
      </c>
      <c r="C9392" s="223" t="s">
        <v>628</v>
      </c>
      <c r="D9392" s="550"/>
      <c r="E9392" s="224"/>
      <c r="F9392" s="225"/>
      <c r="G9392" s="290"/>
      <c r="H9392" s="226"/>
      <c r="M9392" s="225"/>
    </row>
    <row r="9393" spans="2:13" ht="18.75" customHeight="1" x14ac:dyDescent="0.25">
      <c r="B9393" s="550"/>
      <c r="C9393" s="227" t="s">
        <v>629</v>
      </c>
      <c r="D9393" s="550" t="s">
        <v>630</v>
      </c>
      <c r="E9393" s="224" t="s">
        <v>631</v>
      </c>
      <c r="F9393" s="228">
        <v>0.1</v>
      </c>
      <c r="G9393" s="229">
        <f>G9366</f>
        <v>95000</v>
      </c>
      <c r="H9393" s="230">
        <f>+G9393*F9393</f>
        <v>9500</v>
      </c>
      <c r="M9393" s="228">
        <v>0.1</v>
      </c>
    </row>
    <row r="9394" spans="2:13" ht="18.75" customHeight="1" x14ac:dyDescent="0.25">
      <c r="B9394" s="550"/>
      <c r="C9394" s="227" t="s">
        <v>1508</v>
      </c>
      <c r="D9394" s="550" t="s">
        <v>632</v>
      </c>
      <c r="E9394" s="224" t="s">
        <v>631</v>
      </c>
      <c r="F9394" s="228">
        <v>1</v>
      </c>
      <c r="G9394" s="229">
        <f>G9367</f>
        <v>110000</v>
      </c>
      <c r="H9394" s="230">
        <f>+G9394*F9394</f>
        <v>110000</v>
      </c>
      <c r="M9394" s="228">
        <v>1</v>
      </c>
    </row>
    <row r="9395" spans="2:13" ht="18.75" customHeight="1" x14ac:dyDescent="0.25">
      <c r="B9395" s="550"/>
      <c r="C9395" s="227" t="s">
        <v>633</v>
      </c>
      <c r="D9395" s="550" t="s">
        <v>634</v>
      </c>
      <c r="E9395" s="224" t="s">
        <v>631</v>
      </c>
      <c r="F9395" s="228">
        <v>0.1</v>
      </c>
      <c r="G9395" s="229">
        <f>G9368</f>
        <v>115000</v>
      </c>
      <c r="H9395" s="230">
        <f>+G9395*F9395</f>
        <v>11500</v>
      </c>
      <c r="M9395" s="228">
        <v>0.1</v>
      </c>
    </row>
    <row r="9396" spans="2:13" ht="18.75" customHeight="1" x14ac:dyDescent="0.25">
      <c r="B9396" s="550"/>
      <c r="C9396" s="227" t="s">
        <v>600</v>
      </c>
      <c r="D9396" s="550" t="s">
        <v>635</v>
      </c>
      <c r="E9396" s="224" t="s">
        <v>631</v>
      </c>
      <c r="F9396" s="228">
        <v>7.4999999999999997E-2</v>
      </c>
      <c r="G9396" s="229">
        <f>G9369</f>
        <v>140000</v>
      </c>
      <c r="H9396" s="230">
        <f>+G9396*F9396</f>
        <v>10500</v>
      </c>
      <c r="M9396" s="228">
        <v>7.4999999999999997E-2</v>
      </c>
    </row>
    <row r="9397" spans="2:13" ht="18.75" customHeight="1" x14ac:dyDescent="0.25">
      <c r="B9397" s="550"/>
      <c r="C9397" s="223"/>
      <c r="D9397" s="550"/>
      <c r="E9397" s="224"/>
      <c r="F9397" s="237" t="s">
        <v>636</v>
      </c>
      <c r="G9397" s="290"/>
      <c r="H9397" s="231">
        <f>SUM(H9393:H9396)</f>
        <v>141500</v>
      </c>
      <c r="M9397" s="237" t="s">
        <v>636</v>
      </c>
    </row>
    <row r="9398" spans="2:13" ht="18.75" customHeight="1" x14ac:dyDescent="0.25">
      <c r="B9398" s="550"/>
      <c r="C9398" s="223"/>
      <c r="D9398" s="550"/>
      <c r="E9398" s="224"/>
      <c r="F9398" s="237"/>
      <c r="G9398" s="290"/>
      <c r="H9398" s="231"/>
      <c r="M9398" s="237"/>
    </row>
    <row r="9399" spans="2:13" ht="18.75" customHeight="1" x14ac:dyDescent="0.25">
      <c r="B9399" s="550" t="s">
        <v>637</v>
      </c>
      <c r="C9399" s="223" t="s">
        <v>638</v>
      </c>
      <c r="D9399" s="550"/>
      <c r="E9399" s="224"/>
      <c r="F9399" s="225"/>
      <c r="G9399" s="290"/>
      <c r="H9399" s="226"/>
      <c r="M9399" s="225"/>
    </row>
    <row r="9400" spans="2:13" ht="18.75" customHeight="1" x14ac:dyDescent="0.25">
      <c r="B9400" s="550"/>
      <c r="C9400" s="232" t="s">
        <v>1683</v>
      </c>
      <c r="D9400" s="550"/>
      <c r="E9400" s="550" t="s">
        <v>1369</v>
      </c>
      <c r="F9400" s="233">
        <v>1</v>
      </c>
      <c r="G9400" s="234">
        <f>Bahan!D576</f>
        <v>1250000</v>
      </c>
      <c r="H9400" s="235">
        <f>G9400*F9400</f>
        <v>1250000</v>
      </c>
      <c r="M9400" s="233">
        <v>1</v>
      </c>
    </row>
    <row r="9401" spans="2:13" ht="18.75" customHeight="1" x14ac:dyDescent="0.25">
      <c r="B9401" s="550"/>
      <c r="C9401" s="232" t="s">
        <v>708</v>
      </c>
      <c r="D9401" s="550"/>
      <c r="E9401" s="550" t="s">
        <v>5</v>
      </c>
      <c r="F9401" s="233">
        <v>6</v>
      </c>
      <c r="G9401" s="234">
        <f>+G9374</f>
        <v>1700</v>
      </c>
      <c r="H9401" s="230">
        <f>+G9401*F9401</f>
        <v>10200</v>
      </c>
      <c r="M9401" s="233">
        <v>6</v>
      </c>
    </row>
    <row r="9402" spans="2:13" ht="18.75" customHeight="1" x14ac:dyDescent="0.25">
      <c r="B9402" s="550"/>
      <c r="C9402" s="232" t="s">
        <v>661</v>
      </c>
      <c r="D9402" s="550"/>
      <c r="E9402" s="550" t="s">
        <v>8</v>
      </c>
      <c r="F9402" s="233">
        <v>0.01</v>
      </c>
      <c r="G9402" s="234">
        <f>+G9375</f>
        <v>230000</v>
      </c>
      <c r="H9402" s="230">
        <f>G9402*F9402</f>
        <v>2300</v>
      </c>
      <c r="M9402" s="233">
        <v>0.01</v>
      </c>
    </row>
    <row r="9403" spans="2:13" ht="18.75" customHeight="1" x14ac:dyDescent="0.25">
      <c r="B9403" s="550"/>
      <c r="C9403" s="232" t="s">
        <v>1370</v>
      </c>
      <c r="D9403" s="550"/>
      <c r="E9403" s="584" t="s">
        <v>1373</v>
      </c>
      <c r="F9403" s="233">
        <v>0.3</v>
      </c>
      <c r="G9403" s="234">
        <f>G9400*0.3</f>
        <v>375000</v>
      </c>
      <c r="H9403" s="235">
        <f>F9403*G9403</f>
        <v>112500</v>
      </c>
      <c r="M9403" s="233">
        <v>0.3</v>
      </c>
    </row>
    <row r="9404" spans="2:13" ht="18.75" customHeight="1" x14ac:dyDescent="0.25">
      <c r="B9404" s="550"/>
      <c r="C9404" s="223"/>
      <c r="D9404" s="550"/>
      <c r="E9404" s="224"/>
      <c r="F9404" s="237" t="s">
        <v>643</v>
      </c>
      <c r="G9404" s="290"/>
      <c r="H9404" s="231">
        <f>SUM(H9400:H9403)</f>
        <v>1375000</v>
      </c>
      <c r="M9404" s="237" t="s">
        <v>643</v>
      </c>
    </row>
    <row r="9405" spans="2:13" ht="18.75" customHeight="1" x14ac:dyDescent="0.25">
      <c r="B9405" s="550"/>
      <c r="C9405" s="223"/>
      <c r="D9405" s="550"/>
      <c r="E9405" s="224"/>
      <c r="F9405" s="225"/>
      <c r="G9405" s="290"/>
      <c r="H9405" s="226"/>
      <c r="M9405" s="225"/>
    </row>
    <row r="9406" spans="2:13" ht="18.75" customHeight="1" x14ac:dyDescent="0.25">
      <c r="B9406" s="550" t="s">
        <v>644</v>
      </c>
      <c r="C9406" s="223" t="s">
        <v>645</v>
      </c>
      <c r="D9406" s="550"/>
      <c r="E9406" s="224"/>
      <c r="F9406" s="225"/>
      <c r="G9406" s="290"/>
      <c r="H9406" s="235">
        <f>+G9406*F9406</f>
        <v>0</v>
      </c>
      <c r="M9406" s="225"/>
    </row>
    <row r="9407" spans="2:13" ht="18.75" customHeight="1" x14ac:dyDescent="0.25">
      <c r="B9407" s="236"/>
      <c r="C9407" s="232"/>
      <c r="D9407" s="550"/>
      <c r="E9407" s="224"/>
      <c r="F9407" s="237" t="s">
        <v>646</v>
      </c>
      <c r="G9407" s="290"/>
      <c r="H9407" s="230">
        <f>SUM(H9406)</f>
        <v>0</v>
      </c>
      <c r="M9407" s="237" t="s">
        <v>646</v>
      </c>
    </row>
    <row r="9408" spans="2:13" ht="18.75" customHeight="1" x14ac:dyDescent="0.25">
      <c r="B9408" s="236"/>
      <c r="C9408" s="562"/>
      <c r="D9408" s="563"/>
      <c r="E9408" s="564"/>
      <c r="F9408" s="565"/>
      <c r="G9408" s="566"/>
      <c r="H9408" s="230"/>
      <c r="M9408" s="565"/>
    </row>
    <row r="9409" spans="2:13" ht="18.75" customHeight="1" x14ac:dyDescent="0.25">
      <c r="B9409" s="354"/>
      <c r="C9409" s="362"/>
      <c r="D9409" s="239"/>
      <c r="E9409" s="266"/>
      <c r="F9409" s="241"/>
      <c r="G9409" s="370"/>
      <c r="H9409" s="369"/>
      <c r="M9409" s="241"/>
    </row>
    <row r="9410" spans="2:13" ht="18.75" customHeight="1" x14ac:dyDescent="0.25">
      <c r="B9410" s="356" t="s">
        <v>647</v>
      </c>
      <c r="C9410" s="364" t="s">
        <v>648</v>
      </c>
      <c r="D9410" s="435"/>
      <c r="E9410" s="92"/>
      <c r="F9410" s="183"/>
      <c r="G9410" s="295"/>
      <c r="H9410" s="357">
        <f>+H9407+H9404+H9397</f>
        <v>1516500</v>
      </c>
      <c r="M9410" s="183"/>
    </row>
    <row r="9411" spans="2:13" ht="18.75" customHeight="1" x14ac:dyDescent="0.25">
      <c r="B9411" s="356" t="s">
        <v>649</v>
      </c>
      <c r="C9411" s="364" t="s">
        <v>650</v>
      </c>
      <c r="D9411" s="435"/>
      <c r="E9411" s="92"/>
      <c r="F9411" s="184" t="str">
        <f>$J$5</f>
        <v>8,0 % x D</v>
      </c>
      <c r="G9411" s="295"/>
      <c r="H9411" s="358">
        <f>+H9410*$K$5</f>
        <v>121320</v>
      </c>
      <c r="M9411" s="184" t="str">
        <f>$J$5</f>
        <v>8,0 % x D</v>
      </c>
    </row>
    <row r="9412" spans="2:13" ht="18.75" customHeight="1" x14ac:dyDescent="0.25">
      <c r="B9412" s="356" t="s">
        <v>651</v>
      </c>
      <c r="C9412" s="365" t="s">
        <v>652</v>
      </c>
      <c r="D9412" s="435"/>
      <c r="E9412" s="91"/>
      <c r="F9412" s="185"/>
      <c r="G9412" s="296"/>
      <c r="H9412" s="359">
        <f>ROUNDUP((H9411+H9410)/100,0)*100</f>
        <v>1637900</v>
      </c>
      <c r="M9412" s="185"/>
    </row>
    <row r="9413" spans="2:13" ht="18.75" customHeight="1" x14ac:dyDescent="0.25">
      <c r="B9413" s="360"/>
      <c r="C9413" s="581"/>
      <c r="D9413" s="245"/>
      <c r="E9413" s="246"/>
      <c r="F9413" s="247"/>
      <c r="G9413" s="299"/>
      <c r="H9413" s="361"/>
      <c r="M9413" s="247"/>
    </row>
    <row r="9414" spans="2:13" ht="18.75" customHeight="1" x14ac:dyDescent="0.25">
      <c r="B9414" s="22"/>
      <c r="E9414" s="21"/>
      <c r="F9414" s="176"/>
      <c r="G9414" s="165"/>
      <c r="H9414" s="119"/>
      <c r="M9414" s="176"/>
    </row>
    <row r="9415" spans="2:13" ht="18.75" customHeight="1" x14ac:dyDescent="0.25">
      <c r="B9415" s="19">
        <f>B9388+1</f>
        <v>4</v>
      </c>
      <c r="C9415" s="93" t="s">
        <v>1685</v>
      </c>
      <c r="D9415" s="19"/>
      <c r="E9415" s="21"/>
      <c r="F9415" s="176"/>
      <c r="G9415" s="165"/>
      <c r="H9415" s="119"/>
      <c r="M9415" s="176"/>
    </row>
    <row r="9416" spans="2:13" ht="18.75" customHeight="1" x14ac:dyDescent="0.25">
      <c r="B9416" s="618" t="s">
        <v>620</v>
      </c>
      <c r="C9416" s="620" t="s">
        <v>621</v>
      </c>
      <c r="D9416" s="618" t="s">
        <v>622</v>
      </c>
      <c r="E9416" s="618" t="s">
        <v>2</v>
      </c>
      <c r="F9416" s="615" t="s">
        <v>623</v>
      </c>
      <c r="G9416" s="300" t="s">
        <v>624</v>
      </c>
      <c r="H9416" s="257" t="s">
        <v>625</v>
      </c>
      <c r="M9416" s="615" t="s">
        <v>623</v>
      </c>
    </row>
    <row r="9417" spans="2:13" ht="18.75" customHeight="1" x14ac:dyDescent="0.25">
      <c r="B9417" s="619"/>
      <c r="C9417" s="621"/>
      <c r="D9417" s="619"/>
      <c r="E9417" s="619"/>
      <c r="F9417" s="616"/>
      <c r="G9417" s="585" t="s">
        <v>626</v>
      </c>
      <c r="H9417" s="586" t="s">
        <v>626</v>
      </c>
      <c r="M9417" s="616"/>
    </row>
    <row r="9418" spans="2:13" ht="18.75" customHeight="1" x14ac:dyDescent="0.25">
      <c r="B9418" s="221"/>
      <c r="C9418" s="222"/>
      <c r="D9418" s="221"/>
      <c r="E9418" s="550"/>
      <c r="F9418" s="555"/>
      <c r="G9418" s="551"/>
      <c r="H9418" s="220"/>
      <c r="M9418" s="590"/>
    </row>
    <row r="9419" spans="2:13" ht="18.75" customHeight="1" x14ac:dyDescent="0.25">
      <c r="B9419" s="550" t="s">
        <v>627</v>
      </c>
      <c r="C9419" s="223" t="s">
        <v>628</v>
      </c>
      <c r="D9419" s="550"/>
      <c r="E9419" s="224"/>
      <c r="F9419" s="225"/>
      <c r="G9419" s="290"/>
      <c r="H9419" s="226"/>
      <c r="M9419" s="225"/>
    </row>
    <row r="9420" spans="2:13" ht="18.75" customHeight="1" x14ac:dyDescent="0.25">
      <c r="B9420" s="550"/>
      <c r="C9420" s="227" t="s">
        <v>629</v>
      </c>
      <c r="D9420" s="550" t="s">
        <v>630</v>
      </c>
      <c r="E9420" s="224" t="s">
        <v>631</v>
      </c>
      <c r="F9420" s="228">
        <v>1.2</v>
      </c>
      <c r="G9420" s="229">
        <f>G9393</f>
        <v>95000</v>
      </c>
      <c r="H9420" s="230">
        <f>+G9420*F9420</f>
        <v>114000</v>
      </c>
      <c r="M9420" s="228">
        <v>1.2</v>
      </c>
    </row>
    <row r="9421" spans="2:13" ht="18.75" customHeight="1" x14ac:dyDescent="0.25">
      <c r="B9421" s="550"/>
      <c r="C9421" s="227" t="s">
        <v>1508</v>
      </c>
      <c r="D9421" s="550" t="s">
        <v>632</v>
      </c>
      <c r="E9421" s="224" t="s">
        <v>631</v>
      </c>
      <c r="F9421" s="228">
        <v>1.45</v>
      </c>
      <c r="G9421" s="229">
        <f>G9394</f>
        <v>110000</v>
      </c>
      <c r="H9421" s="230">
        <f>+G9421*F9421</f>
        <v>159500</v>
      </c>
      <c r="M9421" s="228">
        <v>1.45</v>
      </c>
    </row>
    <row r="9422" spans="2:13" ht="18.75" customHeight="1" x14ac:dyDescent="0.25">
      <c r="B9422" s="550"/>
      <c r="C9422" s="227" t="s">
        <v>633</v>
      </c>
      <c r="D9422" s="550" t="s">
        <v>634</v>
      </c>
      <c r="E9422" s="224" t="s">
        <v>631</v>
      </c>
      <c r="F9422" s="228">
        <v>0.15</v>
      </c>
      <c r="G9422" s="229">
        <f>G9395</f>
        <v>115000</v>
      </c>
      <c r="H9422" s="230">
        <f>+G9422*F9422</f>
        <v>17250</v>
      </c>
      <c r="M9422" s="228">
        <v>0.15</v>
      </c>
    </row>
    <row r="9423" spans="2:13" ht="18.75" customHeight="1" x14ac:dyDescent="0.25">
      <c r="B9423" s="550"/>
      <c r="C9423" s="227" t="s">
        <v>600</v>
      </c>
      <c r="D9423" s="550" t="s">
        <v>635</v>
      </c>
      <c r="E9423" s="224" t="s">
        <v>631</v>
      </c>
      <c r="F9423" s="228">
        <v>7.4999999999999997E-2</v>
      </c>
      <c r="G9423" s="229">
        <f>G9396</f>
        <v>140000</v>
      </c>
      <c r="H9423" s="230">
        <f>+G9423*F9423</f>
        <v>10500</v>
      </c>
      <c r="M9423" s="228">
        <v>7.4999999999999997E-2</v>
      </c>
    </row>
    <row r="9424" spans="2:13" ht="18.75" customHeight="1" x14ac:dyDescent="0.25">
      <c r="B9424" s="550"/>
      <c r="C9424" s="223"/>
      <c r="D9424" s="550"/>
      <c r="E9424" s="224"/>
      <c r="F9424" s="237" t="s">
        <v>636</v>
      </c>
      <c r="G9424" s="290"/>
      <c r="H9424" s="231">
        <f>SUM(H9420:H9423)</f>
        <v>301250</v>
      </c>
      <c r="M9424" s="237" t="s">
        <v>636</v>
      </c>
    </row>
    <row r="9425" spans="2:13" ht="18.75" customHeight="1" x14ac:dyDescent="0.25">
      <c r="B9425" s="550"/>
      <c r="C9425" s="223"/>
      <c r="D9425" s="550"/>
      <c r="E9425" s="224"/>
      <c r="F9425" s="237"/>
      <c r="G9425" s="290"/>
      <c r="H9425" s="231"/>
      <c r="M9425" s="237"/>
    </row>
    <row r="9426" spans="2:13" ht="18.75" customHeight="1" x14ac:dyDescent="0.25">
      <c r="B9426" s="550" t="s">
        <v>637</v>
      </c>
      <c r="C9426" s="223" t="s">
        <v>638</v>
      </c>
      <c r="D9426" s="550"/>
      <c r="E9426" s="224"/>
      <c r="F9426" s="225"/>
      <c r="G9426" s="290"/>
      <c r="H9426" s="226"/>
      <c r="M9426" s="225"/>
    </row>
    <row r="9427" spans="2:13" ht="18.75" customHeight="1" x14ac:dyDescent="0.25">
      <c r="B9427" s="550"/>
      <c r="C9427" s="232" t="s">
        <v>1684</v>
      </c>
      <c r="D9427" s="550"/>
      <c r="E9427" s="550" t="s">
        <v>1369</v>
      </c>
      <c r="F9427" s="233">
        <v>1</v>
      </c>
      <c r="G9427" s="234">
        <f>Bahan!D577</f>
        <v>521000</v>
      </c>
      <c r="H9427" s="235">
        <f>G9427*F9427</f>
        <v>521000</v>
      </c>
      <c r="M9427" s="233">
        <v>1</v>
      </c>
    </row>
    <row r="9428" spans="2:13" ht="18.75" customHeight="1" x14ac:dyDescent="0.25">
      <c r="B9428" s="550"/>
      <c r="C9428" s="232" t="s">
        <v>708</v>
      </c>
      <c r="D9428" s="550"/>
      <c r="E9428" s="550" t="s">
        <v>5</v>
      </c>
      <c r="F9428" s="233">
        <v>0.6</v>
      </c>
      <c r="G9428" s="234">
        <f>+G9401</f>
        <v>1700</v>
      </c>
      <c r="H9428" s="230">
        <f>G9428*F9428</f>
        <v>1020</v>
      </c>
      <c r="M9428" s="233">
        <v>0.6</v>
      </c>
    </row>
    <row r="9429" spans="2:13" ht="18.75" customHeight="1" x14ac:dyDescent="0.25">
      <c r="B9429" s="550"/>
      <c r="C9429" s="232" t="s">
        <v>661</v>
      </c>
      <c r="D9429" s="550"/>
      <c r="E9429" s="550" t="s">
        <v>8</v>
      </c>
      <c r="F9429" s="233">
        <v>0.01</v>
      </c>
      <c r="G9429" s="234">
        <f>+G9402</f>
        <v>230000</v>
      </c>
      <c r="H9429" s="230">
        <f>G9429*F9429</f>
        <v>2300</v>
      </c>
      <c r="M9429" s="233">
        <v>0.01</v>
      </c>
    </row>
    <row r="9430" spans="2:13" ht="18.75" customHeight="1" x14ac:dyDescent="0.25">
      <c r="B9430" s="550"/>
      <c r="C9430" s="232" t="s">
        <v>1370</v>
      </c>
      <c r="D9430" s="550"/>
      <c r="E9430" s="584" t="s">
        <v>1373</v>
      </c>
      <c r="F9430" s="233">
        <v>0.12</v>
      </c>
      <c r="G9430" s="234">
        <f>G9427*0.12</f>
        <v>62520</v>
      </c>
      <c r="H9430" s="230">
        <f>G9430*F9430</f>
        <v>7502.4</v>
      </c>
      <c r="M9430" s="233">
        <v>0.12</v>
      </c>
    </row>
    <row r="9431" spans="2:13" ht="18.75" customHeight="1" x14ac:dyDescent="0.25">
      <c r="B9431" s="550"/>
      <c r="C9431" s="223"/>
      <c r="D9431" s="550"/>
      <c r="E9431" s="224"/>
      <c r="F9431" s="237" t="s">
        <v>643</v>
      </c>
      <c r="G9431" s="290"/>
      <c r="H9431" s="231">
        <f>SUM(H9427:H9430)</f>
        <v>531822.4</v>
      </c>
      <c r="M9431" s="237" t="s">
        <v>643</v>
      </c>
    </row>
    <row r="9432" spans="2:13" ht="18.75" customHeight="1" x14ac:dyDescent="0.25">
      <c r="B9432" s="550"/>
      <c r="C9432" s="223"/>
      <c r="D9432" s="550"/>
      <c r="E9432" s="224"/>
      <c r="F9432" s="237"/>
      <c r="G9432" s="290"/>
      <c r="H9432" s="231"/>
      <c r="M9432" s="237"/>
    </row>
    <row r="9433" spans="2:13" ht="18.75" customHeight="1" x14ac:dyDescent="0.25">
      <c r="B9433" s="550" t="s">
        <v>644</v>
      </c>
      <c r="C9433" s="223" t="s">
        <v>645</v>
      </c>
      <c r="D9433" s="550"/>
      <c r="E9433" s="224"/>
      <c r="F9433" s="225"/>
      <c r="G9433" s="290"/>
      <c r="H9433" s="235">
        <f>+G9433*F9433</f>
        <v>0</v>
      </c>
      <c r="M9433" s="225"/>
    </row>
    <row r="9434" spans="2:13" ht="18.75" customHeight="1" x14ac:dyDescent="0.25">
      <c r="B9434" s="236"/>
      <c r="C9434" s="232"/>
      <c r="D9434" s="550"/>
      <c r="E9434" s="224"/>
      <c r="F9434" s="237" t="s">
        <v>646</v>
      </c>
      <c r="G9434" s="290"/>
      <c r="H9434" s="230">
        <f>SUM(H9433)</f>
        <v>0</v>
      </c>
      <c r="M9434" s="237" t="s">
        <v>646</v>
      </c>
    </row>
    <row r="9435" spans="2:13" ht="18.75" customHeight="1" x14ac:dyDescent="0.25">
      <c r="B9435" s="236"/>
      <c r="C9435" s="562"/>
      <c r="D9435" s="563"/>
      <c r="E9435" s="564"/>
      <c r="F9435" s="565"/>
      <c r="G9435" s="566"/>
      <c r="H9435" s="226"/>
      <c r="M9435" s="565"/>
    </row>
    <row r="9436" spans="2:13" ht="18.75" customHeight="1" x14ac:dyDescent="0.25">
      <c r="B9436" s="354"/>
      <c r="C9436" s="362"/>
      <c r="D9436" s="239"/>
      <c r="E9436" s="266"/>
      <c r="F9436" s="241"/>
      <c r="G9436" s="370"/>
      <c r="H9436" s="369"/>
      <c r="M9436" s="241"/>
    </row>
    <row r="9437" spans="2:13" ht="18.75" customHeight="1" x14ac:dyDescent="0.25">
      <c r="B9437" s="356" t="s">
        <v>647</v>
      </c>
      <c r="C9437" s="364" t="s">
        <v>648</v>
      </c>
      <c r="D9437" s="435"/>
      <c r="E9437" s="92"/>
      <c r="F9437" s="183"/>
      <c r="G9437" s="295"/>
      <c r="H9437" s="357">
        <f>+H9434+H9431+H9424</f>
        <v>833072.4</v>
      </c>
      <c r="M9437" s="183"/>
    </row>
    <row r="9438" spans="2:13" ht="18.75" customHeight="1" x14ac:dyDescent="0.25">
      <c r="B9438" s="356" t="s">
        <v>649</v>
      </c>
      <c r="C9438" s="364" t="s">
        <v>650</v>
      </c>
      <c r="D9438" s="435"/>
      <c r="E9438" s="92"/>
      <c r="F9438" s="184" t="str">
        <f>$J$5</f>
        <v>8,0 % x D</v>
      </c>
      <c r="G9438" s="295"/>
      <c r="H9438" s="358">
        <f>+H9437*$K$5</f>
        <v>66645.792000000001</v>
      </c>
      <c r="M9438" s="184" t="str">
        <f>$J$5</f>
        <v>8,0 % x D</v>
      </c>
    </row>
    <row r="9439" spans="2:13" ht="18.75" customHeight="1" x14ac:dyDescent="0.25">
      <c r="B9439" s="356" t="s">
        <v>651</v>
      </c>
      <c r="C9439" s="365" t="s">
        <v>652</v>
      </c>
      <c r="D9439" s="435"/>
      <c r="E9439" s="91"/>
      <c r="F9439" s="185"/>
      <c r="G9439" s="296"/>
      <c r="H9439" s="359">
        <f>ROUNDUP((H9438+H9437)/100,0)*100</f>
        <v>899800</v>
      </c>
      <c r="M9439" s="185"/>
    </row>
    <row r="9440" spans="2:13" ht="18.75" customHeight="1" x14ac:dyDescent="0.25">
      <c r="B9440" s="360"/>
      <c r="C9440" s="581"/>
      <c r="D9440" s="245"/>
      <c r="E9440" s="246"/>
      <c r="F9440" s="247"/>
      <c r="G9440" s="299"/>
      <c r="H9440" s="361"/>
      <c r="M9440" s="247"/>
    </row>
    <row r="9441" spans="2:13" ht="18.75" customHeight="1" x14ac:dyDescent="0.25">
      <c r="B9441" s="92"/>
      <c r="C9441" s="242"/>
      <c r="D9441" s="435"/>
      <c r="E9441" s="91"/>
      <c r="F9441" s="185"/>
      <c r="G9441" s="168"/>
      <c r="H9441" s="139"/>
      <c r="M9441" s="185"/>
    </row>
    <row r="9442" spans="2:13" ht="18.75" customHeight="1" x14ac:dyDescent="0.25">
      <c r="B9442" s="19">
        <f>B9415+1</f>
        <v>5</v>
      </c>
      <c r="C9442" s="93" t="s">
        <v>1374</v>
      </c>
      <c r="D9442" s="19"/>
      <c r="E9442" s="21"/>
      <c r="F9442" s="176"/>
      <c r="G9442" s="165"/>
      <c r="H9442" s="119"/>
      <c r="M9442" s="176"/>
    </row>
    <row r="9443" spans="2:13" ht="18.75" customHeight="1" x14ac:dyDescent="0.25">
      <c r="B9443" s="618" t="s">
        <v>620</v>
      </c>
      <c r="C9443" s="620" t="s">
        <v>621</v>
      </c>
      <c r="D9443" s="618" t="s">
        <v>622</v>
      </c>
      <c r="E9443" s="618" t="s">
        <v>2</v>
      </c>
      <c r="F9443" s="615" t="s">
        <v>623</v>
      </c>
      <c r="G9443" s="300" t="s">
        <v>624</v>
      </c>
      <c r="H9443" s="257" t="s">
        <v>625</v>
      </c>
      <c r="M9443" s="615" t="s">
        <v>623</v>
      </c>
    </row>
    <row r="9444" spans="2:13" ht="18.75" customHeight="1" x14ac:dyDescent="0.25">
      <c r="B9444" s="619"/>
      <c r="C9444" s="621"/>
      <c r="D9444" s="619"/>
      <c r="E9444" s="619"/>
      <c r="F9444" s="616"/>
      <c r="G9444" s="585" t="s">
        <v>626</v>
      </c>
      <c r="H9444" s="586" t="s">
        <v>626</v>
      </c>
      <c r="M9444" s="616"/>
    </row>
    <row r="9445" spans="2:13" ht="18.75" customHeight="1" x14ac:dyDescent="0.25">
      <c r="B9445" s="221"/>
      <c r="C9445" s="222"/>
      <c r="D9445" s="221"/>
      <c r="E9445" s="550"/>
      <c r="F9445" s="555"/>
      <c r="G9445" s="551"/>
      <c r="H9445" s="220"/>
      <c r="M9445" s="590"/>
    </row>
    <row r="9446" spans="2:13" ht="18.75" customHeight="1" x14ac:dyDescent="0.25">
      <c r="B9446" s="550" t="s">
        <v>627</v>
      </c>
      <c r="C9446" s="223" t="s">
        <v>628</v>
      </c>
      <c r="D9446" s="550"/>
      <c r="E9446" s="224"/>
      <c r="F9446" s="225"/>
      <c r="G9446" s="290"/>
      <c r="H9446" s="226"/>
      <c r="M9446" s="225"/>
    </row>
    <row r="9447" spans="2:13" ht="18.75" customHeight="1" x14ac:dyDescent="0.25">
      <c r="B9447" s="550"/>
      <c r="C9447" s="227" t="s">
        <v>629</v>
      </c>
      <c r="D9447" s="550" t="s">
        <v>630</v>
      </c>
      <c r="E9447" s="224" t="s">
        <v>631</v>
      </c>
      <c r="F9447" s="228">
        <v>7.4999999999999997E-2</v>
      </c>
      <c r="G9447" s="229">
        <f>G9420</f>
        <v>95000</v>
      </c>
      <c r="H9447" s="230">
        <f>+G9447*F9447</f>
        <v>7125</v>
      </c>
      <c r="M9447" s="228">
        <v>7.4999999999999997E-2</v>
      </c>
    </row>
    <row r="9448" spans="2:13" ht="18.75" customHeight="1" x14ac:dyDescent="0.25">
      <c r="B9448" s="550"/>
      <c r="C9448" s="227" t="s">
        <v>1508</v>
      </c>
      <c r="D9448" s="550" t="s">
        <v>632</v>
      </c>
      <c r="E9448" s="224" t="s">
        <v>631</v>
      </c>
      <c r="F9448" s="228">
        <v>7.4999999999999997E-2</v>
      </c>
      <c r="G9448" s="229">
        <f>G9421</f>
        <v>110000</v>
      </c>
      <c r="H9448" s="230">
        <f>+G9448*F9448</f>
        <v>8250</v>
      </c>
      <c r="M9448" s="228">
        <v>7.4999999999999997E-2</v>
      </c>
    </row>
    <row r="9449" spans="2:13" ht="18.75" customHeight="1" x14ac:dyDescent="0.25">
      <c r="B9449" s="550"/>
      <c r="C9449" s="227" t="s">
        <v>633</v>
      </c>
      <c r="D9449" s="550" t="s">
        <v>634</v>
      </c>
      <c r="E9449" s="224" t="s">
        <v>631</v>
      </c>
      <c r="F9449" s="228">
        <v>7.4999999999999997E-2</v>
      </c>
      <c r="G9449" s="229">
        <f>G9422</f>
        <v>115000</v>
      </c>
      <c r="H9449" s="230">
        <f>+G9449*F9449</f>
        <v>8625</v>
      </c>
      <c r="M9449" s="228">
        <v>7.4999999999999997E-2</v>
      </c>
    </row>
    <row r="9450" spans="2:13" ht="18.75" customHeight="1" x14ac:dyDescent="0.25">
      <c r="B9450" s="550"/>
      <c r="C9450" s="227" t="s">
        <v>600</v>
      </c>
      <c r="D9450" s="550" t="s">
        <v>635</v>
      </c>
      <c r="E9450" s="224" t="s">
        <v>631</v>
      </c>
      <c r="F9450" s="228">
        <v>1E-3</v>
      </c>
      <c r="G9450" s="229">
        <f>G9423</f>
        <v>140000</v>
      </c>
      <c r="H9450" s="230">
        <f>+G9450*F9450</f>
        <v>140</v>
      </c>
      <c r="M9450" s="228">
        <v>1E-3</v>
      </c>
    </row>
    <row r="9451" spans="2:13" ht="18.75" customHeight="1" x14ac:dyDescent="0.25">
      <c r="B9451" s="550"/>
      <c r="C9451" s="223"/>
      <c r="D9451" s="550"/>
      <c r="E9451" s="224"/>
      <c r="F9451" s="237" t="s">
        <v>636</v>
      </c>
      <c r="G9451" s="290"/>
      <c r="H9451" s="231">
        <f>SUM(H9447:H9450)</f>
        <v>24140</v>
      </c>
      <c r="M9451" s="237" t="s">
        <v>636</v>
      </c>
    </row>
    <row r="9452" spans="2:13" ht="18.75" customHeight="1" x14ac:dyDescent="0.25">
      <c r="B9452" s="550"/>
      <c r="C9452" s="223"/>
      <c r="D9452" s="550"/>
      <c r="E9452" s="224"/>
      <c r="F9452" s="237"/>
      <c r="G9452" s="290"/>
      <c r="H9452" s="231"/>
      <c r="M9452" s="237"/>
    </row>
    <row r="9453" spans="2:13" ht="18.75" customHeight="1" x14ac:dyDescent="0.25">
      <c r="B9453" s="550" t="s">
        <v>637</v>
      </c>
      <c r="C9453" s="223" t="s">
        <v>638</v>
      </c>
      <c r="D9453" s="550"/>
      <c r="E9453" s="224"/>
      <c r="F9453" s="225"/>
      <c r="G9453" s="290"/>
      <c r="H9453" s="226"/>
      <c r="M9453" s="225"/>
    </row>
    <row r="9454" spans="2:13" ht="18.75" customHeight="1" x14ac:dyDescent="0.25">
      <c r="B9454" s="550"/>
      <c r="C9454" s="232" t="s">
        <v>1375</v>
      </c>
      <c r="D9454" s="550"/>
      <c r="E9454" s="550" t="s">
        <v>1369</v>
      </c>
      <c r="F9454" s="233">
        <v>1</v>
      </c>
      <c r="G9454" s="234">
        <f>Bahan!D575</f>
        <v>60000</v>
      </c>
      <c r="H9454" s="235">
        <f>G9454*F9454</f>
        <v>60000</v>
      </c>
      <c r="M9454" s="233">
        <v>1</v>
      </c>
    </row>
    <row r="9455" spans="2:13" ht="18.75" customHeight="1" x14ac:dyDescent="0.25">
      <c r="B9455" s="550"/>
      <c r="C9455" s="232" t="s">
        <v>1482</v>
      </c>
      <c r="D9455" s="550"/>
      <c r="E9455" s="550" t="s">
        <v>62</v>
      </c>
      <c r="F9455" s="233">
        <v>1</v>
      </c>
      <c r="G9455" s="234">
        <f>G9428</f>
        <v>1700</v>
      </c>
      <c r="H9455" s="235">
        <f>G9455*F9455</f>
        <v>1700</v>
      </c>
      <c r="M9455" s="233">
        <v>1</v>
      </c>
    </row>
    <row r="9456" spans="2:13" ht="18.75" customHeight="1" x14ac:dyDescent="0.25">
      <c r="B9456" s="550"/>
      <c r="C9456" s="232" t="s">
        <v>1083</v>
      </c>
      <c r="D9456" s="550"/>
      <c r="E9456" s="550" t="s">
        <v>52</v>
      </c>
      <c r="F9456" s="233">
        <v>5.0000000000000001E-3</v>
      </c>
      <c r="G9456" s="234">
        <f>G9429</f>
        <v>230000</v>
      </c>
      <c r="H9456" s="235">
        <f>G9456*F9456</f>
        <v>1150</v>
      </c>
      <c r="M9456" s="233">
        <v>5.0000000000000001E-3</v>
      </c>
    </row>
    <row r="9457" spans="2:13" ht="18.75" customHeight="1" x14ac:dyDescent="0.25">
      <c r="B9457" s="550"/>
      <c r="C9457" s="223"/>
      <c r="D9457" s="550"/>
      <c r="E9457" s="224"/>
      <c r="F9457" s="237" t="s">
        <v>643</v>
      </c>
      <c r="G9457" s="290"/>
      <c r="H9457" s="231">
        <f>SUM(H9454:H9456)</f>
        <v>62850</v>
      </c>
      <c r="M9457" s="237" t="s">
        <v>643</v>
      </c>
    </row>
    <row r="9458" spans="2:13" ht="18.75" customHeight="1" x14ac:dyDescent="0.25">
      <c r="B9458" s="550"/>
      <c r="C9458" s="223"/>
      <c r="D9458" s="550"/>
      <c r="E9458" s="224"/>
      <c r="F9458" s="225"/>
      <c r="G9458" s="290"/>
      <c r="H9458" s="226"/>
      <c r="M9458" s="225"/>
    </row>
    <row r="9459" spans="2:13" ht="18.75" customHeight="1" x14ac:dyDescent="0.25">
      <c r="B9459" s="550" t="s">
        <v>644</v>
      </c>
      <c r="C9459" s="223" t="s">
        <v>645</v>
      </c>
      <c r="D9459" s="550"/>
      <c r="E9459" s="224"/>
      <c r="F9459" s="225"/>
      <c r="G9459" s="290"/>
      <c r="H9459" s="235">
        <f>+G9459*F9459</f>
        <v>0</v>
      </c>
      <c r="M9459" s="225"/>
    </row>
    <row r="9460" spans="2:13" ht="18.75" customHeight="1" x14ac:dyDescent="0.25">
      <c r="B9460" s="236"/>
      <c r="C9460" s="232"/>
      <c r="D9460" s="550"/>
      <c r="E9460" s="224"/>
      <c r="F9460" s="237" t="s">
        <v>646</v>
      </c>
      <c r="G9460" s="290"/>
      <c r="H9460" s="230">
        <f>SUM(H9459)</f>
        <v>0</v>
      </c>
      <c r="M9460" s="237" t="s">
        <v>646</v>
      </c>
    </row>
    <row r="9461" spans="2:13" ht="18.75" customHeight="1" x14ac:dyDescent="0.25">
      <c r="B9461" s="236"/>
      <c r="C9461" s="562"/>
      <c r="D9461" s="563"/>
      <c r="E9461" s="564"/>
      <c r="F9461" s="565"/>
      <c r="G9461" s="566"/>
      <c r="H9461" s="226"/>
      <c r="M9461" s="565"/>
    </row>
    <row r="9462" spans="2:13" ht="18.75" customHeight="1" x14ac:dyDescent="0.25">
      <c r="B9462" s="354"/>
      <c r="C9462" s="362"/>
      <c r="D9462" s="239"/>
      <c r="E9462" s="266"/>
      <c r="F9462" s="241"/>
      <c r="G9462" s="370"/>
      <c r="H9462" s="369"/>
      <c r="M9462" s="241"/>
    </row>
    <row r="9463" spans="2:13" ht="18.75" customHeight="1" x14ac:dyDescent="0.25">
      <c r="B9463" s="356" t="s">
        <v>647</v>
      </c>
      <c r="C9463" s="364" t="s">
        <v>648</v>
      </c>
      <c r="D9463" s="435"/>
      <c r="E9463" s="92"/>
      <c r="F9463" s="183"/>
      <c r="G9463" s="295"/>
      <c r="H9463" s="357">
        <f>+H9460+H9457+H9451</f>
        <v>86990</v>
      </c>
      <c r="M9463" s="183"/>
    </row>
    <row r="9464" spans="2:13" ht="18.75" customHeight="1" x14ac:dyDescent="0.25">
      <c r="B9464" s="356" t="s">
        <v>649</v>
      </c>
      <c r="C9464" s="364" t="s">
        <v>650</v>
      </c>
      <c r="D9464" s="435"/>
      <c r="E9464" s="92"/>
      <c r="F9464" s="184" t="str">
        <f>$J$5</f>
        <v>8,0 % x D</v>
      </c>
      <c r="G9464" s="295"/>
      <c r="H9464" s="358">
        <f>+H9463*$K$5</f>
        <v>6959.2</v>
      </c>
      <c r="M9464" s="184" t="str">
        <f>$J$5</f>
        <v>8,0 % x D</v>
      </c>
    </row>
    <row r="9465" spans="2:13" ht="18.75" customHeight="1" x14ac:dyDescent="0.25">
      <c r="B9465" s="356" t="s">
        <v>651</v>
      </c>
      <c r="C9465" s="365" t="s">
        <v>652</v>
      </c>
      <c r="D9465" s="435"/>
      <c r="E9465" s="91"/>
      <c r="F9465" s="185"/>
      <c r="G9465" s="296"/>
      <c r="H9465" s="359">
        <f>ROUNDUP((H9464+H9463)/100,0)*100</f>
        <v>94000</v>
      </c>
      <c r="M9465" s="185"/>
    </row>
    <row r="9466" spans="2:13" ht="18.75" customHeight="1" x14ac:dyDescent="0.25">
      <c r="B9466" s="360"/>
      <c r="C9466" s="581"/>
      <c r="D9466" s="245"/>
      <c r="E9466" s="246"/>
      <c r="F9466" s="247"/>
      <c r="G9466" s="299"/>
      <c r="H9466" s="361"/>
      <c r="M9466" s="247"/>
    </row>
    <row r="9467" spans="2:13" ht="18.75" customHeight="1" x14ac:dyDescent="0.25">
      <c r="B9467" s="22"/>
      <c r="E9467" s="21"/>
      <c r="F9467" s="176"/>
      <c r="G9467" s="165"/>
      <c r="H9467" s="119"/>
      <c r="M9467" s="176"/>
    </row>
    <row r="9468" spans="2:13" ht="18.75" customHeight="1" x14ac:dyDescent="0.25">
      <c r="B9468" s="19">
        <f>B9442+1</f>
        <v>6</v>
      </c>
      <c r="C9468" s="93" t="s">
        <v>1376</v>
      </c>
      <c r="D9468" s="19"/>
      <c r="E9468" s="21"/>
      <c r="F9468" s="176"/>
      <c r="G9468" s="165"/>
      <c r="H9468" s="119"/>
      <c r="M9468" s="176"/>
    </row>
    <row r="9469" spans="2:13" ht="18.75" customHeight="1" x14ac:dyDescent="0.25">
      <c r="B9469" s="618" t="s">
        <v>620</v>
      </c>
      <c r="C9469" s="620" t="s">
        <v>621</v>
      </c>
      <c r="D9469" s="618" t="s">
        <v>622</v>
      </c>
      <c r="E9469" s="618" t="s">
        <v>2</v>
      </c>
      <c r="F9469" s="615" t="s">
        <v>623</v>
      </c>
      <c r="G9469" s="300" t="s">
        <v>624</v>
      </c>
      <c r="H9469" s="257" t="s">
        <v>625</v>
      </c>
      <c r="M9469" s="615" t="s">
        <v>623</v>
      </c>
    </row>
    <row r="9470" spans="2:13" ht="18.75" customHeight="1" x14ac:dyDescent="0.25">
      <c r="B9470" s="619"/>
      <c r="C9470" s="621"/>
      <c r="D9470" s="619"/>
      <c r="E9470" s="619"/>
      <c r="F9470" s="616"/>
      <c r="G9470" s="585" t="s">
        <v>626</v>
      </c>
      <c r="H9470" s="586" t="s">
        <v>626</v>
      </c>
      <c r="M9470" s="616"/>
    </row>
    <row r="9471" spans="2:13" ht="18.75" customHeight="1" x14ac:dyDescent="0.25">
      <c r="B9471" s="221"/>
      <c r="C9471" s="222"/>
      <c r="D9471" s="221"/>
      <c r="E9471" s="550"/>
      <c r="F9471" s="555"/>
      <c r="G9471" s="551"/>
      <c r="H9471" s="220"/>
      <c r="M9471" s="590"/>
    </row>
    <row r="9472" spans="2:13" ht="18.75" customHeight="1" x14ac:dyDescent="0.25">
      <c r="B9472" s="550" t="s">
        <v>627</v>
      </c>
      <c r="C9472" s="223" t="s">
        <v>628</v>
      </c>
      <c r="D9472" s="550"/>
      <c r="E9472" s="224"/>
      <c r="F9472" s="225"/>
      <c r="G9472" s="290"/>
      <c r="H9472" s="226"/>
      <c r="M9472" s="225"/>
    </row>
    <row r="9473" spans="2:13" ht="18.75" customHeight="1" x14ac:dyDescent="0.25">
      <c r="B9473" s="550"/>
      <c r="C9473" s="227" t="s">
        <v>629</v>
      </c>
      <c r="D9473" s="550" t="s">
        <v>630</v>
      </c>
      <c r="E9473" s="224" t="s">
        <v>631</v>
      </c>
      <c r="F9473" s="228">
        <v>0.3</v>
      </c>
      <c r="G9473" s="229">
        <f>G9447</f>
        <v>95000</v>
      </c>
      <c r="H9473" s="230">
        <f>+G9473*F9473</f>
        <v>28500</v>
      </c>
      <c r="M9473" s="228">
        <v>0.3</v>
      </c>
    </row>
    <row r="9474" spans="2:13" ht="18.75" customHeight="1" x14ac:dyDescent="0.25">
      <c r="B9474" s="550"/>
      <c r="C9474" s="227" t="s">
        <v>1508</v>
      </c>
      <c r="D9474" s="550" t="s">
        <v>632</v>
      </c>
      <c r="E9474" s="224" t="s">
        <v>631</v>
      </c>
      <c r="F9474" s="228">
        <v>0.45</v>
      </c>
      <c r="G9474" s="229">
        <f>G9448</f>
        <v>110000</v>
      </c>
      <c r="H9474" s="230">
        <f>+G9474*F9474</f>
        <v>49500</v>
      </c>
      <c r="M9474" s="228">
        <v>0.45</v>
      </c>
    </row>
    <row r="9475" spans="2:13" ht="18.75" customHeight="1" x14ac:dyDescent="0.25">
      <c r="B9475" s="550"/>
      <c r="C9475" s="227" t="s">
        <v>633</v>
      </c>
      <c r="D9475" s="550" t="s">
        <v>634</v>
      </c>
      <c r="E9475" s="224" t="s">
        <v>631</v>
      </c>
      <c r="F9475" s="228">
        <v>7.5499999999999998E-2</v>
      </c>
      <c r="G9475" s="229">
        <f>G9449</f>
        <v>115000</v>
      </c>
      <c r="H9475" s="230">
        <f>+G9475*F9475</f>
        <v>8682.5</v>
      </c>
      <c r="M9475" s="228">
        <v>7.5499999999999998E-2</v>
      </c>
    </row>
    <row r="9476" spans="2:13" ht="18.75" customHeight="1" x14ac:dyDescent="0.25">
      <c r="B9476" s="550"/>
      <c r="C9476" s="227" t="s">
        <v>600</v>
      </c>
      <c r="D9476" s="550" t="s">
        <v>635</v>
      </c>
      <c r="E9476" s="224" t="s">
        <v>631</v>
      </c>
      <c r="F9476" s="228">
        <v>1.4999999999999999E-2</v>
      </c>
      <c r="G9476" s="229">
        <f>G9450</f>
        <v>140000</v>
      </c>
      <c r="H9476" s="230">
        <f>+G9476*F9476</f>
        <v>2100</v>
      </c>
      <c r="M9476" s="228">
        <v>1.4999999999999999E-2</v>
      </c>
    </row>
    <row r="9477" spans="2:13" ht="18.75" customHeight="1" x14ac:dyDescent="0.25">
      <c r="B9477" s="550"/>
      <c r="C9477" s="223"/>
      <c r="D9477" s="550"/>
      <c r="E9477" s="224"/>
      <c r="F9477" s="237" t="s">
        <v>636</v>
      </c>
      <c r="G9477" s="290"/>
      <c r="H9477" s="231">
        <f>SUM(H9473:H9476)</f>
        <v>88782.5</v>
      </c>
      <c r="M9477" s="237" t="s">
        <v>636</v>
      </c>
    </row>
    <row r="9478" spans="2:13" ht="18.75" customHeight="1" x14ac:dyDescent="0.25">
      <c r="B9478" s="550"/>
      <c r="C9478" s="223"/>
      <c r="D9478" s="550"/>
      <c r="E9478" s="224"/>
      <c r="F9478" s="237"/>
      <c r="G9478" s="290"/>
      <c r="H9478" s="231"/>
      <c r="M9478" s="237"/>
    </row>
    <row r="9479" spans="2:13" ht="18.75" customHeight="1" x14ac:dyDescent="0.25">
      <c r="B9479" s="550" t="s">
        <v>637</v>
      </c>
      <c r="C9479" s="223" t="s">
        <v>638</v>
      </c>
      <c r="D9479" s="550"/>
      <c r="E9479" s="224"/>
      <c r="F9479" s="225"/>
      <c r="G9479" s="290"/>
      <c r="H9479" s="226"/>
      <c r="M9479" s="225"/>
    </row>
    <row r="9480" spans="2:13" ht="18.75" customHeight="1" x14ac:dyDescent="0.25">
      <c r="B9480" s="550"/>
      <c r="C9480" s="232" t="s">
        <v>507</v>
      </c>
      <c r="D9480" s="550"/>
      <c r="E9480" s="550" t="s">
        <v>1369</v>
      </c>
      <c r="F9480" s="233">
        <v>1</v>
      </c>
      <c r="G9480" s="234">
        <f>Bahan!D561</f>
        <v>370000</v>
      </c>
      <c r="H9480" s="235">
        <f>G9480*F9480</f>
        <v>370000</v>
      </c>
      <c r="M9480" s="233">
        <v>1</v>
      </c>
    </row>
    <row r="9481" spans="2:13" ht="18.75" customHeight="1" x14ac:dyDescent="0.25">
      <c r="B9481" s="550"/>
      <c r="C9481" s="232" t="s">
        <v>1370</v>
      </c>
      <c r="D9481" s="550"/>
      <c r="E9481" s="550" t="s">
        <v>546</v>
      </c>
      <c r="F9481" s="233">
        <v>0.12</v>
      </c>
      <c r="G9481" s="234">
        <f>0.3*G9480</f>
        <v>111000</v>
      </c>
      <c r="H9481" s="235">
        <f>F9481*G9481</f>
        <v>13320</v>
      </c>
      <c r="M9481" s="233">
        <v>0.12</v>
      </c>
    </row>
    <row r="9482" spans="2:13" ht="18.75" customHeight="1" x14ac:dyDescent="0.25">
      <c r="B9482" s="550"/>
      <c r="C9482" s="223"/>
      <c r="D9482" s="550"/>
      <c r="E9482" s="224"/>
      <c r="F9482" s="237" t="s">
        <v>643</v>
      </c>
      <c r="G9482" s="290"/>
      <c r="H9482" s="231">
        <f>SUM(H9480:H9481)</f>
        <v>383320</v>
      </c>
      <c r="M9482" s="237" t="s">
        <v>643</v>
      </c>
    </row>
    <row r="9483" spans="2:13" ht="18.75" customHeight="1" x14ac:dyDescent="0.25">
      <c r="B9483" s="550"/>
      <c r="C9483" s="223"/>
      <c r="D9483" s="550"/>
      <c r="E9483" s="224"/>
      <c r="F9483" s="225"/>
      <c r="G9483" s="290"/>
      <c r="H9483" s="226"/>
      <c r="M9483" s="225"/>
    </row>
    <row r="9484" spans="2:13" ht="18.75" customHeight="1" x14ac:dyDescent="0.25">
      <c r="B9484" s="550" t="s">
        <v>644</v>
      </c>
      <c r="C9484" s="223" t="s">
        <v>645</v>
      </c>
      <c r="D9484" s="550"/>
      <c r="E9484" s="224"/>
      <c r="F9484" s="225"/>
      <c r="G9484" s="290"/>
      <c r="H9484" s="235">
        <f>+G9484*F9484</f>
        <v>0</v>
      </c>
      <c r="M9484" s="225"/>
    </row>
    <row r="9485" spans="2:13" ht="18.75" customHeight="1" x14ac:dyDescent="0.25">
      <c r="B9485" s="236"/>
      <c r="C9485" s="232"/>
      <c r="D9485" s="550"/>
      <c r="E9485" s="224"/>
      <c r="F9485" s="237" t="s">
        <v>646</v>
      </c>
      <c r="G9485" s="290"/>
      <c r="H9485" s="230">
        <f>SUM(H9484)</f>
        <v>0</v>
      </c>
      <c r="M9485" s="237" t="s">
        <v>646</v>
      </c>
    </row>
    <row r="9486" spans="2:13" ht="18.75" customHeight="1" x14ac:dyDescent="0.25">
      <c r="B9486" s="236"/>
      <c r="C9486" s="562"/>
      <c r="D9486" s="563"/>
      <c r="E9486" s="564"/>
      <c r="F9486" s="565"/>
      <c r="G9486" s="566"/>
      <c r="H9486" s="230"/>
      <c r="M9486" s="565"/>
    </row>
    <row r="9487" spans="2:13" ht="18.75" customHeight="1" x14ac:dyDescent="0.25">
      <c r="B9487" s="354"/>
      <c r="C9487" s="362"/>
      <c r="D9487" s="239"/>
      <c r="E9487" s="240"/>
      <c r="F9487" s="241"/>
      <c r="G9487" s="293"/>
      <c r="H9487" s="355"/>
      <c r="M9487" s="241"/>
    </row>
    <row r="9488" spans="2:13" ht="18.75" customHeight="1" x14ac:dyDescent="0.25">
      <c r="B9488" s="356" t="s">
        <v>647</v>
      </c>
      <c r="C9488" s="364" t="s">
        <v>648</v>
      </c>
      <c r="D9488" s="435"/>
      <c r="E9488" s="92"/>
      <c r="F9488" s="183"/>
      <c r="G9488" s="295"/>
      <c r="H9488" s="357">
        <f>+H9485+H9482+H9477</f>
        <v>472102.5</v>
      </c>
      <c r="M9488" s="183"/>
    </row>
    <row r="9489" spans="2:13" ht="18.75" customHeight="1" x14ac:dyDescent="0.25">
      <c r="B9489" s="356" t="s">
        <v>649</v>
      </c>
      <c r="C9489" s="364" t="s">
        <v>650</v>
      </c>
      <c r="D9489" s="435"/>
      <c r="E9489" s="92"/>
      <c r="F9489" s="184" t="str">
        <f>$J$5</f>
        <v>8,0 % x D</v>
      </c>
      <c r="G9489" s="295"/>
      <c r="H9489" s="358">
        <f>+H9488*$K$5</f>
        <v>37768.200000000004</v>
      </c>
      <c r="M9489" s="184" t="str">
        <f>$J$5</f>
        <v>8,0 % x D</v>
      </c>
    </row>
    <row r="9490" spans="2:13" ht="18.75" customHeight="1" x14ac:dyDescent="0.25">
      <c r="B9490" s="356" t="s">
        <v>651</v>
      </c>
      <c r="C9490" s="365" t="s">
        <v>652</v>
      </c>
      <c r="D9490" s="435"/>
      <c r="E9490" s="91"/>
      <c r="F9490" s="185"/>
      <c r="G9490" s="296"/>
      <c r="H9490" s="359">
        <f>ROUNDUP((H9489+H9488)/100,0)*100</f>
        <v>509900</v>
      </c>
      <c r="M9490" s="185"/>
    </row>
    <row r="9491" spans="2:13" ht="18.75" customHeight="1" x14ac:dyDescent="0.25">
      <c r="B9491" s="360"/>
      <c r="C9491" s="581"/>
      <c r="D9491" s="245"/>
      <c r="E9491" s="246"/>
      <c r="F9491" s="247"/>
      <c r="G9491" s="299"/>
      <c r="H9491" s="361"/>
      <c r="M9491" s="247"/>
    </row>
    <row r="9492" spans="2:13" ht="18.75" customHeight="1" x14ac:dyDescent="0.25">
      <c r="B9492" s="92"/>
      <c r="C9492" s="242"/>
      <c r="D9492" s="435"/>
      <c r="E9492" s="91"/>
      <c r="F9492" s="185"/>
      <c r="G9492" s="168"/>
      <c r="H9492" s="139"/>
      <c r="M9492" s="185"/>
    </row>
    <row r="9493" spans="2:13" ht="18.75" customHeight="1" x14ac:dyDescent="0.25">
      <c r="B9493" s="19">
        <f>B9468+1</f>
        <v>7</v>
      </c>
      <c r="C9493" s="93" t="s">
        <v>1840</v>
      </c>
      <c r="D9493" s="19"/>
      <c r="E9493" s="21"/>
      <c r="F9493" s="176"/>
      <c r="G9493" s="165"/>
      <c r="H9493" s="119"/>
      <c r="M9493" s="176"/>
    </row>
    <row r="9494" spans="2:13" ht="18.75" customHeight="1" x14ac:dyDescent="0.25">
      <c r="B9494" s="618" t="s">
        <v>620</v>
      </c>
      <c r="C9494" s="620" t="s">
        <v>621</v>
      </c>
      <c r="D9494" s="618" t="s">
        <v>622</v>
      </c>
      <c r="E9494" s="618" t="s">
        <v>2</v>
      </c>
      <c r="F9494" s="615" t="s">
        <v>623</v>
      </c>
      <c r="G9494" s="300" t="s">
        <v>624</v>
      </c>
      <c r="H9494" s="257" t="s">
        <v>625</v>
      </c>
      <c r="M9494" s="615" t="s">
        <v>623</v>
      </c>
    </row>
    <row r="9495" spans="2:13" ht="18.75" customHeight="1" x14ac:dyDescent="0.25">
      <c r="B9495" s="619"/>
      <c r="C9495" s="621"/>
      <c r="D9495" s="619"/>
      <c r="E9495" s="619"/>
      <c r="F9495" s="616"/>
      <c r="G9495" s="585" t="s">
        <v>626</v>
      </c>
      <c r="H9495" s="586" t="s">
        <v>626</v>
      </c>
      <c r="M9495" s="616"/>
    </row>
    <row r="9496" spans="2:13" ht="18.75" customHeight="1" x14ac:dyDescent="0.25">
      <c r="B9496" s="221"/>
      <c r="C9496" s="222"/>
      <c r="D9496" s="221"/>
      <c r="E9496" s="550"/>
      <c r="F9496" s="555"/>
      <c r="G9496" s="551"/>
      <c r="H9496" s="220"/>
      <c r="M9496" s="590"/>
    </row>
    <row r="9497" spans="2:13" ht="18.75" customHeight="1" x14ac:dyDescent="0.25">
      <c r="B9497" s="550" t="s">
        <v>627</v>
      </c>
      <c r="C9497" s="223" t="s">
        <v>628</v>
      </c>
      <c r="D9497" s="550"/>
      <c r="E9497" s="224"/>
      <c r="F9497" s="225"/>
      <c r="G9497" s="290"/>
      <c r="H9497" s="226"/>
      <c r="M9497" s="225"/>
    </row>
    <row r="9498" spans="2:13" ht="18.75" customHeight="1" x14ac:dyDescent="0.25">
      <c r="B9498" s="550"/>
      <c r="C9498" s="227" t="s">
        <v>629</v>
      </c>
      <c r="D9498" s="550" t="s">
        <v>630</v>
      </c>
      <c r="E9498" s="224" t="s">
        <v>631</v>
      </c>
      <c r="F9498" s="228">
        <v>6</v>
      </c>
      <c r="G9498" s="229">
        <f>G9447</f>
        <v>95000</v>
      </c>
      <c r="H9498" s="230">
        <f>+G9498*F9498</f>
        <v>570000</v>
      </c>
      <c r="M9498" s="228">
        <v>6</v>
      </c>
    </row>
    <row r="9499" spans="2:13" ht="18.75" customHeight="1" x14ac:dyDescent="0.25">
      <c r="B9499" s="550"/>
      <c r="C9499" s="227" t="s">
        <v>1508</v>
      </c>
      <c r="D9499" s="550" t="s">
        <v>632</v>
      </c>
      <c r="E9499" s="224" t="s">
        <v>631</v>
      </c>
      <c r="F9499" s="228">
        <v>3</v>
      </c>
      <c r="G9499" s="229">
        <f>G9448</f>
        <v>110000</v>
      </c>
      <c r="H9499" s="230">
        <f>+G9499*F9499</f>
        <v>330000</v>
      </c>
      <c r="M9499" s="228">
        <v>3</v>
      </c>
    </row>
    <row r="9500" spans="2:13" ht="18.75" customHeight="1" x14ac:dyDescent="0.25">
      <c r="B9500" s="550"/>
      <c r="C9500" s="227" t="s">
        <v>633</v>
      </c>
      <c r="D9500" s="550" t="s">
        <v>634</v>
      </c>
      <c r="E9500" s="224" t="s">
        <v>631</v>
      </c>
      <c r="F9500" s="228">
        <v>0.3</v>
      </c>
      <c r="G9500" s="229">
        <f>G9449</f>
        <v>115000</v>
      </c>
      <c r="H9500" s="230">
        <f>+G9500*F9500</f>
        <v>34500</v>
      </c>
      <c r="M9500" s="228">
        <v>0.3</v>
      </c>
    </row>
    <row r="9501" spans="2:13" ht="18.75" customHeight="1" x14ac:dyDescent="0.25">
      <c r="B9501" s="550"/>
      <c r="C9501" s="227" t="s">
        <v>600</v>
      </c>
      <c r="D9501" s="550" t="s">
        <v>635</v>
      </c>
      <c r="E9501" s="224" t="s">
        <v>631</v>
      </c>
      <c r="F9501" s="228">
        <v>0.03</v>
      </c>
      <c r="G9501" s="229">
        <f>G9450</f>
        <v>140000</v>
      </c>
      <c r="H9501" s="230">
        <f>+G9501*F9501</f>
        <v>4200</v>
      </c>
      <c r="M9501" s="228">
        <v>0.03</v>
      </c>
    </row>
    <row r="9502" spans="2:13" ht="18.75" customHeight="1" x14ac:dyDescent="0.25">
      <c r="B9502" s="550"/>
      <c r="C9502" s="223"/>
      <c r="D9502" s="550"/>
      <c r="E9502" s="224"/>
      <c r="F9502" s="237" t="s">
        <v>636</v>
      </c>
      <c r="G9502" s="290"/>
      <c r="H9502" s="231">
        <f>SUM(H9498:H9501)</f>
        <v>938700</v>
      </c>
      <c r="M9502" s="237" t="s">
        <v>636</v>
      </c>
    </row>
    <row r="9503" spans="2:13" ht="18.75" customHeight="1" x14ac:dyDescent="0.25">
      <c r="B9503" s="550"/>
      <c r="C9503" s="223"/>
      <c r="D9503" s="550"/>
      <c r="E9503" s="224"/>
      <c r="F9503" s="237"/>
      <c r="G9503" s="290"/>
      <c r="H9503" s="231"/>
      <c r="M9503" s="237"/>
    </row>
    <row r="9504" spans="2:13" ht="18.75" customHeight="1" x14ac:dyDescent="0.25">
      <c r="B9504" s="550" t="s">
        <v>637</v>
      </c>
      <c r="C9504" s="223" t="s">
        <v>638</v>
      </c>
      <c r="D9504" s="550"/>
      <c r="E9504" s="224"/>
      <c r="F9504" s="225"/>
      <c r="G9504" s="290"/>
      <c r="H9504" s="226"/>
      <c r="M9504" s="225"/>
    </row>
    <row r="9505" spans="2:13" ht="18.75" customHeight="1" x14ac:dyDescent="0.25">
      <c r="B9505" s="550"/>
      <c r="C9505" s="232" t="s">
        <v>663</v>
      </c>
      <c r="D9505" s="550"/>
      <c r="E9505" s="550" t="s">
        <v>8</v>
      </c>
      <c r="F9505" s="233">
        <v>150</v>
      </c>
      <c r="G9505" s="234">
        <f>Bahan!D69</f>
        <v>3750</v>
      </c>
      <c r="H9505" s="235">
        <f>G9505*F9505</f>
        <v>562500</v>
      </c>
      <c r="M9505" s="233">
        <v>150</v>
      </c>
    </row>
    <row r="9506" spans="2:13" ht="18.75" customHeight="1" x14ac:dyDescent="0.25">
      <c r="B9506" s="550"/>
      <c r="C9506" s="232" t="s">
        <v>708</v>
      </c>
      <c r="D9506" s="550"/>
      <c r="E9506" s="550" t="s">
        <v>5</v>
      </c>
      <c r="F9506" s="233">
        <v>120</v>
      </c>
      <c r="G9506" s="234">
        <f>G9455</f>
        <v>1700</v>
      </c>
      <c r="H9506" s="230">
        <f>+G9506*F9506</f>
        <v>204000</v>
      </c>
      <c r="M9506" s="233">
        <v>120</v>
      </c>
    </row>
    <row r="9507" spans="2:13" ht="18.75" customHeight="1" x14ac:dyDescent="0.25">
      <c r="B9507" s="550"/>
      <c r="C9507" s="232" t="s">
        <v>661</v>
      </c>
      <c r="D9507" s="550"/>
      <c r="E9507" s="550" t="s">
        <v>8</v>
      </c>
      <c r="F9507" s="233">
        <v>0.3</v>
      </c>
      <c r="G9507" s="234">
        <f>G9429</f>
        <v>230000</v>
      </c>
      <c r="H9507" s="230">
        <f>G9507*F9507</f>
        <v>69000</v>
      </c>
      <c r="M9507" s="233">
        <v>0.3</v>
      </c>
    </row>
    <row r="9508" spans="2:13" ht="18.75" customHeight="1" x14ac:dyDescent="0.25">
      <c r="B9508" s="550"/>
      <c r="C9508" s="232" t="s">
        <v>1377</v>
      </c>
      <c r="D9508" s="550"/>
      <c r="E9508" s="550" t="s">
        <v>16</v>
      </c>
      <c r="F9508" s="233">
        <v>360</v>
      </c>
      <c r="G9508" s="234">
        <f>Bahan!D287/82</f>
        <v>829.26829268292681</v>
      </c>
      <c r="H9508" s="230">
        <f>G9508*F9508</f>
        <v>298536.58536585368</v>
      </c>
      <c r="M9508" s="233">
        <v>360</v>
      </c>
    </row>
    <row r="9509" spans="2:13" ht="18.75" customHeight="1" x14ac:dyDescent="0.25">
      <c r="B9509" s="550"/>
      <c r="C9509" s="232" t="s">
        <v>1018</v>
      </c>
      <c r="D9509" s="550"/>
      <c r="E9509" s="550" t="s">
        <v>5</v>
      </c>
      <c r="F9509" s="233">
        <v>6</v>
      </c>
      <c r="G9509" s="410">
        <f>Bahan!D581</f>
        <v>14500</v>
      </c>
      <c r="H9509" s="235">
        <f>G9509*F9509</f>
        <v>87000</v>
      </c>
      <c r="M9509" s="233">
        <v>6</v>
      </c>
    </row>
    <row r="9510" spans="2:13" ht="18.75" customHeight="1" x14ac:dyDescent="0.25">
      <c r="B9510" s="550"/>
      <c r="C9510" s="223"/>
      <c r="D9510" s="550"/>
      <c r="E9510" s="224"/>
      <c r="F9510" s="237" t="s">
        <v>643</v>
      </c>
      <c r="G9510" s="290"/>
      <c r="H9510" s="231">
        <f>SUM(H9505:H9509)</f>
        <v>1221036.5853658537</v>
      </c>
      <c r="M9510" s="237" t="s">
        <v>643</v>
      </c>
    </row>
    <row r="9511" spans="2:13" ht="18.75" customHeight="1" x14ac:dyDescent="0.25">
      <c r="B9511" s="550"/>
      <c r="C9511" s="223"/>
      <c r="D9511" s="550"/>
      <c r="E9511" s="224"/>
      <c r="F9511" s="225"/>
      <c r="G9511" s="290"/>
      <c r="H9511" s="226"/>
      <c r="M9511" s="225"/>
    </row>
    <row r="9512" spans="2:13" ht="18.75" customHeight="1" x14ac:dyDescent="0.25">
      <c r="B9512" s="550" t="s">
        <v>644</v>
      </c>
      <c r="C9512" s="223" t="s">
        <v>645</v>
      </c>
      <c r="D9512" s="550"/>
      <c r="E9512" s="224"/>
      <c r="F9512" s="225"/>
      <c r="G9512" s="290"/>
      <c r="H9512" s="235">
        <f>+G9512*F9512</f>
        <v>0</v>
      </c>
      <c r="M9512" s="225"/>
    </row>
    <row r="9513" spans="2:13" ht="18.75" customHeight="1" x14ac:dyDescent="0.25">
      <c r="B9513" s="236"/>
      <c r="C9513" s="232"/>
      <c r="D9513" s="550"/>
      <c r="E9513" s="224"/>
      <c r="F9513" s="237" t="s">
        <v>646</v>
      </c>
      <c r="G9513" s="290"/>
      <c r="H9513" s="230">
        <f>SUM(H9512)</f>
        <v>0</v>
      </c>
      <c r="M9513" s="237" t="s">
        <v>646</v>
      </c>
    </row>
    <row r="9514" spans="2:13" ht="18.75" customHeight="1" x14ac:dyDescent="0.25">
      <c r="B9514" s="236"/>
      <c r="C9514" s="562"/>
      <c r="D9514" s="563"/>
      <c r="E9514" s="564"/>
      <c r="F9514" s="565"/>
      <c r="G9514" s="566"/>
      <c r="H9514" s="226"/>
      <c r="M9514" s="565"/>
    </row>
    <row r="9515" spans="2:13" ht="18.75" customHeight="1" x14ac:dyDescent="0.25">
      <c r="B9515" s="354"/>
      <c r="C9515" s="362"/>
      <c r="D9515" s="239"/>
      <c r="E9515" s="240"/>
      <c r="F9515" s="241"/>
      <c r="G9515" s="293"/>
      <c r="H9515" s="355"/>
      <c r="M9515" s="241"/>
    </row>
    <row r="9516" spans="2:13" ht="18.75" customHeight="1" x14ac:dyDescent="0.25">
      <c r="B9516" s="356" t="s">
        <v>647</v>
      </c>
      <c r="C9516" s="364" t="s">
        <v>648</v>
      </c>
      <c r="D9516" s="435"/>
      <c r="E9516" s="92"/>
      <c r="F9516" s="183"/>
      <c r="G9516" s="295"/>
      <c r="H9516" s="357">
        <f>+H9513+H9510+H9502</f>
        <v>2159736.5853658537</v>
      </c>
      <c r="M9516" s="183"/>
    </row>
    <row r="9517" spans="2:13" ht="18.75" customHeight="1" x14ac:dyDescent="0.25">
      <c r="B9517" s="356" t="s">
        <v>649</v>
      </c>
      <c r="C9517" s="364" t="s">
        <v>650</v>
      </c>
      <c r="D9517" s="435"/>
      <c r="E9517" s="92"/>
      <c r="F9517" s="184" t="str">
        <f>$J$5</f>
        <v>8,0 % x D</v>
      </c>
      <c r="G9517" s="295"/>
      <c r="H9517" s="358">
        <f>+H9516*$K$5</f>
        <v>172778.92682926831</v>
      </c>
      <c r="M9517" s="184" t="str">
        <f>$J$5</f>
        <v>8,0 % x D</v>
      </c>
    </row>
    <row r="9518" spans="2:13" ht="18.75" customHeight="1" x14ac:dyDescent="0.25">
      <c r="B9518" s="356" t="s">
        <v>651</v>
      </c>
      <c r="C9518" s="365" t="s">
        <v>652</v>
      </c>
      <c r="D9518" s="435"/>
      <c r="E9518" s="91"/>
      <c r="F9518" s="185"/>
      <c r="G9518" s="296"/>
      <c r="H9518" s="359">
        <f>ROUNDUP((H9517+H9516)/100,0)*100</f>
        <v>2332600</v>
      </c>
      <c r="M9518" s="185"/>
    </row>
    <row r="9519" spans="2:13" ht="18.75" customHeight="1" x14ac:dyDescent="0.25">
      <c r="B9519" s="360"/>
      <c r="C9519" s="581"/>
      <c r="D9519" s="245"/>
      <c r="E9519" s="246"/>
      <c r="F9519" s="247"/>
      <c r="G9519" s="299"/>
      <c r="H9519" s="361"/>
      <c r="M9519" s="247"/>
    </row>
    <row r="9520" spans="2:13" ht="18.75" customHeight="1" x14ac:dyDescent="0.25">
      <c r="B9520" s="22"/>
      <c r="E9520" s="21"/>
      <c r="F9520" s="176"/>
      <c r="G9520" s="165"/>
      <c r="H9520" s="119"/>
      <c r="M9520" s="176"/>
    </row>
    <row r="9521" spans="2:13" ht="18.75" customHeight="1" x14ac:dyDescent="0.25">
      <c r="B9521" s="19">
        <f>B9493+1</f>
        <v>8</v>
      </c>
      <c r="C9521" s="93" t="s">
        <v>1378</v>
      </c>
      <c r="D9521" s="19"/>
      <c r="E9521" s="21"/>
      <c r="F9521" s="176"/>
      <c r="G9521" s="165"/>
      <c r="H9521" s="119"/>
      <c r="M9521" s="176"/>
    </row>
    <row r="9522" spans="2:13" ht="18.75" customHeight="1" x14ac:dyDescent="0.25">
      <c r="B9522" s="618" t="s">
        <v>620</v>
      </c>
      <c r="C9522" s="620" t="s">
        <v>621</v>
      </c>
      <c r="D9522" s="618" t="s">
        <v>622</v>
      </c>
      <c r="E9522" s="618" t="s">
        <v>2</v>
      </c>
      <c r="F9522" s="615" t="s">
        <v>623</v>
      </c>
      <c r="G9522" s="300" t="s">
        <v>624</v>
      </c>
      <c r="H9522" s="257" t="s">
        <v>625</v>
      </c>
      <c r="M9522" s="615" t="s">
        <v>623</v>
      </c>
    </row>
    <row r="9523" spans="2:13" ht="18.75" customHeight="1" x14ac:dyDescent="0.25">
      <c r="B9523" s="619"/>
      <c r="C9523" s="621"/>
      <c r="D9523" s="619"/>
      <c r="E9523" s="619"/>
      <c r="F9523" s="616"/>
      <c r="G9523" s="585" t="s">
        <v>626</v>
      </c>
      <c r="H9523" s="586" t="s">
        <v>626</v>
      </c>
      <c r="M9523" s="616"/>
    </row>
    <row r="9524" spans="2:13" ht="18.75" customHeight="1" x14ac:dyDescent="0.25">
      <c r="B9524" s="221"/>
      <c r="C9524" s="222"/>
      <c r="D9524" s="221"/>
      <c r="E9524" s="550"/>
      <c r="F9524" s="555"/>
      <c r="G9524" s="551"/>
      <c r="H9524" s="220"/>
      <c r="M9524" s="590"/>
    </row>
    <row r="9525" spans="2:13" ht="18.75" customHeight="1" x14ac:dyDescent="0.25">
      <c r="B9525" s="550" t="s">
        <v>627</v>
      </c>
      <c r="C9525" s="223" t="s">
        <v>628</v>
      </c>
      <c r="D9525" s="550"/>
      <c r="E9525" s="224"/>
      <c r="F9525" s="225"/>
      <c r="G9525" s="290"/>
      <c r="H9525" s="226"/>
      <c r="M9525" s="225"/>
    </row>
    <row r="9526" spans="2:13" ht="18.75" customHeight="1" x14ac:dyDescent="0.25">
      <c r="B9526" s="550"/>
      <c r="C9526" s="227" t="s">
        <v>629</v>
      </c>
      <c r="D9526" s="550" t="s">
        <v>630</v>
      </c>
      <c r="E9526" s="224" t="s">
        <v>631</v>
      </c>
      <c r="F9526" s="228">
        <v>0.255</v>
      </c>
      <c r="G9526" s="229">
        <f>G9498</f>
        <v>95000</v>
      </c>
      <c r="H9526" s="230">
        <f>+G9526*F9526</f>
        <v>24225</v>
      </c>
      <c r="M9526" s="228">
        <v>0.255</v>
      </c>
    </row>
    <row r="9527" spans="2:13" ht="18.75" customHeight="1" x14ac:dyDescent="0.25">
      <c r="B9527" s="550"/>
      <c r="C9527" s="227" t="s">
        <v>1508</v>
      </c>
      <c r="D9527" s="550" t="s">
        <v>632</v>
      </c>
      <c r="E9527" s="224" t="s">
        <v>631</v>
      </c>
      <c r="F9527" s="228">
        <v>4.5</v>
      </c>
      <c r="G9527" s="229">
        <f>G9499</f>
        <v>110000</v>
      </c>
      <c r="H9527" s="230">
        <f>+G9527*F9527</f>
        <v>495000</v>
      </c>
      <c r="M9527" s="228">
        <v>4.5</v>
      </c>
    </row>
    <row r="9528" spans="2:13" ht="18.75" customHeight="1" x14ac:dyDescent="0.25">
      <c r="B9528" s="550"/>
      <c r="C9528" s="227" t="s">
        <v>633</v>
      </c>
      <c r="D9528" s="550" t="s">
        <v>634</v>
      </c>
      <c r="E9528" s="224" t="s">
        <v>631</v>
      </c>
      <c r="F9528" s="228">
        <v>7.4999999999999997E-2</v>
      </c>
      <c r="G9528" s="229">
        <f>G9500</f>
        <v>115000</v>
      </c>
      <c r="H9528" s="230">
        <f>+G9528*F9528</f>
        <v>8625</v>
      </c>
      <c r="M9528" s="228">
        <v>7.4999999999999997E-2</v>
      </c>
    </row>
    <row r="9529" spans="2:13" ht="18.75" customHeight="1" x14ac:dyDescent="0.25">
      <c r="B9529" s="550"/>
      <c r="C9529" s="227" t="s">
        <v>600</v>
      </c>
      <c r="D9529" s="550" t="s">
        <v>635</v>
      </c>
      <c r="E9529" s="224" t="s">
        <v>631</v>
      </c>
      <c r="F9529" s="228">
        <v>0.9</v>
      </c>
      <c r="G9529" s="229">
        <f>G9501</f>
        <v>140000</v>
      </c>
      <c r="H9529" s="230">
        <f>+G9529*F9529</f>
        <v>126000</v>
      </c>
      <c r="M9529" s="228">
        <v>0.9</v>
      </c>
    </row>
    <row r="9530" spans="2:13" ht="18.75" customHeight="1" x14ac:dyDescent="0.25">
      <c r="B9530" s="550"/>
      <c r="C9530" s="223"/>
      <c r="D9530" s="550"/>
      <c r="E9530" s="224"/>
      <c r="F9530" s="237" t="s">
        <v>636</v>
      </c>
      <c r="G9530" s="290"/>
      <c r="H9530" s="231">
        <f>SUM(H9526:H9529)</f>
        <v>653850</v>
      </c>
      <c r="M9530" s="237" t="s">
        <v>636</v>
      </c>
    </row>
    <row r="9531" spans="2:13" ht="18.75" customHeight="1" x14ac:dyDescent="0.25">
      <c r="B9531" s="550"/>
      <c r="C9531" s="223"/>
      <c r="D9531" s="550"/>
      <c r="E9531" s="224"/>
      <c r="F9531" s="237"/>
      <c r="G9531" s="290"/>
      <c r="H9531" s="231"/>
      <c r="M9531" s="237"/>
    </row>
    <row r="9532" spans="2:13" ht="18.75" customHeight="1" x14ac:dyDescent="0.25">
      <c r="B9532" s="550" t="s">
        <v>637</v>
      </c>
      <c r="C9532" s="223" t="s">
        <v>638</v>
      </c>
      <c r="D9532" s="550"/>
      <c r="E9532" s="224"/>
      <c r="F9532" s="225"/>
      <c r="G9532" s="290"/>
      <c r="H9532" s="226"/>
      <c r="M9532" s="225"/>
    </row>
    <row r="9533" spans="2:13" ht="18.75" customHeight="1" x14ac:dyDescent="0.25">
      <c r="B9533" s="550"/>
      <c r="C9533" s="232" t="s">
        <v>1686</v>
      </c>
      <c r="D9533" s="550"/>
      <c r="E9533" s="550" t="s">
        <v>1369</v>
      </c>
      <c r="F9533" s="233">
        <v>1</v>
      </c>
      <c r="G9533" s="234">
        <f>Bahan!D562</f>
        <v>300000</v>
      </c>
      <c r="H9533" s="235">
        <f>G9533*F9533</f>
        <v>300000</v>
      </c>
      <c r="M9533" s="233">
        <v>1</v>
      </c>
    </row>
    <row r="9534" spans="2:13" ht="18.75" customHeight="1" x14ac:dyDescent="0.25">
      <c r="B9534" s="550"/>
      <c r="C9534" s="232" t="s">
        <v>1370</v>
      </c>
      <c r="D9534" s="550"/>
      <c r="E9534" s="550" t="s">
        <v>546</v>
      </c>
      <c r="F9534" s="233" t="s">
        <v>1379</v>
      </c>
      <c r="G9534" s="234">
        <f>+G9533*0.12</f>
        <v>36000</v>
      </c>
      <c r="H9534" s="235">
        <f>G9534</f>
        <v>36000</v>
      </c>
      <c r="M9534" s="233" t="s">
        <v>1379</v>
      </c>
    </row>
    <row r="9535" spans="2:13" ht="18.75" customHeight="1" x14ac:dyDescent="0.25">
      <c r="B9535" s="550"/>
      <c r="C9535" s="223"/>
      <c r="D9535" s="550"/>
      <c r="E9535" s="224"/>
      <c r="F9535" s="237" t="s">
        <v>643</v>
      </c>
      <c r="G9535" s="290"/>
      <c r="H9535" s="231">
        <f>SUM(H9533:H9534)</f>
        <v>336000</v>
      </c>
      <c r="M9535" s="237" t="s">
        <v>643</v>
      </c>
    </row>
    <row r="9536" spans="2:13" ht="18.75" customHeight="1" x14ac:dyDescent="0.25">
      <c r="B9536" s="550"/>
      <c r="C9536" s="223"/>
      <c r="D9536" s="550"/>
      <c r="E9536" s="224"/>
      <c r="F9536" s="225"/>
      <c r="G9536" s="290"/>
      <c r="H9536" s="226"/>
      <c r="M9536" s="225"/>
    </row>
    <row r="9537" spans="2:13" ht="18.75" customHeight="1" x14ac:dyDescent="0.25">
      <c r="B9537" s="550" t="s">
        <v>644</v>
      </c>
      <c r="C9537" s="223" t="s">
        <v>645</v>
      </c>
      <c r="D9537" s="550"/>
      <c r="E9537" s="224"/>
      <c r="F9537" s="225"/>
      <c r="G9537" s="290"/>
      <c r="H9537" s="235">
        <f>+G9537*F9537</f>
        <v>0</v>
      </c>
      <c r="M9537" s="225"/>
    </row>
    <row r="9538" spans="2:13" ht="18.75" customHeight="1" x14ac:dyDescent="0.25">
      <c r="B9538" s="236"/>
      <c r="C9538" s="232"/>
      <c r="D9538" s="550"/>
      <c r="E9538" s="224"/>
      <c r="F9538" s="237" t="s">
        <v>646</v>
      </c>
      <c r="G9538" s="290"/>
      <c r="H9538" s="230">
        <f>SUM(H9537)</f>
        <v>0</v>
      </c>
      <c r="M9538" s="237" t="s">
        <v>646</v>
      </c>
    </row>
    <row r="9539" spans="2:13" ht="18.75" customHeight="1" x14ac:dyDescent="0.25">
      <c r="B9539" s="236"/>
      <c r="C9539" s="562"/>
      <c r="D9539" s="563"/>
      <c r="E9539" s="564"/>
      <c r="F9539" s="565"/>
      <c r="G9539" s="566"/>
      <c r="H9539" s="226"/>
      <c r="M9539" s="565"/>
    </row>
    <row r="9540" spans="2:13" ht="18.75" customHeight="1" x14ac:dyDescent="0.25">
      <c r="B9540" s="354"/>
      <c r="C9540" s="362"/>
      <c r="D9540" s="239"/>
      <c r="E9540" s="266"/>
      <c r="F9540" s="241"/>
      <c r="G9540" s="370"/>
      <c r="H9540" s="369"/>
      <c r="M9540" s="241"/>
    </row>
    <row r="9541" spans="2:13" ht="18.75" customHeight="1" x14ac:dyDescent="0.25">
      <c r="B9541" s="356" t="s">
        <v>647</v>
      </c>
      <c r="C9541" s="364" t="s">
        <v>648</v>
      </c>
      <c r="D9541" s="435"/>
      <c r="E9541" s="92"/>
      <c r="F9541" s="183"/>
      <c r="G9541" s="295"/>
      <c r="H9541" s="357">
        <f>H9530+H9535</f>
        <v>989850</v>
      </c>
      <c r="M9541" s="183"/>
    </row>
    <row r="9542" spans="2:13" ht="18.75" customHeight="1" x14ac:dyDescent="0.25">
      <c r="B9542" s="356" t="s">
        <v>649</v>
      </c>
      <c r="C9542" s="364" t="s">
        <v>650</v>
      </c>
      <c r="D9542" s="435"/>
      <c r="E9542" s="92"/>
      <c r="F9542" s="184" t="str">
        <f>$J$5</f>
        <v>8,0 % x D</v>
      </c>
      <c r="G9542" s="295"/>
      <c r="H9542" s="358">
        <f>+H9541*$K$5</f>
        <v>79188</v>
      </c>
      <c r="M9542" s="184" t="str">
        <f>$J$5</f>
        <v>8,0 % x D</v>
      </c>
    </row>
    <row r="9543" spans="2:13" ht="18.75" customHeight="1" x14ac:dyDescent="0.25">
      <c r="B9543" s="356" t="s">
        <v>651</v>
      </c>
      <c r="C9543" s="365" t="s">
        <v>652</v>
      </c>
      <c r="D9543" s="435"/>
      <c r="E9543" s="91"/>
      <c r="F9543" s="185"/>
      <c r="G9543" s="296"/>
      <c r="H9543" s="359">
        <f>ROUNDUP((H9542+H9541)/100,0)*100</f>
        <v>1069100</v>
      </c>
      <c r="M9543" s="185"/>
    </row>
    <row r="9544" spans="2:13" ht="18.75" customHeight="1" x14ac:dyDescent="0.25">
      <c r="B9544" s="360"/>
      <c r="C9544" s="581"/>
      <c r="D9544" s="245"/>
      <c r="E9544" s="246"/>
      <c r="F9544" s="247"/>
      <c r="G9544" s="299"/>
      <c r="H9544" s="361"/>
      <c r="M9544" s="247"/>
    </row>
    <row r="9545" spans="2:13" ht="18.75" customHeight="1" x14ac:dyDescent="0.25">
      <c r="B9545" s="92"/>
      <c r="C9545" s="242"/>
      <c r="D9545" s="435"/>
      <c r="E9545" s="91"/>
      <c r="F9545" s="185"/>
      <c r="G9545" s="168"/>
      <c r="H9545" s="139"/>
      <c r="M9545" s="185"/>
    </row>
    <row r="9546" spans="2:13" ht="18.75" customHeight="1" x14ac:dyDescent="0.25">
      <c r="B9546" s="19">
        <f>B9521+1</f>
        <v>9</v>
      </c>
      <c r="C9546" s="93" t="s">
        <v>1380</v>
      </c>
      <c r="D9546" s="19"/>
      <c r="E9546" s="21"/>
      <c r="F9546" s="176"/>
      <c r="G9546" s="165"/>
      <c r="H9546" s="119"/>
      <c r="M9546" s="176"/>
    </row>
    <row r="9547" spans="2:13" ht="18.75" customHeight="1" x14ac:dyDescent="0.25">
      <c r="B9547" s="618" t="s">
        <v>620</v>
      </c>
      <c r="C9547" s="620" t="s">
        <v>621</v>
      </c>
      <c r="D9547" s="618" t="s">
        <v>622</v>
      </c>
      <c r="E9547" s="618" t="s">
        <v>2</v>
      </c>
      <c r="F9547" s="615" t="s">
        <v>623</v>
      </c>
      <c r="G9547" s="300" t="s">
        <v>624</v>
      </c>
      <c r="H9547" s="257" t="s">
        <v>625</v>
      </c>
      <c r="M9547" s="615" t="s">
        <v>623</v>
      </c>
    </row>
    <row r="9548" spans="2:13" ht="18.75" customHeight="1" x14ac:dyDescent="0.25">
      <c r="B9548" s="619"/>
      <c r="C9548" s="621"/>
      <c r="D9548" s="619"/>
      <c r="E9548" s="619"/>
      <c r="F9548" s="616"/>
      <c r="G9548" s="585" t="s">
        <v>626</v>
      </c>
      <c r="H9548" s="586" t="s">
        <v>626</v>
      </c>
      <c r="M9548" s="616"/>
    </row>
    <row r="9549" spans="2:13" ht="18.75" customHeight="1" x14ac:dyDescent="0.25">
      <c r="B9549" s="221"/>
      <c r="C9549" s="222"/>
      <c r="D9549" s="221"/>
      <c r="E9549" s="550"/>
      <c r="F9549" s="555"/>
      <c r="G9549" s="551"/>
      <c r="H9549" s="220"/>
      <c r="M9549" s="590"/>
    </row>
    <row r="9550" spans="2:13" ht="18.75" customHeight="1" x14ac:dyDescent="0.25">
      <c r="B9550" s="550" t="s">
        <v>627</v>
      </c>
      <c r="C9550" s="223" t="s">
        <v>628</v>
      </c>
      <c r="D9550" s="550"/>
      <c r="E9550" s="224"/>
      <c r="F9550" s="225"/>
      <c r="G9550" s="290"/>
      <c r="H9550" s="226"/>
      <c r="M9550" s="225"/>
    </row>
    <row r="9551" spans="2:13" ht="18.75" customHeight="1" x14ac:dyDescent="0.25">
      <c r="B9551" s="550"/>
      <c r="C9551" s="227" t="s">
        <v>629</v>
      </c>
      <c r="D9551" s="550" t="s">
        <v>630</v>
      </c>
      <c r="E9551" s="224" t="s">
        <v>631</v>
      </c>
      <c r="F9551" s="228">
        <v>3.5</v>
      </c>
      <c r="G9551" s="229">
        <f>G9498</f>
        <v>95000</v>
      </c>
      <c r="H9551" s="230">
        <f>+G9551*F9551</f>
        <v>332500</v>
      </c>
      <c r="M9551" s="228">
        <v>3.5</v>
      </c>
    </row>
    <row r="9552" spans="2:13" ht="18.75" customHeight="1" x14ac:dyDescent="0.25">
      <c r="B9552" s="550"/>
      <c r="C9552" s="227" t="s">
        <v>1508</v>
      </c>
      <c r="D9552" s="550" t="s">
        <v>632</v>
      </c>
      <c r="E9552" s="224" t="s">
        <v>631</v>
      </c>
      <c r="F9552" s="228">
        <v>4.5</v>
      </c>
      <c r="G9552" s="229">
        <f>G9499</f>
        <v>110000</v>
      </c>
      <c r="H9552" s="230">
        <f>+G9552*F9552</f>
        <v>495000</v>
      </c>
      <c r="M9552" s="228">
        <v>4.5</v>
      </c>
    </row>
    <row r="9553" spans="2:13" ht="18.75" customHeight="1" x14ac:dyDescent="0.25">
      <c r="B9553" s="550"/>
      <c r="C9553" s="227" t="s">
        <v>633</v>
      </c>
      <c r="D9553" s="550" t="s">
        <v>634</v>
      </c>
      <c r="E9553" s="224" t="s">
        <v>631</v>
      </c>
      <c r="F9553" s="228">
        <v>7.4999999999999997E-2</v>
      </c>
      <c r="G9553" s="229">
        <f>G9500</f>
        <v>115000</v>
      </c>
      <c r="H9553" s="230">
        <f>+G9553*F9553</f>
        <v>8625</v>
      </c>
      <c r="M9553" s="228">
        <v>7.4999999999999997E-2</v>
      </c>
    </row>
    <row r="9554" spans="2:13" ht="18.75" customHeight="1" x14ac:dyDescent="0.25">
      <c r="B9554" s="550"/>
      <c r="C9554" s="227" t="s">
        <v>600</v>
      </c>
      <c r="D9554" s="550" t="s">
        <v>635</v>
      </c>
      <c r="E9554" s="224" t="s">
        <v>631</v>
      </c>
      <c r="F9554" s="228">
        <v>1.7999999999999999E-2</v>
      </c>
      <c r="G9554" s="229">
        <f>G9501</f>
        <v>140000</v>
      </c>
      <c r="H9554" s="230">
        <f>+G9554*F9554</f>
        <v>2520</v>
      </c>
      <c r="M9554" s="228">
        <v>1.7999999999999999E-2</v>
      </c>
    </row>
    <row r="9555" spans="2:13" ht="18.75" customHeight="1" x14ac:dyDescent="0.25">
      <c r="B9555" s="550"/>
      <c r="C9555" s="223"/>
      <c r="D9555" s="550"/>
      <c r="E9555" s="224"/>
      <c r="F9555" s="237" t="s">
        <v>636</v>
      </c>
      <c r="G9555" s="290"/>
      <c r="H9555" s="231">
        <f>SUM(H9551:H9554)</f>
        <v>838645</v>
      </c>
      <c r="M9555" s="237" t="s">
        <v>636</v>
      </c>
    </row>
    <row r="9556" spans="2:13" ht="18.75" customHeight="1" x14ac:dyDescent="0.25">
      <c r="B9556" s="550"/>
      <c r="C9556" s="223"/>
      <c r="D9556" s="550"/>
      <c r="E9556" s="224"/>
      <c r="F9556" s="237"/>
      <c r="G9556" s="290"/>
      <c r="H9556" s="231"/>
      <c r="M9556" s="237"/>
    </row>
    <row r="9557" spans="2:13" ht="18.75" customHeight="1" x14ac:dyDescent="0.25">
      <c r="B9557" s="550" t="s">
        <v>637</v>
      </c>
      <c r="C9557" s="223" t="s">
        <v>638</v>
      </c>
      <c r="D9557" s="550"/>
      <c r="E9557" s="224"/>
      <c r="F9557" s="225"/>
      <c r="G9557" s="290"/>
      <c r="H9557" s="226"/>
      <c r="M9557" s="225"/>
    </row>
    <row r="9558" spans="2:13" ht="18.75" customHeight="1" x14ac:dyDescent="0.25">
      <c r="B9558" s="550"/>
      <c r="C9558" s="232" t="s">
        <v>1381</v>
      </c>
      <c r="D9558" s="550"/>
      <c r="E9558" s="550" t="s">
        <v>8</v>
      </c>
      <c r="F9558" s="233">
        <v>0.85</v>
      </c>
      <c r="G9558" s="234">
        <f>H1099</f>
        <v>1093700</v>
      </c>
      <c r="H9558" s="235">
        <f>G9558*F9558</f>
        <v>929645</v>
      </c>
      <c r="M9558" s="233">
        <v>0.85</v>
      </c>
    </row>
    <row r="9559" spans="2:13" ht="18.75" customHeight="1" x14ac:dyDescent="0.25">
      <c r="B9559" s="550"/>
      <c r="C9559" s="232" t="s">
        <v>1382</v>
      </c>
      <c r="D9559" s="550"/>
      <c r="E9559" s="550" t="s">
        <v>5</v>
      </c>
      <c r="F9559" s="233">
        <v>180</v>
      </c>
      <c r="G9559" s="234">
        <f>Bahan!D133</f>
        <v>11000</v>
      </c>
      <c r="H9559" s="235">
        <f>G9559*F9559</f>
        <v>1980000</v>
      </c>
      <c r="M9559" s="233">
        <v>180</v>
      </c>
    </row>
    <row r="9560" spans="2:13" ht="18.75" customHeight="1" x14ac:dyDescent="0.25">
      <c r="B9560" s="550"/>
      <c r="C9560" s="232" t="s">
        <v>1236</v>
      </c>
      <c r="D9560" s="550"/>
      <c r="E9560" s="550" t="s">
        <v>58</v>
      </c>
      <c r="F9560" s="233">
        <v>8</v>
      </c>
      <c r="G9560" s="234">
        <f>Bahan!D241/100</f>
        <v>39000</v>
      </c>
      <c r="H9560" s="235">
        <f>G9560*F9560</f>
        <v>312000</v>
      </c>
      <c r="M9560" s="233">
        <v>8</v>
      </c>
    </row>
    <row r="9561" spans="2:13" ht="18.75" customHeight="1" x14ac:dyDescent="0.25">
      <c r="B9561" s="550"/>
      <c r="C9561" s="232" t="s">
        <v>1383</v>
      </c>
      <c r="D9561" s="550"/>
      <c r="E9561" s="550" t="s">
        <v>16</v>
      </c>
      <c r="F9561" s="233">
        <v>500</v>
      </c>
      <c r="G9561" s="234">
        <f>Bahan!D287/26.5</f>
        <v>2566.0377358490564</v>
      </c>
      <c r="H9561" s="235">
        <f>G9561*F9561</f>
        <v>1283018.8679245282</v>
      </c>
      <c r="M9561" s="233">
        <v>500</v>
      </c>
    </row>
    <row r="9562" spans="2:13" ht="18.75" customHeight="1" x14ac:dyDescent="0.25">
      <c r="B9562" s="550"/>
      <c r="C9562" s="232" t="s">
        <v>1370</v>
      </c>
      <c r="D9562" s="550"/>
      <c r="E9562" s="584">
        <v>0.1</v>
      </c>
      <c r="F9562" s="233">
        <v>10</v>
      </c>
      <c r="G9562" s="234">
        <f>SUM(G9558:G9561)/10</f>
        <v>114626.60377358491</v>
      </c>
      <c r="H9562" s="235">
        <f>G9562</f>
        <v>114626.60377358491</v>
      </c>
      <c r="M9562" s="233">
        <v>10</v>
      </c>
    </row>
    <row r="9563" spans="2:13" ht="18.75" customHeight="1" x14ac:dyDescent="0.25">
      <c r="B9563" s="550"/>
      <c r="C9563" s="223"/>
      <c r="D9563" s="550"/>
      <c r="E9563" s="224"/>
      <c r="F9563" s="237" t="s">
        <v>643</v>
      </c>
      <c r="G9563" s="290"/>
      <c r="H9563" s="231">
        <f>SUM(H9558:H9562)</f>
        <v>4619290.4716981128</v>
      </c>
      <c r="M9563" s="237" t="s">
        <v>643</v>
      </c>
    </row>
    <row r="9564" spans="2:13" ht="18.75" customHeight="1" x14ac:dyDescent="0.25">
      <c r="B9564" s="550"/>
      <c r="C9564" s="223"/>
      <c r="D9564" s="550"/>
      <c r="E9564" s="224"/>
      <c r="F9564" s="225"/>
      <c r="G9564" s="290"/>
      <c r="H9564" s="226"/>
      <c r="M9564" s="225"/>
    </row>
    <row r="9565" spans="2:13" ht="18.75" customHeight="1" x14ac:dyDescent="0.25">
      <c r="B9565" s="550" t="s">
        <v>644</v>
      </c>
      <c r="C9565" s="223" t="s">
        <v>645</v>
      </c>
      <c r="D9565" s="550"/>
      <c r="E9565" s="224"/>
      <c r="F9565" s="225"/>
      <c r="G9565" s="290"/>
      <c r="H9565" s="235">
        <f>+G9565*F9565</f>
        <v>0</v>
      </c>
      <c r="M9565" s="225"/>
    </row>
    <row r="9566" spans="2:13" ht="18.75" customHeight="1" x14ac:dyDescent="0.25">
      <c r="B9566" s="236"/>
      <c r="C9566" s="232"/>
      <c r="D9566" s="550"/>
      <c r="E9566" s="224"/>
      <c r="F9566" s="237" t="s">
        <v>646</v>
      </c>
      <c r="G9566" s="290"/>
      <c r="H9566" s="230">
        <f>SUM(H9565)</f>
        <v>0</v>
      </c>
      <c r="M9566" s="237" t="s">
        <v>646</v>
      </c>
    </row>
    <row r="9567" spans="2:13" ht="18.75" customHeight="1" x14ac:dyDescent="0.25">
      <c r="B9567" s="236"/>
      <c r="C9567" s="562"/>
      <c r="D9567" s="563"/>
      <c r="E9567" s="564"/>
      <c r="F9567" s="565"/>
      <c r="G9567" s="566"/>
      <c r="H9567" s="230"/>
      <c r="M9567" s="565"/>
    </row>
    <row r="9568" spans="2:13" ht="18.75" customHeight="1" x14ac:dyDescent="0.25">
      <c r="B9568" s="354"/>
      <c r="C9568" s="362"/>
      <c r="D9568" s="239"/>
      <c r="E9568" s="266"/>
      <c r="F9568" s="241"/>
      <c r="G9568" s="370"/>
      <c r="H9568" s="369"/>
      <c r="M9568" s="241"/>
    </row>
    <row r="9569" spans="2:13" ht="18.75" customHeight="1" x14ac:dyDescent="0.25">
      <c r="B9569" s="356" t="s">
        <v>647</v>
      </c>
      <c r="C9569" s="364" t="s">
        <v>648</v>
      </c>
      <c r="D9569" s="435"/>
      <c r="E9569" s="92"/>
      <c r="F9569" s="183"/>
      <c r="G9569" s="295"/>
      <c r="H9569" s="357">
        <f>+H9566+H9563+H9555</f>
        <v>5457935.4716981128</v>
      </c>
      <c r="M9569" s="183"/>
    </row>
    <row r="9570" spans="2:13" ht="18.75" customHeight="1" x14ac:dyDescent="0.25">
      <c r="B9570" s="356" t="s">
        <v>649</v>
      </c>
      <c r="C9570" s="364" t="s">
        <v>650</v>
      </c>
      <c r="D9570" s="435"/>
      <c r="E9570" s="92"/>
      <c r="F9570" s="184" t="str">
        <f>$J$5</f>
        <v>8,0 % x D</v>
      </c>
      <c r="G9570" s="295"/>
      <c r="H9570" s="358">
        <f>+H9569*$K$5</f>
        <v>436634.83773584903</v>
      </c>
      <c r="M9570" s="184" t="str">
        <f>$J$5</f>
        <v>8,0 % x D</v>
      </c>
    </row>
    <row r="9571" spans="2:13" ht="18.75" customHeight="1" x14ac:dyDescent="0.25">
      <c r="B9571" s="356" t="s">
        <v>651</v>
      </c>
      <c r="C9571" s="365" t="s">
        <v>652</v>
      </c>
      <c r="D9571" s="435"/>
      <c r="E9571" s="91"/>
      <c r="F9571" s="185"/>
      <c r="G9571" s="296"/>
      <c r="H9571" s="359">
        <f>ROUNDUP((H9570+H9569)/100,0)*100</f>
        <v>5894600</v>
      </c>
      <c r="M9571" s="185"/>
    </row>
    <row r="9572" spans="2:13" ht="18.75" customHeight="1" x14ac:dyDescent="0.25">
      <c r="B9572" s="360"/>
      <c r="C9572" s="581"/>
      <c r="D9572" s="245"/>
      <c r="E9572" s="246"/>
      <c r="F9572" s="247"/>
      <c r="G9572" s="299"/>
      <c r="H9572" s="361"/>
      <c r="M9572" s="247"/>
    </row>
    <row r="9573" spans="2:13" ht="18.75" customHeight="1" x14ac:dyDescent="0.25">
      <c r="B9573" s="22"/>
      <c r="E9573" s="21"/>
      <c r="F9573" s="176"/>
      <c r="G9573" s="165"/>
      <c r="H9573" s="119"/>
      <c r="M9573" s="176"/>
    </row>
    <row r="9574" spans="2:13" ht="18.75" customHeight="1" x14ac:dyDescent="0.25">
      <c r="B9574" s="19">
        <f>B9546+1</f>
        <v>10</v>
      </c>
      <c r="C9574" s="93" t="s">
        <v>1384</v>
      </c>
      <c r="D9574" s="19"/>
      <c r="E9574" s="21"/>
      <c r="F9574" s="176"/>
      <c r="G9574" s="165"/>
      <c r="H9574" s="119"/>
      <c r="M9574" s="176"/>
    </row>
    <row r="9575" spans="2:13" ht="18.75" customHeight="1" x14ac:dyDescent="0.25">
      <c r="B9575" s="618" t="s">
        <v>620</v>
      </c>
      <c r="C9575" s="620" t="s">
        <v>621</v>
      </c>
      <c r="D9575" s="618" t="s">
        <v>622</v>
      </c>
      <c r="E9575" s="618" t="s">
        <v>2</v>
      </c>
      <c r="F9575" s="615" t="s">
        <v>623</v>
      </c>
      <c r="G9575" s="300" t="s">
        <v>624</v>
      </c>
      <c r="H9575" s="257" t="s">
        <v>625</v>
      </c>
      <c r="M9575" s="615" t="s">
        <v>623</v>
      </c>
    </row>
    <row r="9576" spans="2:13" ht="18.75" customHeight="1" x14ac:dyDescent="0.25">
      <c r="B9576" s="619"/>
      <c r="C9576" s="621"/>
      <c r="D9576" s="619"/>
      <c r="E9576" s="619"/>
      <c r="F9576" s="616"/>
      <c r="G9576" s="585" t="s">
        <v>626</v>
      </c>
      <c r="H9576" s="586" t="s">
        <v>626</v>
      </c>
      <c r="M9576" s="616"/>
    </row>
    <row r="9577" spans="2:13" ht="18.75" customHeight="1" x14ac:dyDescent="0.25">
      <c r="B9577" s="221"/>
      <c r="C9577" s="222"/>
      <c r="D9577" s="221"/>
      <c r="E9577" s="550"/>
      <c r="F9577" s="555"/>
      <c r="G9577" s="551"/>
      <c r="H9577" s="220"/>
      <c r="M9577" s="590"/>
    </row>
    <row r="9578" spans="2:13" ht="18.75" customHeight="1" x14ac:dyDescent="0.25">
      <c r="B9578" s="550" t="s">
        <v>627</v>
      </c>
      <c r="C9578" s="223" t="s">
        <v>628</v>
      </c>
      <c r="D9578" s="550"/>
      <c r="E9578" s="224"/>
      <c r="F9578" s="225"/>
      <c r="G9578" s="290"/>
      <c r="H9578" s="226"/>
      <c r="M9578" s="225"/>
    </row>
    <row r="9579" spans="2:13" ht="18.75" customHeight="1" x14ac:dyDescent="0.25">
      <c r="B9579" s="550"/>
      <c r="C9579" s="227" t="s">
        <v>629</v>
      </c>
      <c r="D9579" s="550" t="s">
        <v>630</v>
      </c>
      <c r="E9579" s="224" t="s">
        <v>631</v>
      </c>
      <c r="F9579" s="228">
        <v>0.03</v>
      </c>
      <c r="G9579" s="229">
        <f>G9551</f>
        <v>95000</v>
      </c>
      <c r="H9579" s="230">
        <f>+G9579*F9579</f>
        <v>2850</v>
      </c>
      <c r="M9579" s="228">
        <v>0.03</v>
      </c>
    </row>
    <row r="9580" spans="2:13" ht="18.75" customHeight="1" x14ac:dyDescent="0.25">
      <c r="B9580" s="550"/>
      <c r="C9580" s="227" t="s">
        <v>1508</v>
      </c>
      <c r="D9580" s="550" t="s">
        <v>632</v>
      </c>
      <c r="E9580" s="224" t="s">
        <v>631</v>
      </c>
      <c r="F9580" s="228">
        <v>0.3</v>
      </c>
      <c r="G9580" s="229">
        <f>G9552</f>
        <v>110000</v>
      </c>
      <c r="H9580" s="230">
        <f>+G9580*F9580</f>
        <v>33000</v>
      </c>
      <c r="M9580" s="228">
        <v>0.3</v>
      </c>
    </row>
    <row r="9581" spans="2:13" ht="18.75" customHeight="1" x14ac:dyDescent="0.25">
      <c r="B9581" s="550"/>
      <c r="C9581" s="227" t="s">
        <v>633</v>
      </c>
      <c r="D9581" s="550" t="s">
        <v>634</v>
      </c>
      <c r="E9581" s="224" t="s">
        <v>631</v>
      </c>
      <c r="F9581" s="228">
        <v>0.03</v>
      </c>
      <c r="G9581" s="229">
        <f>G9553</f>
        <v>115000</v>
      </c>
      <c r="H9581" s="230">
        <f>+G9581*F9581</f>
        <v>3450</v>
      </c>
      <c r="M9581" s="228">
        <v>0.03</v>
      </c>
    </row>
    <row r="9582" spans="2:13" ht="18.75" customHeight="1" x14ac:dyDescent="0.25">
      <c r="B9582" s="550"/>
      <c r="C9582" s="227" t="s">
        <v>600</v>
      </c>
      <c r="D9582" s="550" t="s">
        <v>635</v>
      </c>
      <c r="E9582" s="224" t="s">
        <v>631</v>
      </c>
      <c r="F9582" s="228">
        <v>1.4999999999999999E-2</v>
      </c>
      <c r="G9582" s="229">
        <f>G9554</f>
        <v>140000</v>
      </c>
      <c r="H9582" s="230">
        <f>+G9582*F9582</f>
        <v>2100</v>
      </c>
      <c r="M9582" s="228">
        <v>1.4999999999999999E-2</v>
      </c>
    </row>
    <row r="9583" spans="2:13" ht="18.75" customHeight="1" x14ac:dyDescent="0.25">
      <c r="B9583" s="550"/>
      <c r="C9583" s="223"/>
      <c r="D9583" s="550"/>
      <c r="E9583" s="224"/>
      <c r="F9583" s="237" t="s">
        <v>636</v>
      </c>
      <c r="G9583" s="290"/>
      <c r="H9583" s="231">
        <f>SUM(H9579:H9582)</f>
        <v>41400</v>
      </c>
      <c r="M9583" s="237" t="s">
        <v>636</v>
      </c>
    </row>
    <row r="9584" spans="2:13" ht="18.75" customHeight="1" x14ac:dyDescent="0.25">
      <c r="B9584" s="550"/>
      <c r="C9584" s="223"/>
      <c r="D9584" s="550"/>
      <c r="E9584" s="224"/>
      <c r="F9584" s="237"/>
      <c r="G9584" s="290"/>
      <c r="H9584" s="231"/>
      <c r="M9584" s="237"/>
    </row>
    <row r="9585" spans="2:13" ht="18.75" customHeight="1" x14ac:dyDescent="0.25">
      <c r="B9585" s="550" t="s">
        <v>637</v>
      </c>
      <c r="C9585" s="223" t="s">
        <v>638</v>
      </c>
      <c r="D9585" s="550"/>
      <c r="E9585" s="224"/>
      <c r="F9585" s="225"/>
      <c r="G9585" s="290"/>
      <c r="H9585" s="226"/>
      <c r="M9585" s="225"/>
    </row>
    <row r="9586" spans="2:13" ht="18.75" customHeight="1" x14ac:dyDescent="0.25">
      <c r="B9586" s="550"/>
      <c r="C9586" s="232" t="s">
        <v>1688</v>
      </c>
      <c r="D9586" s="550"/>
      <c r="E9586" s="550" t="s">
        <v>1369</v>
      </c>
      <c r="F9586" s="233">
        <v>1</v>
      </c>
      <c r="G9586" s="234">
        <f>Bahan!D563</f>
        <v>475000</v>
      </c>
      <c r="H9586" s="235">
        <f>G9586*F9586</f>
        <v>475000</v>
      </c>
      <c r="M9586" s="233">
        <v>1</v>
      </c>
    </row>
    <row r="9587" spans="2:13" ht="18.75" customHeight="1" x14ac:dyDescent="0.25">
      <c r="B9587" s="550"/>
      <c r="C9587" s="232" t="s">
        <v>1687</v>
      </c>
      <c r="D9587" s="550"/>
      <c r="E9587" s="550" t="s">
        <v>16</v>
      </c>
      <c r="F9587" s="233">
        <v>1</v>
      </c>
      <c r="G9587" s="234">
        <f>Bahan!D567</f>
        <v>75000</v>
      </c>
      <c r="H9587" s="235">
        <f>G9587*F9587</f>
        <v>75000</v>
      </c>
      <c r="M9587" s="233">
        <v>1</v>
      </c>
    </row>
    <row r="9588" spans="2:13" ht="18.75" customHeight="1" x14ac:dyDescent="0.25">
      <c r="B9588" s="550"/>
      <c r="C9588" s="223"/>
      <c r="D9588" s="550"/>
      <c r="E9588" s="224"/>
      <c r="F9588" s="237" t="s">
        <v>643</v>
      </c>
      <c r="G9588" s="290"/>
      <c r="H9588" s="231">
        <f>SUM(H9586:H9587)</f>
        <v>550000</v>
      </c>
      <c r="M9588" s="237" t="s">
        <v>643</v>
      </c>
    </row>
    <row r="9589" spans="2:13" ht="18.75" customHeight="1" x14ac:dyDescent="0.25">
      <c r="B9589" s="550"/>
      <c r="C9589" s="223"/>
      <c r="D9589" s="550"/>
      <c r="E9589" s="224"/>
      <c r="F9589" s="225"/>
      <c r="G9589" s="290"/>
      <c r="H9589" s="226"/>
      <c r="M9589" s="225"/>
    </row>
    <row r="9590" spans="2:13" ht="18.75" customHeight="1" x14ac:dyDescent="0.25">
      <c r="B9590" s="550" t="s">
        <v>644</v>
      </c>
      <c r="C9590" s="223" t="s">
        <v>645</v>
      </c>
      <c r="D9590" s="550"/>
      <c r="E9590" s="224"/>
      <c r="F9590" s="225"/>
      <c r="G9590" s="290"/>
      <c r="H9590" s="235">
        <f>+G9590*F9590</f>
        <v>0</v>
      </c>
      <c r="M9590" s="225"/>
    </row>
    <row r="9591" spans="2:13" ht="18.75" customHeight="1" x14ac:dyDescent="0.25">
      <c r="B9591" s="236"/>
      <c r="C9591" s="232"/>
      <c r="D9591" s="550"/>
      <c r="E9591" s="224"/>
      <c r="F9591" s="237" t="s">
        <v>646</v>
      </c>
      <c r="G9591" s="290"/>
      <c r="H9591" s="230">
        <f>SUM(H9590)</f>
        <v>0</v>
      </c>
      <c r="M9591" s="237" t="s">
        <v>646</v>
      </c>
    </row>
    <row r="9592" spans="2:13" ht="18.75" customHeight="1" x14ac:dyDescent="0.25">
      <c r="B9592" s="236"/>
      <c r="C9592" s="562"/>
      <c r="D9592" s="563"/>
      <c r="E9592" s="564"/>
      <c r="F9592" s="565"/>
      <c r="G9592" s="566"/>
      <c r="H9592" s="230"/>
      <c r="M9592" s="565"/>
    </row>
    <row r="9593" spans="2:13" ht="18.75" customHeight="1" x14ac:dyDescent="0.25">
      <c r="B9593" s="354"/>
      <c r="C9593" s="362"/>
      <c r="D9593" s="239"/>
      <c r="E9593" s="266"/>
      <c r="F9593" s="241"/>
      <c r="G9593" s="370"/>
      <c r="H9593" s="369"/>
      <c r="M9593" s="241"/>
    </row>
    <row r="9594" spans="2:13" ht="18.75" customHeight="1" x14ac:dyDescent="0.25">
      <c r="B9594" s="356" t="s">
        <v>647</v>
      </c>
      <c r="C9594" s="364" t="s">
        <v>648</v>
      </c>
      <c r="D9594" s="435"/>
      <c r="E9594" s="92"/>
      <c r="F9594" s="183"/>
      <c r="G9594" s="295"/>
      <c r="H9594" s="357">
        <f>+H9591+H9588+H9583</f>
        <v>591400</v>
      </c>
      <c r="M9594" s="183"/>
    </row>
    <row r="9595" spans="2:13" ht="18.75" customHeight="1" x14ac:dyDescent="0.25">
      <c r="B9595" s="356" t="s">
        <v>649</v>
      </c>
      <c r="C9595" s="364" t="s">
        <v>650</v>
      </c>
      <c r="D9595" s="435"/>
      <c r="E9595" s="92"/>
      <c r="F9595" s="184" t="str">
        <f>$J$5</f>
        <v>8,0 % x D</v>
      </c>
      <c r="G9595" s="295"/>
      <c r="H9595" s="358">
        <f>+H9594*$K$5</f>
        <v>47312</v>
      </c>
      <c r="M9595" s="184" t="str">
        <f>$J$5</f>
        <v>8,0 % x D</v>
      </c>
    </row>
    <row r="9596" spans="2:13" ht="18.75" customHeight="1" x14ac:dyDescent="0.25">
      <c r="B9596" s="356" t="s">
        <v>651</v>
      </c>
      <c r="C9596" s="365" t="s">
        <v>652</v>
      </c>
      <c r="D9596" s="435"/>
      <c r="E9596" s="91"/>
      <c r="F9596" s="185"/>
      <c r="G9596" s="296"/>
      <c r="H9596" s="359">
        <f>ROUNDUP((H9595+H9594)/100,0)*100</f>
        <v>638800</v>
      </c>
      <c r="M9596" s="185"/>
    </row>
    <row r="9597" spans="2:13" ht="18.75" customHeight="1" x14ac:dyDescent="0.25">
      <c r="B9597" s="360"/>
      <c r="C9597" s="581"/>
      <c r="D9597" s="245"/>
      <c r="E9597" s="246"/>
      <c r="F9597" s="247"/>
      <c r="G9597" s="299"/>
      <c r="H9597" s="361"/>
      <c r="M9597" s="247"/>
    </row>
    <row r="9598" spans="2:13" ht="18.75" customHeight="1" x14ac:dyDescent="0.25">
      <c r="B9598" s="92"/>
      <c r="C9598" s="242"/>
      <c r="D9598" s="435"/>
      <c r="E9598" s="91"/>
      <c r="F9598" s="185"/>
      <c r="G9598" s="168"/>
      <c r="H9598" s="139"/>
      <c r="M9598" s="185"/>
    </row>
    <row r="9599" spans="2:13" ht="18.75" customHeight="1" x14ac:dyDescent="0.25">
      <c r="B9599" s="19">
        <f>B9574+1</f>
        <v>11</v>
      </c>
      <c r="C9599" s="93" t="s">
        <v>1386</v>
      </c>
      <c r="D9599" s="19"/>
      <c r="E9599" s="21"/>
      <c r="F9599" s="176"/>
      <c r="G9599" s="165"/>
      <c r="H9599" s="119"/>
      <c r="M9599" s="176"/>
    </row>
    <row r="9600" spans="2:13" ht="18.75" customHeight="1" x14ac:dyDescent="0.25">
      <c r="B9600" s="618" t="s">
        <v>620</v>
      </c>
      <c r="C9600" s="620" t="s">
        <v>621</v>
      </c>
      <c r="D9600" s="618" t="s">
        <v>622</v>
      </c>
      <c r="E9600" s="618" t="s">
        <v>2</v>
      </c>
      <c r="F9600" s="615" t="s">
        <v>623</v>
      </c>
      <c r="G9600" s="300" t="s">
        <v>624</v>
      </c>
      <c r="H9600" s="257" t="s">
        <v>625</v>
      </c>
      <c r="M9600" s="615" t="s">
        <v>623</v>
      </c>
    </row>
    <row r="9601" spans="2:13" ht="18.75" customHeight="1" x14ac:dyDescent="0.25">
      <c r="B9601" s="619"/>
      <c r="C9601" s="621"/>
      <c r="D9601" s="619"/>
      <c r="E9601" s="619"/>
      <c r="F9601" s="616"/>
      <c r="G9601" s="585" t="s">
        <v>626</v>
      </c>
      <c r="H9601" s="586" t="s">
        <v>626</v>
      </c>
      <c r="M9601" s="616"/>
    </row>
    <row r="9602" spans="2:13" ht="18.75" customHeight="1" x14ac:dyDescent="0.25">
      <c r="B9602" s="221"/>
      <c r="C9602" s="222"/>
      <c r="D9602" s="221"/>
      <c r="E9602" s="550"/>
      <c r="F9602" s="555"/>
      <c r="G9602" s="551"/>
      <c r="H9602" s="220"/>
      <c r="M9602" s="590"/>
    </row>
    <row r="9603" spans="2:13" ht="18.75" customHeight="1" x14ac:dyDescent="0.25">
      <c r="B9603" s="550" t="s">
        <v>627</v>
      </c>
      <c r="C9603" s="223" t="s">
        <v>628</v>
      </c>
      <c r="D9603" s="550"/>
      <c r="E9603" s="224"/>
      <c r="F9603" s="225"/>
      <c r="G9603" s="290"/>
      <c r="H9603" s="226"/>
      <c r="M9603" s="225"/>
    </row>
    <row r="9604" spans="2:13" ht="18.75" customHeight="1" x14ac:dyDescent="0.25">
      <c r="B9604" s="550"/>
      <c r="C9604" s="227" t="s">
        <v>629</v>
      </c>
      <c r="D9604" s="550" t="s">
        <v>630</v>
      </c>
      <c r="E9604" s="224" t="s">
        <v>631</v>
      </c>
      <c r="F9604" s="228">
        <v>7.4999999999999997E-2</v>
      </c>
      <c r="G9604" s="229">
        <f>G9579</f>
        <v>95000</v>
      </c>
      <c r="H9604" s="230">
        <f>+G9604*F9604</f>
        <v>7125</v>
      </c>
      <c r="M9604" s="228">
        <v>7.4999999999999997E-2</v>
      </c>
    </row>
    <row r="9605" spans="2:13" ht="18.75" customHeight="1" x14ac:dyDescent="0.25">
      <c r="B9605" s="550"/>
      <c r="C9605" s="227" t="s">
        <v>1508</v>
      </c>
      <c r="D9605" s="550" t="s">
        <v>632</v>
      </c>
      <c r="E9605" s="224" t="s">
        <v>631</v>
      </c>
      <c r="F9605" s="228">
        <v>0.3</v>
      </c>
      <c r="G9605" s="229">
        <f>G9580</f>
        <v>110000</v>
      </c>
      <c r="H9605" s="230">
        <f>+G9605*F9605</f>
        <v>33000</v>
      </c>
      <c r="M9605" s="228">
        <v>0.3</v>
      </c>
    </row>
    <row r="9606" spans="2:13" ht="18.75" customHeight="1" x14ac:dyDescent="0.25">
      <c r="B9606" s="550"/>
      <c r="C9606" s="227" t="s">
        <v>633</v>
      </c>
      <c r="D9606" s="550" t="s">
        <v>634</v>
      </c>
      <c r="E9606" s="224" t="s">
        <v>631</v>
      </c>
      <c r="F9606" s="228">
        <v>7.4999999999999997E-2</v>
      </c>
      <c r="G9606" s="229">
        <f>G9581</f>
        <v>115000</v>
      </c>
      <c r="H9606" s="230">
        <f>+G9606*F9606</f>
        <v>8625</v>
      </c>
      <c r="M9606" s="228">
        <v>7.4999999999999997E-2</v>
      </c>
    </row>
    <row r="9607" spans="2:13" ht="18.75" customHeight="1" x14ac:dyDescent="0.25">
      <c r="B9607" s="550"/>
      <c r="C9607" s="227" t="s">
        <v>600</v>
      </c>
      <c r="D9607" s="550" t="s">
        <v>635</v>
      </c>
      <c r="E9607" s="224" t="s">
        <v>631</v>
      </c>
      <c r="F9607" s="228">
        <v>2.5000000000000001E-2</v>
      </c>
      <c r="G9607" s="229">
        <f>G9582</f>
        <v>140000</v>
      </c>
      <c r="H9607" s="230">
        <f>+G9607*F9607</f>
        <v>3500</v>
      </c>
      <c r="M9607" s="228">
        <v>2.5000000000000001E-2</v>
      </c>
    </row>
    <row r="9608" spans="2:13" ht="18.75" customHeight="1" x14ac:dyDescent="0.25">
      <c r="B9608" s="550"/>
      <c r="C9608" s="223"/>
      <c r="D9608" s="550"/>
      <c r="E9608" s="224"/>
      <c r="F9608" s="237" t="s">
        <v>636</v>
      </c>
      <c r="G9608" s="290"/>
      <c r="H9608" s="231">
        <f>SUM(H9604:H9607)</f>
        <v>52250</v>
      </c>
      <c r="M9608" s="237" t="s">
        <v>636</v>
      </c>
    </row>
    <row r="9609" spans="2:13" ht="18.75" customHeight="1" x14ac:dyDescent="0.25">
      <c r="B9609" s="550"/>
      <c r="C9609" s="223"/>
      <c r="D9609" s="550"/>
      <c r="E9609" s="224"/>
      <c r="F9609" s="237"/>
      <c r="G9609" s="290"/>
      <c r="H9609" s="231"/>
      <c r="M9609" s="237"/>
    </row>
    <row r="9610" spans="2:13" ht="18.75" customHeight="1" x14ac:dyDescent="0.25">
      <c r="B9610" s="550" t="s">
        <v>637</v>
      </c>
      <c r="C9610" s="223" t="s">
        <v>638</v>
      </c>
      <c r="D9610" s="550"/>
      <c r="E9610" s="224"/>
      <c r="F9610" s="225"/>
      <c r="G9610" s="290"/>
      <c r="H9610" s="226"/>
      <c r="M9610" s="225"/>
    </row>
    <row r="9611" spans="2:13" ht="18.75" customHeight="1" x14ac:dyDescent="0.25">
      <c r="B9611" s="550"/>
      <c r="C9611" s="232" t="s">
        <v>1387</v>
      </c>
      <c r="D9611" s="550"/>
      <c r="E9611" s="550" t="s">
        <v>1369</v>
      </c>
      <c r="F9611" s="233">
        <v>1</v>
      </c>
      <c r="G9611" s="234">
        <f>G9586</f>
        <v>475000</v>
      </c>
      <c r="H9611" s="235">
        <f>G9611*F9611</f>
        <v>475000</v>
      </c>
      <c r="M9611" s="233">
        <v>1</v>
      </c>
    </row>
    <row r="9612" spans="2:13" ht="18.75" customHeight="1" x14ac:dyDescent="0.25">
      <c r="B9612" s="550"/>
      <c r="C9612" s="232" t="s">
        <v>1385</v>
      </c>
      <c r="D9612" s="550"/>
      <c r="E9612" s="550" t="s">
        <v>16</v>
      </c>
      <c r="F9612" s="233">
        <v>1</v>
      </c>
      <c r="G9612" s="234">
        <f>G9587</f>
        <v>75000</v>
      </c>
      <c r="H9612" s="235">
        <f>G9612*F9612</f>
        <v>75000</v>
      </c>
      <c r="M9612" s="233">
        <v>1</v>
      </c>
    </row>
    <row r="9613" spans="2:13" ht="18.75" customHeight="1" x14ac:dyDescent="0.25">
      <c r="B9613" s="550"/>
      <c r="C9613" s="232" t="s">
        <v>708</v>
      </c>
      <c r="D9613" s="550"/>
      <c r="E9613" s="550" t="s">
        <v>5</v>
      </c>
      <c r="F9613" s="233">
        <v>20</v>
      </c>
      <c r="G9613" s="234">
        <f>G9506</f>
        <v>1700</v>
      </c>
      <c r="H9613" s="230">
        <f>+G9613*F9613</f>
        <v>34000</v>
      </c>
      <c r="M9613" s="233">
        <v>20</v>
      </c>
    </row>
    <row r="9614" spans="2:13" ht="18.75" customHeight="1" x14ac:dyDescent="0.25">
      <c r="B9614" s="550"/>
      <c r="C9614" s="232" t="s">
        <v>661</v>
      </c>
      <c r="D9614" s="550"/>
      <c r="E9614" s="550" t="s">
        <v>8</v>
      </c>
      <c r="F9614" s="233">
        <v>7.4999999999999997E-2</v>
      </c>
      <c r="G9614" s="234">
        <f>G9507</f>
        <v>230000</v>
      </c>
      <c r="H9614" s="230">
        <f>G9614*F9614</f>
        <v>17250</v>
      </c>
      <c r="M9614" s="233">
        <v>7.4999999999999997E-2</v>
      </c>
    </row>
    <row r="9615" spans="2:13" ht="18.75" customHeight="1" x14ac:dyDescent="0.25">
      <c r="B9615" s="550"/>
      <c r="C9615" s="223"/>
      <c r="D9615" s="550"/>
      <c r="E9615" s="224"/>
      <c r="F9615" s="237" t="s">
        <v>643</v>
      </c>
      <c r="G9615" s="290"/>
      <c r="H9615" s="231">
        <f>SUM(H9611:H9614)</f>
        <v>601250</v>
      </c>
      <c r="M9615" s="237" t="s">
        <v>643</v>
      </c>
    </row>
    <row r="9616" spans="2:13" ht="18.75" customHeight="1" x14ac:dyDescent="0.25">
      <c r="B9616" s="550"/>
      <c r="C9616" s="223"/>
      <c r="D9616" s="550"/>
      <c r="E9616" s="224"/>
      <c r="F9616" s="225"/>
      <c r="G9616" s="290"/>
      <c r="H9616" s="226"/>
      <c r="M9616" s="225"/>
    </row>
    <row r="9617" spans="2:13" ht="18.75" customHeight="1" x14ac:dyDescent="0.25">
      <c r="B9617" s="550" t="s">
        <v>644</v>
      </c>
      <c r="C9617" s="223" t="s">
        <v>645</v>
      </c>
      <c r="D9617" s="550"/>
      <c r="E9617" s="224"/>
      <c r="F9617" s="225"/>
      <c r="G9617" s="290"/>
      <c r="H9617" s="235">
        <f>+G9617*F9617</f>
        <v>0</v>
      </c>
      <c r="M9617" s="225"/>
    </row>
    <row r="9618" spans="2:13" ht="18.75" customHeight="1" x14ac:dyDescent="0.25">
      <c r="B9618" s="236"/>
      <c r="C9618" s="232"/>
      <c r="D9618" s="550"/>
      <c r="E9618" s="224"/>
      <c r="F9618" s="237" t="s">
        <v>646</v>
      </c>
      <c r="G9618" s="290"/>
      <c r="H9618" s="230">
        <f>SUM(H9617)</f>
        <v>0</v>
      </c>
      <c r="M9618" s="237" t="s">
        <v>646</v>
      </c>
    </row>
    <row r="9619" spans="2:13" ht="18.75" customHeight="1" x14ac:dyDescent="0.25">
      <c r="B9619" s="236"/>
      <c r="C9619" s="562"/>
      <c r="D9619" s="563"/>
      <c r="E9619" s="564"/>
      <c r="F9619" s="565"/>
      <c r="G9619" s="566"/>
      <c r="H9619" s="230"/>
      <c r="M9619" s="565"/>
    </row>
    <row r="9620" spans="2:13" ht="18.75" customHeight="1" x14ac:dyDescent="0.25">
      <c r="B9620" s="354"/>
      <c r="C9620" s="362"/>
      <c r="D9620" s="239"/>
      <c r="E9620" s="266"/>
      <c r="F9620" s="241"/>
      <c r="G9620" s="370"/>
      <c r="H9620" s="369"/>
      <c r="M9620" s="241"/>
    </row>
    <row r="9621" spans="2:13" ht="18.75" customHeight="1" x14ac:dyDescent="0.25">
      <c r="B9621" s="356" t="s">
        <v>647</v>
      </c>
      <c r="C9621" s="364" t="s">
        <v>648</v>
      </c>
      <c r="D9621" s="435"/>
      <c r="E9621" s="92"/>
      <c r="F9621" s="183"/>
      <c r="G9621" s="295"/>
      <c r="H9621" s="357">
        <f>+H9618+H9615+H9608</f>
        <v>653500</v>
      </c>
      <c r="M9621" s="183"/>
    </row>
    <row r="9622" spans="2:13" ht="18.75" customHeight="1" x14ac:dyDescent="0.25">
      <c r="B9622" s="356" t="s">
        <v>649</v>
      </c>
      <c r="C9622" s="364" t="s">
        <v>650</v>
      </c>
      <c r="D9622" s="435"/>
      <c r="E9622" s="92"/>
      <c r="F9622" s="184" t="str">
        <f>$J$5</f>
        <v>8,0 % x D</v>
      </c>
      <c r="G9622" s="295"/>
      <c r="H9622" s="358">
        <f>+H9621*$K$5</f>
        <v>52280</v>
      </c>
      <c r="M9622" s="184" t="str">
        <f>$J$5</f>
        <v>8,0 % x D</v>
      </c>
    </row>
    <row r="9623" spans="2:13" ht="18.75" customHeight="1" x14ac:dyDescent="0.25">
      <c r="B9623" s="356" t="s">
        <v>651</v>
      </c>
      <c r="C9623" s="365" t="s">
        <v>652</v>
      </c>
      <c r="D9623" s="435"/>
      <c r="E9623" s="91"/>
      <c r="F9623" s="185"/>
      <c r="G9623" s="296"/>
      <c r="H9623" s="359">
        <f>ROUNDUP((H9622+H9621)/100,0)*100</f>
        <v>705800</v>
      </c>
      <c r="M9623" s="185"/>
    </row>
    <row r="9624" spans="2:13" ht="18.75" customHeight="1" x14ac:dyDescent="0.25">
      <c r="B9624" s="360"/>
      <c r="C9624" s="581"/>
      <c r="D9624" s="245"/>
      <c r="E9624" s="246"/>
      <c r="F9624" s="247"/>
      <c r="G9624" s="299"/>
      <c r="H9624" s="361"/>
      <c r="M9624" s="247"/>
    </row>
    <row r="9625" spans="2:13" ht="18.75" customHeight="1" x14ac:dyDescent="0.25">
      <c r="B9625" s="22"/>
      <c r="E9625" s="21"/>
      <c r="F9625" s="176"/>
      <c r="G9625" s="165"/>
      <c r="H9625" s="119"/>
      <c r="M9625" s="176"/>
    </row>
    <row r="9626" spans="2:13" ht="18.75" customHeight="1" x14ac:dyDescent="0.25">
      <c r="B9626" s="19">
        <f>B9599+1</f>
        <v>12</v>
      </c>
      <c r="C9626" s="93" t="s">
        <v>1388</v>
      </c>
      <c r="D9626" s="19"/>
      <c r="E9626" s="21"/>
      <c r="F9626" s="176"/>
      <c r="G9626" s="165"/>
      <c r="H9626" s="119"/>
      <c r="M9626" s="176"/>
    </row>
    <row r="9627" spans="2:13" ht="18.75" customHeight="1" x14ac:dyDescent="0.25">
      <c r="B9627" s="618" t="s">
        <v>620</v>
      </c>
      <c r="C9627" s="620" t="s">
        <v>621</v>
      </c>
      <c r="D9627" s="618" t="s">
        <v>622</v>
      </c>
      <c r="E9627" s="618" t="s">
        <v>2</v>
      </c>
      <c r="F9627" s="615" t="s">
        <v>623</v>
      </c>
      <c r="G9627" s="300" t="s">
        <v>624</v>
      </c>
      <c r="H9627" s="257" t="s">
        <v>625</v>
      </c>
      <c r="M9627" s="615" t="s">
        <v>623</v>
      </c>
    </row>
    <row r="9628" spans="2:13" ht="18.75" customHeight="1" x14ac:dyDescent="0.25">
      <c r="B9628" s="619"/>
      <c r="C9628" s="621"/>
      <c r="D9628" s="619"/>
      <c r="E9628" s="619"/>
      <c r="F9628" s="616"/>
      <c r="G9628" s="585" t="s">
        <v>626</v>
      </c>
      <c r="H9628" s="586" t="s">
        <v>626</v>
      </c>
      <c r="M9628" s="616"/>
    </row>
    <row r="9629" spans="2:13" ht="18.75" customHeight="1" x14ac:dyDescent="0.25">
      <c r="B9629" s="221"/>
      <c r="C9629" s="222"/>
      <c r="D9629" s="221"/>
      <c r="E9629" s="550"/>
      <c r="F9629" s="555"/>
      <c r="G9629" s="551"/>
      <c r="H9629" s="220"/>
      <c r="M9629" s="590"/>
    </row>
    <row r="9630" spans="2:13" ht="18.75" customHeight="1" x14ac:dyDescent="0.25">
      <c r="B9630" s="550" t="s">
        <v>627</v>
      </c>
      <c r="C9630" s="223" t="s">
        <v>628</v>
      </c>
      <c r="D9630" s="550"/>
      <c r="E9630" s="224"/>
      <c r="F9630" s="225"/>
      <c r="G9630" s="290"/>
      <c r="H9630" s="226"/>
      <c r="M9630" s="225"/>
    </row>
    <row r="9631" spans="2:13" ht="18.75" customHeight="1" x14ac:dyDescent="0.25">
      <c r="B9631" s="550"/>
      <c r="C9631" s="227" t="s">
        <v>629</v>
      </c>
      <c r="D9631" s="550" t="s">
        <v>630</v>
      </c>
      <c r="E9631" s="224" t="s">
        <v>631</v>
      </c>
      <c r="F9631" s="228">
        <v>0.01</v>
      </c>
      <c r="G9631" s="229">
        <f>G9604</f>
        <v>95000</v>
      </c>
      <c r="H9631" s="230">
        <f>+G9631*F9631</f>
        <v>950</v>
      </c>
      <c r="M9631" s="228">
        <v>0.01</v>
      </c>
    </row>
    <row r="9632" spans="2:13" ht="18.75" customHeight="1" x14ac:dyDescent="0.25">
      <c r="B9632" s="550"/>
      <c r="C9632" s="227" t="s">
        <v>1508</v>
      </c>
      <c r="D9632" s="550" t="s">
        <v>632</v>
      </c>
      <c r="E9632" s="224" t="s">
        <v>631</v>
      </c>
      <c r="F9632" s="228">
        <v>0.1</v>
      </c>
      <c r="G9632" s="229">
        <f>G9605</f>
        <v>110000</v>
      </c>
      <c r="H9632" s="230">
        <f>+G9632*F9632</f>
        <v>11000</v>
      </c>
      <c r="M9632" s="228">
        <v>0.1</v>
      </c>
    </row>
    <row r="9633" spans="2:13" ht="18.75" customHeight="1" x14ac:dyDescent="0.25">
      <c r="B9633" s="550"/>
      <c r="C9633" s="227" t="s">
        <v>633</v>
      </c>
      <c r="D9633" s="550" t="s">
        <v>634</v>
      </c>
      <c r="E9633" s="224" t="s">
        <v>631</v>
      </c>
      <c r="F9633" s="228">
        <v>5.0000000000000001E-3</v>
      </c>
      <c r="G9633" s="229">
        <f>G9606</f>
        <v>115000</v>
      </c>
      <c r="H9633" s="230">
        <f>+G9633*F9633</f>
        <v>575</v>
      </c>
      <c r="M9633" s="228">
        <v>5.0000000000000001E-3</v>
      </c>
    </row>
    <row r="9634" spans="2:13" ht="18.75" customHeight="1" x14ac:dyDescent="0.25">
      <c r="B9634" s="550"/>
      <c r="C9634" s="227" t="s">
        <v>600</v>
      </c>
      <c r="D9634" s="550" t="s">
        <v>635</v>
      </c>
      <c r="E9634" s="224" t="s">
        <v>631</v>
      </c>
      <c r="F9634" s="228">
        <v>5.0000000000000001E-3</v>
      </c>
      <c r="G9634" s="229">
        <f>G9607</f>
        <v>140000</v>
      </c>
      <c r="H9634" s="230">
        <f>+G9634*F9634</f>
        <v>700</v>
      </c>
      <c r="M9634" s="228">
        <v>5.0000000000000001E-3</v>
      </c>
    </row>
    <row r="9635" spans="2:13" ht="18.75" customHeight="1" x14ac:dyDescent="0.25">
      <c r="B9635" s="550"/>
      <c r="C9635" s="223"/>
      <c r="D9635" s="550"/>
      <c r="E9635" s="224"/>
      <c r="F9635" s="237" t="s">
        <v>636</v>
      </c>
      <c r="G9635" s="290"/>
      <c r="H9635" s="231">
        <f>SUM(H9631:H9634)</f>
        <v>13225</v>
      </c>
      <c r="M9635" s="237" t="s">
        <v>636</v>
      </c>
    </row>
    <row r="9636" spans="2:13" ht="18.75" customHeight="1" x14ac:dyDescent="0.25">
      <c r="B9636" s="550"/>
      <c r="C9636" s="223"/>
      <c r="D9636" s="550"/>
      <c r="E9636" s="224"/>
      <c r="F9636" s="237"/>
      <c r="G9636" s="290"/>
      <c r="H9636" s="231"/>
      <c r="M9636" s="237"/>
    </row>
    <row r="9637" spans="2:13" ht="18.75" customHeight="1" x14ac:dyDescent="0.25">
      <c r="B9637" s="550" t="s">
        <v>637</v>
      </c>
      <c r="C9637" s="223" t="s">
        <v>638</v>
      </c>
      <c r="D9637" s="550"/>
      <c r="E9637" s="224"/>
      <c r="F9637" s="225"/>
      <c r="G9637" s="290"/>
      <c r="H9637" s="226"/>
      <c r="M9637" s="225"/>
    </row>
    <row r="9638" spans="2:13" ht="18.75" customHeight="1" x14ac:dyDescent="0.25">
      <c r="B9638" s="550"/>
      <c r="C9638" s="232" t="s">
        <v>1389</v>
      </c>
      <c r="D9638" s="550"/>
      <c r="E9638" s="550" t="s">
        <v>1369</v>
      </c>
      <c r="F9638" s="233">
        <v>1</v>
      </c>
      <c r="G9638" s="234">
        <f>Bahan!D565</f>
        <v>50000</v>
      </c>
      <c r="H9638" s="235">
        <f>G9638*F9638</f>
        <v>50000</v>
      </c>
      <c r="M9638" s="233">
        <v>1</v>
      </c>
    </row>
    <row r="9639" spans="2:13" ht="18.75" customHeight="1" x14ac:dyDescent="0.25">
      <c r="B9639" s="550"/>
      <c r="C9639" s="223"/>
      <c r="D9639" s="550"/>
      <c r="E9639" s="224"/>
      <c r="F9639" s="237" t="s">
        <v>643</v>
      </c>
      <c r="G9639" s="290"/>
      <c r="H9639" s="231">
        <f>SUM(H9638:H9638)</f>
        <v>50000</v>
      </c>
      <c r="M9639" s="237" t="s">
        <v>643</v>
      </c>
    </row>
    <row r="9640" spans="2:13" ht="18.75" customHeight="1" x14ac:dyDescent="0.25">
      <c r="B9640" s="550"/>
      <c r="C9640" s="223"/>
      <c r="D9640" s="550"/>
      <c r="E9640" s="224"/>
      <c r="F9640" s="225"/>
      <c r="G9640" s="290"/>
      <c r="H9640" s="226"/>
      <c r="M9640" s="225"/>
    </row>
    <row r="9641" spans="2:13" ht="18.75" customHeight="1" x14ac:dyDescent="0.25">
      <c r="B9641" s="550" t="s">
        <v>644</v>
      </c>
      <c r="C9641" s="223" t="s">
        <v>645</v>
      </c>
      <c r="D9641" s="550"/>
      <c r="E9641" s="224"/>
      <c r="F9641" s="225"/>
      <c r="G9641" s="290"/>
      <c r="H9641" s="235">
        <f>+G9641*F9641</f>
        <v>0</v>
      </c>
      <c r="M9641" s="225"/>
    </row>
    <row r="9642" spans="2:13" ht="18.75" customHeight="1" x14ac:dyDescent="0.25">
      <c r="B9642" s="236"/>
      <c r="C9642" s="232"/>
      <c r="D9642" s="550"/>
      <c r="E9642" s="224"/>
      <c r="F9642" s="237" t="s">
        <v>646</v>
      </c>
      <c r="G9642" s="290"/>
      <c r="H9642" s="230">
        <f>SUM(H9641)</f>
        <v>0</v>
      </c>
      <c r="M9642" s="237" t="s">
        <v>646</v>
      </c>
    </row>
    <row r="9643" spans="2:13" ht="18.75" customHeight="1" x14ac:dyDescent="0.25">
      <c r="B9643" s="236"/>
      <c r="C9643" s="562"/>
      <c r="D9643" s="563"/>
      <c r="E9643" s="564"/>
      <c r="F9643" s="565"/>
      <c r="G9643" s="566"/>
      <c r="H9643" s="226"/>
      <c r="M9643" s="565"/>
    </row>
    <row r="9644" spans="2:13" ht="18.75" customHeight="1" x14ac:dyDescent="0.25">
      <c r="B9644" s="354"/>
      <c r="C9644" s="362"/>
      <c r="D9644" s="239"/>
      <c r="E9644" s="266"/>
      <c r="F9644" s="241"/>
      <c r="G9644" s="370"/>
      <c r="H9644" s="369"/>
      <c r="M9644" s="241"/>
    </row>
    <row r="9645" spans="2:13" ht="18.75" customHeight="1" x14ac:dyDescent="0.25">
      <c r="B9645" s="356" t="s">
        <v>647</v>
      </c>
      <c r="C9645" s="364" t="s">
        <v>648</v>
      </c>
      <c r="D9645" s="435"/>
      <c r="E9645" s="92"/>
      <c r="F9645" s="183"/>
      <c r="G9645" s="295"/>
      <c r="H9645" s="357">
        <f>+H9642+H9639+H9635</f>
        <v>63225</v>
      </c>
      <c r="M9645" s="183"/>
    </row>
    <row r="9646" spans="2:13" ht="18.75" customHeight="1" x14ac:dyDescent="0.25">
      <c r="B9646" s="356" t="s">
        <v>649</v>
      </c>
      <c r="C9646" s="364" t="s">
        <v>650</v>
      </c>
      <c r="D9646" s="435"/>
      <c r="E9646" s="92"/>
      <c r="F9646" s="184" t="str">
        <f>$J$5</f>
        <v>8,0 % x D</v>
      </c>
      <c r="G9646" s="295"/>
      <c r="H9646" s="358">
        <f>+H9645*$K$5</f>
        <v>5058</v>
      </c>
      <c r="M9646" s="184" t="str">
        <f>$J$5</f>
        <v>8,0 % x D</v>
      </c>
    </row>
    <row r="9647" spans="2:13" ht="18.75" customHeight="1" x14ac:dyDescent="0.25">
      <c r="B9647" s="356" t="s">
        <v>651</v>
      </c>
      <c r="C9647" s="365" t="s">
        <v>652</v>
      </c>
      <c r="D9647" s="435"/>
      <c r="E9647" s="91"/>
      <c r="F9647" s="185"/>
      <c r="G9647" s="296"/>
      <c r="H9647" s="359">
        <f>ROUNDUP((H9646+H9645)/100,0)*100</f>
        <v>68300</v>
      </c>
      <c r="M9647" s="185"/>
    </row>
    <row r="9648" spans="2:13" ht="18.75" customHeight="1" x14ac:dyDescent="0.25">
      <c r="B9648" s="360"/>
      <c r="C9648" s="581"/>
      <c r="D9648" s="245"/>
      <c r="E9648" s="246"/>
      <c r="F9648" s="247"/>
      <c r="G9648" s="299"/>
      <c r="H9648" s="361"/>
      <c r="M9648" s="247"/>
    </row>
    <row r="9649" spans="2:13" ht="18.75" customHeight="1" x14ac:dyDescent="0.25">
      <c r="B9649" s="92"/>
      <c r="C9649" s="242"/>
      <c r="D9649" s="435"/>
      <c r="E9649" s="91"/>
      <c r="F9649" s="185"/>
      <c r="G9649" s="168"/>
      <c r="H9649" s="139"/>
      <c r="M9649" s="185"/>
    </row>
    <row r="9650" spans="2:13" ht="18.75" customHeight="1" x14ac:dyDescent="0.25">
      <c r="B9650" s="19">
        <f>B9626+1</f>
        <v>13</v>
      </c>
      <c r="C9650" s="93" t="s">
        <v>1390</v>
      </c>
      <c r="D9650" s="19"/>
      <c r="E9650" s="21"/>
      <c r="F9650" s="176"/>
      <c r="G9650" s="165"/>
      <c r="H9650" s="119"/>
      <c r="M9650" s="176"/>
    </row>
    <row r="9651" spans="2:13" ht="18.75" customHeight="1" x14ac:dyDescent="0.25">
      <c r="B9651" s="618" t="s">
        <v>620</v>
      </c>
      <c r="C9651" s="620" t="s">
        <v>621</v>
      </c>
      <c r="D9651" s="618" t="s">
        <v>622</v>
      </c>
      <c r="E9651" s="618" t="s">
        <v>2</v>
      </c>
      <c r="F9651" s="615" t="s">
        <v>623</v>
      </c>
      <c r="G9651" s="300" t="s">
        <v>624</v>
      </c>
      <c r="H9651" s="257" t="s">
        <v>625</v>
      </c>
      <c r="M9651" s="615" t="s">
        <v>623</v>
      </c>
    </row>
    <row r="9652" spans="2:13" ht="18.75" customHeight="1" x14ac:dyDescent="0.25">
      <c r="B9652" s="619"/>
      <c r="C9652" s="621"/>
      <c r="D9652" s="619"/>
      <c r="E9652" s="619"/>
      <c r="F9652" s="616"/>
      <c r="G9652" s="585" t="s">
        <v>626</v>
      </c>
      <c r="H9652" s="586" t="s">
        <v>626</v>
      </c>
      <c r="M9652" s="616"/>
    </row>
    <row r="9653" spans="2:13" ht="18.75" customHeight="1" x14ac:dyDescent="0.25">
      <c r="B9653" s="221"/>
      <c r="C9653" s="222"/>
      <c r="D9653" s="221"/>
      <c r="E9653" s="550"/>
      <c r="F9653" s="555"/>
      <c r="G9653" s="551"/>
      <c r="H9653" s="220"/>
      <c r="M9653" s="590"/>
    </row>
    <row r="9654" spans="2:13" ht="18.75" customHeight="1" x14ac:dyDescent="0.25">
      <c r="B9654" s="550" t="s">
        <v>627</v>
      </c>
      <c r="C9654" s="223" t="s">
        <v>628</v>
      </c>
      <c r="D9654" s="550"/>
      <c r="E9654" s="224"/>
      <c r="F9654" s="225"/>
      <c r="G9654" s="290"/>
      <c r="H9654" s="226"/>
      <c r="M9654" s="225"/>
    </row>
    <row r="9655" spans="2:13" ht="18.75" customHeight="1" x14ac:dyDescent="0.25">
      <c r="B9655" s="550"/>
      <c r="C9655" s="227" t="s">
        <v>629</v>
      </c>
      <c r="D9655" s="550" t="s">
        <v>630</v>
      </c>
      <c r="E9655" s="224" t="s">
        <v>631</v>
      </c>
      <c r="F9655" s="228">
        <v>3</v>
      </c>
      <c r="G9655" s="229">
        <f>G9631</f>
        <v>95000</v>
      </c>
      <c r="H9655" s="230">
        <f>+G9655*F9655</f>
        <v>285000</v>
      </c>
      <c r="M9655" s="228">
        <v>3</v>
      </c>
    </row>
    <row r="9656" spans="2:13" ht="18.75" customHeight="1" x14ac:dyDescent="0.25">
      <c r="B9656" s="550"/>
      <c r="C9656" s="227" t="s">
        <v>1508</v>
      </c>
      <c r="D9656" s="550" t="s">
        <v>632</v>
      </c>
      <c r="E9656" s="224" t="s">
        <v>631</v>
      </c>
      <c r="F9656" s="228">
        <v>0.72</v>
      </c>
      <c r="G9656" s="229">
        <f>G9632</f>
        <v>110000</v>
      </c>
      <c r="H9656" s="230">
        <f>+G9656*F9656</f>
        <v>79200</v>
      </c>
      <c r="M9656" s="228">
        <v>0.72</v>
      </c>
    </row>
    <row r="9657" spans="2:13" ht="18.75" customHeight="1" x14ac:dyDescent="0.25">
      <c r="B9657" s="550"/>
      <c r="C9657" s="227" t="s">
        <v>633</v>
      </c>
      <c r="D9657" s="550" t="s">
        <v>634</v>
      </c>
      <c r="E9657" s="224" t="s">
        <v>631</v>
      </c>
      <c r="F9657" s="228">
        <v>7.1999999999999995E-2</v>
      </c>
      <c r="G9657" s="229">
        <f>G9633</f>
        <v>115000</v>
      </c>
      <c r="H9657" s="230">
        <f>+G9657*F9657</f>
        <v>8280</v>
      </c>
      <c r="M9657" s="228">
        <v>7.1999999999999995E-2</v>
      </c>
    </row>
    <row r="9658" spans="2:13" ht="18.75" customHeight="1" x14ac:dyDescent="0.25">
      <c r="B9658" s="550"/>
      <c r="C9658" s="227" t="s">
        <v>600</v>
      </c>
      <c r="D9658" s="550" t="s">
        <v>635</v>
      </c>
      <c r="E9658" s="224" t="s">
        <v>631</v>
      </c>
      <c r="F9658" s="228">
        <v>1.0999999999999999E-2</v>
      </c>
      <c r="G9658" s="229">
        <f>G9634</f>
        <v>140000</v>
      </c>
      <c r="H9658" s="230">
        <f>+G9658*F9658</f>
        <v>1540</v>
      </c>
      <c r="M9658" s="228">
        <v>1.0999999999999999E-2</v>
      </c>
    </row>
    <row r="9659" spans="2:13" ht="18.75" customHeight="1" x14ac:dyDescent="0.25">
      <c r="B9659" s="550"/>
      <c r="C9659" s="223"/>
      <c r="D9659" s="550"/>
      <c r="E9659" s="224"/>
      <c r="F9659" s="237" t="s">
        <v>636</v>
      </c>
      <c r="G9659" s="290"/>
      <c r="H9659" s="231">
        <f>SUM(H9655:H9658)</f>
        <v>374020</v>
      </c>
      <c r="M9659" s="237" t="s">
        <v>636</v>
      </c>
    </row>
    <row r="9660" spans="2:13" ht="18.75" customHeight="1" x14ac:dyDescent="0.25">
      <c r="B9660" s="550"/>
      <c r="C9660" s="223"/>
      <c r="D9660" s="550"/>
      <c r="E9660" s="224"/>
      <c r="F9660" s="237"/>
      <c r="G9660" s="290"/>
      <c r="H9660" s="231"/>
      <c r="M9660" s="237"/>
    </row>
    <row r="9661" spans="2:13" ht="18.75" customHeight="1" x14ac:dyDescent="0.25">
      <c r="B9661" s="550" t="s">
        <v>637</v>
      </c>
      <c r="C9661" s="223" t="s">
        <v>638</v>
      </c>
      <c r="D9661" s="550"/>
      <c r="E9661" s="224"/>
      <c r="F9661" s="225"/>
      <c r="G9661" s="290"/>
      <c r="H9661" s="226"/>
      <c r="M9661" s="225"/>
    </row>
    <row r="9662" spans="2:13" ht="18.75" customHeight="1" x14ac:dyDescent="0.25">
      <c r="B9662" s="550"/>
      <c r="C9662" s="232" t="s">
        <v>663</v>
      </c>
      <c r="D9662" s="550"/>
      <c r="E9662" s="550" t="s">
        <v>16</v>
      </c>
      <c r="F9662" s="233">
        <v>40</v>
      </c>
      <c r="G9662" s="234">
        <f>G9505</f>
        <v>3750</v>
      </c>
      <c r="H9662" s="235">
        <f>G9662*F9662</f>
        <v>150000</v>
      </c>
      <c r="M9662" s="233">
        <v>40</v>
      </c>
    </row>
    <row r="9663" spans="2:13" ht="18.75" customHeight="1" x14ac:dyDescent="0.25">
      <c r="B9663" s="550"/>
      <c r="C9663" s="232" t="s">
        <v>708</v>
      </c>
      <c r="D9663" s="550"/>
      <c r="E9663" s="550" t="s">
        <v>5</v>
      </c>
      <c r="F9663" s="233">
        <v>44</v>
      </c>
      <c r="G9663" s="234">
        <f>G9613</f>
        <v>1700</v>
      </c>
      <c r="H9663" s="230">
        <f>+G9663*F9663</f>
        <v>74800</v>
      </c>
      <c r="M9663" s="233">
        <v>44</v>
      </c>
    </row>
    <row r="9664" spans="2:13" ht="18.75" customHeight="1" x14ac:dyDescent="0.25">
      <c r="B9664" s="550"/>
      <c r="C9664" s="232" t="s">
        <v>661</v>
      </c>
      <c r="D9664" s="550"/>
      <c r="E9664" s="550" t="s">
        <v>8</v>
      </c>
      <c r="F9664" s="233">
        <v>7.0000000000000007E-2</v>
      </c>
      <c r="G9664" s="234">
        <f>G9614</f>
        <v>230000</v>
      </c>
      <c r="H9664" s="230">
        <f>G9664*F9664</f>
        <v>16100.000000000002</v>
      </c>
      <c r="M9664" s="233">
        <v>7.0000000000000007E-2</v>
      </c>
    </row>
    <row r="9665" spans="2:13" ht="18.75" customHeight="1" x14ac:dyDescent="0.25">
      <c r="B9665" s="550"/>
      <c r="C9665" s="232" t="s">
        <v>1391</v>
      </c>
      <c r="D9665" s="550"/>
      <c r="E9665" s="550" t="s">
        <v>8</v>
      </c>
      <c r="F9665" s="233">
        <v>7.4999999999999997E-2</v>
      </c>
      <c r="G9665" s="234">
        <f>Bahan!D88</f>
        <v>230000</v>
      </c>
      <c r="H9665" s="230">
        <f>G9665*F9665</f>
        <v>17250</v>
      </c>
      <c r="M9665" s="233">
        <v>7.4999999999999997E-2</v>
      </c>
    </row>
    <row r="9666" spans="2:13" ht="18.75" customHeight="1" x14ac:dyDescent="0.25">
      <c r="B9666" s="550"/>
      <c r="C9666" s="232" t="s">
        <v>714</v>
      </c>
      <c r="D9666" s="550"/>
      <c r="E9666" s="550" t="s">
        <v>8</v>
      </c>
      <c r="F9666" s="233">
        <v>7.0000000000000007E-2</v>
      </c>
      <c r="G9666" s="234">
        <f>Bahan!D73</f>
        <v>335000</v>
      </c>
      <c r="H9666" s="230">
        <f>G9666*F9666</f>
        <v>23450.000000000004</v>
      </c>
      <c r="M9666" s="233">
        <v>7.0000000000000007E-2</v>
      </c>
    </row>
    <row r="9667" spans="2:13" ht="18.75" customHeight="1" x14ac:dyDescent="0.25">
      <c r="B9667" s="550"/>
      <c r="C9667" s="232" t="s">
        <v>1382</v>
      </c>
      <c r="D9667" s="550"/>
      <c r="E9667" s="550" t="s">
        <v>5</v>
      </c>
      <c r="F9667" s="233">
        <v>1.6</v>
      </c>
      <c r="G9667" s="234">
        <f>G9559</f>
        <v>11000</v>
      </c>
      <c r="H9667" s="230">
        <f>G9667*F9667</f>
        <v>17600</v>
      </c>
      <c r="M9667" s="233">
        <v>1.6</v>
      </c>
    </row>
    <row r="9668" spans="2:13" ht="18.75" customHeight="1" x14ac:dyDescent="0.25">
      <c r="B9668" s="550"/>
      <c r="C9668" s="223"/>
      <c r="D9668" s="550"/>
      <c r="E9668" s="224"/>
      <c r="F9668" s="237" t="s">
        <v>643</v>
      </c>
      <c r="G9668" s="290"/>
      <c r="H9668" s="231">
        <f>SUM(H9662:H9667)</f>
        <v>299200</v>
      </c>
      <c r="M9668" s="237" t="s">
        <v>643</v>
      </c>
    </row>
    <row r="9669" spans="2:13" ht="18.75" customHeight="1" x14ac:dyDescent="0.25">
      <c r="B9669" s="550"/>
      <c r="C9669" s="223"/>
      <c r="D9669" s="550"/>
      <c r="E9669" s="224"/>
      <c r="F9669" s="225"/>
      <c r="G9669" s="290"/>
      <c r="H9669" s="226"/>
      <c r="M9669" s="225"/>
    </row>
    <row r="9670" spans="2:13" ht="18.75" customHeight="1" x14ac:dyDescent="0.25">
      <c r="B9670" s="550" t="s">
        <v>644</v>
      </c>
      <c r="C9670" s="223" t="s">
        <v>645</v>
      </c>
      <c r="D9670" s="550"/>
      <c r="E9670" s="224"/>
      <c r="F9670" s="225"/>
      <c r="G9670" s="290"/>
      <c r="H9670" s="235">
        <f>+G9670*F9670</f>
        <v>0</v>
      </c>
      <c r="M9670" s="225"/>
    </row>
    <row r="9671" spans="2:13" ht="18.75" customHeight="1" x14ac:dyDescent="0.25">
      <c r="B9671" s="236"/>
      <c r="C9671" s="232"/>
      <c r="D9671" s="550"/>
      <c r="E9671" s="224"/>
      <c r="F9671" s="237" t="s">
        <v>646</v>
      </c>
      <c r="G9671" s="290"/>
      <c r="H9671" s="230">
        <f>SUM(H9670)</f>
        <v>0</v>
      </c>
      <c r="M9671" s="237" t="s">
        <v>646</v>
      </c>
    </row>
    <row r="9672" spans="2:13" ht="18.75" customHeight="1" x14ac:dyDescent="0.25">
      <c r="B9672" s="236"/>
      <c r="C9672" s="562"/>
      <c r="D9672" s="563"/>
      <c r="E9672" s="564"/>
      <c r="F9672" s="565"/>
      <c r="G9672" s="566"/>
      <c r="H9672" s="230"/>
      <c r="M9672" s="565"/>
    </row>
    <row r="9673" spans="2:13" ht="18.75" customHeight="1" x14ac:dyDescent="0.25">
      <c r="B9673" s="354"/>
      <c r="C9673" s="362"/>
      <c r="D9673" s="239"/>
      <c r="E9673" s="266"/>
      <c r="F9673" s="241"/>
      <c r="G9673" s="370"/>
      <c r="H9673" s="369"/>
      <c r="M9673" s="241"/>
    </row>
    <row r="9674" spans="2:13" ht="18.75" customHeight="1" x14ac:dyDescent="0.25">
      <c r="B9674" s="356" t="s">
        <v>647</v>
      </c>
      <c r="C9674" s="364" t="s">
        <v>648</v>
      </c>
      <c r="D9674" s="435"/>
      <c r="E9674" s="92"/>
      <c r="F9674" s="183"/>
      <c r="G9674" s="295"/>
      <c r="H9674" s="357">
        <f>+H9671+H9668+H9659</f>
        <v>673220</v>
      </c>
      <c r="M9674" s="183"/>
    </row>
    <row r="9675" spans="2:13" ht="18.75" customHeight="1" x14ac:dyDescent="0.25">
      <c r="B9675" s="356" t="s">
        <v>649</v>
      </c>
      <c r="C9675" s="364" t="s">
        <v>650</v>
      </c>
      <c r="D9675" s="435"/>
      <c r="E9675" s="92"/>
      <c r="F9675" s="184" t="str">
        <f>$J$5</f>
        <v>8,0 % x D</v>
      </c>
      <c r="G9675" s="295"/>
      <c r="H9675" s="358">
        <f>+H9674*$K$5</f>
        <v>53857.599999999999</v>
      </c>
      <c r="M9675" s="184" t="str">
        <f>$J$5</f>
        <v>8,0 % x D</v>
      </c>
    </row>
    <row r="9676" spans="2:13" ht="18.75" customHeight="1" x14ac:dyDescent="0.25">
      <c r="B9676" s="356" t="s">
        <v>651</v>
      </c>
      <c r="C9676" s="365" t="s">
        <v>652</v>
      </c>
      <c r="D9676" s="435"/>
      <c r="E9676" s="91"/>
      <c r="F9676" s="185"/>
      <c r="G9676" s="296"/>
      <c r="H9676" s="359">
        <f>ROUNDUP((H9675+H9674)/100,0)*100</f>
        <v>727100</v>
      </c>
      <c r="M9676" s="185"/>
    </row>
    <row r="9677" spans="2:13" ht="18.75" customHeight="1" x14ac:dyDescent="0.25">
      <c r="B9677" s="360"/>
      <c r="C9677" s="581"/>
      <c r="D9677" s="245"/>
      <c r="E9677" s="246"/>
      <c r="F9677" s="247"/>
      <c r="G9677" s="299"/>
      <c r="H9677" s="361"/>
      <c r="M9677" s="247"/>
    </row>
    <row r="9678" spans="2:13" ht="18.75" customHeight="1" x14ac:dyDescent="0.25">
      <c r="B9678" s="22"/>
      <c r="E9678" s="21"/>
      <c r="F9678" s="176"/>
      <c r="G9678" s="165"/>
      <c r="H9678" s="119"/>
      <c r="M9678" s="176"/>
    </row>
    <row r="9679" spans="2:13" ht="18.75" customHeight="1" x14ac:dyDescent="0.25">
      <c r="B9679" s="19">
        <f>B9650+1</f>
        <v>14</v>
      </c>
      <c r="C9679" s="93" t="s">
        <v>1392</v>
      </c>
      <c r="D9679" s="19"/>
      <c r="E9679" s="21"/>
      <c r="F9679" s="176"/>
      <c r="G9679" s="165"/>
      <c r="H9679" s="119"/>
      <c r="M9679" s="176"/>
    </row>
    <row r="9680" spans="2:13" ht="18.75" customHeight="1" x14ac:dyDescent="0.25">
      <c r="B9680" s="618" t="s">
        <v>620</v>
      </c>
      <c r="C9680" s="620" t="s">
        <v>621</v>
      </c>
      <c r="D9680" s="618" t="s">
        <v>622</v>
      </c>
      <c r="E9680" s="618" t="s">
        <v>2</v>
      </c>
      <c r="F9680" s="615" t="s">
        <v>623</v>
      </c>
      <c r="G9680" s="300" t="s">
        <v>624</v>
      </c>
      <c r="H9680" s="257" t="s">
        <v>625</v>
      </c>
      <c r="M9680" s="615" t="s">
        <v>623</v>
      </c>
    </row>
    <row r="9681" spans="2:13" ht="18.75" customHeight="1" x14ac:dyDescent="0.25">
      <c r="B9681" s="619"/>
      <c r="C9681" s="621"/>
      <c r="D9681" s="619"/>
      <c r="E9681" s="619"/>
      <c r="F9681" s="616"/>
      <c r="G9681" s="585" t="s">
        <v>626</v>
      </c>
      <c r="H9681" s="586" t="s">
        <v>626</v>
      </c>
      <c r="M9681" s="616"/>
    </row>
    <row r="9682" spans="2:13" ht="18.75" customHeight="1" x14ac:dyDescent="0.25">
      <c r="B9682" s="221"/>
      <c r="C9682" s="222"/>
      <c r="D9682" s="221"/>
      <c r="E9682" s="550"/>
      <c r="F9682" s="555"/>
      <c r="G9682" s="551"/>
      <c r="H9682" s="220"/>
      <c r="M9682" s="590"/>
    </row>
    <row r="9683" spans="2:13" ht="18.75" customHeight="1" x14ac:dyDescent="0.25">
      <c r="B9683" s="550" t="s">
        <v>627</v>
      </c>
      <c r="C9683" s="223" t="s">
        <v>628</v>
      </c>
      <c r="D9683" s="550"/>
      <c r="E9683" s="224"/>
      <c r="F9683" s="225"/>
      <c r="G9683" s="290"/>
      <c r="H9683" s="226"/>
      <c r="M9683" s="225"/>
    </row>
    <row r="9684" spans="2:13" ht="18.75" customHeight="1" x14ac:dyDescent="0.25">
      <c r="B9684" s="550"/>
      <c r="C9684" s="227" t="s">
        <v>629</v>
      </c>
      <c r="D9684" s="550" t="s">
        <v>630</v>
      </c>
      <c r="E9684" s="224" t="s">
        <v>631</v>
      </c>
      <c r="F9684" s="228">
        <v>3.2</v>
      </c>
      <c r="G9684" s="229">
        <f>G9655</f>
        <v>95000</v>
      </c>
      <c r="H9684" s="230">
        <f>+G9684*F9684</f>
        <v>304000</v>
      </c>
      <c r="M9684" s="228">
        <v>3.2</v>
      </c>
    </row>
    <row r="9685" spans="2:13" ht="18.75" customHeight="1" x14ac:dyDescent="0.25">
      <c r="B9685" s="550"/>
      <c r="C9685" s="227" t="s">
        <v>1508</v>
      </c>
      <c r="D9685" s="550" t="s">
        <v>632</v>
      </c>
      <c r="E9685" s="224" t="s">
        <v>631</v>
      </c>
      <c r="F9685" s="228">
        <v>1.1499999999999999</v>
      </c>
      <c r="G9685" s="229">
        <f>G9656</f>
        <v>110000</v>
      </c>
      <c r="H9685" s="230">
        <f>+G9685*F9685</f>
        <v>126499.99999999999</v>
      </c>
      <c r="M9685" s="228">
        <v>1.1499999999999999</v>
      </c>
    </row>
    <row r="9686" spans="2:13" ht="18.75" customHeight="1" x14ac:dyDescent="0.25">
      <c r="B9686" s="550"/>
      <c r="C9686" s="227" t="s">
        <v>633</v>
      </c>
      <c r="D9686" s="550" t="s">
        <v>634</v>
      </c>
      <c r="E9686" s="224" t="s">
        <v>631</v>
      </c>
      <c r="F9686" s="228">
        <v>1.0999999999999999E-2</v>
      </c>
      <c r="G9686" s="229">
        <f>G9657</f>
        <v>115000</v>
      </c>
      <c r="H9686" s="230">
        <f>+G9686*F9686</f>
        <v>1265</v>
      </c>
      <c r="M9686" s="228">
        <v>1.0999999999999999E-2</v>
      </c>
    </row>
    <row r="9687" spans="2:13" ht="18.75" customHeight="1" x14ac:dyDescent="0.25">
      <c r="B9687" s="550"/>
      <c r="C9687" s="227" t="s">
        <v>600</v>
      </c>
      <c r="D9687" s="550" t="s">
        <v>635</v>
      </c>
      <c r="E9687" s="224" t="s">
        <v>631</v>
      </c>
      <c r="F9687" s="228">
        <v>1.6E-2</v>
      </c>
      <c r="G9687" s="229">
        <f>G9658</f>
        <v>140000</v>
      </c>
      <c r="H9687" s="230">
        <f>+G9687*F9687</f>
        <v>2240</v>
      </c>
      <c r="M9687" s="228">
        <v>1.6E-2</v>
      </c>
    </row>
    <row r="9688" spans="2:13" ht="18.75" customHeight="1" x14ac:dyDescent="0.25">
      <c r="B9688" s="550"/>
      <c r="C9688" s="223"/>
      <c r="D9688" s="550"/>
      <c r="E9688" s="224"/>
      <c r="F9688" s="237" t="s">
        <v>636</v>
      </c>
      <c r="G9688" s="290"/>
      <c r="H9688" s="231">
        <f>SUM(H9684:H9687)</f>
        <v>434005</v>
      </c>
      <c r="M9688" s="237" t="s">
        <v>636</v>
      </c>
    </row>
    <row r="9689" spans="2:13" ht="18.75" customHeight="1" x14ac:dyDescent="0.25">
      <c r="B9689" s="550"/>
      <c r="C9689" s="223"/>
      <c r="D9689" s="550"/>
      <c r="E9689" s="224"/>
      <c r="F9689" s="237"/>
      <c r="G9689" s="290"/>
      <c r="H9689" s="231"/>
      <c r="M9689" s="237"/>
    </row>
    <row r="9690" spans="2:13" ht="18.75" customHeight="1" x14ac:dyDescent="0.25">
      <c r="B9690" s="550" t="s">
        <v>637</v>
      </c>
      <c r="C9690" s="223" t="s">
        <v>638</v>
      </c>
      <c r="D9690" s="550"/>
      <c r="E9690" s="224"/>
      <c r="F9690" s="225"/>
      <c r="G9690" s="290"/>
      <c r="H9690" s="226"/>
      <c r="M9690" s="225"/>
    </row>
    <row r="9691" spans="2:13" ht="18.75" customHeight="1" x14ac:dyDescent="0.25">
      <c r="B9691" s="550"/>
      <c r="C9691" s="232" t="s">
        <v>663</v>
      </c>
      <c r="D9691" s="550"/>
      <c r="E9691" s="550" t="s">
        <v>16</v>
      </c>
      <c r="F9691" s="233">
        <v>70</v>
      </c>
      <c r="G9691" s="234">
        <f t="shared" ref="G9691:G9696" si="351">G9662</f>
        <v>3750</v>
      </c>
      <c r="H9691" s="235">
        <f>G9691*F9691</f>
        <v>262500</v>
      </c>
      <c r="M9691" s="233">
        <v>70</v>
      </c>
    </row>
    <row r="9692" spans="2:13" ht="18.75" customHeight="1" x14ac:dyDescent="0.25">
      <c r="B9692" s="550"/>
      <c r="C9692" s="232" t="s">
        <v>708</v>
      </c>
      <c r="D9692" s="550"/>
      <c r="E9692" s="550" t="s">
        <v>5</v>
      </c>
      <c r="F9692" s="233">
        <v>77</v>
      </c>
      <c r="G9692" s="234">
        <f t="shared" si="351"/>
        <v>1700</v>
      </c>
      <c r="H9692" s="230">
        <f>+G9692*F9692</f>
        <v>130900</v>
      </c>
      <c r="M9692" s="233">
        <v>77</v>
      </c>
    </row>
    <row r="9693" spans="2:13" ht="18.75" customHeight="1" x14ac:dyDescent="0.25">
      <c r="B9693" s="550"/>
      <c r="C9693" s="232" t="s">
        <v>661</v>
      </c>
      <c r="D9693" s="550"/>
      <c r="E9693" s="550" t="s">
        <v>8</v>
      </c>
      <c r="F9693" s="233">
        <v>0.13</v>
      </c>
      <c r="G9693" s="234">
        <f t="shared" si="351"/>
        <v>230000</v>
      </c>
      <c r="H9693" s="230">
        <f>G9693*F9693</f>
        <v>29900</v>
      </c>
      <c r="M9693" s="233">
        <v>0.13</v>
      </c>
    </row>
    <row r="9694" spans="2:13" ht="18.75" customHeight="1" x14ac:dyDescent="0.25">
      <c r="B9694" s="550"/>
      <c r="C9694" s="232" t="s">
        <v>662</v>
      </c>
      <c r="D9694" s="550"/>
      <c r="E9694" s="550" t="s">
        <v>8</v>
      </c>
      <c r="F9694" s="233">
        <v>0.09</v>
      </c>
      <c r="G9694" s="234">
        <f t="shared" si="351"/>
        <v>230000</v>
      </c>
      <c r="H9694" s="230">
        <f>G9694*F9694</f>
        <v>20700</v>
      </c>
      <c r="M9694" s="233">
        <v>0.09</v>
      </c>
    </row>
    <row r="9695" spans="2:13" ht="18.75" customHeight="1" x14ac:dyDescent="0.25">
      <c r="B9695" s="550"/>
      <c r="C9695" s="232" t="s">
        <v>714</v>
      </c>
      <c r="D9695" s="550"/>
      <c r="E9695" s="550" t="s">
        <v>8</v>
      </c>
      <c r="F9695" s="233">
        <v>0.02</v>
      </c>
      <c r="G9695" s="234">
        <f t="shared" si="351"/>
        <v>335000</v>
      </c>
      <c r="H9695" s="230">
        <f>G9695*F9695</f>
        <v>6700</v>
      </c>
      <c r="M9695" s="233">
        <v>0.02</v>
      </c>
    </row>
    <row r="9696" spans="2:13" ht="18.75" customHeight="1" x14ac:dyDescent="0.25">
      <c r="B9696" s="550"/>
      <c r="C9696" s="232" t="s">
        <v>1382</v>
      </c>
      <c r="D9696" s="550"/>
      <c r="E9696" s="550" t="s">
        <v>5</v>
      </c>
      <c r="F9696" s="233">
        <v>2.6</v>
      </c>
      <c r="G9696" s="234">
        <f t="shared" si="351"/>
        <v>11000</v>
      </c>
      <c r="H9696" s="230">
        <f>G9696*F9696</f>
        <v>28600</v>
      </c>
      <c r="M9696" s="233">
        <v>2.6</v>
      </c>
    </row>
    <row r="9697" spans="2:13" ht="18.75" customHeight="1" x14ac:dyDescent="0.25">
      <c r="B9697" s="550"/>
      <c r="C9697" s="223"/>
      <c r="D9697" s="550"/>
      <c r="E9697" s="224"/>
      <c r="F9697" s="237" t="s">
        <v>643</v>
      </c>
      <c r="G9697" s="290"/>
      <c r="H9697" s="231">
        <f>SUM(H9691:H9696)</f>
        <v>479300</v>
      </c>
      <c r="M9697" s="237" t="s">
        <v>643</v>
      </c>
    </row>
    <row r="9698" spans="2:13" ht="18.75" customHeight="1" x14ac:dyDescent="0.25">
      <c r="B9698" s="550"/>
      <c r="C9698" s="223"/>
      <c r="D9698" s="550"/>
      <c r="E9698" s="224"/>
      <c r="F9698" s="225"/>
      <c r="G9698" s="290"/>
      <c r="H9698" s="226"/>
      <c r="M9698" s="225"/>
    </row>
    <row r="9699" spans="2:13" ht="18.75" customHeight="1" x14ac:dyDescent="0.25">
      <c r="B9699" s="550" t="s">
        <v>644</v>
      </c>
      <c r="C9699" s="223" t="s">
        <v>645</v>
      </c>
      <c r="D9699" s="550"/>
      <c r="E9699" s="224"/>
      <c r="F9699" s="225"/>
      <c r="G9699" s="290"/>
      <c r="H9699" s="235">
        <f>+G9699*F9699</f>
        <v>0</v>
      </c>
      <c r="M9699" s="225"/>
    </row>
    <row r="9700" spans="2:13" ht="18.75" customHeight="1" x14ac:dyDescent="0.25">
      <c r="B9700" s="236"/>
      <c r="C9700" s="232"/>
      <c r="D9700" s="550"/>
      <c r="E9700" s="224"/>
      <c r="F9700" s="237" t="s">
        <v>646</v>
      </c>
      <c r="G9700" s="290"/>
      <c r="H9700" s="230">
        <f>SUM(H9699)</f>
        <v>0</v>
      </c>
      <c r="M9700" s="237" t="s">
        <v>646</v>
      </c>
    </row>
    <row r="9701" spans="2:13" ht="18.75" customHeight="1" x14ac:dyDescent="0.25">
      <c r="B9701" s="236"/>
      <c r="C9701" s="562"/>
      <c r="D9701" s="563"/>
      <c r="E9701" s="564"/>
      <c r="F9701" s="565"/>
      <c r="G9701" s="566"/>
      <c r="H9701" s="226"/>
      <c r="M9701" s="565"/>
    </row>
    <row r="9702" spans="2:13" ht="18.75" customHeight="1" x14ac:dyDescent="0.25">
      <c r="B9702" s="354"/>
      <c r="C9702" s="362"/>
      <c r="D9702" s="239"/>
      <c r="E9702" s="266"/>
      <c r="F9702" s="241"/>
      <c r="G9702" s="370"/>
      <c r="H9702" s="369"/>
      <c r="M9702" s="241"/>
    </row>
    <row r="9703" spans="2:13" ht="18.75" customHeight="1" x14ac:dyDescent="0.25">
      <c r="B9703" s="356" t="s">
        <v>647</v>
      </c>
      <c r="C9703" s="364" t="s">
        <v>648</v>
      </c>
      <c r="D9703" s="435"/>
      <c r="E9703" s="92"/>
      <c r="F9703" s="183"/>
      <c r="G9703" s="295"/>
      <c r="H9703" s="357">
        <f>+H9700+H9697+H9688</f>
        <v>913305</v>
      </c>
      <c r="M9703" s="183"/>
    </row>
    <row r="9704" spans="2:13" ht="18.75" customHeight="1" x14ac:dyDescent="0.25">
      <c r="B9704" s="356" t="s">
        <v>649</v>
      </c>
      <c r="C9704" s="364" t="s">
        <v>650</v>
      </c>
      <c r="D9704" s="435"/>
      <c r="E9704" s="92"/>
      <c r="F9704" s="184" t="str">
        <f>$J$5</f>
        <v>8,0 % x D</v>
      </c>
      <c r="G9704" s="295"/>
      <c r="H9704" s="358">
        <f>+H9703*$K$5</f>
        <v>73064.400000000009</v>
      </c>
      <c r="M9704" s="184" t="str">
        <f>$J$5</f>
        <v>8,0 % x D</v>
      </c>
    </row>
    <row r="9705" spans="2:13" ht="18.75" customHeight="1" x14ac:dyDescent="0.25">
      <c r="B9705" s="356" t="s">
        <v>651</v>
      </c>
      <c r="C9705" s="365" t="s">
        <v>652</v>
      </c>
      <c r="D9705" s="435"/>
      <c r="E9705" s="91"/>
      <c r="F9705" s="185"/>
      <c r="G9705" s="296"/>
      <c r="H9705" s="359">
        <f>ROUNDUP((H9704+H9703)/100,0)*100</f>
        <v>986400</v>
      </c>
      <c r="M9705" s="185"/>
    </row>
    <row r="9706" spans="2:13" ht="18.75" customHeight="1" x14ac:dyDescent="0.25">
      <c r="B9706" s="360"/>
      <c r="C9706" s="581"/>
      <c r="D9706" s="245"/>
      <c r="E9706" s="246"/>
      <c r="F9706" s="247"/>
      <c r="G9706" s="299"/>
      <c r="H9706" s="361"/>
      <c r="M9706" s="247"/>
    </row>
    <row r="9707" spans="2:13" ht="18.75" customHeight="1" x14ac:dyDescent="0.25">
      <c r="B9707" s="92"/>
      <c r="C9707" s="242"/>
      <c r="D9707" s="435"/>
      <c r="E9707" s="91"/>
      <c r="F9707" s="185"/>
      <c r="G9707" s="168"/>
      <c r="H9707" s="139"/>
      <c r="M9707" s="185"/>
    </row>
    <row r="9708" spans="2:13" ht="18.75" customHeight="1" x14ac:dyDescent="0.25">
      <c r="B9708" s="19">
        <f>B9679+1</f>
        <v>15</v>
      </c>
      <c r="C9708" s="93" t="s">
        <v>1393</v>
      </c>
      <c r="D9708" s="19"/>
      <c r="E9708" s="21"/>
      <c r="F9708" s="176"/>
      <c r="G9708" s="165"/>
      <c r="H9708" s="119"/>
      <c r="M9708" s="176"/>
    </row>
    <row r="9709" spans="2:13" ht="18.75" customHeight="1" x14ac:dyDescent="0.25">
      <c r="B9709" s="618" t="s">
        <v>620</v>
      </c>
      <c r="C9709" s="620" t="s">
        <v>621</v>
      </c>
      <c r="D9709" s="618" t="s">
        <v>622</v>
      </c>
      <c r="E9709" s="618" t="s">
        <v>2</v>
      </c>
      <c r="F9709" s="615" t="s">
        <v>623</v>
      </c>
      <c r="G9709" s="300" t="s">
        <v>624</v>
      </c>
      <c r="H9709" s="257" t="s">
        <v>625</v>
      </c>
      <c r="M9709" s="615" t="s">
        <v>623</v>
      </c>
    </row>
    <row r="9710" spans="2:13" ht="18.75" customHeight="1" x14ac:dyDescent="0.25">
      <c r="B9710" s="619"/>
      <c r="C9710" s="621"/>
      <c r="D9710" s="619"/>
      <c r="E9710" s="619"/>
      <c r="F9710" s="616"/>
      <c r="G9710" s="585" t="s">
        <v>626</v>
      </c>
      <c r="H9710" s="586" t="s">
        <v>626</v>
      </c>
      <c r="M9710" s="616"/>
    </row>
    <row r="9711" spans="2:13" ht="18.75" customHeight="1" x14ac:dyDescent="0.25">
      <c r="B9711" s="221"/>
      <c r="C9711" s="222"/>
      <c r="D9711" s="221"/>
      <c r="E9711" s="550"/>
      <c r="F9711" s="555"/>
      <c r="G9711" s="551"/>
      <c r="H9711" s="220"/>
      <c r="M9711" s="590"/>
    </row>
    <row r="9712" spans="2:13" ht="18.75" customHeight="1" x14ac:dyDescent="0.25">
      <c r="B9712" s="550" t="s">
        <v>627</v>
      </c>
      <c r="C9712" s="223" t="s">
        <v>628</v>
      </c>
      <c r="D9712" s="550"/>
      <c r="E9712" s="224"/>
      <c r="F9712" s="225"/>
      <c r="G9712" s="290"/>
      <c r="H9712" s="226"/>
      <c r="M9712" s="225"/>
    </row>
    <row r="9713" spans="2:13" ht="18.75" customHeight="1" x14ac:dyDescent="0.25">
      <c r="B9713" s="550"/>
      <c r="C9713" s="227" t="s">
        <v>629</v>
      </c>
      <c r="D9713" s="550" t="s">
        <v>630</v>
      </c>
      <c r="E9713" s="224" t="s">
        <v>631</v>
      </c>
      <c r="F9713" s="228">
        <v>3.2</v>
      </c>
      <c r="G9713" s="229">
        <f>G9684</f>
        <v>95000</v>
      </c>
      <c r="H9713" s="230">
        <f>+G9713*F9713</f>
        <v>304000</v>
      </c>
      <c r="M9713" s="228">
        <v>3.2</v>
      </c>
    </row>
    <row r="9714" spans="2:13" ht="18.75" customHeight="1" x14ac:dyDescent="0.25">
      <c r="B9714" s="550"/>
      <c r="C9714" s="227" t="s">
        <v>1508</v>
      </c>
      <c r="D9714" s="550" t="s">
        <v>632</v>
      </c>
      <c r="E9714" s="224" t="s">
        <v>631</v>
      </c>
      <c r="F9714" s="228">
        <v>1.1499999999999999</v>
      </c>
      <c r="G9714" s="229">
        <f>G9685</f>
        <v>110000</v>
      </c>
      <c r="H9714" s="230">
        <f>+G9714*F9714</f>
        <v>126499.99999999999</v>
      </c>
      <c r="M9714" s="228">
        <v>1.1499999999999999</v>
      </c>
    </row>
    <row r="9715" spans="2:13" ht="18.75" customHeight="1" x14ac:dyDescent="0.25">
      <c r="B9715" s="550"/>
      <c r="C9715" s="227" t="s">
        <v>633</v>
      </c>
      <c r="D9715" s="550" t="s">
        <v>634</v>
      </c>
      <c r="E9715" s="224" t="s">
        <v>631</v>
      </c>
      <c r="F9715" s="228">
        <v>1.0999999999999999E-2</v>
      </c>
      <c r="G9715" s="229">
        <f>G9686</f>
        <v>115000</v>
      </c>
      <c r="H9715" s="230">
        <f>+G9715*F9715</f>
        <v>1265</v>
      </c>
      <c r="M9715" s="228">
        <v>1.0999999999999999E-2</v>
      </c>
    </row>
    <row r="9716" spans="2:13" ht="18.75" customHeight="1" x14ac:dyDescent="0.25">
      <c r="B9716" s="550"/>
      <c r="C9716" s="227" t="s">
        <v>600</v>
      </c>
      <c r="D9716" s="550" t="s">
        <v>635</v>
      </c>
      <c r="E9716" s="224" t="s">
        <v>631</v>
      </c>
      <c r="F9716" s="228">
        <v>1.6E-2</v>
      </c>
      <c r="G9716" s="229">
        <f>G9687</f>
        <v>140000</v>
      </c>
      <c r="H9716" s="230">
        <f>+G9716*F9716</f>
        <v>2240</v>
      </c>
      <c r="M9716" s="228">
        <v>1.6E-2</v>
      </c>
    </row>
    <row r="9717" spans="2:13" ht="18.75" customHeight="1" x14ac:dyDescent="0.25">
      <c r="B9717" s="550"/>
      <c r="C9717" s="223"/>
      <c r="D9717" s="550"/>
      <c r="E9717" s="224"/>
      <c r="F9717" s="237" t="s">
        <v>636</v>
      </c>
      <c r="G9717" s="290"/>
      <c r="H9717" s="231">
        <f>SUM(H9713:H9716)</f>
        <v>434005</v>
      </c>
      <c r="M9717" s="237" t="s">
        <v>636</v>
      </c>
    </row>
    <row r="9718" spans="2:13" ht="18.75" customHeight="1" x14ac:dyDescent="0.25">
      <c r="B9718" s="550"/>
      <c r="C9718" s="223"/>
      <c r="D9718" s="550"/>
      <c r="E9718" s="224"/>
      <c r="F9718" s="237"/>
      <c r="G9718" s="290"/>
      <c r="H9718" s="231"/>
      <c r="M9718" s="237"/>
    </row>
    <row r="9719" spans="2:13" ht="18.75" customHeight="1" x14ac:dyDescent="0.25">
      <c r="B9719" s="550" t="s">
        <v>637</v>
      </c>
      <c r="C9719" s="223" t="s">
        <v>638</v>
      </c>
      <c r="D9719" s="550"/>
      <c r="E9719" s="224"/>
      <c r="F9719" s="225"/>
      <c r="G9719" s="290"/>
      <c r="H9719" s="226"/>
      <c r="M9719" s="225"/>
    </row>
    <row r="9720" spans="2:13" ht="18.75" customHeight="1" x14ac:dyDescent="0.25">
      <c r="B9720" s="550"/>
      <c r="C9720" s="232" t="s">
        <v>663</v>
      </c>
      <c r="D9720" s="550"/>
      <c r="E9720" s="550" t="s">
        <v>16</v>
      </c>
      <c r="F9720" s="233">
        <v>123</v>
      </c>
      <c r="G9720" s="234">
        <f t="shared" ref="G9720:G9725" si="352">G9691</f>
        <v>3750</v>
      </c>
      <c r="H9720" s="235">
        <f>G9720*F9720</f>
        <v>461250</v>
      </c>
      <c r="M9720" s="233">
        <v>123</v>
      </c>
    </row>
    <row r="9721" spans="2:13" ht="18.75" customHeight="1" x14ac:dyDescent="0.25">
      <c r="B9721" s="550"/>
      <c r="C9721" s="232" t="s">
        <v>708</v>
      </c>
      <c r="D9721" s="550"/>
      <c r="E9721" s="550" t="s">
        <v>5</v>
      </c>
      <c r="F9721" s="233">
        <v>114</v>
      </c>
      <c r="G9721" s="234">
        <f t="shared" si="352"/>
        <v>1700</v>
      </c>
      <c r="H9721" s="230">
        <f>+G9721*F9721</f>
        <v>193800</v>
      </c>
      <c r="M9721" s="233">
        <v>114</v>
      </c>
    </row>
    <row r="9722" spans="2:13" ht="18.75" customHeight="1" x14ac:dyDescent="0.25">
      <c r="B9722" s="550"/>
      <c r="C9722" s="232" t="s">
        <v>661</v>
      </c>
      <c r="D9722" s="550"/>
      <c r="E9722" s="550" t="s">
        <v>8</v>
      </c>
      <c r="F9722" s="233">
        <v>0.184</v>
      </c>
      <c r="G9722" s="234">
        <f t="shared" si="352"/>
        <v>230000</v>
      </c>
      <c r="H9722" s="230">
        <f>G9722*F9722</f>
        <v>42320</v>
      </c>
      <c r="M9722" s="233">
        <v>0.184</v>
      </c>
    </row>
    <row r="9723" spans="2:13" ht="18.75" customHeight="1" x14ac:dyDescent="0.25">
      <c r="B9723" s="550"/>
      <c r="C9723" s="232" t="s">
        <v>662</v>
      </c>
      <c r="D9723" s="550"/>
      <c r="E9723" s="550" t="s">
        <v>8</v>
      </c>
      <c r="F9723" s="233">
        <v>0.12</v>
      </c>
      <c r="G9723" s="234">
        <f t="shared" si="352"/>
        <v>230000</v>
      </c>
      <c r="H9723" s="230">
        <f>G9723*F9723</f>
        <v>27600</v>
      </c>
      <c r="M9723" s="233">
        <v>0.12</v>
      </c>
    </row>
    <row r="9724" spans="2:13" ht="18.75" customHeight="1" x14ac:dyDescent="0.25">
      <c r="B9724" s="550"/>
      <c r="C9724" s="232" t="s">
        <v>714</v>
      </c>
      <c r="D9724" s="550"/>
      <c r="E9724" s="550" t="s">
        <v>8</v>
      </c>
      <c r="F9724" s="233">
        <v>3.3000000000000002E-2</v>
      </c>
      <c r="G9724" s="234">
        <f t="shared" si="352"/>
        <v>335000</v>
      </c>
      <c r="H9724" s="230">
        <f>G9724*F9724</f>
        <v>11055</v>
      </c>
      <c r="M9724" s="233">
        <v>3.3000000000000002E-2</v>
      </c>
    </row>
    <row r="9725" spans="2:13" ht="18.75" customHeight="1" x14ac:dyDescent="0.25">
      <c r="B9725" s="550"/>
      <c r="C9725" s="232" t="s">
        <v>1382</v>
      </c>
      <c r="D9725" s="550"/>
      <c r="E9725" s="550" t="s">
        <v>5</v>
      </c>
      <c r="F9725" s="233">
        <v>4.8499999999999996</v>
      </c>
      <c r="G9725" s="234">
        <f t="shared" si="352"/>
        <v>11000</v>
      </c>
      <c r="H9725" s="230">
        <f>G9725*F9725</f>
        <v>53349.999999999993</v>
      </c>
      <c r="M9725" s="233">
        <v>4.8499999999999996</v>
      </c>
    </row>
    <row r="9726" spans="2:13" ht="18.75" customHeight="1" x14ac:dyDescent="0.25">
      <c r="B9726" s="550"/>
      <c r="C9726" s="223"/>
      <c r="D9726" s="550"/>
      <c r="E9726" s="224"/>
      <c r="F9726" s="237" t="s">
        <v>643</v>
      </c>
      <c r="G9726" s="290"/>
      <c r="H9726" s="231">
        <f>SUM(H9720:H9725)</f>
        <v>789375</v>
      </c>
      <c r="M9726" s="237" t="s">
        <v>643</v>
      </c>
    </row>
    <row r="9727" spans="2:13" ht="18.75" customHeight="1" x14ac:dyDescent="0.25">
      <c r="B9727" s="550"/>
      <c r="C9727" s="223"/>
      <c r="D9727" s="550"/>
      <c r="E9727" s="224"/>
      <c r="F9727" s="225"/>
      <c r="G9727" s="290"/>
      <c r="H9727" s="226"/>
      <c r="M9727" s="225"/>
    </row>
    <row r="9728" spans="2:13" ht="18.75" customHeight="1" x14ac:dyDescent="0.25">
      <c r="B9728" s="550" t="s">
        <v>644</v>
      </c>
      <c r="C9728" s="223" t="s">
        <v>645</v>
      </c>
      <c r="D9728" s="550"/>
      <c r="E9728" s="224"/>
      <c r="F9728" s="225"/>
      <c r="G9728" s="290"/>
      <c r="H9728" s="235">
        <f>+G9728*F9728</f>
        <v>0</v>
      </c>
      <c r="M9728" s="225"/>
    </row>
    <row r="9729" spans="2:13" ht="18.75" customHeight="1" x14ac:dyDescent="0.25">
      <c r="B9729" s="236"/>
      <c r="C9729" s="232"/>
      <c r="D9729" s="550"/>
      <c r="E9729" s="224"/>
      <c r="F9729" s="237" t="s">
        <v>646</v>
      </c>
      <c r="G9729" s="290"/>
      <c r="H9729" s="230">
        <f>SUM(H9728)</f>
        <v>0</v>
      </c>
      <c r="M9729" s="237" t="s">
        <v>646</v>
      </c>
    </row>
    <row r="9730" spans="2:13" ht="18.75" customHeight="1" x14ac:dyDescent="0.25">
      <c r="B9730" s="236"/>
      <c r="C9730" s="562"/>
      <c r="D9730" s="563"/>
      <c r="E9730" s="564"/>
      <c r="F9730" s="565"/>
      <c r="G9730" s="566"/>
      <c r="H9730" s="230"/>
      <c r="M9730" s="565"/>
    </row>
    <row r="9731" spans="2:13" ht="18.75" customHeight="1" x14ac:dyDescent="0.25">
      <c r="B9731" s="354"/>
      <c r="C9731" s="362"/>
      <c r="D9731" s="239"/>
      <c r="E9731" s="266"/>
      <c r="F9731" s="241"/>
      <c r="G9731" s="370"/>
      <c r="H9731" s="369"/>
      <c r="M9731" s="241"/>
    </row>
    <row r="9732" spans="2:13" ht="18.75" customHeight="1" x14ac:dyDescent="0.25">
      <c r="B9732" s="356" t="s">
        <v>647</v>
      </c>
      <c r="C9732" s="364" t="s">
        <v>648</v>
      </c>
      <c r="D9732" s="435"/>
      <c r="E9732" s="92"/>
      <c r="F9732" s="183"/>
      <c r="G9732" s="295"/>
      <c r="H9732" s="357">
        <f>+H9729+H9726+H9717</f>
        <v>1223380</v>
      </c>
      <c r="M9732" s="183"/>
    </row>
    <row r="9733" spans="2:13" ht="18.75" customHeight="1" x14ac:dyDescent="0.25">
      <c r="B9733" s="356" t="s">
        <v>649</v>
      </c>
      <c r="C9733" s="364" t="s">
        <v>650</v>
      </c>
      <c r="D9733" s="435"/>
      <c r="E9733" s="92"/>
      <c r="F9733" s="184" t="str">
        <f>$J$5</f>
        <v>8,0 % x D</v>
      </c>
      <c r="G9733" s="295"/>
      <c r="H9733" s="358">
        <f>+H9732*$K$5</f>
        <v>97870.400000000009</v>
      </c>
      <c r="M9733" s="184" t="str">
        <f>$J$5</f>
        <v>8,0 % x D</v>
      </c>
    </row>
    <row r="9734" spans="2:13" ht="18.75" customHeight="1" x14ac:dyDescent="0.25">
      <c r="B9734" s="356" t="s">
        <v>651</v>
      </c>
      <c r="C9734" s="365" t="s">
        <v>652</v>
      </c>
      <c r="D9734" s="435"/>
      <c r="E9734" s="91"/>
      <c r="F9734" s="185"/>
      <c r="G9734" s="296"/>
      <c r="H9734" s="359">
        <f>ROUNDUP((H9733+H9732)/100,0)*100</f>
        <v>1321300</v>
      </c>
      <c r="M9734" s="185"/>
    </row>
    <row r="9735" spans="2:13" ht="18.75" customHeight="1" x14ac:dyDescent="0.25">
      <c r="B9735" s="360"/>
      <c r="C9735" s="581"/>
      <c r="D9735" s="245"/>
      <c r="E9735" s="246"/>
      <c r="F9735" s="247"/>
      <c r="G9735" s="299"/>
      <c r="H9735" s="361"/>
      <c r="M9735" s="247"/>
    </row>
    <row r="9736" spans="2:13" ht="18.75" customHeight="1" x14ac:dyDescent="0.25">
      <c r="B9736" s="22"/>
      <c r="E9736" s="21"/>
      <c r="F9736" s="176"/>
      <c r="G9736" s="165"/>
      <c r="H9736" s="119"/>
      <c r="M9736" s="176"/>
    </row>
    <row r="9737" spans="2:13" ht="18.75" customHeight="1" x14ac:dyDescent="0.25">
      <c r="B9737" s="19">
        <f>B9708+1</f>
        <v>16</v>
      </c>
      <c r="C9737" s="93" t="s">
        <v>1463</v>
      </c>
      <c r="D9737" s="19"/>
      <c r="E9737" s="21"/>
      <c r="F9737" s="176"/>
      <c r="G9737" s="165"/>
      <c r="H9737" s="119"/>
      <c r="M9737" s="176"/>
    </row>
    <row r="9738" spans="2:13" ht="18.75" customHeight="1" x14ac:dyDescent="0.25">
      <c r="B9738" s="618" t="s">
        <v>620</v>
      </c>
      <c r="C9738" s="620" t="s">
        <v>621</v>
      </c>
      <c r="D9738" s="618" t="s">
        <v>622</v>
      </c>
      <c r="E9738" s="618" t="s">
        <v>2</v>
      </c>
      <c r="F9738" s="615" t="s">
        <v>623</v>
      </c>
      <c r="G9738" s="300" t="s">
        <v>624</v>
      </c>
      <c r="H9738" s="257" t="s">
        <v>625</v>
      </c>
      <c r="M9738" s="615" t="s">
        <v>623</v>
      </c>
    </row>
    <row r="9739" spans="2:13" ht="18.75" customHeight="1" x14ac:dyDescent="0.25">
      <c r="B9739" s="619"/>
      <c r="C9739" s="621"/>
      <c r="D9739" s="619"/>
      <c r="E9739" s="619"/>
      <c r="F9739" s="616"/>
      <c r="G9739" s="585" t="s">
        <v>626</v>
      </c>
      <c r="H9739" s="586" t="s">
        <v>626</v>
      </c>
      <c r="M9739" s="616"/>
    </row>
    <row r="9740" spans="2:13" ht="18.75" customHeight="1" x14ac:dyDescent="0.25">
      <c r="B9740" s="221"/>
      <c r="C9740" s="222"/>
      <c r="D9740" s="221"/>
      <c r="E9740" s="550"/>
      <c r="F9740" s="555"/>
      <c r="G9740" s="551"/>
      <c r="H9740" s="220"/>
      <c r="M9740" s="590"/>
    </row>
    <row r="9741" spans="2:13" ht="18.75" customHeight="1" x14ac:dyDescent="0.25">
      <c r="B9741" s="550" t="s">
        <v>627</v>
      </c>
      <c r="C9741" s="223" t="s">
        <v>628</v>
      </c>
      <c r="D9741" s="550"/>
      <c r="E9741" s="224"/>
      <c r="F9741" s="225"/>
      <c r="G9741" s="290"/>
      <c r="H9741" s="226"/>
      <c r="M9741" s="225"/>
    </row>
    <row r="9742" spans="2:13" ht="18.75" customHeight="1" x14ac:dyDescent="0.25">
      <c r="B9742" s="550"/>
      <c r="C9742" s="227" t="s">
        <v>629</v>
      </c>
      <c r="D9742" s="550" t="s">
        <v>630</v>
      </c>
      <c r="E9742" s="224" t="s">
        <v>631</v>
      </c>
      <c r="F9742" s="228">
        <v>0.01</v>
      </c>
      <c r="G9742" s="229">
        <f>G9767</f>
        <v>95000</v>
      </c>
      <c r="H9742" s="230">
        <f>+G9742*F9742</f>
        <v>950</v>
      </c>
      <c r="M9742" s="228">
        <v>0.01</v>
      </c>
    </row>
    <row r="9743" spans="2:13" ht="18.75" customHeight="1" x14ac:dyDescent="0.25">
      <c r="B9743" s="550"/>
      <c r="C9743" s="227" t="s">
        <v>1508</v>
      </c>
      <c r="D9743" s="550" t="s">
        <v>632</v>
      </c>
      <c r="E9743" s="224" t="s">
        <v>631</v>
      </c>
      <c r="F9743" s="228">
        <v>7.4999999999999997E-2</v>
      </c>
      <c r="G9743" s="229">
        <f>G9768</f>
        <v>110000</v>
      </c>
      <c r="H9743" s="230">
        <f>+G9743*F9743</f>
        <v>8250</v>
      </c>
      <c r="M9743" s="228">
        <v>7.4999999999999997E-2</v>
      </c>
    </row>
    <row r="9744" spans="2:13" ht="18.75" customHeight="1" x14ac:dyDescent="0.25">
      <c r="B9744" s="550"/>
      <c r="C9744" s="227" t="s">
        <v>633</v>
      </c>
      <c r="D9744" s="550" t="s">
        <v>634</v>
      </c>
      <c r="E9744" s="224" t="s">
        <v>631</v>
      </c>
      <c r="F9744" s="228">
        <v>7.4999999999999997E-2</v>
      </c>
      <c r="G9744" s="229">
        <f>G9769</f>
        <v>115000</v>
      </c>
      <c r="H9744" s="230">
        <f>+G9744*F9744</f>
        <v>8625</v>
      </c>
      <c r="M9744" s="228">
        <v>7.4999999999999997E-2</v>
      </c>
    </row>
    <row r="9745" spans="2:13" ht="18.75" customHeight="1" x14ac:dyDescent="0.25">
      <c r="B9745" s="550"/>
      <c r="C9745" s="227" t="s">
        <v>600</v>
      </c>
      <c r="D9745" s="550" t="s">
        <v>635</v>
      </c>
      <c r="E9745" s="224" t="s">
        <v>631</v>
      </c>
      <c r="F9745" s="228">
        <v>5.0000000000000001E-3</v>
      </c>
      <c r="G9745" s="229">
        <f>G9770</f>
        <v>140000</v>
      </c>
      <c r="H9745" s="230">
        <f>+G9745*F9745</f>
        <v>700</v>
      </c>
      <c r="M9745" s="228">
        <v>5.0000000000000001E-3</v>
      </c>
    </row>
    <row r="9746" spans="2:13" ht="18.75" customHeight="1" x14ac:dyDescent="0.25">
      <c r="B9746" s="550"/>
      <c r="C9746" s="223"/>
      <c r="D9746" s="550"/>
      <c r="E9746" s="224"/>
      <c r="F9746" s="237" t="s">
        <v>636</v>
      </c>
      <c r="G9746" s="290"/>
      <c r="H9746" s="231">
        <f>SUM(H9742:H9745)</f>
        <v>18525</v>
      </c>
      <c r="M9746" s="237" t="s">
        <v>636</v>
      </c>
    </row>
    <row r="9747" spans="2:13" ht="18.75" customHeight="1" x14ac:dyDescent="0.25">
      <c r="B9747" s="550"/>
      <c r="C9747" s="223"/>
      <c r="D9747" s="550"/>
      <c r="E9747" s="224"/>
      <c r="F9747" s="237"/>
      <c r="G9747" s="290"/>
      <c r="H9747" s="231"/>
      <c r="M9747" s="237"/>
    </row>
    <row r="9748" spans="2:13" ht="18.75" customHeight="1" x14ac:dyDescent="0.25">
      <c r="B9748" s="550" t="s">
        <v>637</v>
      </c>
      <c r="C9748" s="223" t="s">
        <v>638</v>
      </c>
      <c r="D9748" s="550"/>
      <c r="E9748" s="224"/>
      <c r="F9748" s="225"/>
      <c r="G9748" s="290"/>
      <c r="H9748" s="226"/>
      <c r="M9748" s="225"/>
    </row>
    <row r="9749" spans="2:13" ht="18.75" customHeight="1" x14ac:dyDescent="0.25">
      <c r="B9749" s="550"/>
      <c r="C9749" s="232" t="s">
        <v>1395</v>
      </c>
      <c r="D9749" s="550"/>
      <c r="E9749" s="550" t="s">
        <v>16</v>
      </c>
      <c r="F9749" s="233">
        <v>1</v>
      </c>
      <c r="G9749" s="234">
        <f>Bahan!D570</f>
        <v>70000</v>
      </c>
      <c r="H9749" s="235">
        <f>G9749*F9749</f>
        <v>70000</v>
      </c>
      <c r="M9749" s="233">
        <v>1</v>
      </c>
    </row>
    <row r="9750" spans="2:13" ht="18.75" customHeight="1" x14ac:dyDescent="0.25">
      <c r="B9750" s="550"/>
      <c r="C9750" s="232" t="s">
        <v>516</v>
      </c>
      <c r="D9750" s="550"/>
      <c r="E9750" s="550" t="s">
        <v>16</v>
      </c>
      <c r="F9750" s="233">
        <v>2.5000000000000001E-2</v>
      </c>
      <c r="G9750" s="234">
        <f>Bahan!D574</f>
        <v>3500</v>
      </c>
      <c r="H9750" s="235">
        <f>G9750*35/100</f>
        <v>1225</v>
      </c>
      <c r="M9750" s="233">
        <v>2.5000000000000001E-2</v>
      </c>
    </row>
    <row r="9751" spans="2:13" ht="18.75" customHeight="1" x14ac:dyDescent="0.25">
      <c r="B9751" s="550"/>
      <c r="C9751" s="223"/>
      <c r="D9751" s="550"/>
      <c r="E9751" s="224"/>
      <c r="F9751" s="237" t="s">
        <v>643</v>
      </c>
      <c r="G9751" s="290"/>
      <c r="H9751" s="231">
        <f>SUM(H9749:H9750)</f>
        <v>71225</v>
      </c>
      <c r="M9751" s="237" t="s">
        <v>643</v>
      </c>
    </row>
    <row r="9752" spans="2:13" ht="18.75" customHeight="1" x14ac:dyDescent="0.25">
      <c r="B9752" s="550"/>
      <c r="C9752" s="223"/>
      <c r="D9752" s="550"/>
      <c r="E9752" s="224"/>
      <c r="F9752" s="225"/>
      <c r="G9752" s="290"/>
      <c r="H9752" s="226"/>
      <c r="M9752" s="225"/>
    </row>
    <row r="9753" spans="2:13" ht="18.75" customHeight="1" x14ac:dyDescent="0.25">
      <c r="B9753" s="550" t="s">
        <v>644</v>
      </c>
      <c r="C9753" s="223" t="s">
        <v>645</v>
      </c>
      <c r="D9753" s="550"/>
      <c r="E9753" s="224"/>
      <c r="F9753" s="225"/>
      <c r="G9753" s="290"/>
      <c r="H9753" s="235">
        <f>+G9753*F9753</f>
        <v>0</v>
      </c>
      <c r="M9753" s="225"/>
    </row>
    <row r="9754" spans="2:13" ht="18.75" customHeight="1" x14ac:dyDescent="0.25">
      <c r="B9754" s="236"/>
      <c r="C9754" s="232"/>
      <c r="D9754" s="550"/>
      <c r="E9754" s="224"/>
      <c r="F9754" s="237" t="s">
        <v>646</v>
      </c>
      <c r="G9754" s="290"/>
      <c r="H9754" s="230">
        <f>SUM(H9753)</f>
        <v>0</v>
      </c>
      <c r="M9754" s="237" t="s">
        <v>646</v>
      </c>
    </row>
    <row r="9755" spans="2:13" ht="18.75" customHeight="1" x14ac:dyDescent="0.25">
      <c r="B9755" s="236"/>
      <c r="C9755" s="562"/>
      <c r="D9755" s="563"/>
      <c r="E9755" s="564"/>
      <c r="F9755" s="565"/>
      <c r="G9755" s="566"/>
      <c r="H9755" s="230"/>
      <c r="M9755" s="565"/>
    </row>
    <row r="9756" spans="2:13" ht="18.75" customHeight="1" x14ac:dyDescent="0.25">
      <c r="B9756" s="354"/>
      <c r="C9756" s="362"/>
      <c r="D9756" s="239"/>
      <c r="E9756" s="266"/>
      <c r="F9756" s="241"/>
      <c r="G9756" s="370"/>
      <c r="H9756" s="571"/>
      <c r="M9756" s="241"/>
    </row>
    <row r="9757" spans="2:13" ht="18.75" customHeight="1" x14ac:dyDescent="0.25">
      <c r="B9757" s="356" t="s">
        <v>647</v>
      </c>
      <c r="C9757" s="364" t="s">
        <v>648</v>
      </c>
      <c r="D9757" s="435"/>
      <c r="E9757" s="92"/>
      <c r="F9757" s="183"/>
      <c r="G9757" s="295"/>
      <c r="H9757" s="357">
        <f>+H9754+H9751+H9746</f>
        <v>89750</v>
      </c>
      <c r="M9757" s="183"/>
    </row>
    <row r="9758" spans="2:13" ht="18.75" customHeight="1" x14ac:dyDescent="0.25">
      <c r="B9758" s="356" t="s">
        <v>649</v>
      </c>
      <c r="C9758" s="364" t="s">
        <v>650</v>
      </c>
      <c r="D9758" s="435"/>
      <c r="E9758" s="92"/>
      <c r="F9758" s="184" t="str">
        <f>$J$5</f>
        <v>8,0 % x D</v>
      </c>
      <c r="G9758" s="295"/>
      <c r="H9758" s="358">
        <f>+H9757*$K$5</f>
        <v>7180</v>
      </c>
      <c r="M9758" s="184" t="str">
        <f>$J$5</f>
        <v>8,0 % x D</v>
      </c>
    </row>
    <row r="9759" spans="2:13" ht="18.75" customHeight="1" x14ac:dyDescent="0.25">
      <c r="B9759" s="356" t="s">
        <v>651</v>
      </c>
      <c r="C9759" s="365" t="s">
        <v>652</v>
      </c>
      <c r="D9759" s="435"/>
      <c r="E9759" s="91"/>
      <c r="F9759" s="185"/>
      <c r="G9759" s="296"/>
      <c r="H9759" s="359">
        <f>ROUNDUP((H9758+H9757)/100,0)*100</f>
        <v>97000</v>
      </c>
      <c r="M9759" s="185"/>
    </row>
    <row r="9760" spans="2:13" ht="18.75" customHeight="1" x14ac:dyDescent="0.25">
      <c r="B9760" s="360"/>
      <c r="C9760" s="581"/>
      <c r="D9760" s="245"/>
      <c r="E9760" s="246"/>
      <c r="F9760" s="247"/>
      <c r="G9760" s="299"/>
      <c r="H9760" s="361"/>
      <c r="M9760" s="247"/>
    </row>
    <row r="9761" spans="2:13" ht="18.75" customHeight="1" x14ac:dyDescent="0.25">
      <c r="B9761" s="92"/>
      <c r="C9761" s="242"/>
      <c r="D9761" s="435"/>
      <c r="E9761" s="91"/>
      <c r="F9761" s="185"/>
      <c r="G9761" s="168"/>
      <c r="H9761" s="139"/>
      <c r="M9761" s="185"/>
    </row>
    <row r="9762" spans="2:13" ht="18.75" customHeight="1" x14ac:dyDescent="0.25">
      <c r="B9762" s="19">
        <f>B9737+1</f>
        <v>17</v>
      </c>
      <c r="C9762" s="93" t="s">
        <v>1822</v>
      </c>
      <c r="D9762" s="19"/>
      <c r="E9762" s="21"/>
      <c r="F9762" s="176"/>
      <c r="G9762" s="165"/>
      <c r="H9762" s="119"/>
      <c r="M9762" s="176"/>
    </row>
    <row r="9763" spans="2:13" ht="18.75" customHeight="1" x14ac:dyDescent="0.25">
      <c r="B9763" s="618" t="s">
        <v>620</v>
      </c>
      <c r="C9763" s="620" t="s">
        <v>621</v>
      </c>
      <c r="D9763" s="618" t="s">
        <v>622</v>
      </c>
      <c r="E9763" s="618" t="s">
        <v>2</v>
      </c>
      <c r="F9763" s="615" t="s">
        <v>623</v>
      </c>
      <c r="G9763" s="300" t="s">
        <v>624</v>
      </c>
      <c r="H9763" s="257" t="s">
        <v>625</v>
      </c>
      <c r="M9763" s="615" t="s">
        <v>623</v>
      </c>
    </row>
    <row r="9764" spans="2:13" ht="18.75" customHeight="1" x14ac:dyDescent="0.25">
      <c r="B9764" s="619"/>
      <c r="C9764" s="621"/>
      <c r="D9764" s="619"/>
      <c r="E9764" s="619"/>
      <c r="F9764" s="616"/>
      <c r="G9764" s="585" t="s">
        <v>626</v>
      </c>
      <c r="H9764" s="586" t="s">
        <v>626</v>
      </c>
      <c r="M9764" s="616"/>
    </row>
    <row r="9765" spans="2:13" ht="18.75" customHeight="1" x14ac:dyDescent="0.25">
      <c r="B9765" s="221"/>
      <c r="C9765" s="222"/>
      <c r="D9765" s="221"/>
      <c r="E9765" s="550"/>
      <c r="F9765" s="555"/>
      <c r="G9765" s="551"/>
      <c r="H9765" s="220"/>
      <c r="M9765" s="590"/>
    </row>
    <row r="9766" spans="2:13" ht="18.75" customHeight="1" x14ac:dyDescent="0.25">
      <c r="B9766" s="550" t="s">
        <v>627</v>
      </c>
      <c r="C9766" s="223" t="s">
        <v>628</v>
      </c>
      <c r="D9766" s="550"/>
      <c r="E9766" s="224"/>
      <c r="F9766" s="225"/>
      <c r="G9766" s="290"/>
      <c r="H9766" s="226"/>
      <c r="M9766" s="225"/>
    </row>
    <row r="9767" spans="2:13" ht="18.75" customHeight="1" x14ac:dyDescent="0.25">
      <c r="B9767" s="550"/>
      <c r="C9767" s="227" t="s">
        <v>629</v>
      </c>
      <c r="D9767" s="550" t="s">
        <v>630</v>
      </c>
      <c r="E9767" s="224" t="s">
        <v>631</v>
      </c>
      <c r="F9767" s="228">
        <v>7.5399999999999995E-2</v>
      </c>
      <c r="G9767" s="229">
        <f>G9713</f>
        <v>95000</v>
      </c>
      <c r="H9767" s="230">
        <f>+G9767*F9767</f>
        <v>7162.9999999999991</v>
      </c>
      <c r="M9767" s="228">
        <v>7.5399999999999995E-2</v>
      </c>
    </row>
    <row r="9768" spans="2:13" ht="18.75" customHeight="1" x14ac:dyDescent="0.25">
      <c r="B9768" s="550"/>
      <c r="C9768" s="227" t="s">
        <v>1508</v>
      </c>
      <c r="D9768" s="550" t="s">
        <v>632</v>
      </c>
      <c r="E9768" s="224" t="s">
        <v>631</v>
      </c>
      <c r="F9768" s="228">
        <v>0.09</v>
      </c>
      <c r="G9768" s="229">
        <f>G9714</f>
        <v>110000</v>
      </c>
      <c r="H9768" s="230">
        <f>+G9768*F9768</f>
        <v>9900</v>
      </c>
      <c r="M9768" s="228">
        <v>0.09</v>
      </c>
    </row>
    <row r="9769" spans="2:13" ht="18.75" customHeight="1" x14ac:dyDescent="0.25">
      <c r="B9769" s="550"/>
      <c r="C9769" s="227" t="s">
        <v>633</v>
      </c>
      <c r="D9769" s="550" t="s">
        <v>634</v>
      </c>
      <c r="E9769" s="224" t="s">
        <v>631</v>
      </c>
      <c r="F9769" s="228">
        <v>8.9999999999999993E-3</v>
      </c>
      <c r="G9769" s="229">
        <f>G9715</f>
        <v>115000</v>
      </c>
      <c r="H9769" s="230">
        <f>+G9769*F9769</f>
        <v>1035</v>
      </c>
      <c r="M9769" s="228">
        <v>8.9999999999999993E-3</v>
      </c>
    </row>
    <row r="9770" spans="2:13" ht="18.75" customHeight="1" x14ac:dyDescent="0.25">
      <c r="B9770" s="550"/>
      <c r="C9770" s="227" t="s">
        <v>600</v>
      </c>
      <c r="D9770" s="550" t="s">
        <v>635</v>
      </c>
      <c r="E9770" s="224" t="s">
        <v>631</v>
      </c>
      <c r="F9770" s="228">
        <v>2.7E-2</v>
      </c>
      <c r="G9770" s="229">
        <f>G9716</f>
        <v>140000</v>
      </c>
      <c r="H9770" s="230">
        <f>+G9770*F9770</f>
        <v>3780</v>
      </c>
      <c r="M9770" s="228">
        <v>2.7E-2</v>
      </c>
    </row>
    <row r="9771" spans="2:13" ht="18.75" customHeight="1" x14ac:dyDescent="0.25">
      <c r="B9771" s="550"/>
      <c r="C9771" s="223"/>
      <c r="D9771" s="550"/>
      <c r="E9771" s="224"/>
      <c r="F9771" s="237" t="s">
        <v>636</v>
      </c>
      <c r="G9771" s="290"/>
      <c r="H9771" s="231">
        <f>SUM(H9767:H9770)</f>
        <v>21878</v>
      </c>
      <c r="M9771" s="237" t="s">
        <v>636</v>
      </c>
    </row>
    <row r="9772" spans="2:13" ht="18.75" customHeight="1" x14ac:dyDescent="0.25">
      <c r="B9772" s="550"/>
      <c r="C9772" s="223"/>
      <c r="D9772" s="550"/>
      <c r="E9772" s="224"/>
      <c r="F9772" s="237"/>
      <c r="G9772" s="290"/>
      <c r="H9772" s="231"/>
      <c r="M9772" s="237"/>
    </row>
    <row r="9773" spans="2:13" ht="18.75" customHeight="1" x14ac:dyDescent="0.25">
      <c r="B9773" s="550" t="s">
        <v>637</v>
      </c>
      <c r="C9773" s="223" t="s">
        <v>638</v>
      </c>
      <c r="D9773" s="550"/>
      <c r="E9773" s="224"/>
      <c r="F9773" s="225"/>
      <c r="G9773" s="290"/>
      <c r="H9773" s="226"/>
      <c r="M9773" s="225"/>
    </row>
    <row r="9774" spans="2:13" ht="18.75" customHeight="1" x14ac:dyDescent="0.25">
      <c r="B9774" s="550"/>
      <c r="C9774" s="232" t="s">
        <v>1692</v>
      </c>
      <c r="D9774" s="550"/>
      <c r="E9774" s="550" t="s">
        <v>14</v>
      </c>
      <c r="F9774" s="233">
        <v>1</v>
      </c>
      <c r="G9774" s="234">
        <f>Bahan!D511/6</f>
        <v>16666.666666666668</v>
      </c>
      <c r="H9774" s="235">
        <f>G9774*F9774</f>
        <v>16666.666666666668</v>
      </c>
      <c r="M9774" s="233">
        <v>1</v>
      </c>
    </row>
    <row r="9775" spans="2:13" ht="18.75" customHeight="1" x14ac:dyDescent="0.25">
      <c r="B9775" s="550"/>
      <c r="C9775" s="232" t="s">
        <v>1394</v>
      </c>
      <c r="D9775" s="550"/>
      <c r="E9775" s="550" t="s">
        <v>546</v>
      </c>
      <c r="F9775" s="233">
        <v>0.35</v>
      </c>
      <c r="G9775" s="234">
        <f>G9774*F9775</f>
        <v>5833.333333333333</v>
      </c>
      <c r="H9775" s="235">
        <f>G9775</f>
        <v>5833.333333333333</v>
      </c>
      <c r="M9775" s="233">
        <v>0.35</v>
      </c>
    </row>
    <row r="9776" spans="2:13" ht="18.75" customHeight="1" x14ac:dyDescent="0.25">
      <c r="B9776" s="550"/>
      <c r="C9776" s="223"/>
      <c r="D9776" s="550"/>
      <c r="E9776" s="224"/>
      <c r="F9776" s="237" t="s">
        <v>643</v>
      </c>
      <c r="G9776" s="290"/>
      <c r="H9776" s="231">
        <f>SUM(H9774:H9775)</f>
        <v>22500</v>
      </c>
      <c r="M9776" s="237" t="s">
        <v>643</v>
      </c>
    </row>
    <row r="9777" spans="2:13" ht="18.75" customHeight="1" x14ac:dyDescent="0.25">
      <c r="B9777" s="550"/>
      <c r="C9777" s="223"/>
      <c r="D9777" s="550"/>
      <c r="E9777" s="224"/>
      <c r="F9777" s="225"/>
      <c r="G9777" s="290"/>
      <c r="H9777" s="226"/>
      <c r="M9777" s="225"/>
    </row>
    <row r="9778" spans="2:13" ht="18.75" customHeight="1" x14ac:dyDescent="0.25">
      <c r="B9778" s="550" t="s">
        <v>644</v>
      </c>
      <c r="C9778" s="223" t="s">
        <v>645</v>
      </c>
      <c r="D9778" s="550"/>
      <c r="E9778" s="224"/>
      <c r="F9778" s="225"/>
      <c r="G9778" s="290"/>
      <c r="H9778" s="235">
        <f>+G9778*F9778</f>
        <v>0</v>
      </c>
      <c r="M9778" s="225"/>
    </row>
    <row r="9779" spans="2:13" ht="18.75" customHeight="1" x14ac:dyDescent="0.25">
      <c r="B9779" s="236"/>
      <c r="C9779" s="232"/>
      <c r="D9779" s="550"/>
      <c r="E9779" s="224"/>
      <c r="F9779" s="237" t="s">
        <v>646</v>
      </c>
      <c r="G9779" s="290"/>
      <c r="H9779" s="230">
        <f>SUM(H9778)</f>
        <v>0</v>
      </c>
      <c r="M9779" s="237" t="s">
        <v>646</v>
      </c>
    </row>
    <row r="9780" spans="2:13" ht="18.75" customHeight="1" x14ac:dyDescent="0.25">
      <c r="B9780" s="236"/>
      <c r="C9780" s="562"/>
      <c r="D9780" s="563"/>
      <c r="E9780" s="564"/>
      <c r="F9780" s="565"/>
      <c r="G9780" s="566"/>
      <c r="H9780" s="230"/>
      <c r="M9780" s="565"/>
    </row>
    <row r="9781" spans="2:13" ht="18.75" customHeight="1" x14ac:dyDescent="0.25">
      <c r="B9781" s="354"/>
      <c r="C9781" s="362"/>
      <c r="D9781" s="239"/>
      <c r="E9781" s="266"/>
      <c r="F9781" s="241"/>
      <c r="G9781" s="370"/>
      <c r="H9781" s="369"/>
      <c r="M9781" s="241"/>
    </row>
    <row r="9782" spans="2:13" ht="18.75" customHeight="1" x14ac:dyDescent="0.25">
      <c r="B9782" s="356" t="s">
        <v>647</v>
      </c>
      <c r="C9782" s="364" t="s">
        <v>648</v>
      </c>
      <c r="D9782" s="435"/>
      <c r="E9782" s="92"/>
      <c r="F9782" s="183"/>
      <c r="G9782" s="295"/>
      <c r="H9782" s="357">
        <f>+H9779+H9776+H9771</f>
        <v>44378</v>
      </c>
      <c r="M9782" s="183"/>
    </row>
    <row r="9783" spans="2:13" ht="18.75" customHeight="1" x14ac:dyDescent="0.25">
      <c r="B9783" s="356" t="s">
        <v>649</v>
      </c>
      <c r="C9783" s="364" t="s">
        <v>650</v>
      </c>
      <c r="D9783" s="435"/>
      <c r="E9783" s="92"/>
      <c r="F9783" s="184" t="str">
        <f>$J$5</f>
        <v>8,0 % x D</v>
      </c>
      <c r="G9783" s="295"/>
      <c r="H9783" s="358">
        <f>+H9782*$K$5</f>
        <v>3550.2400000000002</v>
      </c>
      <c r="M9783" s="184" t="str">
        <f>$J$5</f>
        <v>8,0 % x D</v>
      </c>
    </row>
    <row r="9784" spans="2:13" ht="18.75" customHeight="1" x14ac:dyDescent="0.25">
      <c r="B9784" s="356" t="s">
        <v>651</v>
      </c>
      <c r="C9784" s="365" t="s">
        <v>652</v>
      </c>
      <c r="D9784" s="435"/>
      <c r="E9784" s="91"/>
      <c r="F9784" s="185"/>
      <c r="G9784" s="296"/>
      <c r="H9784" s="359">
        <f>ROUNDUP((H9783+H9782)/100,0)*100</f>
        <v>48000</v>
      </c>
      <c r="M9784" s="185"/>
    </row>
    <row r="9785" spans="2:13" ht="18.75" customHeight="1" x14ac:dyDescent="0.25">
      <c r="B9785" s="360"/>
      <c r="C9785" s="581"/>
      <c r="D9785" s="245"/>
      <c r="E9785" s="246"/>
      <c r="F9785" s="247"/>
      <c r="G9785" s="299"/>
      <c r="H9785" s="361"/>
      <c r="M9785" s="247"/>
    </row>
    <row r="9786" spans="2:13" ht="18.75" customHeight="1" x14ac:dyDescent="0.25">
      <c r="B9786" s="92"/>
      <c r="C9786" s="242"/>
      <c r="D9786" s="435"/>
      <c r="E9786" s="91"/>
      <c r="F9786" s="185"/>
      <c r="G9786" s="168"/>
      <c r="H9786" s="139"/>
      <c r="M9786" s="185"/>
    </row>
    <row r="9787" spans="2:13" ht="18.75" customHeight="1" x14ac:dyDescent="0.25">
      <c r="B9787" s="19">
        <f>B9762+1</f>
        <v>18</v>
      </c>
      <c r="C9787" s="93" t="s">
        <v>1823</v>
      </c>
      <c r="D9787" s="19"/>
      <c r="E9787" s="21"/>
      <c r="F9787" s="176"/>
      <c r="G9787" s="165"/>
      <c r="H9787" s="119"/>
      <c r="M9787" s="176"/>
    </row>
    <row r="9788" spans="2:13" ht="18.75" customHeight="1" x14ac:dyDescent="0.25">
      <c r="B9788" s="618" t="s">
        <v>620</v>
      </c>
      <c r="C9788" s="620" t="s">
        <v>621</v>
      </c>
      <c r="D9788" s="618" t="s">
        <v>622</v>
      </c>
      <c r="E9788" s="618" t="s">
        <v>2</v>
      </c>
      <c r="F9788" s="615" t="s">
        <v>623</v>
      </c>
      <c r="G9788" s="300" t="s">
        <v>624</v>
      </c>
      <c r="H9788" s="257" t="s">
        <v>625</v>
      </c>
      <c r="M9788" s="615" t="s">
        <v>623</v>
      </c>
    </row>
    <row r="9789" spans="2:13" ht="18.75" customHeight="1" x14ac:dyDescent="0.25">
      <c r="B9789" s="619"/>
      <c r="C9789" s="621"/>
      <c r="D9789" s="619"/>
      <c r="E9789" s="619"/>
      <c r="F9789" s="616"/>
      <c r="G9789" s="585" t="s">
        <v>626</v>
      </c>
      <c r="H9789" s="586" t="s">
        <v>626</v>
      </c>
      <c r="M9789" s="616"/>
    </row>
    <row r="9790" spans="2:13" ht="18.75" customHeight="1" x14ac:dyDescent="0.25">
      <c r="B9790" s="221"/>
      <c r="C9790" s="222"/>
      <c r="D9790" s="221"/>
      <c r="E9790" s="550"/>
      <c r="F9790" s="555"/>
      <c r="G9790" s="551"/>
      <c r="H9790" s="220"/>
      <c r="M9790" s="590"/>
    </row>
    <row r="9791" spans="2:13" ht="18.75" customHeight="1" x14ac:dyDescent="0.25">
      <c r="B9791" s="550" t="s">
        <v>627</v>
      </c>
      <c r="C9791" s="223" t="s">
        <v>628</v>
      </c>
      <c r="D9791" s="550"/>
      <c r="E9791" s="224"/>
      <c r="F9791" s="225"/>
      <c r="G9791" s="290"/>
      <c r="H9791" s="226"/>
      <c r="M9791" s="225"/>
    </row>
    <row r="9792" spans="2:13" ht="18.75" customHeight="1" x14ac:dyDescent="0.25">
      <c r="B9792" s="550"/>
      <c r="C9792" s="227" t="s">
        <v>629</v>
      </c>
      <c r="D9792" s="550" t="s">
        <v>630</v>
      </c>
      <c r="E9792" s="224" t="s">
        <v>631</v>
      </c>
      <c r="F9792" s="228">
        <v>7.5399999999999995E-2</v>
      </c>
      <c r="G9792" s="229">
        <f>G9817</f>
        <v>95000</v>
      </c>
      <c r="H9792" s="230">
        <f>+G9792*F9792</f>
        <v>7162.9999999999991</v>
      </c>
      <c r="M9792" s="228">
        <v>7.5399999999999995E-2</v>
      </c>
    </row>
    <row r="9793" spans="2:13" ht="18.75" customHeight="1" x14ac:dyDescent="0.25">
      <c r="B9793" s="550"/>
      <c r="C9793" s="227" t="s">
        <v>1508</v>
      </c>
      <c r="D9793" s="550" t="s">
        <v>632</v>
      </c>
      <c r="E9793" s="224" t="s">
        <v>631</v>
      </c>
      <c r="F9793" s="228">
        <v>0.09</v>
      </c>
      <c r="G9793" s="229">
        <f>G9818</f>
        <v>110000</v>
      </c>
      <c r="H9793" s="230">
        <f>+G9793*F9793</f>
        <v>9900</v>
      </c>
      <c r="M9793" s="228">
        <v>0.09</v>
      </c>
    </row>
    <row r="9794" spans="2:13" ht="18.75" customHeight="1" x14ac:dyDescent="0.25">
      <c r="B9794" s="550"/>
      <c r="C9794" s="227" t="s">
        <v>633</v>
      </c>
      <c r="D9794" s="550" t="s">
        <v>634</v>
      </c>
      <c r="E9794" s="224" t="s">
        <v>631</v>
      </c>
      <c r="F9794" s="228">
        <v>8.9999999999999993E-3</v>
      </c>
      <c r="G9794" s="229">
        <f>G9819</f>
        <v>115000</v>
      </c>
      <c r="H9794" s="230">
        <f>+G9794*F9794</f>
        <v>1035</v>
      </c>
      <c r="M9794" s="228">
        <v>8.9999999999999993E-3</v>
      </c>
    </row>
    <row r="9795" spans="2:13" ht="18.75" customHeight="1" x14ac:dyDescent="0.25">
      <c r="B9795" s="550"/>
      <c r="C9795" s="227" t="s">
        <v>600</v>
      </c>
      <c r="D9795" s="550" t="s">
        <v>635</v>
      </c>
      <c r="E9795" s="224" t="s">
        <v>631</v>
      </c>
      <c r="F9795" s="228">
        <v>2.7E-2</v>
      </c>
      <c r="G9795" s="229">
        <f>G9820</f>
        <v>140000</v>
      </c>
      <c r="H9795" s="230">
        <f>+G9795*F9795</f>
        <v>3780</v>
      </c>
      <c r="M9795" s="228">
        <v>2.7E-2</v>
      </c>
    </row>
    <row r="9796" spans="2:13" ht="18.75" customHeight="1" x14ac:dyDescent="0.25">
      <c r="B9796" s="550"/>
      <c r="C9796" s="223"/>
      <c r="D9796" s="550"/>
      <c r="E9796" s="224"/>
      <c r="F9796" s="237" t="s">
        <v>636</v>
      </c>
      <c r="G9796" s="290"/>
      <c r="H9796" s="231">
        <f>SUM(H9792:H9795)</f>
        <v>21878</v>
      </c>
      <c r="M9796" s="237" t="s">
        <v>636</v>
      </c>
    </row>
    <row r="9797" spans="2:13" ht="18.75" customHeight="1" x14ac:dyDescent="0.25">
      <c r="B9797" s="550"/>
      <c r="C9797" s="223"/>
      <c r="D9797" s="550"/>
      <c r="E9797" s="224"/>
      <c r="F9797" s="237"/>
      <c r="G9797" s="290"/>
      <c r="H9797" s="231"/>
      <c r="M9797" s="237"/>
    </row>
    <row r="9798" spans="2:13" ht="18.75" customHeight="1" x14ac:dyDescent="0.25">
      <c r="B9798" s="550" t="s">
        <v>637</v>
      </c>
      <c r="C9798" s="223" t="s">
        <v>638</v>
      </c>
      <c r="D9798" s="550"/>
      <c r="E9798" s="224"/>
      <c r="F9798" s="225"/>
      <c r="G9798" s="290"/>
      <c r="H9798" s="226"/>
      <c r="M9798" s="225"/>
    </row>
    <row r="9799" spans="2:13" ht="18.75" customHeight="1" x14ac:dyDescent="0.25">
      <c r="B9799" s="550"/>
      <c r="C9799" s="232" t="s">
        <v>1691</v>
      </c>
      <c r="D9799" s="550"/>
      <c r="E9799" s="550" t="s">
        <v>14</v>
      </c>
      <c r="F9799" s="233">
        <v>1.2</v>
      </c>
      <c r="G9799" s="234">
        <f>Bahan!D512/6</f>
        <v>25000</v>
      </c>
      <c r="H9799" s="235">
        <f>G9799*F9799</f>
        <v>30000</v>
      </c>
      <c r="M9799" s="233">
        <v>1.2</v>
      </c>
    </row>
    <row r="9800" spans="2:13" ht="18.75" customHeight="1" x14ac:dyDescent="0.25">
      <c r="B9800" s="550"/>
      <c r="C9800" s="232" t="s">
        <v>1394</v>
      </c>
      <c r="D9800" s="550"/>
      <c r="E9800" s="550" t="s">
        <v>1373</v>
      </c>
      <c r="F9800" s="233">
        <v>0.35</v>
      </c>
      <c r="G9800" s="234">
        <f>G9799*F9800</f>
        <v>8750</v>
      </c>
      <c r="H9800" s="235">
        <f>G9800</f>
        <v>8750</v>
      </c>
      <c r="M9800" s="233">
        <v>0.35</v>
      </c>
    </row>
    <row r="9801" spans="2:13" ht="18.75" customHeight="1" x14ac:dyDescent="0.25">
      <c r="B9801" s="550"/>
      <c r="C9801" s="223"/>
      <c r="D9801" s="550"/>
      <c r="E9801" s="224"/>
      <c r="F9801" s="237" t="s">
        <v>643</v>
      </c>
      <c r="G9801" s="290"/>
      <c r="H9801" s="231">
        <f>SUM(H9799:H9800)</f>
        <v>38750</v>
      </c>
      <c r="M9801" s="237" t="s">
        <v>643</v>
      </c>
    </row>
    <row r="9802" spans="2:13" ht="18.75" customHeight="1" x14ac:dyDescent="0.25">
      <c r="B9802" s="550"/>
      <c r="C9802" s="223"/>
      <c r="D9802" s="550"/>
      <c r="E9802" s="224"/>
      <c r="F9802" s="225"/>
      <c r="G9802" s="290"/>
      <c r="H9802" s="226"/>
      <c r="M9802" s="225"/>
    </row>
    <row r="9803" spans="2:13" ht="18.75" customHeight="1" x14ac:dyDescent="0.25">
      <c r="B9803" s="550" t="s">
        <v>644</v>
      </c>
      <c r="C9803" s="223" t="s">
        <v>645</v>
      </c>
      <c r="D9803" s="550"/>
      <c r="E9803" s="224"/>
      <c r="F9803" s="225"/>
      <c r="G9803" s="290"/>
      <c r="H9803" s="235">
        <f>+G9803*F9803</f>
        <v>0</v>
      </c>
      <c r="M9803" s="225"/>
    </row>
    <row r="9804" spans="2:13" ht="18.75" customHeight="1" x14ac:dyDescent="0.25">
      <c r="B9804" s="236"/>
      <c r="C9804" s="232"/>
      <c r="D9804" s="550"/>
      <c r="E9804" s="224"/>
      <c r="F9804" s="237" t="s">
        <v>646</v>
      </c>
      <c r="G9804" s="290"/>
      <c r="H9804" s="230">
        <f>SUM(H9803)</f>
        <v>0</v>
      </c>
      <c r="M9804" s="237" t="s">
        <v>646</v>
      </c>
    </row>
    <row r="9805" spans="2:13" ht="18.75" customHeight="1" x14ac:dyDescent="0.25">
      <c r="B9805" s="236"/>
      <c r="C9805" s="562"/>
      <c r="D9805" s="563"/>
      <c r="E9805" s="564"/>
      <c r="F9805" s="565"/>
      <c r="G9805" s="566"/>
      <c r="H9805" s="226"/>
      <c r="M9805" s="565"/>
    </row>
    <row r="9806" spans="2:13" ht="18.75" customHeight="1" x14ac:dyDescent="0.25">
      <c r="B9806" s="354"/>
      <c r="C9806" s="362"/>
      <c r="D9806" s="239"/>
      <c r="E9806" s="266"/>
      <c r="F9806" s="241"/>
      <c r="G9806" s="370"/>
      <c r="H9806" s="369"/>
      <c r="M9806" s="241"/>
    </row>
    <row r="9807" spans="2:13" ht="18.75" customHeight="1" x14ac:dyDescent="0.25">
      <c r="B9807" s="356" t="s">
        <v>647</v>
      </c>
      <c r="C9807" s="364" t="s">
        <v>648</v>
      </c>
      <c r="D9807" s="435"/>
      <c r="E9807" s="92"/>
      <c r="F9807" s="183"/>
      <c r="G9807" s="295"/>
      <c r="H9807" s="357">
        <f>+H9804+H9801+H9796</f>
        <v>60628</v>
      </c>
      <c r="M9807" s="183"/>
    </row>
    <row r="9808" spans="2:13" ht="18.75" customHeight="1" x14ac:dyDescent="0.25">
      <c r="B9808" s="356" t="s">
        <v>649</v>
      </c>
      <c r="C9808" s="364" t="s">
        <v>650</v>
      </c>
      <c r="D9808" s="435"/>
      <c r="E9808" s="92"/>
      <c r="F9808" s="184" t="str">
        <f>$J$5</f>
        <v>8,0 % x D</v>
      </c>
      <c r="G9808" s="295"/>
      <c r="H9808" s="358">
        <f>+H9807*$K$5</f>
        <v>4850.24</v>
      </c>
      <c r="M9808" s="184" t="str">
        <f>$J$5</f>
        <v>8,0 % x D</v>
      </c>
    </row>
    <row r="9809" spans="2:13" ht="18.75" customHeight="1" x14ac:dyDescent="0.25">
      <c r="B9809" s="356" t="s">
        <v>651</v>
      </c>
      <c r="C9809" s="365" t="s">
        <v>652</v>
      </c>
      <c r="D9809" s="435"/>
      <c r="E9809" s="91"/>
      <c r="F9809" s="185"/>
      <c r="G9809" s="296"/>
      <c r="H9809" s="359">
        <f>ROUNDUP((H9808+H9807)/100,0)*100</f>
        <v>65500</v>
      </c>
      <c r="M9809" s="185"/>
    </row>
    <row r="9810" spans="2:13" ht="18.75" customHeight="1" x14ac:dyDescent="0.25">
      <c r="B9810" s="360"/>
      <c r="C9810" s="581"/>
      <c r="D9810" s="245"/>
      <c r="E9810" s="246"/>
      <c r="F9810" s="247"/>
      <c r="G9810" s="299"/>
      <c r="H9810" s="361"/>
      <c r="M9810" s="247"/>
    </row>
    <row r="9811" spans="2:13" ht="18.75" customHeight="1" x14ac:dyDescent="0.25">
      <c r="B9811" s="22"/>
      <c r="E9811" s="21"/>
      <c r="F9811" s="176"/>
      <c r="G9811" s="165"/>
      <c r="H9811" s="119"/>
      <c r="M9811" s="176"/>
    </row>
    <row r="9812" spans="2:13" ht="18.75" customHeight="1" x14ac:dyDescent="0.25">
      <c r="B9812" s="19">
        <f>B9787+1</f>
        <v>19</v>
      </c>
      <c r="C9812" s="93" t="s">
        <v>1824</v>
      </c>
      <c r="D9812" s="19"/>
      <c r="E9812" s="21"/>
      <c r="F9812" s="176"/>
      <c r="G9812" s="165"/>
      <c r="H9812" s="119"/>
      <c r="M9812" s="176"/>
    </row>
    <row r="9813" spans="2:13" ht="18.75" customHeight="1" x14ac:dyDescent="0.25">
      <c r="B9813" s="618" t="s">
        <v>620</v>
      </c>
      <c r="C9813" s="620" t="s">
        <v>621</v>
      </c>
      <c r="D9813" s="618" t="s">
        <v>622</v>
      </c>
      <c r="E9813" s="618" t="s">
        <v>2</v>
      </c>
      <c r="F9813" s="615" t="s">
        <v>623</v>
      </c>
      <c r="G9813" s="300" t="s">
        <v>624</v>
      </c>
      <c r="H9813" s="257" t="s">
        <v>625</v>
      </c>
      <c r="M9813" s="615" t="s">
        <v>623</v>
      </c>
    </row>
    <row r="9814" spans="2:13" ht="18.75" customHeight="1" x14ac:dyDescent="0.25">
      <c r="B9814" s="619"/>
      <c r="C9814" s="621"/>
      <c r="D9814" s="619"/>
      <c r="E9814" s="619"/>
      <c r="F9814" s="616"/>
      <c r="G9814" s="585" t="s">
        <v>626</v>
      </c>
      <c r="H9814" s="586" t="s">
        <v>626</v>
      </c>
      <c r="M9814" s="616"/>
    </row>
    <row r="9815" spans="2:13" ht="18.75" customHeight="1" x14ac:dyDescent="0.25">
      <c r="B9815" s="221"/>
      <c r="C9815" s="222"/>
      <c r="D9815" s="221"/>
      <c r="E9815" s="550"/>
      <c r="F9815" s="555"/>
      <c r="G9815" s="551"/>
      <c r="H9815" s="220"/>
      <c r="M9815" s="590"/>
    </row>
    <row r="9816" spans="2:13" ht="18.75" customHeight="1" x14ac:dyDescent="0.25">
      <c r="B9816" s="550" t="s">
        <v>627</v>
      </c>
      <c r="C9816" s="223" t="s">
        <v>628</v>
      </c>
      <c r="D9816" s="550"/>
      <c r="E9816" s="224"/>
      <c r="F9816" s="225"/>
      <c r="G9816" s="290"/>
      <c r="H9816" s="226"/>
      <c r="M9816" s="225"/>
    </row>
    <row r="9817" spans="2:13" ht="18.75" customHeight="1" x14ac:dyDescent="0.25">
      <c r="B9817" s="550"/>
      <c r="C9817" s="227" t="s">
        <v>629</v>
      </c>
      <c r="D9817" s="550" t="s">
        <v>630</v>
      </c>
      <c r="E9817" s="224" t="s">
        <v>631</v>
      </c>
      <c r="F9817" s="228">
        <v>0.108</v>
      </c>
      <c r="G9817" s="229">
        <f>G9742</f>
        <v>95000</v>
      </c>
      <c r="H9817" s="230">
        <f>+G9817*F9817</f>
        <v>10260</v>
      </c>
      <c r="M9817" s="228">
        <v>0.108</v>
      </c>
    </row>
    <row r="9818" spans="2:13" ht="18.75" customHeight="1" x14ac:dyDescent="0.25">
      <c r="B9818" s="550"/>
      <c r="C9818" s="227" t="s">
        <v>1508</v>
      </c>
      <c r="D9818" s="550" t="s">
        <v>632</v>
      </c>
      <c r="E9818" s="224" t="s">
        <v>631</v>
      </c>
      <c r="F9818" s="228">
        <v>0.18</v>
      </c>
      <c r="G9818" s="229">
        <f>G9743</f>
        <v>110000</v>
      </c>
      <c r="H9818" s="230">
        <f>+G9818*F9818</f>
        <v>19800</v>
      </c>
      <c r="M9818" s="228">
        <v>0.18</v>
      </c>
    </row>
    <row r="9819" spans="2:13" ht="18.75" customHeight="1" x14ac:dyDescent="0.25">
      <c r="B9819" s="550"/>
      <c r="C9819" s="227" t="s">
        <v>633</v>
      </c>
      <c r="D9819" s="550" t="s">
        <v>634</v>
      </c>
      <c r="E9819" s="224" t="s">
        <v>631</v>
      </c>
      <c r="F9819" s="228">
        <v>1.7999999999999999E-2</v>
      </c>
      <c r="G9819" s="229">
        <f>G9744</f>
        <v>115000</v>
      </c>
      <c r="H9819" s="230">
        <f>+G9819*F9819</f>
        <v>2070</v>
      </c>
      <c r="M9819" s="228">
        <v>1.7999999999999999E-2</v>
      </c>
    </row>
    <row r="9820" spans="2:13" ht="18.75" customHeight="1" x14ac:dyDescent="0.25">
      <c r="B9820" s="550"/>
      <c r="C9820" s="227" t="s">
        <v>600</v>
      </c>
      <c r="D9820" s="550" t="s">
        <v>635</v>
      </c>
      <c r="E9820" s="224" t="s">
        <v>631</v>
      </c>
      <c r="F9820" s="228">
        <v>5.0000000000000001E-3</v>
      </c>
      <c r="G9820" s="229">
        <f>G9745</f>
        <v>140000</v>
      </c>
      <c r="H9820" s="230">
        <f>+G9820*F9820</f>
        <v>700</v>
      </c>
      <c r="M9820" s="228">
        <v>5.0000000000000001E-3</v>
      </c>
    </row>
    <row r="9821" spans="2:13" ht="18.75" customHeight="1" x14ac:dyDescent="0.25">
      <c r="B9821" s="550"/>
      <c r="C9821" s="223"/>
      <c r="D9821" s="550"/>
      <c r="E9821" s="224"/>
      <c r="F9821" s="237" t="s">
        <v>636</v>
      </c>
      <c r="G9821" s="290"/>
      <c r="H9821" s="231">
        <f>SUM(H9817:H9820)</f>
        <v>32830</v>
      </c>
      <c r="M9821" s="237" t="s">
        <v>636</v>
      </c>
    </row>
    <row r="9822" spans="2:13" ht="18.75" customHeight="1" x14ac:dyDescent="0.25">
      <c r="B9822" s="550"/>
      <c r="C9822" s="223"/>
      <c r="D9822" s="550"/>
      <c r="E9822" s="224"/>
      <c r="F9822" s="237"/>
      <c r="G9822" s="290"/>
      <c r="H9822" s="231"/>
      <c r="M9822" s="237"/>
    </row>
    <row r="9823" spans="2:13" ht="18.75" customHeight="1" x14ac:dyDescent="0.25">
      <c r="B9823" s="550" t="s">
        <v>637</v>
      </c>
      <c r="C9823" s="223" t="s">
        <v>638</v>
      </c>
      <c r="D9823" s="550"/>
      <c r="E9823" s="224"/>
      <c r="F9823" s="225"/>
      <c r="G9823" s="290"/>
      <c r="H9823" s="226"/>
      <c r="M9823" s="225"/>
    </row>
    <row r="9824" spans="2:13" ht="18.75" customHeight="1" x14ac:dyDescent="0.25">
      <c r="B9824" s="550"/>
      <c r="C9824" s="232" t="s">
        <v>1438</v>
      </c>
      <c r="D9824" s="550"/>
      <c r="E9824" s="550" t="s">
        <v>14</v>
      </c>
      <c r="F9824" s="233">
        <v>1.2</v>
      </c>
      <c r="G9824" s="234">
        <f>Bahan!D515/6</f>
        <v>80166.666666666672</v>
      </c>
      <c r="H9824" s="235">
        <f>G9824*F9824</f>
        <v>96200</v>
      </c>
      <c r="M9824" s="233">
        <v>1.2</v>
      </c>
    </row>
    <row r="9825" spans="2:13" ht="18.75" customHeight="1" x14ac:dyDescent="0.25">
      <c r="B9825" s="550"/>
      <c r="C9825" s="232" t="s">
        <v>1394</v>
      </c>
      <c r="D9825" s="550"/>
      <c r="E9825" s="550" t="s">
        <v>784</v>
      </c>
      <c r="F9825" s="233">
        <v>0.35</v>
      </c>
      <c r="G9825" s="234">
        <f>G9824*F9825</f>
        <v>28058.333333333332</v>
      </c>
      <c r="H9825" s="235">
        <f>G9825</f>
        <v>28058.333333333332</v>
      </c>
      <c r="M9825" s="233">
        <v>0.35</v>
      </c>
    </row>
    <row r="9826" spans="2:13" ht="18.75" customHeight="1" x14ac:dyDescent="0.25">
      <c r="B9826" s="550"/>
      <c r="C9826" s="223"/>
      <c r="D9826" s="550"/>
      <c r="E9826" s="224"/>
      <c r="F9826" s="237" t="s">
        <v>643</v>
      </c>
      <c r="G9826" s="290"/>
      <c r="H9826" s="231">
        <f>SUM(H9824:H9825)</f>
        <v>124258.33333333333</v>
      </c>
      <c r="M9826" s="237" t="s">
        <v>643</v>
      </c>
    </row>
    <row r="9827" spans="2:13" ht="18.75" customHeight="1" x14ac:dyDescent="0.25">
      <c r="B9827" s="550"/>
      <c r="C9827" s="223"/>
      <c r="D9827" s="550"/>
      <c r="E9827" s="224"/>
      <c r="F9827" s="225"/>
      <c r="G9827" s="290"/>
      <c r="H9827" s="226"/>
      <c r="M9827" s="225"/>
    </row>
    <row r="9828" spans="2:13" ht="18.75" customHeight="1" x14ac:dyDescent="0.25">
      <c r="B9828" s="550" t="s">
        <v>644</v>
      </c>
      <c r="C9828" s="223" t="s">
        <v>645</v>
      </c>
      <c r="D9828" s="550"/>
      <c r="E9828" s="224"/>
      <c r="F9828" s="225"/>
      <c r="G9828" s="290"/>
      <c r="H9828" s="235">
        <f>+G9828*F9828</f>
        <v>0</v>
      </c>
      <c r="M9828" s="225"/>
    </row>
    <row r="9829" spans="2:13" ht="18.75" customHeight="1" x14ac:dyDescent="0.25">
      <c r="B9829" s="236"/>
      <c r="C9829" s="232"/>
      <c r="D9829" s="550"/>
      <c r="E9829" s="224"/>
      <c r="F9829" s="237" t="s">
        <v>646</v>
      </c>
      <c r="G9829" s="290"/>
      <c r="H9829" s="230">
        <f>SUM(H9828)</f>
        <v>0</v>
      </c>
      <c r="M9829" s="237" t="s">
        <v>646</v>
      </c>
    </row>
    <row r="9830" spans="2:13" ht="18.75" customHeight="1" x14ac:dyDescent="0.25">
      <c r="B9830" s="236"/>
      <c r="C9830" s="562"/>
      <c r="D9830" s="563"/>
      <c r="E9830" s="564"/>
      <c r="F9830" s="565"/>
      <c r="G9830" s="566"/>
      <c r="H9830" s="230"/>
      <c r="M9830" s="565"/>
    </row>
    <row r="9831" spans="2:13" ht="18.75" customHeight="1" x14ac:dyDescent="0.25">
      <c r="B9831" s="354"/>
      <c r="C9831" s="362"/>
      <c r="D9831" s="239"/>
      <c r="E9831" s="266"/>
      <c r="F9831" s="241"/>
      <c r="G9831" s="370"/>
      <c r="H9831" s="369"/>
      <c r="M9831" s="241"/>
    </row>
    <row r="9832" spans="2:13" ht="18.75" customHeight="1" x14ac:dyDescent="0.25">
      <c r="B9832" s="356" t="s">
        <v>647</v>
      </c>
      <c r="C9832" s="364" t="s">
        <v>648</v>
      </c>
      <c r="D9832" s="435"/>
      <c r="E9832" s="92"/>
      <c r="F9832" s="183"/>
      <c r="G9832" s="295"/>
      <c r="H9832" s="357">
        <f>+H9829+H9826+H9821</f>
        <v>157088.33333333331</v>
      </c>
      <c r="M9832" s="183"/>
    </row>
    <row r="9833" spans="2:13" ht="18.75" customHeight="1" x14ac:dyDescent="0.25">
      <c r="B9833" s="356" t="s">
        <v>649</v>
      </c>
      <c r="C9833" s="364" t="s">
        <v>650</v>
      </c>
      <c r="D9833" s="435"/>
      <c r="E9833" s="92"/>
      <c r="F9833" s="184" t="str">
        <f>$J$5</f>
        <v>8,0 % x D</v>
      </c>
      <c r="G9833" s="295"/>
      <c r="H9833" s="358">
        <f>+H9832*$K$5</f>
        <v>12567.066666666666</v>
      </c>
      <c r="M9833" s="184" t="str">
        <f>$J$5</f>
        <v>8,0 % x D</v>
      </c>
    </row>
    <row r="9834" spans="2:13" ht="18.75" customHeight="1" x14ac:dyDescent="0.25">
      <c r="B9834" s="356" t="s">
        <v>651</v>
      </c>
      <c r="C9834" s="365" t="s">
        <v>652</v>
      </c>
      <c r="D9834" s="435"/>
      <c r="E9834" s="91"/>
      <c r="F9834" s="185"/>
      <c r="G9834" s="296"/>
      <c r="H9834" s="359">
        <f>ROUNDUP((H9833+H9832)/100,0)*100</f>
        <v>169700</v>
      </c>
      <c r="M9834" s="185"/>
    </row>
    <row r="9835" spans="2:13" ht="18.75" customHeight="1" x14ac:dyDescent="0.25">
      <c r="B9835" s="360"/>
      <c r="C9835" s="581"/>
      <c r="D9835" s="245"/>
      <c r="E9835" s="246"/>
      <c r="F9835" s="247"/>
      <c r="G9835" s="299"/>
      <c r="H9835" s="361"/>
      <c r="M9835" s="247"/>
    </row>
    <row r="9836" spans="2:13" ht="18.75" customHeight="1" x14ac:dyDescent="0.25">
      <c r="B9836" s="92"/>
      <c r="C9836" s="242"/>
      <c r="D9836" s="435"/>
      <c r="E9836" s="91"/>
      <c r="F9836" s="185"/>
      <c r="G9836" s="168"/>
      <c r="H9836" s="139"/>
      <c r="M9836" s="185"/>
    </row>
    <row r="9837" spans="2:13" ht="18.75" customHeight="1" x14ac:dyDescent="0.25">
      <c r="B9837" s="19">
        <f>B9812+1</f>
        <v>20</v>
      </c>
      <c r="C9837" s="93" t="s">
        <v>1825</v>
      </c>
      <c r="D9837" s="19"/>
      <c r="E9837" s="21"/>
      <c r="F9837" s="176"/>
      <c r="G9837" s="165"/>
      <c r="H9837" s="119"/>
      <c r="M9837" s="176"/>
    </row>
    <row r="9838" spans="2:13" ht="18.75" customHeight="1" x14ac:dyDescent="0.25">
      <c r="B9838" s="618" t="s">
        <v>620</v>
      </c>
      <c r="C9838" s="620" t="s">
        <v>621</v>
      </c>
      <c r="D9838" s="618" t="s">
        <v>622</v>
      </c>
      <c r="E9838" s="618" t="s">
        <v>2</v>
      </c>
      <c r="F9838" s="615" t="s">
        <v>623</v>
      </c>
      <c r="G9838" s="300" t="s">
        <v>624</v>
      </c>
      <c r="H9838" s="257" t="s">
        <v>625</v>
      </c>
      <c r="M9838" s="615" t="s">
        <v>623</v>
      </c>
    </row>
    <row r="9839" spans="2:13" ht="18.75" customHeight="1" x14ac:dyDescent="0.25">
      <c r="B9839" s="619"/>
      <c r="C9839" s="621"/>
      <c r="D9839" s="619"/>
      <c r="E9839" s="619"/>
      <c r="F9839" s="616"/>
      <c r="G9839" s="585" t="s">
        <v>626</v>
      </c>
      <c r="H9839" s="586" t="s">
        <v>626</v>
      </c>
      <c r="M9839" s="616"/>
    </row>
    <row r="9840" spans="2:13" ht="18.75" customHeight="1" x14ac:dyDescent="0.25">
      <c r="B9840" s="221"/>
      <c r="C9840" s="222"/>
      <c r="D9840" s="221"/>
      <c r="E9840" s="550"/>
      <c r="F9840" s="555"/>
      <c r="G9840" s="551"/>
      <c r="H9840" s="220"/>
      <c r="M9840" s="590"/>
    </row>
    <row r="9841" spans="2:13" ht="18.75" customHeight="1" x14ac:dyDescent="0.25">
      <c r="B9841" s="550" t="s">
        <v>627</v>
      </c>
      <c r="C9841" s="223" t="s">
        <v>628</v>
      </c>
      <c r="D9841" s="550"/>
      <c r="E9841" s="224"/>
      <c r="F9841" s="225"/>
      <c r="G9841" s="290"/>
      <c r="H9841" s="226"/>
      <c r="M9841" s="225"/>
    </row>
    <row r="9842" spans="2:13" ht="18.75" customHeight="1" x14ac:dyDescent="0.25">
      <c r="B9842" s="550"/>
      <c r="C9842" s="227" t="s">
        <v>629</v>
      </c>
      <c r="D9842" s="550" t="s">
        <v>630</v>
      </c>
      <c r="E9842" s="224" t="s">
        <v>631</v>
      </c>
      <c r="F9842" s="228">
        <v>0.13500000000000001</v>
      </c>
      <c r="G9842" s="229">
        <f>G9817</f>
        <v>95000</v>
      </c>
      <c r="H9842" s="230">
        <f>+G9842*F9842</f>
        <v>12825</v>
      </c>
      <c r="M9842" s="228">
        <v>0.13500000000000001</v>
      </c>
    </row>
    <row r="9843" spans="2:13" ht="18.75" customHeight="1" x14ac:dyDescent="0.25">
      <c r="B9843" s="550"/>
      <c r="C9843" s="227" t="s">
        <v>1508</v>
      </c>
      <c r="D9843" s="550" t="s">
        <v>632</v>
      </c>
      <c r="E9843" s="224" t="s">
        <v>631</v>
      </c>
      <c r="F9843" s="228">
        <v>0.22500000000000001</v>
      </c>
      <c r="G9843" s="229">
        <f>G9818</f>
        <v>110000</v>
      </c>
      <c r="H9843" s="230">
        <f>+G9843*F9843</f>
        <v>24750</v>
      </c>
      <c r="M9843" s="228">
        <v>0.22500000000000001</v>
      </c>
    </row>
    <row r="9844" spans="2:13" ht="18.75" customHeight="1" x14ac:dyDescent="0.25">
      <c r="B9844" s="550"/>
      <c r="C9844" s="227" t="s">
        <v>633</v>
      </c>
      <c r="D9844" s="550" t="s">
        <v>634</v>
      </c>
      <c r="E9844" s="224" t="s">
        <v>631</v>
      </c>
      <c r="F9844" s="228">
        <v>2.3E-2</v>
      </c>
      <c r="G9844" s="229">
        <f>G9819</f>
        <v>115000</v>
      </c>
      <c r="H9844" s="230">
        <f>+G9844*F9844</f>
        <v>2645</v>
      </c>
      <c r="M9844" s="228">
        <v>2.3E-2</v>
      </c>
    </row>
    <row r="9845" spans="2:13" ht="18.75" customHeight="1" x14ac:dyDescent="0.25">
      <c r="B9845" s="550"/>
      <c r="C9845" s="227" t="s">
        <v>600</v>
      </c>
      <c r="D9845" s="550" t="s">
        <v>635</v>
      </c>
      <c r="E9845" s="224" t="s">
        <v>631</v>
      </c>
      <c r="F9845" s="228">
        <v>7.0000000000000001E-3</v>
      </c>
      <c r="G9845" s="229">
        <f>G9820</f>
        <v>140000</v>
      </c>
      <c r="H9845" s="230">
        <f>+G9845*F9845</f>
        <v>980</v>
      </c>
      <c r="M9845" s="228">
        <v>7.0000000000000001E-3</v>
      </c>
    </row>
    <row r="9846" spans="2:13" ht="18.75" customHeight="1" x14ac:dyDescent="0.25">
      <c r="B9846" s="550"/>
      <c r="C9846" s="223"/>
      <c r="D9846" s="550"/>
      <c r="E9846" s="224"/>
      <c r="F9846" s="237" t="s">
        <v>636</v>
      </c>
      <c r="G9846" s="290"/>
      <c r="H9846" s="231">
        <f>SUM(H9842:H9845)</f>
        <v>41200</v>
      </c>
      <c r="M9846" s="237" t="s">
        <v>636</v>
      </c>
    </row>
    <row r="9847" spans="2:13" ht="18.75" customHeight="1" x14ac:dyDescent="0.25">
      <c r="B9847" s="550"/>
      <c r="C9847" s="223"/>
      <c r="D9847" s="550"/>
      <c r="E9847" s="224"/>
      <c r="F9847" s="237"/>
      <c r="G9847" s="290"/>
      <c r="H9847" s="231"/>
      <c r="M9847" s="237"/>
    </row>
    <row r="9848" spans="2:13" ht="18.75" customHeight="1" x14ac:dyDescent="0.25">
      <c r="B9848" s="550" t="s">
        <v>637</v>
      </c>
      <c r="C9848" s="223" t="s">
        <v>638</v>
      </c>
      <c r="D9848" s="550"/>
      <c r="E9848" s="224"/>
      <c r="F9848" s="225"/>
      <c r="G9848" s="290"/>
      <c r="H9848" s="226"/>
      <c r="M9848" s="225"/>
    </row>
    <row r="9849" spans="2:13" ht="18.75" customHeight="1" x14ac:dyDescent="0.25">
      <c r="B9849" s="550"/>
      <c r="C9849" s="232" t="s">
        <v>1439</v>
      </c>
      <c r="D9849" s="550"/>
      <c r="E9849" s="550" t="s">
        <v>14</v>
      </c>
      <c r="F9849" s="233">
        <v>1.2</v>
      </c>
      <c r="G9849" s="234">
        <f>Bahan!D515/6</f>
        <v>80166.666666666672</v>
      </c>
      <c r="H9849" s="235">
        <f>G9849*F9849</f>
        <v>96200</v>
      </c>
      <c r="M9849" s="233">
        <v>1.2</v>
      </c>
    </row>
    <row r="9850" spans="2:13" ht="18.75" customHeight="1" x14ac:dyDescent="0.25">
      <c r="B9850" s="550"/>
      <c r="C9850" s="232" t="s">
        <v>1370</v>
      </c>
      <c r="D9850" s="550"/>
      <c r="E9850" s="550" t="s">
        <v>1373</v>
      </c>
      <c r="F9850" s="233">
        <v>0.35</v>
      </c>
      <c r="G9850" s="234">
        <f>G9849*F9850</f>
        <v>28058.333333333332</v>
      </c>
      <c r="H9850" s="235">
        <f>G9850</f>
        <v>28058.333333333332</v>
      </c>
      <c r="M9850" s="233">
        <v>0.35</v>
      </c>
    </row>
    <row r="9851" spans="2:13" ht="18.75" customHeight="1" x14ac:dyDescent="0.25">
      <c r="B9851" s="550"/>
      <c r="C9851" s="223"/>
      <c r="D9851" s="550"/>
      <c r="E9851" s="224"/>
      <c r="F9851" s="237" t="s">
        <v>643</v>
      </c>
      <c r="G9851" s="290"/>
      <c r="H9851" s="231">
        <f>SUM(H9849:H9850)</f>
        <v>124258.33333333333</v>
      </c>
      <c r="M9851" s="237" t="s">
        <v>643</v>
      </c>
    </row>
    <row r="9852" spans="2:13" ht="18.75" customHeight="1" x14ac:dyDescent="0.25">
      <c r="B9852" s="550"/>
      <c r="C9852" s="223"/>
      <c r="D9852" s="550"/>
      <c r="E9852" s="224"/>
      <c r="F9852" s="225"/>
      <c r="G9852" s="290"/>
      <c r="H9852" s="226"/>
      <c r="M9852" s="225"/>
    </row>
    <row r="9853" spans="2:13" ht="18.75" customHeight="1" x14ac:dyDescent="0.25">
      <c r="B9853" s="550" t="s">
        <v>644</v>
      </c>
      <c r="C9853" s="223" t="s">
        <v>645</v>
      </c>
      <c r="D9853" s="550"/>
      <c r="E9853" s="224"/>
      <c r="F9853" s="225"/>
      <c r="G9853" s="290"/>
      <c r="H9853" s="235">
        <f>+G9853*F9853</f>
        <v>0</v>
      </c>
      <c r="M9853" s="225"/>
    </row>
    <row r="9854" spans="2:13" ht="18.75" customHeight="1" x14ac:dyDescent="0.25">
      <c r="B9854" s="236"/>
      <c r="C9854" s="232"/>
      <c r="D9854" s="550"/>
      <c r="E9854" s="224"/>
      <c r="F9854" s="237" t="s">
        <v>646</v>
      </c>
      <c r="G9854" s="290"/>
      <c r="H9854" s="230">
        <f>SUM(H9853)</f>
        <v>0</v>
      </c>
      <c r="M9854" s="237" t="s">
        <v>646</v>
      </c>
    </row>
    <row r="9855" spans="2:13" ht="18.75" customHeight="1" x14ac:dyDescent="0.25">
      <c r="B9855" s="236"/>
      <c r="C9855" s="562"/>
      <c r="D9855" s="563"/>
      <c r="E9855" s="564"/>
      <c r="F9855" s="565"/>
      <c r="G9855" s="566"/>
      <c r="H9855" s="230"/>
      <c r="M9855" s="565"/>
    </row>
    <row r="9856" spans="2:13" ht="18.75" customHeight="1" x14ac:dyDescent="0.25">
      <c r="B9856" s="354"/>
      <c r="C9856" s="362"/>
      <c r="D9856" s="239"/>
      <c r="E9856" s="266"/>
      <c r="F9856" s="241"/>
      <c r="G9856" s="370"/>
      <c r="H9856" s="369"/>
      <c r="M9856" s="241"/>
    </row>
    <row r="9857" spans="2:13" ht="18.75" customHeight="1" x14ac:dyDescent="0.25">
      <c r="B9857" s="356" t="s">
        <v>647</v>
      </c>
      <c r="C9857" s="364" t="s">
        <v>648</v>
      </c>
      <c r="D9857" s="435"/>
      <c r="E9857" s="92"/>
      <c r="F9857" s="183"/>
      <c r="G9857" s="295"/>
      <c r="H9857" s="357">
        <f>+H9854+H9851+H9846</f>
        <v>165458.33333333331</v>
      </c>
      <c r="M9857" s="183"/>
    </row>
    <row r="9858" spans="2:13" ht="18.75" customHeight="1" x14ac:dyDescent="0.25">
      <c r="B9858" s="356" t="s">
        <v>649</v>
      </c>
      <c r="C9858" s="364" t="s">
        <v>650</v>
      </c>
      <c r="D9858" s="435"/>
      <c r="E9858" s="92"/>
      <c r="F9858" s="184" t="str">
        <f>$J$5</f>
        <v>8,0 % x D</v>
      </c>
      <c r="G9858" s="295"/>
      <c r="H9858" s="358">
        <f>+H9857*$K$5</f>
        <v>13236.666666666666</v>
      </c>
      <c r="M9858" s="184" t="str">
        <f>$J$5</f>
        <v>8,0 % x D</v>
      </c>
    </row>
    <row r="9859" spans="2:13" ht="18.75" customHeight="1" x14ac:dyDescent="0.25">
      <c r="B9859" s="356" t="s">
        <v>651</v>
      </c>
      <c r="C9859" s="365" t="s">
        <v>652</v>
      </c>
      <c r="D9859" s="435"/>
      <c r="E9859" s="91"/>
      <c r="F9859" s="185"/>
      <c r="G9859" s="296"/>
      <c r="H9859" s="359">
        <f>ROUNDUP((H9858+H9857)/100,0)*100</f>
        <v>178700</v>
      </c>
      <c r="M9859" s="185"/>
    </row>
    <row r="9860" spans="2:13" ht="18.75" customHeight="1" x14ac:dyDescent="0.25">
      <c r="B9860" s="360"/>
      <c r="C9860" s="581"/>
      <c r="D9860" s="245"/>
      <c r="E9860" s="246"/>
      <c r="F9860" s="247"/>
      <c r="G9860" s="299"/>
      <c r="H9860" s="361"/>
      <c r="M9860" s="247"/>
    </row>
    <row r="9861" spans="2:13" ht="18.75" customHeight="1" x14ac:dyDescent="0.25">
      <c r="B9861" s="22"/>
      <c r="E9861" s="21"/>
      <c r="F9861" s="176"/>
      <c r="G9861" s="165"/>
      <c r="H9861" s="119"/>
      <c r="M9861" s="176"/>
    </row>
    <row r="9862" spans="2:13" ht="18.75" customHeight="1" x14ac:dyDescent="0.25">
      <c r="B9862" s="19">
        <f>B9837+1</f>
        <v>21</v>
      </c>
      <c r="C9862" s="93" t="s">
        <v>1826</v>
      </c>
      <c r="D9862" s="19"/>
      <c r="E9862" s="21"/>
      <c r="F9862" s="176"/>
      <c r="G9862" s="165"/>
      <c r="H9862" s="119"/>
      <c r="M9862" s="176"/>
    </row>
    <row r="9863" spans="2:13" ht="18.75" customHeight="1" x14ac:dyDescent="0.25">
      <c r="B9863" s="618" t="s">
        <v>620</v>
      </c>
      <c r="C9863" s="620" t="s">
        <v>621</v>
      </c>
      <c r="D9863" s="618" t="s">
        <v>622</v>
      </c>
      <c r="E9863" s="618" t="s">
        <v>2</v>
      </c>
      <c r="F9863" s="615" t="s">
        <v>623</v>
      </c>
      <c r="G9863" s="300" t="s">
        <v>624</v>
      </c>
      <c r="H9863" s="257" t="s">
        <v>625</v>
      </c>
      <c r="M9863" s="615" t="s">
        <v>623</v>
      </c>
    </row>
    <row r="9864" spans="2:13" ht="18.75" customHeight="1" x14ac:dyDescent="0.25">
      <c r="B9864" s="619"/>
      <c r="C9864" s="621"/>
      <c r="D9864" s="619"/>
      <c r="E9864" s="619"/>
      <c r="F9864" s="616"/>
      <c r="G9864" s="585" t="s">
        <v>626</v>
      </c>
      <c r="H9864" s="586" t="s">
        <v>626</v>
      </c>
      <c r="M9864" s="616"/>
    </row>
    <row r="9865" spans="2:13" ht="18.75" customHeight="1" x14ac:dyDescent="0.25">
      <c r="B9865" s="221"/>
      <c r="C9865" s="222"/>
      <c r="D9865" s="221"/>
      <c r="E9865" s="550"/>
      <c r="F9865" s="555"/>
      <c r="G9865" s="551"/>
      <c r="H9865" s="220"/>
      <c r="M9865" s="590"/>
    </row>
    <row r="9866" spans="2:13" ht="18.75" customHeight="1" x14ac:dyDescent="0.25">
      <c r="B9866" s="550" t="s">
        <v>627</v>
      </c>
      <c r="C9866" s="223" t="s">
        <v>628</v>
      </c>
      <c r="D9866" s="550"/>
      <c r="E9866" s="224"/>
      <c r="F9866" s="225"/>
      <c r="G9866" s="290"/>
      <c r="H9866" s="226"/>
      <c r="M9866" s="225"/>
    </row>
    <row r="9867" spans="2:13" ht="18.75" customHeight="1" x14ac:dyDescent="0.25">
      <c r="B9867" s="550"/>
      <c r="C9867" s="227" t="s">
        <v>629</v>
      </c>
      <c r="D9867" s="550" t="s">
        <v>630</v>
      </c>
      <c r="E9867" s="224" t="s">
        <v>631</v>
      </c>
      <c r="F9867" s="228">
        <v>0.13500000000000001</v>
      </c>
      <c r="G9867" s="229">
        <f>G9842</f>
        <v>95000</v>
      </c>
      <c r="H9867" s="230">
        <f>+G9867*F9867</f>
        <v>12825</v>
      </c>
      <c r="M9867" s="228">
        <v>0.13500000000000001</v>
      </c>
    </row>
    <row r="9868" spans="2:13" ht="18.75" customHeight="1" x14ac:dyDescent="0.25">
      <c r="B9868" s="550"/>
      <c r="C9868" s="227" t="s">
        <v>1508</v>
      </c>
      <c r="D9868" s="550" t="s">
        <v>632</v>
      </c>
      <c r="E9868" s="224" t="s">
        <v>631</v>
      </c>
      <c r="F9868" s="228">
        <v>0.22500000000000001</v>
      </c>
      <c r="G9868" s="229">
        <f>G9843</f>
        <v>110000</v>
      </c>
      <c r="H9868" s="230">
        <f>+G9868*F9868</f>
        <v>24750</v>
      </c>
      <c r="M9868" s="228">
        <v>0.22500000000000001</v>
      </c>
    </row>
    <row r="9869" spans="2:13" ht="18.75" customHeight="1" x14ac:dyDescent="0.25">
      <c r="B9869" s="550"/>
      <c r="C9869" s="227" t="s">
        <v>633</v>
      </c>
      <c r="D9869" s="550" t="s">
        <v>634</v>
      </c>
      <c r="E9869" s="224" t="s">
        <v>631</v>
      </c>
      <c r="F9869" s="228">
        <v>2.3E-2</v>
      </c>
      <c r="G9869" s="229">
        <f>G9844</f>
        <v>115000</v>
      </c>
      <c r="H9869" s="230">
        <f>+G9869*F9869</f>
        <v>2645</v>
      </c>
      <c r="M9869" s="228">
        <v>2.3E-2</v>
      </c>
    </row>
    <row r="9870" spans="2:13" ht="18.75" customHeight="1" x14ac:dyDescent="0.25">
      <c r="B9870" s="550"/>
      <c r="C9870" s="227" t="s">
        <v>600</v>
      </c>
      <c r="D9870" s="550" t="s">
        <v>635</v>
      </c>
      <c r="E9870" s="224" t="s">
        <v>631</v>
      </c>
      <c r="F9870" s="228">
        <v>7.0000000000000001E-3</v>
      </c>
      <c r="G9870" s="229">
        <f>G9845</f>
        <v>140000</v>
      </c>
      <c r="H9870" s="230">
        <f>+G9870*F9870</f>
        <v>980</v>
      </c>
      <c r="M9870" s="228">
        <v>7.0000000000000001E-3</v>
      </c>
    </row>
    <row r="9871" spans="2:13" ht="18.75" customHeight="1" x14ac:dyDescent="0.25">
      <c r="B9871" s="550"/>
      <c r="C9871" s="223"/>
      <c r="D9871" s="550"/>
      <c r="E9871" s="224"/>
      <c r="F9871" s="237" t="s">
        <v>636</v>
      </c>
      <c r="G9871" s="290"/>
      <c r="H9871" s="231">
        <f>SUM(H9867:H9870)</f>
        <v>41200</v>
      </c>
      <c r="M9871" s="237" t="s">
        <v>636</v>
      </c>
    </row>
    <row r="9872" spans="2:13" ht="18.75" customHeight="1" x14ac:dyDescent="0.25">
      <c r="B9872" s="550"/>
      <c r="C9872" s="223"/>
      <c r="D9872" s="550"/>
      <c r="E9872" s="224"/>
      <c r="F9872" s="237"/>
      <c r="G9872" s="290"/>
      <c r="H9872" s="231"/>
      <c r="M9872" s="237"/>
    </row>
    <row r="9873" spans="2:13" ht="18.75" customHeight="1" x14ac:dyDescent="0.25">
      <c r="B9873" s="550" t="s">
        <v>637</v>
      </c>
      <c r="C9873" s="223" t="s">
        <v>638</v>
      </c>
      <c r="D9873" s="550"/>
      <c r="E9873" s="224"/>
      <c r="F9873" s="225"/>
      <c r="G9873" s="290"/>
      <c r="H9873" s="226"/>
      <c r="M9873" s="225"/>
    </row>
    <row r="9874" spans="2:13" ht="18.75" customHeight="1" x14ac:dyDescent="0.25">
      <c r="B9874" s="550"/>
      <c r="C9874" s="232" t="s">
        <v>1440</v>
      </c>
      <c r="D9874" s="550"/>
      <c r="E9874" s="550" t="s">
        <v>14</v>
      </c>
      <c r="F9874" s="233">
        <v>1.2</v>
      </c>
      <c r="G9874" s="234">
        <f>Bahan!D516/6</f>
        <v>111666.66666666667</v>
      </c>
      <c r="H9874" s="235">
        <f>G9874*F9874</f>
        <v>134000</v>
      </c>
      <c r="M9874" s="233">
        <v>1.2</v>
      </c>
    </row>
    <row r="9875" spans="2:13" ht="18.75" customHeight="1" x14ac:dyDescent="0.25">
      <c r="B9875" s="550"/>
      <c r="C9875" s="232" t="s">
        <v>1396</v>
      </c>
      <c r="D9875" s="550"/>
      <c r="E9875" s="550" t="s">
        <v>1373</v>
      </c>
      <c r="F9875" s="233">
        <v>0.35</v>
      </c>
      <c r="G9875" s="234">
        <f>G9874*F9875</f>
        <v>39083.333333333336</v>
      </c>
      <c r="H9875" s="235">
        <f>G9875</f>
        <v>39083.333333333336</v>
      </c>
      <c r="M9875" s="233">
        <v>0.35</v>
      </c>
    </row>
    <row r="9876" spans="2:13" ht="18.75" customHeight="1" x14ac:dyDescent="0.25">
      <c r="B9876" s="550"/>
      <c r="C9876" s="223"/>
      <c r="D9876" s="550"/>
      <c r="E9876" s="224"/>
      <c r="F9876" s="237" t="s">
        <v>643</v>
      </c>
      <c r="G9876" s="290"/>
      <c r="H9876" s="231">
        <f>SUM(H9874:H9875)</f>
        <v>173083.33333333334</v>
      </c>
      <c r="M9876" s="237" t="s">
        <v>643</v>
      </c>
    </row>
    <row r="9877" spans="2:13" ht="18.75" customHeight="1" x14ac:dyDescent="0.25">
      <c r="B9877" s="550"/>
      <c r="C9877" s="223"/>
      <c r="D9877" s="550"/>
      <c r="E9877" s="224"/>
      <c r="F9877" s="225"/>
      <c r="G9877" s="290"/>
      <c r="H9877" s="226"/>
      <c r="M9877" s="225"/>
    </row>
    <row r="9878" spans="2:13" ht="18.75" customHeight="1" x14ac:dyDescent="0.25">
      <c r="B9878" s="550" t="s">
        <v>644</v>
      </c>
      <c r="C9878" s="223" t="s">
        <v>645</v>
      </c>
      <c r="D9878" s="550"/>
      <c r="E9878" s="224"/>
      <c r="F9878" s="225"/>
      <c r="G9878" s="290"/>
      <c r="H9878" s="235">
        <f>+G9878*F9878</f>
        <v>0</v>
      </c>
      <c r="M9878" s="225"/>
    </row>
    <row r="9879" spans="2:13" ht="18.75" customHeight="1" x14ac:dyDescent="0.25">
      <c r="B9879" s="236"/>
      <c r="C9879" s="232"/>
      <c r="D9879" s="550"/>
      <c r="E9879" s="224"/>
      <c r="F9879" s="237" t="s">
        <v>646</v>
      </c>
      <c r="G9879" s="290"/>
      <c r="H9879" s="230">
        <f>SUM(H9878)</f>
        <v>0</v>
      </c>
      <c r="M9879" s="237" t="s">
        <v>646</v>
      </c>
    </row>
    <row r="9880" spans="2:13" ht="18.75" customHeight="1" x14ac:dyDescent="0.25">
      <c r="B9880" s="236"/>
      <c r="C9880" s="562"/>
      <c r="D9880" s="563"/>
      <c r="E9880" s="564"/>
      <c r="F9880" s="565"/>
      <c r="G9880" s="566"/>
      <c r="H9880" s="226"/>
      <c r="M9880" s="565"/>
    </row>
    <row r="9881" spans="2:13" ht="18.75" customHeight="1" x14ac:dyDescent="0.25">
      <c r="B9881" s="354"/>
      <c r="C9881" s="362"/>
      <c r="D9881" s="239"/>
      <c r="E9881" s="266"/>
      <c r="F9881" s="241"/>
      <c r="G9881" s="370"/>
      <c r="H9881" s="369"/>
      <c r="M9881" s="241"/>
    </row>
    <row r="9882" spans="2:13" ht="18.75" customHeight="1" x14ac:dyDescent="0.25">
      <c r="B9882" s="356" t="s">
        <v>647</v>
      </c>
      <c r="C9882" s="364" t="s">
        <v>648</v>
      </c>
      <c r="D9882" s="435"/>
      <c r="E9882" s="92"/>
      <c r="F9882" s="183"/>
      <c r="G9882" s="295"/>
      <c r="H9882" s="357">
        <f>+H9879+H9876+H9871</f>
        <v>214283.33333333334</v>
      </c>
      <c r="M9882" s="183"/>
    </row>
    <row r="9883" spans="2:13" ht="18.75" customHeight="1" x14ac:dyDescent="0.25">
      <c r="B9883" s="356" t="s">
        <v>649</v>
      </c>
      <c r="C9883" s="364" t="s">
        <v>650</v>
      </c>
      <c r="D9883" s="435"/>
      <c r="E9883" s="92"/>
      <c r="F9883" s="184" t="str">
        <f>$J$5</f>
        <v>8,0 % x D</v>
      </c>
      <c r="G9883" s="295"/>
      <c r="H9883" s="358">
        <f>+H9882*$K$5</f>
        <v>17142.666666666668</v>
      </c>
      <c r="M9883" s="184" t="str">
        <f>$J$5</f>
        <v>8,0 % x D</v>
      </c>
    </row>
    <row r="9884" spans="2:13" ht="18.75" customHeight="1" x14ac:dyDescent="0.25">
      <c r="B9884" s="356" t="s">
        <v>651</v>
      </c>
      <c r="C9884" s="365" t="s">
        <v>652</v>
      </c>
      <c r="D9884" s="435"/>
      <c r="E9884" s="91"/>
      <c r="F9884" s="185"/>
      <c r="G9884" s="296"/>
      <c r="H9884" s="359">
        <f>ROUNDUP((H9883+H9882)/100,0)*100</f>
        <v>231500</v>
      </c>
      <c r="M9884" s="185"/>
    </row>
    <row r="9885" spans="2:13" ht="18.75" customHeight="1" x14ac:dyDescent="0.25">
      <c r="B9885" s="360"/>
      <c r="C9885" s="581"/>
      <c r="D9885" s="245"/>
      <c r="E9885" s="246"/>
      <c r="F9885" s="247"/>
      <c r="G9885" s="299"/>
      <c r="H9885" s="361"/>
      <c r="M9885" s="247"/>
    </row>
    <row r="9886" spans="2:13" ht="18.75" customHeight="1" x14ac:dyDescent="0.25">
      <c r="B9886" s="92"/>
      <c r="C9886" s="242"/>
      <c r="D9886" s="435"/>
      <c r="E9886" s="91"/>
      <c r="F9886" s="185"/>
      <c r="G9886" s="168"/>
      <c r="H9886" s="139"/>
      <c r="M9886" s="185"/>
    </row>
    <row r="9887" spans="2:13" ht="18.75" customHeight="1" x14ac:dyDescent="0.25">
      <c r="B9887" s="19">
        <f>B9862+1</f>
        <v>22</v>
      </c>
      <c r="C9887" s="93" t="s">
        <v>1827</v>
      </c>
      <c r="D9887" s="19"/>
      <c r="E9887" s="21"/>
      <c r="F9887" s="176"/>
      <c r="G9887" s="165"/>
      <c r="H9887" s="119"/>
      <c r="M9887" s="176"/>
    </row>
    <row r="9888" spans="2:13" ht="18.75" customHeight="1" x14ac:dyDescent="0.25">
      <c r="B9888" s="618" t="s">
        <v>620</v>
      </c>
      <c r="C9888" s="620" t="s">
        <v>621</v>
      </c>
      <c r="D9888" s="618" t="s">
        <v>622</v>
      </c>
      <c r="E9888" s="618" t="s">
        <v>2</v>
      </c>
      <c r="F9888" s="615" t="s">
        <v>623</v>
      </c>
      <c r="G9888" s="300" t="s">
        <v>624</v>
      </c>
      <c r="H9888" s="257" t="s">
        <v>625</v>
      </c>
      <c r="M9888" s="615" t="s">
        <v>623</v>
      </c>
    </row>
    <row r="9889" spans="2:13" ht="18.75" customHeight="1" x14ac:dyDescent="0.25">
      <c r="B9889" s="619"/>
      <c r="C9889" s="621"/>
      <c r="D9889" s="619"/>
      <c r="E9889" s="619"/>
      <c r="F9889" s="616"/>
      <c r="G9889" s="585" t="s">
        <v>626</v>
      </c>
      <c r="H9889" s="586" t="s">
        <v>626</v>
      </c>
      <c r="M9889" s="616"/>
    </row>
    <row r="9890" spans="2:13" ht="18.75" customHeight="1" x14ac:dyDescent="0.25">
      <c r="B9890" s="221"/>
      <c r="C9890" s="222"/>
      <c r="D9890" s="221"/>
      <c r="E9890" s="550"/>
      <c r="F9890" s="555"/>
      <c r="G9890" s="551"/>
      <c r="H9890" s="220"/>
      <c r="M9890" s="590"/>
    </row>
    <row r="9891" spans="2:13" ht="18.75" customHeight="1" x14ac:dyDescent="0.25">
      <c r="B9891" s="550" t="s">
        <v>627</v>
      </c>
      <c r="C9891" s="223" t="s">
        <v>628</v>
      </c>
      <c r="D9891" s="550"/>
      <c r="E9891" s="224"/>
      <c r="F9891" s="225"/>
      <c r="G9891" s="290"/>
      <c r="H9891" s="226"/>
      <c r="M9891" s="225"/>
    </row>
    <row r="9892" spans="2:13" ht="18.75" customHeight="1" x14ac:dyDescent="0.25">
      <c r="B9892" s="550"/>
      <c r="C9892" s="227" t="s">
        <v>629</v>
      </c>
      <c r="D9892" s="550" t="s">
        <v>630</v>
      </c>
      <c r="E9892" s="224" t="s">
        <v>631</v>
      </c>
      <c r="F9892" s="228">
        <v>3.5999999999999997E-2</v>
      </c>
      <c r="G9892" s="229">
        <f>G9867</f>
        <v>95000</v>
      </c>
      <c r="H9892" s="230">
        <f>+G9892*F9892</f>
        <v>3419.9999999999995</v>
      </c>
      <c r="M9892" s="228">
        <v>3.5999999999999997E-2</v>
      </c>
    </row>
    <row r="9893" spans="2:13" ht="18.75" customHeight="1" x14ac:dyDescent="0.25">
      <c r="B9893" s="550"/>
      <c r="C9893" s="227" t="s">
        <v>1508</v>
      </c>
      <c r="D9893" s="550" t="s">
        <v>632</v>
      </c>
      <c r="E9893" s="224" t="s">
        <v>631</v>
      </c>
      <c r="F9893" s="228">
        <v>7.4999999999999997E-2</v>
      </c>
      <c r="G9893" s="229">
        <f>G9868</f>
        <v>110000</v>
      </c>
      <c r="H9893" s="230">
        <f>+G9893*F9893</f>
        <v>8250</v>
      </c>
      <c r="M9893" s="228">
        <v>7.4999999999999997E-2</v>
      </c>
    </row>
    <row r="9894" spans="2:13" ht="18.75" customHeight="1" x14ac:dyDescent="0.25">
      <c r="B9894" s="550"/>
      <c r="C9894" s="227" t="s">
        <v>633</v>
      </c>
      <c r="D9894" s="550" t="s">
        <v>634</v>
      </c>
      <c r="E9894" s="224" t="s">
        <v>631</v>
      </c>
      <c r="F9894" s="228">
        <v>6.0000000000000001E-3</v>
      </c>
      <c r="G9894" s="229">
        <f>G9869</f>
        <v>115000</v>
      </c>
      <c r="H9894" s="230">
        <f>+G9894*F9894</f>
        <v>690</v>
      </c>
      <c r="M9894" s="228">
        <v>6.0000000000000001E-3</v>
      </c>
    </row>
    <row r="9895" spans="2:13" ht="18.75" customHeight="1" x14ac:dyDescent="0.25">
      <c r="B9895" s="550"/>
      <c r="C9895" s="227" t="s">
        <v>600</v>
      </c>
      <c r="D9895" s="550" t="s">
        <v>635</v>
      </c>
      <c r="E9895" s="224" t="s">
        <v>631</v>
      </c>
      <c r="F9895" s="228">
        <v>2E-3</v>
      </c>
      <c r="G9895" s="229">
        <f>G9870</f>
        <v>140000</v>
      </c>
      <c r="H9895" s="230">
        <f>+G9895*F9895</f>
        <v>280</v>
      </c>
      <c r="M9895" s="228">
        <v>2E-3</v>
      </c>
    </row>
    <row r="9896" spans="2:13" ht="18.75" customHeight="1" x14ac:dyDescent="0.25">
      <c r="B9896" s="550"/>
      <c r="C9896" s="223"/>
      <c r="D9896" s="550"/>
      <c r="E9896" s="224"/>
      <c r="F9896" s="237" t="s">
        <v>636</v>
      </c>
      <c r="G9896" s="290"/>
      <c r="H9896" s="231">
        <f>SUM(H9892:H9895)</f>
        <v>12640</v>
      </c>
      <c r="M9896" s="237" t="s">
        <v>636</v>
      </c>
    </row>
    <row r="9897" spans="2:13" ht="18.75" customHeight="1" x14ac:dyDescent="0.25">
      <c r="B9897" s="550"/>
      <c r="C9897" s="223"/>
      <c r="D9897" s="550"/>
      <c r="E9897" s="224"/>
      <c r="F9897" s="237"/>
      <c r="G9897" s="290"/>
      <c r="H9897" s="231"/>
      <c r="M9897" s="237"/>
    </row>
    <row r="9898" spans="2:13" ht="18.75" customHeight="1" x14ac:dyDescent="0.25">
      <c r="B9898" s="550" t="s">
        <v>637</v>
      </c>
      <c r="C9898" s="223" t="s">
        <v>638</v>
      </c>
      <c r="D9898" s="550"/>
      <c r="E9898" s="224"/>
      <c r="F9898" s="225"/>
      <c r="G9898" s="290"/>
      <c r="H9898" s="226"/>
      <c r="M9898" s="225"/>
    </row>
    <row r="9899" spans="2:13" ht="18.75" customHeight="1" x14ac:dyDescent="0.25">
      <c r="B9899" s="550"/>
      <c r="C9899" s="232" t="s">
        <v>1464</v>
      </c>
      <c r="D9899" s="550"/>
      <c r="E9899" s="550" t="s">
        <v>14</v>
      </c>
      <c r="F9899" s="233">
        <v>1.2</v>
      </c>
      <c r="G9899" s="234">
        <f>Bahan!D519/4</f>
        <v>7250</v>
      </c>
      <c r="H9899" s="235">
        <f>G9899*F9899</f>
        <v>8700</v>
      </c>
      <c r="M9899" s="233">
        <v>1.2</v>
      </c>
    </row>
    <row r="9900" spans="2:13" ht="18.75" customHeight="1" x14ac:dyDescent="0.25">
      <c r="B9900" s="550"/>
      <c r="C9900" s="232" t="s">
        <v>1370</v>
      </c>
      <c r="D9900" s="550"/>
      <c r="E9900" s="550" t="s">
        <v>1373</v>
      </c>
      <c r="F9900" s="233">
        <v>0.35</v>
      </c>
      <c r="G9900" s="234">
        <f>G9899*F9900</f>
        <v>2537.5</v>
      </c>
      <c r="H9900" s="235">
        <f>G9900</f>
        <v>2537.5</v>
      </c>
      <c r="M9900" s="233">
        <v>0.35</v>
      </c>
    </row>
    <row r="9901" spans="2:13" ht="18.75" customHeight="1" x14ac:dyDescent="0.25">
      <c r="B9901" s="550"/>
      <c r="C9901" s="223"/>
      <c r="D9901" s="550"/>
      <c r="E9901" s="224"/>
      <c r="F9901" s="237" t="s">
        <v>643</v>
      </c>
      <c r="G9901" s="290"/>
      <c r="H9901" s="231">
        <f>SUM(H9899:H9900)</f>
        <v>11237.5</v>
      </c>
      <c r="M9901" s="237" t="s">
        <v>643</v>
      </c>
    </row>
    <row r="9902" spans="2:13" ht="18.75" customHeight="1" x14ac:dyDescent="0.25">
      <c r="B9902" s="550"/>
      <c r="C9902" s="223"/>
      <c r="D9902" s="550"/>
      <c r="E9902" s="224"/>
      <c r="F9902" s="225"/>
      <c r="G9902" s="290"/>
      <c r="H9902" s="226"/>
      <c r="M9902" s="225"/>
    </row>
    <row r="9903" spans="2:13" ht="18.75" customHeight="1" x14ac:dyDescent="0.25">
      <c r="B9903" s="550" t="s">
        <v>644</v>
      </c>
      <c r="C9903" s="223" t="s">
        <v>645</v>
      </c>
      <c r="D9903" s="550"/>
      <c r="E9903" s="224"/>
      <c r="F9903" s="225"/>
      <c r="G9903" s="290"/>
      <c r="H9903" s="235">
        <f>+G9903*F9903</f>
        <v>0</v>
      </c>
      <c r="M9903" s="225"/>
    </row>
    <row r="9904" spans="2:13" ht="18.75" customHeight="1" x14ac:dyDescent="0.25">
      <c r="B9904" s="236"/>
      <c r="C9904" s="232"/>
      <c r="D9904" s="550"/>
      <c r="E9904" s="224"/>
      <c r="F9904" s="237" t="s">
        <v>646</v>
      </c>
      <c r="G9904" s="290"/>
      <c r="H9904" s="230">
        <f>SUM(H9903)</f>
        <v>0</v>
      </c>
      <c r="M9904" s="237" t="s">
        <v>646</v>
      </c>
    </row>
    <row r="9905" spans="2:13" ht="18.75" customHeight="1" x14ac:dyDescent="0.25">
      <c r="B9905" s="236"/>
      <c r="C9905" s="562"/>
      <c r="D9905" s="563"/>
      <c r="E9905" s="564"/>
      <c r="F9905" s="565"/>
      <c r="G9905" s="566"/>
      <c r="H9905" s="226"/>
      <c r="M9905" s="565"/>
    </row>
    <row r="9906" spans="2:13" ht="18.75" customHeight="1" x14ac:dyDescent="0.25">
      <c r="B9906" s="354"/>
      <c r="C9906" s="362"/>
      <c r="D9906" s="239"/>
      <c r="E9906" s="266"/>
      <c r="F9906" s="241"/>
      <c r="G9906" s="370"/>
      <c r="H9906" s="369"/>
      <c r="M9906" s="241"/>
    </row>
    <row r="9907" spans="2:13" ht="18.75" customHeight="1" x14ac:dyDescent="0.25">
      <c r="B9907" s="356" t="s">
        <v>647</v>
      </c>
      <c r="C9907" s="364" t="s">
        <v>648</v>
      </c>
      <c r="D9907" s="435"/>
      <c r="E9907" s="92"/>
      <c r="F9907" s="183"/>
      <c r="G9907" s="295"/>
      <c r="H9907" s="357">
        <f>+H9904+H9901+H9896</f>
        <v>23877.5</v>
      </c>
      <c r="M9907" s="183"/>
    </row>
    <row r="9908" spans="2:13" ht="18.75" customHeight="1" x14ac:dyDescent="0.25">
      <c r="B9908" s="356" t="s">
        <v>649</v>
      </c>
      <c r="C9908" s="364" t="s">
        <v>650</v>
      </c>
      <c r="D9908" s="435"/>
      <c r="E9908" s="92"/>
      <c r="F9908" s="184" t="str">
        <f>$J$5</f>
        <v>8,0 % x D</v>
      </c>
      <c r="G9908" s="295"/>
      <c r="H9908" s="358">
        <f>+H9907*$K$5</f>
        <v>1910.2</v>
      </c>
      <c r="M9908" s="184" t="str">
        <f>$J$5</f>
        <v>8,0 % x D</v>
      </c>
    </row>
    <row r="9909" spans="2:13" ht="18.75" customHeight="1" x14ac:dyDescent="0.25">
      <c r="B9909" s="356" t="s">
        <v>651</v>
      </c>
      <c r="C9909" s="365" t="s">
        <v>652</v>
      </c>
      <c r="D9909" s="435"/>
      <c r="E9909" s="91"/>
      <c r="F9909" s="185"/>
      <c r="G9909" s="296"/>
      <c r="H9909" s="359">
        <f>ROUNDUP((H9908+H9907)/100,0)*100</f>
        <v>25800</v>
      </c>
      <c r="M9909" s="185"/>
    </row>
    <row r="9910" spans="2:13" ht="18.75" customHeight="1" x14ac:dyDescent="0.25">
      <c r="B9910" s="360"/>
      <c r="C9910" s="581"/>
      <c r="D9910" s="245"/>
      <c r="E9910" s="246"/>
      <c r="F9910" s="247"/>
      <c r="G9910" s="299"/>
      <c r="H9910" s="361"/>
      <c r="M9910" s="247"/>
    </row>
    <row r="9911" spans="2:13" ht="18.75" customHeight="1" x14ac:dyDescent="0.25">
      <c r="B9911" s="22"/>
      <c r="E9911" s="21"/>
      <c r="F9911" s="176"/>
      <c r="G9911" s="165"/>
      <c r="H9911" s="119"/>
      <c r="M9911" s="176"/>
    </row>
    <row r="9912" spans="2:13" ht="18.75" customHeight="1" x14ac:dyDescent="0.25">
      <c r="B9912" s="19">
        <f>B9887+1</f>
        <v>23</v>
      </c>
      <c r="C9912" s="93" t="s">
        <v>1828</v>
      </c>
      <c r="D9912" s="19"/>
      <c r="E9912" s="21"/>
      <c r="F9912" s="176"/>
      <c r="G9912" s="165"/>
      <c r="H9912" s="119"/>
      <c r="M9912" s="176"/>
    </row>
    <row r="9913" spans="2:13" ht="18.75" customHeight="1" x14ac:dyDescent="0.25">
      <c r="B9913" s="618" t="s">
        <v>620</v>
      </c>
      <c r="C9913" s="620" t="s">
        <v>621</v>
      </c>
      <c r="D9913" s="618" t="s">
        <v>622</v>
      </c>
      <c r="E9913" s="618" t="s">
        <v>2</v>
      </c>
      <c r="F9913" s="615" t="s">
        <v>623</v>
      </c>
      <c r="G9913" s="300" t="s">
        <v>624</v>
      </c>
      <c r="H9913" s="257" t="s">
        <v>625</v>
      </c>
      <c r="M9913" s="615" t="s">
        <v>623</v>
      </c>
    </row>
    <row r="9914" spans="2:13" ht="18.75" customHeight="1" x14ac:dyDescent="0.25">
      <c r="B9914" s="619"/>
      <c r="C9914" s="621"/>
      <c r="D9914" s="619"/>
      <c r="E9914" s="619"/>
      <c r="F9914" s="616"/>
      <c r="G9914" s="585" t="s">
        <v>626</v>
      </c>
      <c r="H9914" s="586" t="s">
        <v>626</v>
      </c>
      <c r="M9914" s="616"/>
    </row>
    <row r="9915" spans="2:13" ht="18.75" customHeight="1" x14ac:dyDescent="0.25">
      <c r="B9915" s="221"/>
      <c r="C9915" s="222"/>
      <c r="D9915" s="221"/>
      <c r="E9915" s="550"/>
      <c r="F9915" s="555"/>
      <c r="G9915" s="551"/>
      <c r="H9915" s="220"/>
      <c r="M9915" s="590"/>
    </row>
    <row r="9916" spans="2:13" ht="18.75" customHeight="1" x14ac:dyDescent="0.25">
      <c r="B9916" s="550" t="s">
        <v>627</v>
      </c>
      <c r="C9916" s="223" t="s">
        <v>628</v>
      </c>
      <c r="D9916" s="550"/>
      <c r="E9916" s="224"/>
      <c r="F9916" s="225"/>
      <c r="G9916" s="290"/>
      <c r="H9916" s="226"/>
      <c r="M9916" s="225"/>
    </row>
    <row r="9917" spans="2:13" ht="18.75" customHeight="1" x14ac:dyDescent="0.25">
      <c r="B9917" s="550"/>
      <c r="C9917" s="227" t="s">
        <v>629</v>
      </c>
      <c r="D9917" s="550" t="s">
        <v>630</v>
      </c>
      <c r="E9917" s="224" t="s">
        <v>631</v>
      </c>
      <c r="F9917" s="228">
        <v>3.5999999999999997E-2</v>
      </c>
      <c r="G9917" s="229">
        <f>G9867</f>
        <v>95000</v>
      </c>
      <c r="H9917" s="230">
        <f>+G9917*F9917</f>
        <v>3419.9999999999995</v>
      </c>
      <c r="M9917" s="228">
        <v>3.5999999999999997E-2</v>
      </c>
    </row>
    <row r="9918" spans="2:13" ht="18.75" customHeight="1" x14ac:dyDescent="0.25">
      <c r="B9918" s="550"/>
      <c r="C9918" s="227" t="s">
        <v>1508</v>
      </c>
      <c r="D9918" s="550" t="s">
        <v>632</v>
      </c>
      <c r="E9918" s="224" t="s">
        <v>631</v>
      </c>
      <c r="F9918" s="228">
        <v>7.4999999999999997E-2</v>
      </c>
      <c r="G9918" s="229">
        <f>G9868</f>
        <v>110000</v>
      </c>
      <c r="H9918" s="230">
        <f>+G9918*F9918</f>
        <v>8250</v>
      </c>
      <c r="M9918" s="228">
        <v>7.4999999999999997E-2</v>
      </c>
    </row>
    <row r="9919" spans="2:13" ht="18.75" customHeight="1" x14ac:dyDescent="0.25">
      <c r="B9919" s="550"/>
      <c r="C9919" s="227" t="s">
        <v>633</v>
      </c>
      <c r="D9919" s="550" t="s">
        <v>634</v>
      </c>
      <c r="E9919" s="224" t="s">
        <v>631</v>
      </c>
      <c r="F9919" s="228">
        <v>6.0000000000000001E-3</v>
      </c>
      <c r="G9919" s="229">
        <f>G9869</f>
        <v>115000</v>
      </c>
      <c r="H9919" s="230">
        <f>+G9919*F9919</f>
        <v>690</v>
      </c>
      <c r="M9919" s="228">
        <v>6.0000000000000001E-3</v>
      </c>
    </row>
    <row r="9920" spans="2:13" ht="18.75" customHeight="1" x14ac:dyDescent="0.25">
      <c r="B9920" s="550"/>
      <c r="C9920" s="227" t="s">
        <v>600</v>
      </c>
      <c r="D9920" s="550" t="s">
        <v>635</v>
      </c>
      <c r="E9920" s="224" t="s">
        <v>631</v>
      </c>
      <c r="F9920" s="228">
        <v>2E-3</v>
      </c>
      <c r="G9920" s="229">
        <f>G9870</f>
        <v>140000</v>
      </c>
      <c r="H9920" s="230">
        <f>+G9920*F9920</f>
        <v>280</v>
      </c>
      <c r="M9920" s="228">
        <v>2E-3</v>
      </c>
    </row>
    <row r="9921" spans="2:13" ht="18.75" customHeight="1" x14ac:dyDescent="0.25">
      <c r="B9921" s="550"/>
      <c r="C9921" s="223"/>
      <c r="D9921" s="550"/>
      <c r="E9921" s="224"/>
      <c r="F9921" s="237" t="s">
        <v>636</v>
      </c>
      <c r="G9921" s="290"/>
      <c r="H9921" s="231">
        <f>SUM(H9917:H9920)</f>
        <v>12640</v>
      </c>
      <c r="M9921" s="237" t="s">
        <v>636</v>
      </c>
    </row>
    <row r="9922" spans="2:13" ht="18.75" customHeight="1" x14ac:dyDescent="0.25">
      <c r="B9922" s="550"/>
      <c r="C9922" s="223"/>
      <c r="D9922" s="550"/>
      <c r="E9922" s="224"/>
      <c r="F9922" s="237"/>
      <c r="G9922" s="290"/>
      <c r="H9922" s="231"/>
      <c r="M9922" s="237"/>
    </row>
    <row r="9923" spans="2:13" ht="18.75" customHeight="1" x14ac:dyDescent="0.25">
      <c r="B9923" s="550" t="s">
        <v>637</v>
      </c>
      <c r="C9923" s="223" t="s">
        <v>638</v>
      </c>
      <c r="D9923" s="550"/>
      <c r="E9923" s="224"/>
      <c r="F9923" s="225"/>
      <c r="G9923" s="290"/>
      <c r="H9923" s="226"/>
      <c r="M9923" s="225"/>
    </row>
    <row r="9924" spans="2:13" ht="18.75" customHeight="1" x14ac:dyDescent="0.25">
      <c r="B9924" s="550"/>
      <c r="C9924" s="232" t="s">
        <v>1465</v>
      </c>
      <c r="D9924" s="550"/>
      <c r="E9924" s="550" t="s">
        <v>14</v>
      </c>
      <c r="F9924" s="233">
        <v>1.2</v>
      </c>
      <c r="G9924" s="234">
        <f>Bahan!D520/4</f>
        <v>9250</v>
      </c>
      <c r="H9924" s="235">
        <f>G9924*F9924</f>
        <v>11100</v>
      </c>
      <c r="M9924" s="233">
        <v>1.2</v>
      </c>
    </row>
    <row r="9925" spans="2:13" ht="18.75" customHeight="1" x14ac:dyDescent="0.25">
      <c r="B9925" s="550"/>
      <c r="C9925" s="232" t="s">
        <v>1370</v>
      </c>
      <c r="D9925" s="550"/>
      <c r="E9925" s="550" t="s">
        <v>1373</v>
      </c>
      <c r="F9925" s="233">
        <v>0.35</v>
      </c>
      <c r="G9925" s="234">
        <f>0.35*G9924</f>
        <v>3237.5</v>
      </c>
      <c r="H9925" s="235">
        <f>0.35*G9924</f>
        <v>3237.5</v>
      </c>
      <c r="M9925" s="233">
        <v>0.35</v>
      </c>
    </row>
    <row r="9926" spans="2:13" ht="18.75" customHeight="1" x14ac:dyDescent="0.25">
      <c r="B9926" s="550"/>
      <c r="C9926" s="223"/>
      <c r="D9926" s="550"/>
      <c r="E9926" s="224"/>
      <c r="F9926" s="237" t="s">
        <v>643</v>
      </c>
      <c r="G9926" s="290"/>
      <c r="H9926" s="231">
        <f>SUM(H9924:H9925)</f>
        <v>14337.5</v>
      </c>
      <c r="M9926" s="237" t="s">
        <v>643</v>
      </c>
    </row>
    <row r="9927" spans="2:13" ht="18.75" customHeight="1" x14ac:dyDescent="0.25">
      <c r="B9927" s="550"/>
      <c r="C9927" s="223"/>
      <c r="D9927" s="550"/>
      <c r="E9927" s="224"/>
      <c r="F9927" s="225"/>
      <c r="G9927" s="290"/>
      <c r="H9927" s="226"/>
      <c r="M9927" s="225"/>
    </row>
    <row r="9928" spans="2:13" ht="18.75" customHeight="1" x14ac:dyDescent="0.25">
      <c r="B9928" s="550" t="s">
        <v>644</v>
      </c>
      <c r="C9928" s="223" t="s">
        <v>645</v>
      </c>
      <c r="D9928" s="550"/>
      <c r="E9928" s="224"/>
      <c r="F9928" s="225"/>
      <c r="G9928" s="290"/>
      <c r="H9928" s="235">
        <f>+G9928*F9928</f>
        <v>0</v>
      </c>
      <c r="M9928" s="225"/>
    </row>
    <row r="9929" spans="2:13" ht="18.75" customHeight="1" x14ac:dyDescent="0.25">
      <c r="B9929" s="236"/>
      <c r="C9929" s="232"/>
      <c r="D9929" s="550"/>
      <c r="E9929" s="224"/>
      <c r="F9929" s="237" t="s">
        <v>646</v>
      </c>
      <c r="G9929" s="290"/>
      <c r="H9929" s="230">
        <f>SUM(H9928)</f>
        <v>0</v>
      </c>
      <c r="M9929" s="237" t="s">
        <v>646</v>
      </c>
    </row>
    <row r="9930" spans="2:13" ht="18.75" customHeight="1" x14ac:dyDescent="0.25">
      <c r="B9930" s="236"/>
      <c r="C9930" s="562"/>
      <c r="D9930" s="563"/>
      <c r="E9930" s="564"/>
      <c r="F9930" s="565"/>
      <c r="G9930" s="566"/>
      <c r="H9930" s="230"/>
      <c r="M9930" s="565"/>
    </row>
    <row r="9931" spans="2:13" ht="18.75" customHeight="1" x14ac:dyDescent="0.25">
      <c r="B9931" s="354"/>
      <c r="C9931" s="362"/>
      <c r="D9931" s="239"/>
      <c r="E9931" s="266"/>
      <c r="F9931" s="241"/>
      <c r="G9931" s="370"/>
      <c r="H9931" s="369"/>
      <c r="M9931" s="241"/>
    </row>
    <row r="9932" spans="2:13" ht="18.75" customHeight="1" x14ac:dyDescent="0.25">
      <c r="B9932" s="356" t="s">
        <v>647</v>
      </c>
      <c r="C9932" s="364" t="s">
        <v>648</v>
      </c>
      <c r="D9932" s="435"/>
      <c r="E9932" s="92"/>
      <c r="F9932" s="183"/>
      <c r="G9932" s="295"/>
      <c r="H9932" s="357">
        <f>+H9929+H9926+H9921</f>
        <v>26977.5</v>
      </c>
      <c r="M9932" s="183"/>
    </row>
    <row r="9933" spans="2:13" ht="18.75" customHeight="1" x14ac:dyDescent="0.25">
      <c r="B9933" s="356" t="s">
        <v>649</v>
      </c>
      <c r="C9933" s="364" t="s">
        <v>650</v>
      </c>
      <c r="D9933" s="435"/>
      <c r="E9933" s="92"/>
      <c r="F9933" s="184" t="str">
        <f>$J$5</f>
        <v>8,0 % x D</v>
      </c>
      <c r="G9933" s="295"/>
      <c r="H9933" s="358">
        <f>+H9932*$K$5</f>
        <v>2158.1999999999998</v>
      </c>
      <c r="M9933" s="184" t="str">
        <f>$J$5</f>
        <v>8,0 % x D</v>
      </c>
    </row>
    <row r="9934" spans="2:13" ht="18.75" customHeight="1" x14ac:dyDescent="0.25">
      <c r="B9934" s="356" t="s">
        <v>651</v>
      </c>
      <c r="C9934" s="365" t="s">
        <v>652</v>
      </c>
      <c r="D9934" s="435"/>
      <c r="E9934" s="91"/>
      <c r="F9934" s="185"/>
      <c r="G9934" s="296"/>
      <c r="H9934" s="359">
        <f>ROUNDUP((H9933+H9932)/100,0)*100</f>
        <v>29200</v>
      </c>
      <c r="M9934" s="185"/>
    </row>
    <row r="9935" spans="2:13" ht="18.75" customHeight="1" x14ac:dyDescent="0.25">
      <c r="B9935" s="360"/>
      <c r="C9935" s="581"/>
      <c r="D9935" s="245"/>
      <c r="E9935" s="246"/>
      <c r="F9935" s="247"/>
      <c r="G9935" s="299"/>
      <c r="H9935" s="361"/>
      <c r="M9935" s="247"/>
    </row>
    <row r="9936" spans="2:13" ht="18.75" customHeight="1" x14ac:dyDescent="0.25">
      <c r="B9936" s="92"/>
      <c r="C9936" s="242"/>
      <c r="D9936" s="435"/>
      <c r="E9936" s="91"/>
      <c r="F9936" s="185"/>
      <c r="G9936" s="168"/>
      <c r="H9936" s="139"/>
      <c r="M9936" s="185"/>
    </row>
    <row r="9937" spans="2:13" ht="18.75" customHeight="1" x14ac:dyDescent="0.25">
      <c r="B9937" s="19">
        <f>B9912+1</f>
        <v>24</v>
      </c>
      <c r="C9937" s="93" t="s">
        <v>1829</v>
      </c>
      <c r="D9937" s="19"/>
      <c r="E9937" s="21"/>
      <c r="F9937" s="176"/>
      <c r="G9937" s="165"/>
      <c r="H9937" s="119"/>
      <c r="M9937" s="176"/>
    </row>
    <row r="9938" spans="2:13" ht="18.75" customHeight="1" x14ac:dyDescent="0.25">
      <c r="B9938" s="618" t="s">
        <v>620</v>
      </c>
      <c r="C9938" s="620" t="s">
        <v>621</v>
      </c>
      <c r="D9938" s="618" t="s">
        <v>622</v>
      </c>
      <c r="E9938" s="618" t="s">
        <v>2</v>
      </c>
      <c r="F9938" s="615" t="s">
        <v>623</v>
      </c>
      <c r="G9938" s="300" t="s">
        <v>624</v>
      </c>
      <c r="H9938" s="257" t="s">
        <v>625</v>
      </c>
      <c r="M9938" s="615" t="s">
        <v>623</v>
      </c>
    </row>
    <row r="9939" spans="2:13" ht="18.75" customHeight="1" x14ac:dyDescent="0.25">
      <c r="B9939" s="619"/>
      <c r="C9939" s="621"/>
      <c r="D9939" s="619"/>
      <c r="E9939" s="619"/>
      <c r="F9939" s="616"/>
      <c r="G9939" s="585" t="s">
        <v>626</v>
      </c>
      <c r="H9939" s="586" t="s">
        <v>626</v>
      </c>
      <c r="M9939" s="616"/>
    </row>
    <row r="9940" spans="2:13" ht="18.75" customHeight="1" x14ac:dyDescent="0.25">
      <c r="B9940" s="221"/>
      <c r="C9940" s="222"/>
      <c r="D9940" s="221"/>
      <c r="E9940" s="550"/>
      <c r="F9940" s="555"/>
      <c r="G9940" s="551"/>
      <c r="H9940" s="220"/>
      <c r="M9940" s="590"/>
    </row>
    <row r="9941" spans="2:13" ht="18.75" customHeight="1" x14ac:dyDescent="0.25">
      <c r="B9941" s="550" t="s">
        <v>627</v>
      </c>
      <c r="C9941" s="223" t="s">
        <v>628</v>
      </c>
      <c r="D9941" s="550"/>
      <c r="E9941" s="224"/>
      <c r="F9941" s="225"/>
      <c r="G9941" s="290"/>
      <c r="H9941" s="226"/>
      <c r="M9941" s="225"/>
    </row>
    <row r="9942" spans="2:13" ht="18.75" customHeight="1" x14ac:dyDescent="0.25">
      <c r="B9942" s="550"/>
      <c r="C9942" s="227" t="s">
        <v>629</v>
      </c>
      <c r="D9942" s="550" t="s">
        <v>630</v>
      </c>
      <c r="E9942" s="224" t="s">
        <v>631</v>
      </c>
      <c r="F9942" s="228">
        <v>3.5999999999999997E-2</v>
      </c>
      <c r="G9942" s="229">
        <f>G9917</f>
        <v>95000</v>
      </c>
      <c r="H9942" s="230">
        <f>+G9942*F9942</f>
        <v>3419.9999999999995</v>
      </c>
      <c r="M9942" s="228">
        <v>3.5999999999999997E-2</v>
      </c>
    </row>
    <row r="9943" spans="2:13" ht="18.75" customHeight="1" x14ac:dyDescent="0.25">
      <c r="B9943" s="550"/>
      <c r="C9943" s="227" t="s">
        <v>1508</v>
      </c>
      <c r="D9943" s="550" t="s">
        <v>632</v>
      </c>
      <c r="E9943" s="224" t="s">
        <v>631</v>
      </c>
      <c r="F9943" s="228">
        <v>7.4999999999999997E-2</v>
      </c>
      <c r="G9943" s="229">
        <f>G9918</f>
        <v>110000</v>
      </c>
      <c r="H9943" s="230">
        <f>+G9943*F9943</f>
        <v>8250</v>
      </c>
      <c r="M9943" s="228">
        <v>7.4999999999999997E-2</v>
      </c>
    </row>
    <row r="9944" spans="2:13" ht="18.75" customHeight="1" x14ac:dyDescent="0.25">
      <c r="B9944" s="550"/>
      <c r="C9944" s="227" t="s">
        <v>633</v>
      </c>
      <c r="D9944" s="550" t="s">
        <v>634</v>
      </c>
      <c r="E9944" s="224" t="s">
        <v>631</v>
      </c>
      <c r="F9944" s="228">
        <v>6.0000000000000001E-3</v>
      </c>
      <c r="G9944" s="229">
        <f>G9919</f>
        <v>115000</v>
      </c>
      <c r="H9944" s="230">
        <f>+G9944*F9944</f>
        <v>690</v>
      </c>
      <c r="M9944" s="228">
        <v>6.0000000000000001E-3</v>
      </c>
    </row>
    <row r="9945" spans="2:13" ht="18.75" customHeight="1" x14ac:dyDescent="0.25">
      <c r="B9945" s="550"/>
      <c r="C9945" s="227" t="s">
        <v>600</v>
      </c>
      <c r="D9945" s="550" t="s">
        <v>635</v>
      </c>
      <c r="E9945" s="224" t="s">
        <v>631</v>
      </c>
      <c r="F9945" s="228">
        <v>2E-3</v>
      </c>
      <c r="G9945" s="229">
        <f>G9920</f>
        <v>140000</v>
      </c>
      <c r="H9945" s="230">
        <f>+G9945*F9945</f>
        <v>280</v>
      </c>
      <c r="M9945" s="228">
        <v>2E-3</v>
      </c>
    </row>
    <row r="9946" spans="2:13" ht="18.75" customHeight="1" x14ac:dyDescent="0.25">
      <c r="B9946" s="550"/>
      <c r="C9946" s="223"/>
      <c r="D9946" s="550"/>
      <c r="E9946" s="224"/>
      <c r="F9946" s="237" t="s">
        <v>636</v>
      </c>
      <c r="G9946" s="290"/>
      <c r="H9946" s="231">
        <f>SUM(H9942:H9945)</f>
        <v>12640</v>
      </c>
      <c r="M9946" s="237" t="s">
        <v>636</v>
      </c>
    </row>
    <row r="9947" spans="2:13" ht="18.75" customHeight="1" x14ac:dyDescent="0.25">
      <c r="B9947" s="550"/>
      <c r="C9947" s="223"/>
      <c r="D9947" s="550"/>
      <c r="E9947" s="224"/>
      <c r="F9947" s="237"/>
      <c r="G9947" s="290"/>
      <c r="H9947" s="231"/>
      <c r="M9947" s="237"/>
    </row>
    <row r="9948" spans="2:13" ht="18.75" customHeight="1" x14ac:dyDescent="0.25">
      <c r="B9948" s="550" t="s">
        <v>637</v>
      </c>
      <c r="C9948" s="223" t="s">
        <v>638</v>
      </c>
      <c r="D9948" s="550"/>
      <c r="E9948" s="224"/>
      <c r="F9948" s="225"/>
      <c r="G9948" s="290"/>
      <c r="H9948" s="226"/>
      <c r="M9948" s="225"/>
    </row>
    <row r="9949" spans="2:13" ht="18.75" customHeight="1" x14ac:dyDescent="0.25">
      <c r="B9949" s="550"/>
      <c r="C9949" s="232" t="s">
        <v>1441</v>
      </c>
      <c r="D9949" s="550"/>
      <c r="E9949" s="550" t="s">
        <v>14</v>
      </c>
      <c r="F9949" s="233">
        <v>1.2</v>
      </c>
      <c r="G9949" s="234">
        <f>Bahan!D521/4</f>
        <v>11000</v>
      </c>
      <c r="H9949" s="235">
        <f>G9949*F9949</f>
        <v>13200</v>
      </c>
      <c r="M9949" s="233">
        <v>1.2</v>
      </c>
    </row>
    <row r="9950" spans="2:13" ht="18.75" customHeight="1" x14ac:dyDescent="0.25">
      <c r="B9950" s="550"/>
      <c r="C9950" s="232" t="s">
        <v>1370</v>
      </c>
      <c r="D9950" s="550"/>
      <c r="E9950" s="550" t="s">
        <v>1373</v>
      </c>
      <c r="F9950" s="233">
        <v>0.35</v>
      </c>
      <c r="G9950" s="234">
        <f>G9949*F9950</f>
        <v>3849.9999999999995</v>
      </c>
      <c r="H9950" s="235">
        <f>0.35*G9949</f>
        <v>3849.9999999999995</v>
      </c>
      <c r="M9950" s="233">
        <v>0.35</v>
      </c>
    </row>
    <row r="9951" spans="2:13" ht="18.75" customHeight="1" x14ac:dyDescent="0.25">
      <c r="B9951" s="550"/>
      <c r="C9951" s="223"/>
      <c r="D9951" s="550"/>
      <c r="E9951" s="224"/>
      <c r="F9951" s="237" t="s">
        <v>643</v>
      </c>
      <c r="G9951" s="290"/>
      <c r="H9951" s="231">
        <f>SUM(H9949:H9950)</f>
        <v>17050</v>
      </c>
      <c r="M9951" s="237" t="s">
        <v>643</v>
      </c>
    </row>
    <row r="9952" spans="2:13" ht="18.75" customHeight="1" x14ac:dyDescent="0.25">
      <c r="B9952" s="550"/>
      <c r="C9952" s="223"/>
      <c r="D9952" s="550"/>
      <c r="E9952" s="224"/>
      <c r="F9952" s="225"/>
      <c r="G9952" s="290"/>
      <c r="H9952" s="226"/>
      <c r="M9952" s="225"/>
    </row>
    <row r="9953" spans="2:13" ht="18.75" customHeight="1" x14ac:dyDescent="0.25">
      <c r="B9953" s="550" t="s">
        <v>644</v>
      </c>
      <c r="C9953" s="223" t="s">
        <v>645</v>
      </c>
      <c r="D9953" s="550"/>
      <c r="E9953" s="224"/>
      <c r="F9953" s="225"/>
      <c r="G9953" s="290"/>
      <c r="H9953" s="235">
        <f>+G9953*F9953</f>
        <v>0</v>
      </c>
      <c r="M9953" s="225"/>
    </row>
    <row r="9954" spans="2:13" ht="18.75" customHeight="1" x14ac:dyDescent="0.25">
      <c r="B9954" s="236"/>
      <c r="C9954" s="232"/>
      <c r="D9954" s="550"/>
      <c r="E9954" s="224"/>
      <c r="F9954" s="237" t="s">
        <v>646</v>
      </c>
      <c r="G9954" s="290"/>
      <c r="H9954" s="230">
        <f>SUM(H9953)</f>
        <v>0</v>
      </c>
      <c r="M9954" s="237" t="s">
        <v>646</v>
      </c>
    </row>
    <row r="9955" spans="2:13" ht="18.75" customHeight="1" x14ac:dyDescent="0.25">
      <c r="B9955" s="236"/>
      <c r="C9955" s="562"/>
      <c r="D9955" s="563"/>
      <c r="E9955" s="564"/>
      <c r="F9955" s="565"/>
      <c r="G9955" s="566"/>
      <c r="H9955" s="230"/>
      <c r="M9955" s="565"/>
    </row>
    <row r="9956" spans="2:13" ht="18.75" customHeight="1" x14ac:dyDescent="0.25">
      <c r="B9956" s="354"/>
      <c r="C9956" s="362"/>
      <c r="D9956" s="239"/>
      <c r="E9956" s="266"/>
      <c r="F9956" s="241"/>
      <c r="G9956" s="370"/>
      <c r="H9956" s="369"/>
      <c r="M9956" s="241"/>
    </row>
    <row r="9957" spans="2:13" ht="18.75" customHeight="1" x14ac:dyDescent="0.25">
      <c r="B9957" s="356" t="s">
        <v>647</v>
      </c>
      <c r="C9957" s="364" t="s">
        <v>648</v>
      </c>
      <c r="D9957" s="435"/>
      <c r="E9957" s="92"/>
      <c r="F9957" s="183"/>
      <c r="G9957" s="295"/>
      <c r="H9957" s="357">
        <f>+H9954+H9951+H9946</f>
        <v>29690</v>
      </c>
      <c r="M9957" s="183"/>
    </row>
    <row r="9958" spans="2:13" ht="18.75" customHeight="1" x14ac:dyDescent="0.25">
      <c r="B9958" s="356" t="s">
        <v>649</v>
      </c>
      <c r="C9958" s="364" t="s">
        <v>650</v>
      </c>
      <c r="D9958" s="435"/>
      <c r="E9958" s="92"/>
      <c r="F9958" s="184" t="str">
        <f>$J$5</f>
        <v>8,0 % x D</v>
      </c>
      <c r="G9958" s="295"/>
      <c r="H9958" s="358">
        <f>+H9957*$K$5</f>
        <v>2375.2000000000003</v>
      </c>
      <c r="M9958" s="184" t="str">
        <f>$J$5</f>
        <v>8,0 % x D</v>
      </c>
    </row>
    <row r="9959" spans="2:13" ht="18.75" customHeight="1" x14ac:dyDescent="0.25">
      <c r="B9959" s="356" t="s">
        <v>651</v>
      </c>
      <c r="C9959" s="365" t="s">
        <v>652</v>
      </c>
      <c r="D9959" s="435"/>
      <c r="E9959" s="91"/>
      <c r="F9959" s="185"/>
      <c r="G9959" s="296"/>
      <c r="H9959" s="359">
        <f>ROUNDUP((H9958+H9957)/100,0)*100</f>
        <v>32100</v>
      </c>
      <c r="M9959" s="185"/>
    </row>
    <row r="9960" spans="2:13" ht="18.75" customHeight="1" x14ac:dyDescent="0.25">
      <c r="B9960" s="360"/>
      <c r="C9960" s="581"/>
      <c r="D9960" s="245"/>
      <c r="E9960" s="246"/>
      <c r="F9960" s="247"/>
      <c r="G9960" s="299"/>
      <c r="H9960" s="361"/>
      <c r="M9960" s="247"/>
    </row>
    <row r="9961" spans="2:13" ht="18.75" customHeight="1" x14ac:dyDescent="0.25">
      <c r="B9961" s="22"/>
      <c r="E9961" s="21"/>
      <c r="F9961" s="176"/>
      <c r="G9961" s="165"/>
      <c r="H9961" s="119"/>
      <c r="M9961" s="176"/>
    </row>
    <row r="9962" spans="2:13" ht="18.75" customHeight="1" x14ac:dyDescent="0.25">
      <c r="B9962" s="19">
        <f>B9937+1</f>
        <v>25</v>
      </c>
      <c r="C9962" s="93" t="s">
        <v>1830</v>
      </c>
      <c r="D9962" s="19"/>
      <c r="E9962" s="21"/>
      <c r="F9962" s="176"/>
      <c r="G9962" s="165"/>
      <c r="H9962" s="119"/>
      <c r="M9962" s="176"/>
    </row>
    <row r="9963" spans="2:13" ht="18.75" customHeight="1" x14ac:dyDescent="0.25">
      <c r="B9963" s="618" t="s">
        <v>620</v>
      </c>
      <c r="C9963" s="620" t="s">
        <v>621</v>
      </c>
      <c r="D9963" s="618" t="s">
        <v>622</v>
      </c>
      <c r="E9963" s="618" t="s">
        <v>2</v>
      </c>
      <c r="F9963" s="615" t="s">
        <v>623</v>
      </c>
      <c r="G9963" s="300" t="s">
        <v>624</v>
      </c>
      <c r="H9963" s="257" t="s">
        <v>625</v>
      </c>
      <c r="M9963" s="615" t="s">
        <v>623</v>
      </c>
    </row>
    <row r="9964" spans="2:13" ht="18.75" customHeight="1" x14ac:dyDescent="0.25">
      <c r="B9964" s="619"/>
      <c r="C9964" s="621"/>
      <c r="D9964" s="619"/>
      <c r="E9964" s="619"/>
      <c r="F9964" s="616"/>
      <c r="G9964" s="585" t="s">
        <v>626</v>
      </c>
      <c r="H9964" s="586" t="s">
        <v>626</v>
      </c>
      <c r="M9964" s="616"/>
    </row>
    <row r="9965" spans="2:13" ht="18.75" customHeight="1" x14ac:dyDescent="0.25">
      <c r="B9965" s="221"/>
      <c r="C9965" s="222"/>
      <c r="D9965" s="221"/>
      <c r="E9965" s="550"/>
      <c r="F9965" s="555"/>
      <c r="G9965" s="551"/>
      <c r="H9965" s="220"/>
      <c r="M9965" s="590"/>
    </row>
    <row r="9966" spans="2:13" ht="18.75" customHeight="1" x14ac:dyDescent="0.25">
      <c r="B9966" s="550" t="s">
        <v>627</v>
      </c>
      <c r="C9966" s="223" t="s">
        <v>628</v>
      </c>
      <c r="D9966" s="550"/>
      <c r="E9966" s="224"/>
      <c r="F9966" s="225"/>
      <c r="G9966" s="290"/>
      <c r="H9966" s="226"/>
      <c r="M9966" s="225"/>
    </row>
    <row r="9967" spans="2:13" ht="18.75" customHeight="1" x14ac:dyDescent="0.25">
      <c r="B9967" s="550"/>
      <c r="C9967" s="227" t="s">
        <v>629</v>
      </c>
      <c r="D9967" s="550" t="s">
        <v>630</v>
      </c>
      <c r="E9967" s="224" t="s">
        <v>631</v>
      </c>
      <c r="F9967" s="228">
        <v>7.5399999999999995E-2</v>
      </c>
      <c r="G9967" s="229">
        <f>G9942</f>
        <v>95000</v>
      </c>
      <c r="H9967" s="230">
        <f>+G9967*F9967</f>
        <v>7162.9999999999991</v>
      </c>
      <c r="M9967" s="228">
        <v>7.5399999999999995E-2</v>
      </c>
    </row>
    <row r="9968" spans="2:13" ht="18.75" customHeight="1" x14ac:dyDescent="0.25">
      <c r="B9968" s="550"/>
      <c r="C9968" s="227" t="s">
        <v>1508</v>
      </c>
      <c r="D9968" s="550" t="s">
        <v>632</v>
      </c>
      <c r="E9968" s="224" t="s">
        <v>631</v>
      </c>
      <c r="F9968" s="228">
        <v>0.09</v>
      </c>
      <c r="G9968" s="229">
        <f>G9943</f>
        <v>110000</v>
      </c>
      <c r="H9968" s="230">
        <f>+G9968*F9968</f>
        <v>9900</v>
      </c>
      <c r="M9968" s="228">
        <v>0.09</v>
      </c>
    </row>
    <row r="9969" spans="2:13" ht="18.75" customHeight="1" x14ac:dyDescent="0.25">
      <c r="B9969" s="550"/>
      <c r="C9969" s="227" t="s">
        <v>633</v>
      </c>
      <c r="D9969" s="550" t="s">
        <v>634</v>
      </c>
      <c r="E9969" s="224" t="s">
        <v>631</v>
      </c>
      <c r="F9969" s="228">
        <v>8.9999999999999993E-3</v>
      </c>
      <c r="G9969" s="229">
        <f>G9944</f>
        <v>115000</v>
      </c>
      <c r="H9969" s="230">
        <f>+G9969*F9969</f>
        <v>1035</v>
      </c>
      <c r="M9969" s="228">
        <v>8.9999999999999993E-3</v>
      </c>
    </row>
    <row r="9970" spans="2:13" ht="18.75" customHeight="1" x14ac:dyDescent="0.25">
      <c r="B9970" s="550"/>
      <c r="C9970" s="227" t="s">
        <v>600</v>
      </c>
      <c r="D9970" s="550" t="s">
        <v>635</v>
      </c>
      <c r="E9970" s="224" t="s">
        <v>631</v>
      </c>
      <c r="F9970" s="228">
        <v>3.0000000000000001E-3</v>
      </c>
      <c r="G9970" s="229">
        <f>G9945</f>
        <v>140000</v>
      </c>
      <c r="H9970" s="230">
        <f>+G9970*F9970</f>
        <v>420</v>
      </c>
      <c r="M9970" s="228">
        <v>3.0000000000000001E-3</v>
      </c>
    </row>
    <row r="9971" spans="2:13" ht="18.75" customHeight="1" x14ac:dyDescent="0.25">
      <c r="B9971" s="550"/>
      <c r="C9971" s="223"/>
      <c r="D9971" s="550"/>
      <c r="E9971" s="224"/>
      <c r="F9971" s="237" t="s">
        <v>636</v>
      </c>
      <c r="G9971" s="290"/>
      <c r="H9971" s="231">
        <f>SUM(H9967:H9970)</f>
        <v>18518</v>
      </c>
      <c r="M9971" s="237" t="s">
        <v>636</v>
      </c>
    </row>
    <row r="9972" spans="2:13" ht="18.75" customHeight="1" x14ac:dyDescent="0.25">
      <c r="B9972" s="550"/>
      <c r="C9972" s="223"/>
      <c r="D9972" s="550"/>
      <c r="E9972" s="224"/>
      <c r="F9972" s="237"/>
      <c r="G9972" s="290"/>
      <c r="H9972" s="231"/>
      <c r="M9972" s="237"/>
    </row>
    <row r="9973" spans="2:13" ht="18.75" customHeight="1" x14ac:dyDescent="0.25">
      <c r="B9973" s="550" t="s">
        <v>637</v>
      </c>
      <c r="C9973" s="223" t="s">
        <v>638</v>
      </c>
      <c r="D9973" s="550"/>
      <c r="E9973" s="224"/>
      <c r="F9973" s="225"/>
      <c r="G9973" s="290"/>
      <c r="H9973" s="226"/>
      <c r="M9973" s="225"/>
    </row>
    <row r="9974" spans="2:13" ht="18.75" customHeight="1" x14ac:dyDescent="0.25">
      <c r="B9974" s="550"/>
      <c r="C9974" s="232" t="s">
        <v>1466</v>
      </c>
      <c r="D9974" s="550"/>
      <c r="E9974" s="550" t="s">
        <v>14</v>
      </c>
      <c r="F9974" s="233">
        <v>1</v>
      </c>
      <c r="G9974" s="234">
        <f>Bahan!D522/4</f>
        <v>16250</v>
      </c>
      <c r="H9974" s="235">
        <f>G9974*F9974</f>
        <v>16250</v>
      </c>
      <c r="M9974" s="233">
        <v>1</v>
      </c>
    </row>
    <row r="9975" spans="2:13" ht="18.75" customHeight="1" x14ac:dyDescent="0.25">
      <c r="B9975" s="550"/>
      <c r="C9975" s="232" t="s">
        <v>1370</v>
      </c>
      <c r="D9975" s="550"/>
      <c r="E9975" s="550" t="s">
        <v>1373</v>
      </c>
      <c r="F9975" s="233">
        <v>0.35</v>
      </c>
      <c r="G9975" s="234">
        <f>G9974*F9975</f>
        <v>5687.5</v>
      </c>
      <c r="H9975" s="235">
        <f>0.35*G9974</f>
        <v>5687.5</v>
      </c>
      <c r="M9975" s="233">
        <v>0.35</v>
      </c>
    </row>
    <row r="9976" spans="2:13" ht="18.75" customHeight="1" x14ac:dyDescent="0.25">
      <c r="B9976" s="550"/>
      <c r="C9976" s="223"/>
      <c r="D9976" s="550"/>
      <c r="E9976" s="224"/>
      <c r="F9976" s="237" t="s">
        <v>643</v>
      </c>
      <c r="G9976" s="290"/>
      <c r="H9976" s="231">
        <f>SUM(H9974:H9975)</f>
        <v>21937.5</v>
      </c>
      <c r="M9976" s="237" t="s">
        <v>643</v>
      </c>
    </row>
    <row r="9977" spans="2:13" ht="18.75" customHeight="1" x14ac:dyDescent="0.25">
      <c r="B9977" s="550"/>
      <c r="C9977" s="223"/>
      <c r="D9977" s="550"/>
      <c r="E9977" s="224"/>
      <c r="F9977" s="225"/>
      <c r="G9977" s="290"/>
      <c r="H9977" s="226"/>
      <c r="M9977" s="225"/>
    </row>
    <row r="9978" spans="2:13" ht="18.75" customHeight="1" x14ac:dyDescent="0.25">
      <c r="B9978" s="550"/>
      <c r="C9978" s="223"/>
      <c r="D9978" s="550"/>
      <c r="E9978" s="224"/>
      <c r="F9978" s="225"/>
      <c r="G9978" s="290"/>
      <c r="H9978" s="226"/>
      <c r="M9978" s="225"/>
    </row>
    <row r="9979" spans="2:13" ht="18.75" customHeight="1" x14ac:dyDescent="0.25">
      <c r="B9979" s="550" t="s">
        <v>644</v>
      </c>
      <c r="C9979" s="223" t="s">
        <v>645</v>
      </c>
      <c r="D9979" s="550"/>
      <c r="E9979" s="224"/>
      <c r="F9979" s="225"/>
      <c r="G9979" s="290"/>
      <c r="H9979" s="235">
        <f>+G9979*F9979</f>
        <v>0</v>
      </c>
      <c r="M9979" s="225"/>
    </row>
    <row r="9980" spans="2:13" ht="18.75" customHeight="1" x14ac:dyDescent="0.25">
      <c r="B9980" s="236"/>
      <c r="C9980" s="232"/>
      <c r="D9980" s="550"/>
      <c r="E9980" s="224"/>
      <c r="F9980" s="237" t="s">
        <v>646</v>
      </c>
      <c r="G9980" s="290"/>
      <c r="H9980" s="230">
        <f>SUM(H9979)</f>
        <v>0</v>
      </c>
      <c r="M9980" s="237" t="s">
        <v>646</v>
      </c>
    </row>
    <row r="9981" spans="2:13" ht="18.75" customHeight="1" x14ac:dyDescent="0.25">
      <c r="B9981" s="236"/>
      <c r="C9981" s="562"/>
      <c r="D9981" s="563"/>
      <c r="E9981" s="564"/>
      <c r="F9981" s="565"/>
      <c r="G9981" s="566"/>
      <c r="H9981" s="230"/>
      <c r="M9981" s="565"/>
    </row>
    <row r="9982" spans="2:13" ht="18.75" customHeight="1" x14ac:dyDescent="0.25">
      <c r="B9982" s="354"/>
      <c r="C9982" s="362"/>
      <c r="D9982" s="239"/>
      <c r="E9982" s="266"/>
      <c r="F9982" s="241"/>
      <c r="G9982" s="370"/>
      <c r="H9982" s="369"/>
      <c r="M9982" s="241"/>
    </row>
    <row r="9983" spans="2:13" ht="18.75" customHeight="1" x14ac:dyDescent="0.25">
      <c r="B9983" s="356" t="s">
        <v>647</v>
      </c>
      <c r="C9983" s="364" t="s">
        <v>648</v>
      </c>
      <c r="D9983" s="435"/>
      <c r="E9983" s="92"/>
      <c r="F9983" s="183"/>
      <c r="G9983" s="295"/>
      <c r="H9983" s="357">
        <f>+H9980+H9976+H9971</f>
        <v>40455.5</v>
      </c>
      <c r="M9983" s="183"/>
    </row>
    <row r="9984" spans="2:13" ht="18.75" customHeight="1" x14ac:dyDescent="0.25">
      <c r="B9984" s="356" t="s">
        <v>649</v>
      </c>
      <c r="C9984" s="364" t="s">
        <v>650</v>
      </c>
      <c r="D9984" s="435"/>
      <c r="E9984" s="92"/>
      <c r="F9984" s="184" t="str">
        <f>$J$5</f>
        <v>8,0 % x D</v>
      </c>
      <c r="G9984" s="295"/>
      <c r="H9984" s="358">
        <f>+H9983*$K$5</f>
        <v>3236.44</v>
      </c>
      <c r="M9984" s="184" t="str">
        <f>$J$5</f>
        <v>8,0 % x D</v>
      </c>
    </row>
    <row r="9985" spans="2:13" ht="18.75" customHeight="1" x14ac:dyDescent="0.25">
      <c r="B9985" s="356" t="s">
        <v>651</v>
      </c>
      <c r="C9985" s="365" t="s">
        <v>652</v>
      </c>
      <c r="D9985" s="435"/>
      <c r="E9985" s="91"/>
      <c r="F9985" s="185"/>
      <c r="G9985" s="296"/>
      <c r="H9985" s="359">
        <f>ROUNDUP((H9984+H9983)/100,0)*100</f>
        <v>43700</v>
      </c>
      <c r="M9985" s="185"/>
    </row>
    <row r="9986" spans="2:13" ht="18.75" customHeight="1" x14ac:dyDescent="0.25">
      <c r="B9986" s="360"/>
      <c r="C9986" s="581"/>
      <c r="D9986" s="245"/>
      <c r="E9986" s="246"/>
      <c r="F9986" s="247"/>
      <c r="G9986" s="299"/>
      <c r="H9986" s="361"/>
      <c r="M9986" s="247"/>
    </row>
    <row r="9987" spans="2:13" ht="18.75" customHeight="1" x14ac:dyDescent="0.25">
      <c r="B9987" s="92"/>
      <c r="C9987" s="242"/>
      <c r="D9987" s="435"/>
      <c r="E9987" s="91"/>
      <c r="F9987" s="185"/>
      <c r="G9987" s="168"/>
      <c r="H9987" s="139"/>
      <c r="M9987" s="185"/>
    </row>
    <row r="9988" spans="2:13" ht="18.75" customHeight="1" x14ac:dyDescent="0.25">
      <c r="B9988" s="19">
        <f>B9962+1</f>
        <v>26</v>
      </c>
      <c r="C9988" s="93" t="s">
        <v>1831</v>
      </c>
      <c r="D9988" s="19"/>
      <c r="E9988" s="21"/>
      <c r="F9988" s="176"/>
      <c r="G9988" s="165"/>
      <c r="H9988" s="119"/>
      <c r="M9988" s="176"/>
    </row>
    <row r="9989" spans="2:13" ht="18.75" customHeight="1" x14ac:dyDescent="0.25">
      <c r="B9989" s="618" t="s">
        <v>620</v>
      </c>
      <c r="C9989" s="620" t="s">
        <v>621</v>
      </c>
      <c r="D9989" s="618" t="s">
        <v>622</v>
      </c>
      <c r="E9989" s="618" t="s">
        <v>2</v>
      </c>
      <c r="F9989" s="615" t="s">
        <v>623</v>
      </c>
      <c r="G9989" s="300" t="s">
        <v>624</v>
      </c>
      <c r="H9989" s="257" t="s">
        <v>625</v>
      </c>
      <c r="M9989" s="615" t="s">
        <v>623</v>
      </c>
    </row>
    <row r="9990" spans="2:13" ht="18.75" customHeight="1" x14ac:dyDescent="0.25">
      <c r="B9990" s="619"/>
      <c r="C9990" s="621"/>
      <c r="D9990" s="619"/>
      <c r="E9990" s="619"/>
      <c r="F9990" s="616"/>
      <c r="G9990" s="585" t="s">
        <v>626</v>
      </c>
      <c r="H9990" s="586" t="s">
        <v>626</v>
      </c>
      <c r="M9990" s="616"/>
    </row>
    <row r="9991" spans="2:13" ht="18.75" customHeight="1" x14ac:dyDescent="0.25">
      <c r="B9991" s="221"/>
      <c r="C9991" s="222"/>
      <c r="D9991" s="221"/>
      <c r="E9991" s="550"/>
      <c r="F9991" s="555"/>
      <c r="G9991" s="551"/>
      <c r="H9991" s="220"/>
      <c r="M9991" s="590"/>
    </row>
    <row r="9992" spans="2:13" ht="18.75" customHeight="1" x14ac:dyDescent="0.25">
      <c r="B9992" s="550" t="s">
        <v>627</v>
      </c>
      <c r="C9992" s="223" t="s">
        <v>628</v>
      </c>
      <c r="D9992" s="550"/>
      <c r="E9992" s="224"/>
      <c r="F9992" s="225"/>
      <c r="G9992" s="290"/>
      <c r="H9992" s="226"/>
      <c r="M9992" s="225"/>
    </row>
    <row r="9993" spans="2:13" ht="18.75" customHeight="1" x14ac:dyDescent="0.25">
      <c r="B9993" s="550"/>
      <c r="C9993" s="227" t="s">
        <v>629</v>
      </c>
      <c r="D9993" s="550" t="s">
        <v>630</v>
      </c>
      <c r="E9993" s="224" t="s">
        <v>631</v>
      </c>
      <c r="F9993" s="228">
        <v>7.5399999999999995E-2</v>
      </c>
      <c r="G9993" s="229">
        <f>G9967</f>
        <v>95000</v>
      </c>
      <c r="H9993" s="230">
        <f>+G9993*F9993</f>
        <v>7162.9999999999991</v>
      </c>
      <c r="M9993" s="228">
        <v>7.5399999999999995E-2</v>
      </c>
    </row>
    <row r="9994" spans="2:13" ht="18.75" customHeight="1" x14ac:dyDescent="0.25">
      <c r="B9994" s="550"/>
      <c r="C9994" s="227" t="s">
        <v>1508</v>
      </c>
      <c r="D9994" s="550" t="s">
        <v>632</v>
      </c>
      <c r="E9994" s="224" t="s">
        <v>631</v>
      </c>
      <c r="F9994" s="228">
        <v>0.09</v>
      </c>
      <c r="G9994" s="229">
        <f>G9968</f>
        <v>110000</v>
      </c>
      <c r="H9994" s="230">
        <f>+G9994*F9994</f>
        <v>9900</v>
      </c>
      <c r="M9994" s="228">
        <v>0.09</v>
      </c>
    </row>
    <row r="9995" spans="2:13" ht="18.75" customHeight="1" x14ac:dyDescent="0.25">
      <c r="B9995" s="550"/>
      <c r="C9995" s="227" t="s">
        <v>633</v>
      </c>
      <c r="D9995" s="550" t="s">
        <v>634</v>
      </c>
      <c r="E9995" s="224" t="s">
        <v>631</v>
      </c>
      <c r="F9995" s="228">
        <v>8.9999999999999993E-3</v>
      </c>
      <c r="G9995" s="229">
        <f>G9969</f>
        <v>115000</v>
      </c>
      <c r="H9995" s="230">
        <f>+G9995*F9995</f>
        <v>1035</v>
      </c>
      <c r="M9995" s="228">
        <v>8.9999999999999993E-3</v>
      </c>
    </row>
    <row r="9996" spans="2:13" ht="18.75" customHeight="1" x14ac:dyDescent="0.25">
      <c r="B9996" s="550"/>
      <c r="C9996" s="227" t="s">
        <v>600</v>
      </c>
      <c r="D9996" s="550" t="s">
        <v>635</v>
      </c>
      <c r="E9996" s="224" t="s">
        <v>631</v>
      </c>
      <c r="F9996" s="228">
        <v>3.0000000000000001E-3</v>
      </c>
      <c r="G9996" s="229">
        <f>G9970</f>
        <v>140000</v>
      </c>
      <c r="H9996" s="230">
        <f>+G9996*F9996</f>
        <v>420</v>
      </c>
      <c r="M9996" s="228">
        <v>3.0000000000000001E-3</v>
      </c>
    </row>
    <row r="9997" spans="2:13" ht="18.75" customHeight="1" x14ac:dyDescent="0.25">
      <c r="B9997" s="550"/>
      <c r="C9997" s="223"/>
      <c r="D9997" s="550"/>
      <c r="E9997" s="224"/>
      <c r="F9997" s="237" t="s">
        <v>636</v>
      </c>
      <c r="G9997" s="290"/>
      <c r="H9997" s="231">
        <f>SUM(H9993:H9996)</f>
        <v>18518</v>
      </c>
      <c r="M9997" s="237" t="s">
        <v>636</v>
      </c>
    </row>
    <row r="9998" spans="2:13" ht="18.75" customHeight="1" x14ac:dyDescent="0.25">
      <c r="B9998" s="550"/>
      <c r="C9998" s="223"/>
      <c r="D9998" s="550"/>
      <c r="E9998" s="224"/>
      <c r="F9998" s="237"/>
      <c r="G9998" s="290"/>
      <c r="H9998" s="231"/>
      <c r="M9998" s="237"/>
    </row>
    <row r="9999" spans="2:13" ht="18.75" customHeight="1" x14ac:dyDescent="0.25">
      <c r="B9999" s="550" t="s">
        <v>637</v>
      </c>
      <c r="C9999" s="223" t="s">
        <v>638</v>
      </c>
      <c r="D9999" s="550"/>
      <c r="E9999" s="224"/>
      <c r="F9999" s="225"/>
      <c r="G9999" s="290"/>
      <c r="H9999" s="226"/>
      <c r="M9999" s="225"/>
    </row>
    <row r="10000" spans="2:13" ht="18.75" customHeight="1" x14ac:dyDescent="0.25">
      <c r="B10000" s="550"/>
      <c r="C10000" s="232" t="s">
        <v>1442</v>
      </c>
      <c r="D10000" s="550"/>
      <c r="E10000" s="550" t="s">
        <v>14</v>
      </c>
      <c r="F10000" s="233">
        <v>1.2</v>
      </c>
      <c r="G10000" s="234">
        <f>Bahan!D523/4</f>
        <v>23750</v>
      </c>
      <c r="H10000" s="235">
        <f>G10000*F10000</f>
        <v>28500</v>
      </c>
      <c r="M10000" s="233">
        <v>1.2</v>
      </c>
    </row>
    <row r="10001" spans="2:13" ht="18.75" customHeight="1" x14ac:dyDescent="0.25">
      <c r="B10001" s="550"/>
      <c r="C10001" s="232" t="s">
        <v>1370</v>
      </c>
      <c r="D10001" s="550"/>
      <c r="E10001" s="550" t="s">
        <v>1373</v>
      </c>
      <c r="F10001" s="233">
        <v>0.35</v>
      </c>
      <c r="G10001" s="234">
        <f>G10000*F10001</f>
        <v>8312.5</v>
      </c>
      <c r="H10001" s="235">
        <f>0.35*G10000</f>
        <v>8312.5</v>
      </c>
      <c r="M10001" s="233">
        <v>0.35</v>
      </c>
    </row>
    <row r="10002" spans="2:13" ht="18.75" customHeight="1" x14ac:dyDescent="0.25">
      <c r="B10002" s="550"/>
      <c r="C10002" s="223"/>
      <c r="D10002" s="550"/>
      <c r="E10002" s="224"/>
      <c r="F10002" s="237" t="s">
        <v>643</v>
      </c>
      <c r="G10002" s="290"/>
      <c r="H10002" s="231">
        <f>SUM(H10000:H10001)</f>
        <v>36812.5</v>
      </c>
      <c r="M10002" s="237" t="s">
        <v>643</v>
      </c>
    </row>
    <row r="10003" spans="2:13" ht="18.75" customHeight="1" x14ac:dyDescent="0.25">
      <c r="B10003" s="550"/>
      <c r="C10003" s="223"/>
      <c r="D10003" s="550"/>
      <c r="E10003" s="224"/>
      <c r="F10003" s="225"/>
      <c r="G10003" s="290"/>
      <c r="H10003" s="226"/>
      <c r="M10003" s="225"/>
    </row>
    <row r="10004" spans="2:13" ht="18.75" customHeight="1" x14ac:dyDescent="0.25">
      <c r="B10004" s="550" t="s">
        <v>644</v>
      </c>
      <c r="C10004" s="223" t="s">
        <v>645</v>
      </c>
      <c r="D10004" s="550"/>
      <c r="E10004" s="224"/>
      <c r="F10004" s="225"/>
      <c r="G10004" s="290"/>
      <c r="H10004" s="235">
        <f>+G10004*F10004</f>
        <v>0</v>
      </c>
      <c r="M10004" s="225"/>
    </row>
    <row r="10005" spans="2:13" ht="18.75" customHeight="1" x14ac:dyDescent="0.25">
      <c r="B10005" s="236"/>
      <c r="C10005" s="232"/>
      <c r="D10005" s="550"/>
      <c r="E10005" s="224"/>
      <c r="F10005" s="237" t="s">
        <v>646</v>
      </c>
      <c r="G10005" s="290"/>
      <c r="H10005" s="230">
        <f>SUM(H10004)</f>
        <v>0</v>
      </c>
      <c r="M10005" s="237" t="s">
        <v>646</v>
      </c>
    </row>
    <row r="10006" spans="2:13" ht="18.75" customHeight="1" x14ac:dyDescent="0.25">
      <c r="B10006" s="236"/>
      <c r="C10006" s="562"/>
      <c r="D10006" s="563"/>
      <c r="E10006" s="564"/>
      <c r="F10006" s="565"/>
      <c r="G10006" s="566"/>
      <c r="H10006" s="226"/>
      <c r="M10006" s="565"/>
    </row>
    <row r="10007" spans="2:13" ht="18.75" customHeight="1" x14ac:dyDescent="0.25">
      <c r="B10007" s="354"/>
      <c r="C10007" s="362"/>
      <c r="D10007" s="239"/>
      <c r="E10007" s="266"/>
      <c r="F10007" s="241"/>
      <c r="G10007" s="370"/>
      <c r="H10007" s="369"/>
      <c r="M10007" s="241"/>
    </row>
    <row r="10008" spans="2:13" ht="18.75" customHeight="1" x14ac:dyDescent="0.25">
      <c r="B10008" s="356" t="s">
        <v>647</v>
      </c>
      <c r="C10008" s="364" t="s">
        <v>648</v>
      </c>
      <c r="D10008" s="435"/>
      <c r="E10008" s="92"/>
      <c r="F10008" s="183"/>
      <c r="G10008" s="295"/>
      <c r="H10008" s="357">
        <f>+H10005+H10002+H9997</f>
        <v>55330.5</v>
      </c>
      <c r="M10008" s="183"/>
    </row>
    <row r="10009" spans="2:13" ht="18.75" customHeight="1" x14ac:dyDescent="0.25">
      <c r="B10009" s="356" t="s">
        <v>649</v>
      </c>
      <c r="C10009" s="364" t="s">
        <v>650</v>
      </c>
      <c r="D10009" s="435"/>
      <c r="E10009" s="92"/>
      <c r="F10009" s="184" t="str">
        <f>$J$5</f>
        <v>8,0 % x D</v>
      </c>
      <c r="G10009" s="295"/>
      <c r="H10009" s="358">
        <f>+H10008*$K$5</f>
        <v>4426.4400000000005</v>
      </c>
      <c r="M10009" s="184" t="str">
        <f>$J$5</f>
        <v>8,0 % x D</v>
      </c>
    </row>
    <row r="10010" spans="2:13" ht="18.75" customHeight="1" x14ac:dyDescent="0.25">
      <c r="B10010" s="356" t="s">
        <v>651</v>
      </c>
      <c r="C10010" s="365" t="s">
        <v>652</v>
      </c>
      <c r="D10010" s="435"/>
      <c r="E10010" s="91"/>
      <c r="F10010" s="185"/>
      <c r="G10010" s="296"/>
      <c r="H10010" s="359">
        <f>ROUNDUP((H10009+H10008)/100,0)*100</f>
        <v>59800</v>
      </c>
      <c r="M10010" s="185"/>
    </row>
    <row r="10011" spans="2:13" ht="18.75" customHeight="1" x14ac:dyDescent="0.25">
      <c r="B10011" s="360"/>
      <c r="C10011" s="581"/>
      <c r="D10011" s="245"/>
      <c r="E10011" s="246"/>
      <c r="F10011" s="247"/>
      <c r="G10011" s="299"/>
      <c r="H10011" s="361"/>
      <c r="M10011" s="247"/>
    </row>
    <row r="10012" spans="2:13" ht="18.75" customHeight="1" x14ac:dyDescent="0.25">
      <c r="B10012" s="22"/>
      <c r="E10012" s="21"/>
      <c r="F10012" s="176"/>
      <c r="G10012" s="165"/>
      <c r="H10012" s="119"/>
      <c r="M10012" s="176"/>
    </row>
    <row r="10013" spans="2:13" ht="18.75" customHeight="1" x14ac:dyDescent="0.25">
      <c r="B10013" s="19">
        <f>B9988+1</f>
        <v>27</v>
      </c>
      <c r="C10013" s="93" t="s">
        <v>1832</v>
      </c>
      <c r="D10013" s="19"/>
      <c r="E10013" s="21"/>
      <c r="F10013" s="176"/>
      <c r="G10013" s="165"/>
      <c r="H10013" s="119"/>
      <c r="M10013" s="176"/>
    </row>
    <row r="10014" spans="2:13" ht="18.75" customHeight="1" x14ac:dyDescent="0.25">
      <c r="B10014" s="618" t="s">
        <v>620</v>
      </c>
      <c r="C10014" s="620" t="s">
        <v>621</v>
      </c>
      <c r="D10014" s="618" t="s">
        <v>622</v>
      </c>
      <c r="E10014" s="618" t="s">
        <v>2</v>
      </c>
      <c r="F10014" s="615" t="s">
        <v>623</v>
      </c>
      <c r="G10014" s="300" t="s">
        <v>624</v>
      </c>
      <c r="H10014" s="257" t="s">
        <v>625</v>
      </c>
      <c r="M10014" s="615" t="s">
        <v>623</v>
      </c>
    </row>
    <row r="10015" spans="2:13" ht="18.75" customHeight="1" x14ac:dyDescent="0.25">
      <c r="B10015" s="619"/>
      <c r="C10015" s="621"/>
      <c r="D10015" s="619"/>
      <c r="E10015" s="619"/>
      <c r="F10015" s="616"/>
      <c r="G10015" s="585" t="s">
        <v>626</v>
      </c>
      <c r="H10015" s="586" t="s">
        <v>626</v>
      </c>
      <c r="M10015" s="616"/>
    </row>
    <row r="10016" spans="2:13" ht="18.75" customHeight="1" x14ac:dyDescent="0.25">
      <c r="B10016" s="221"/>
      <c r="C10016" s="222"/>
      <c r="D10016" s="221"/>
      <c r="E10016" s="550"/>
      <c r="F10016" s="555"/>
      <c r="G10016" s="551"/>
      <c r="H10016" s="220"/>
      <c r="M10016" s="590"/>
    </row>
    <row r="10017" spans="2:13" ht="18.75" customHeight="1" x14ac:dyDescent="0.25">
      <c r="B10017" s="550" t="s">
        <v>627</v>
      </c>
      <c r="C10017" s="223" t="s">
        <v>628</v>
      </c>
      <c r="D10017" s="550"/>
      <c r="E10017" s="224"/>
      <c r="F10017" s="225"/>
      <c r="G10017" s="290"/>
      <c r="H10017" s="226"/>
      <c r="M10017" s="225"/>
    </row>
    <row r="10018" spans="2:13" ht="18.75" customHeight="1" x14ac:dyDescent="0.25">
      <c r="B10018" s="550"/>
      <c r="C10018" s="227" t="s">
        <v>629</v>
      </c>
      <c r="D10018" s="550" t="s">
        <v>630</v>
      </c>
      <c r="E10018" s="224" t="s">
        <v>631</v>
      </c>
      <c r="F10018" s="228">
        <v>8.1000000000000003E-2</v>
      </c>
      <c r="G10018" s="229">
        <f>G9993</f>
        <v>95000</v>
      </c>
      <c r="H10018" s="230">
        <f>+G10018*F10018</f>
        <v>7695</v>
      </c>
      <c r="M10018" s="228">
        <v>8.1000000000000003E-2</v>
      </c>
    </row>
    <row r="10019" spans="2:13" ht="18.75" customHeight="1" x14ac:dyDescent="0.25">
      <c r="B10019" s="550"/>
      <c r="C10019" s="227" t="s">
        <v>1508</v>
      </c>
      <c r="D10019" s="550" t="s">
        <v>632</v>
      </c>
      <c r="E10019" s="224" t="s">
        <v>631</v>
      </c>
      <c r="F10019" s="228">
        <v>0.13500000000000001</v>
      </c>
      <c r="G10019" s="229">
        <f t="shared" ref="G10019:G10021" si="353">G9994</f>
        <v>110000</v>
      </c>
      <c r="H10019" s="230">
        <f>+G10019*F10019</f>
        <v>14850.000000000002</v>
      </c>
      <c r="M10019" s="228">
        <v>0.13500000000000001</v>
      </c>
    </row>
    <row r="10020" spans="2:13" ht="18.75" customHeight="1" x14ac:dyDescent="0.25">
      <c r="B10020" s="550"/>
      <c r="C10020" s="227" t="s">
        <v>633</v>
      </c>
      <c r="D10020" s="550" t="s">
        <v>634</v>
      </c>
      <c r="E10020" s="224" t="s">
        <v>631</v>
      </c>
      <c r="F10020" s="228">
        <v>1.35E-2</v>
      </c>
      <c r="G10020" s="229">
        <f t="shared" si="353"/>
        <v>115000</v>
      </c>
      <c r="H10020" s="230">
        <f>+G10020*F10020</f>
        <v>1552.5</v>
      </c>
      <c r="M10020" s="228">
        <v>1.35E-2</v>
      </c>
    </row>
    <row r="10021" spans="2:13" ht="18.75" customHeight="1" x14ac:dyDescent="0.25">
      <c r="B10021" s="550"/>
      <c r="C10021" s="227" t="s">
        <v>600</v>
      </c>
      <c r="D10021" s="550" t="s">
        <v>635</v>
      </c>
      <c r="E10021" s="224" t="s">
        <v>631</v>
      </c>
      <c r="F10021" s="228">
        <v>4.0000000000000001E-3</v>
      </c>
      <c r="G10021" s="229">
        <f t="shared" si="353"/>
        <v>140000</v>
      </c>
      <c r="H10021" s="230">
        <f>+G10021*F10021</f>
        <v>560</v>
      </c>
      <c r="M10021" s="228">
        <v>4.0000000000000001E-3</v>
      </c>
    </row>
    <row r="10022" spans="2:13" ht="18.75" customHeight="1" x14ac:dyDescent="0.25">
      <c r="B10022" s="550"/>
      <c r="C10022" s="223"/>
      <c r="D10022" s="550"/>
      <c r="E10022" s="224"/>
      <c r="F10022" s="237" t="s">
        <v>636</v>
      </c>
      <c r="G10022" s="290"/>
      <c r="H10022" s="231">
        <f>SUM(H10018:H10021)</f>
        <v>24657.5</v>
      </c>
      <c r="M10022" s="237" t="s">
        <v>636</v>
      </c>
    </row>
    <row r="10023" spans="2:13" ht="18.75" customHeight="1" x14ac:dyDescent="0.25">
      <c r="B10023" s="550"/>
      <c r="C10023" s="223"/>
      <c r="D10023" s="550"/>
      <c r="E10023" s="224"/>
      <c r="F10023" s="237"/>
      <c r="G10023" s="290"/>
      <c r="H10023" s="231"/>
      <c r="M10023" s="237"/>
    </row>
    <row r="10024" spans="2:13" ht="18.75" customHeight="1" x14ac:dyDescent="0.25">
      <c r="B10024" s="550" t="s">
        <v>637</v>
      </c>
      <c r="C10024" s="223" t="s">
        <v>638</v>
      </c>
      <c r="D10024" s="550"/>
      <c r="E10024" s="224"/>
      <c r="F10024" s="225"/>
      <c r="G10024" s="290"/>
      <c r="H10024" s="226"/>
      <c r="M10024" s="225"/>
    </row>
    <row r="10025" spans="2:13" ht="18.75" customHeight="1" x14ac:dyDescent="0.25">
      <c r="B10025" s="550"/>
      <c r="C10025" s="232" t="s">
        <v>1443</v>
      </c>
      <c r="D10025" s="550"/>
      <c r="E10025" s="550" t="s">
        <v>14</v>
      </c>
      <c r="F10025" s="233">
        <v>1.2</v>
      </c>
      <c r="G10025" s="234">
        <f>Bahan!D524/4</f>
        <v>37500</v>
      </c>
      <c r="H10025" s="235">
        <f>G10025*F10025</f>
        <v>45000</v>
      </c>
      <c r="M10025" s="233">
        <v>1.2</v>
      </c>
    </row>
    <row r="10026" spans="2:13" ht="18.75" customHeight="1" x14ac:dyDescent="0.25">
      <c r="B10026" s="550"/>
      <c r="C10026" s="232" t="s">
        <v>1370</v>
      </c>
      <c r="D10026" s="550"/>
      <c r="E10026" s="550" t="s">
        <v>1373</v>
      </c>
      <c r="F10026" s="233">
        <v>0.35</v>
      </c>
      <c r="G10026" s="234">
        <f>G10025*F10026</f>
        <v>13125</v>
      </c>
      <c r="H10026" s="235">
        <f>G10026</f>
        <v>13125</v>
      </c>
      <c r="M10026" s="233">
        <v>0.35</v>
      </c>
    </row>
    <row r="10027" spans="2:13" ht="18.75" customHeight="1" x14ac:dyDescent="0.25">
      <c r="B10027" s="550"/>
      <c r="C10027" s="223"/>
      <c r="D10027" s="550"/>
      <c r="E10027" s="224"/>
      <c r="F10027" s="237" t="s">
        <v>643</v>
      </c>
      <c r="G10027" s="290"/>
      <c r="H10027" s="231">
        <f>SUM(H10025:H10026)</f>
        <v>58125</v>
      </c>
      <c r="M10027" s="237" t="s">
        <v>643</v>
      </c>
    </row>
    <row r="10028" spans="2:13" ht="18.75" customHeight="1" x14ac:dyDescent="0.25">
      <c r="B10028" s="550"/>
      <c r="C10028" s="223"/>
      <c r="D10028" s="550"/>
      <c r="E10028" s="224"/>
      <c r="F10028" s="225"/>
      <c r="G10028" s="290"/>
      <c r="H10028" s="226"/>
      <c r="M10028" s="225"/>
    </row>
    <row r="10029" spans="2:13" ht="18.75" customHeight="1" x14ac:dyDescent="0.25">
      <c r="B10029" s="550" t="s">
        <v>644</v>
      </c>
      <c r="C10029" s="223" t="s">
        <v>645</v>
      </c>
      <c r="D10029" s="550"/>
      <c r="E10029" s="224"/>
      <c r="F10029" s="225"/>
      <c r="G10029" s="290"/>
      <c r="H10029" s="235">
        <f>+G10029*F10029</f>
        <v>0</v>
      </c>
      <c r="M10029" s="225"/>
    </row>
    <row r="10030" spans="2:13" ht="18.75" customHeight="1" x14ac:dyDescent="0.25">
      <c r="B10030" s="236"/>
      <c r="C10030" s="232"/>
      <c r="D10030" s="550"/>
      <c r="E10030" s="224"/>
      <c r="F10030" s="237" t="s">
        <v>646</v>
      </c>
      <c r="G10030" s="290"/>
      <c r="H10030" s="230">
        <f>SUM(H10029)</f>
        <v>0</v>
      </c>
      <c r="M10030" s="237" t="s">
        <v>646</v>
      </c>
    </row>
    <row r="10031" spans="2:13" ht="18.75" customHeight="1" x14ac:dyDescent="0.25">
      <c r="B10031" s="236"/>
      <c r="C10031" s="562"/>
      <c r="D10031" s="563"/>
      <c r="E10031" s="564"/>
      <c r="F10031" s="565"/>
      <c r="G10031" s="566"/>
      <c r="H10031" s="230"/>
      <c r="M10031" s="565"/>
    </row>
    <row r="10032" spans="2:13" ht="18.75" customHeight="1" x14ac:dyDescent="0.25">
      <c r="B10032" s="354"/>
      <c r="C10032" s="362"/>
      <c r="D10032" s="239"/>
      <c r="E10032" s="266"/>
      <c r="F10032" s="241"/>
      <c r="G10032" s="370"/>
      <c r="H10032" s="369"/>
      <c r="M10032" s="241"/>
    </row>
    <row r="10033" spans="1:13" ht="18.75" customHeight="1" x14ac:dyDescent="0.25">
      <c r="B10033" s="356" t="s">
        <v>647</v>
      </c>
      <c r="C10033" s="364" t="s">
        <v>648</v>
      </c>
      <c r="D10033" s="435"/>
      <c r="E10033" s="92"/>
      <c r="F10033" s="184"/>
      <c r="G10033" s="295"/>
      <c r="H10033" s="357">
        <f>+H10030+H10027+H10022</f>
        <v>82782.5</v>
      </c>
      <c r="M10033" s="184"/>
    </row>
    <row r="10034" spans="1:13" ht="18.75" customHeight="1" x14ac:dyDescent="0.25">
      <c r="B10034" s="356" t="s">
        <v>649</v>
      </c>
      <c r="C10034" s="364" t="s">
        <v>650</v>
      </c>
      <c r="D10034" s="435"/>
      <c r="E10034" s="92"/>
      <c r="F10034" s="184" t="str">
        <f>$J$5</f>
        <v>8,0 % x D</v>
      </c>
      <c r="G10034" s="295"/>
      <c r="H10034" s="358">
        <f>+H10033*$K$5</f>
        <v>6622.6</v>
      </c>
      <c r="M10034" s="184" t="str">
        <f>$J$5</f>
        <v>8,0 % x D</v>
      </c>
    </row>
    <row r="10035" spans="1:13" ht="18.75" customHeight="1" x14ac:dyDescent="0.25">
      <c r="B10035" s="356" t="s">
        <v>651</v>
      </c>
      <c r="C10035" s="365" t="s">
        <v>652</v>
      </c>
      <c r="D10035" s="435"/>
      <c r="E10035" s="91"/>
      <c r="F10035" s="185"/>
      <c r="G10035" s="296"/>
      <c r="H10035" s="359">
        <f>ROUNDUP((H10034+H10033)/100,0)*100</f>
        <v>89500</v>
      </c>
      <c r="M10035" s="185"/>
    </row>
    <row r="10036" spans="1:13" ht="18.75" customHeight="1" x14ac:dyDescent="0.25">
      <c r="B10036" s="360"/>
      <c r="C10036" s="581"/>
      <c r="D10036" s="245"/>
      <c r="E10036" s="246"/>
      <c r="F10036" s="247"/>
      <c r="G10036" s="299"/>
      <c r="H10036" s="361"/>
      <c r="M10036" s="247"/>
    </row>
    <row r="10037" spans="1:13" ht="18.75" customHeight="1" x14ac:dyDescent="0.25">
      <c r="B10037" s="22"/>
      <c r="E10037" s="21"/>
      <c r="F10037" s="176"/>
      <c r="G10037" s="165"/>
      <c r="H10037" s="119"/>
      <c r="M10037" s="176"/>
    </row>
    <row r="10038" spans="1:13" ht="18.75" customHeight="1" x14ac:dyDescent="0.25">
      <c r="A10038" s="395" t="s">
        <v>1367</v>
      </c>
      <c r="B10038" s="396" t="s">
        <v>1398</v>
      </c>
      <c r="C10038" s="395"/>
      <c r="D10038" s="397"/>
      <c r="E10038" s="398"/>
      <c r="F10038" s="399"/>
      <c r="G10038" s="400"/>
      <c r="H10038" s="394"/>
      <c r="M10038" s="399"/>
    </row>
    <row r="10039" spans="1:13" ht="18.75" customHeight="1" x14ac:dyDescent="0.25">
      <c r="B10039" s="19"/>
      <c r="C10039" s="93"/>
      <c r="D10039" s="19"/>
      <c r="E10039" s="21"/>
      <c r="F10039" s="176"/>
      <c r="G10039" s="165"/>
      <c r="H10039" s="119"/>
      <c r="M10039" s="176"/>
    </row>
    <row r="10040" spans="1:13" ht="18.75" customHeight="1" x14ac:dyDescent="0.25">
      <c r="B10040" s="19">
        <v>1</v>
      </c>
      <c r="C10040" s="93" t="s">
        <v>1399</v>
      </c>
      <c r="D10040" s="19"/>
      <c r="E10040" s="21"/>
      <c r="F10040" s="176"/>
      <c r="G10040" s="165"/>
      <c r="H10040" s="119"/>
      <c r="M10040" s="176"/>
    </row>
    <row r="10041" spans="1:13" ht="18.75" customHeight="1" x14ac:dyDescent="0.25">
      <c r="B10041" s="618" t="s">
        <v>620</v>
      </c>
      <c r="C10041" s="620" t="s">
        <v>621</v>
      </c>
      <c r="D10041" s="618" t="s">
        <v>622</v>
      </c>
      <c r="E10041" s="618" t="s">
        <v>2</v>
      </c>
      <c r="F10041" s="615" t="s">
        <v>623</v>
      </c>
      <c r="G10041" s="300" t="s">
        <v>624</v>
      </c>
      <c r="H10041" s="257" t="s">
        <v>625</v>
      </c>
      <c r="M10041" s="615" t="s">
        <v>623</v>
      </c>
    </row>
    <row r="10042" spans="1:13" ht="18.75" customHeight="1" x14ac:dyDescent="0.25">
      <c r="B10042" s="619"/>
      <c r="C10042" s="621"/>
      <c r="D10042" s="619"/>
      <c r="E10042" s="619"/>
      <c r="F10042" s="616"/>
      <c r="G10042" s="585" t="s">
        <v>626</v>
      </c>
      <c r="H10042" s="586" t="s">
        <v>626</v>
      </c>
      <c r="M10042" s="616"/>
    </row>
    <row r="10043" spans="1:13" ht="18.75" customHeight="1" x14ac:dyDescent="0.25">
      <c r="B10043" s="221"/>
      <c r="C10043" s="222"/>
      <c r="D10043" s="221"/>
      <c r="E10043" s="550"/>
      <c r="F10043" s="555"/>
      <c r="G10043" s="551"/>
      <c r="H10043" s="220"/>
      <c r="M10043" s="590"/>
    </row>
    <row r="10044" spans="1:13" ht="18.75" customHeight="1" x14ac:dyDescent="0.25">
      <c r="B10044" s="550" t="s">
        <v>627</v>
      </c>
      <c r="C10044" s="223" t="s">
        <v>628</v>
      </c>
      <c r="D10044" s="550"/>
      <c r="E10044" s="224"/>
      <c r="F10044" s="225"/>
      <c r="G10044" s="290"/>
      <c r="H10044" s="226"/>
      <c r="M10044" s="225"/>
    </row>
    <row r="10045" spans="1:13" ht="18.75" customHeight="1" x14ac:dyDescent="0.25">
      <c r="B10045" s="550"/>
      <c r="C10045" s="227" t="s">
        <v>629</v>
      </c>
      <c r="D10045" s="550" t="s">
        <v>630</v>
      </c>
      <c r="E10045" s="224" t="s">
        <v>631</v>
      </c>
      <c r="F10045" s="228">
        <v>7.4999999999999997E-2</v>
      </c>
      <c r="G10045" s="229">
        <f>G10018</f>
        <v>95000</v>
      </c>
      <c r="H10045" s="230">
        <f>+G10045*F10045</f>
        <v>7125</v>
      </c>
      <c r="M10045" s="228">
        <v>7.4999999999999997E-2</v>
      </c>
    </row>
    <row r="10046" spans="1:13" ht="18.75" customHeight="1" x14ac:dyDescent="0.25">
      <c r="B10046" s="550"/>
      <c r="C10046" s="227" t="s">
        <v>1508</v>
      </c>
      <c r="D10046" s="550" t="s">
        <v>632</v>
      </c>
      <c r="E10046" s="224" t="s">
        <v>631</v>
      </c>
      <c r="F10046" s="228">
        <v>0.1</v>
      </c>
      <c r="G10046" s="229">
        <f t="shared" ref="G10046:G10048" si="354">G10019</f>
        <v>110000</v>
      </c>
      <c r="H10046" s="230">
        <f>+G10046*F10046</f>
        <v>11000</v>
      </c>
      <c r="M10046" s="228">
        <v>0.1</v>
      </c>
    </row>
    <row r="10047" spans="1:13" ht="18.75" customHeight="1" x14ac:dyDescent="0.25">
      <c r="B10047" s="550"/>
      <c r="C10047" s="227" t="s">
        <v>633</v>
      </c>
      <c r="D10047" s="550" t="s">
        <v>634</v>
      </c>
      <c r="E10047" s="224" t="s">
        <v>631</v>
      </c>
      <c r="F10047" s="228">
        <v>0.01</v>
      </c>
      <c r="G10047" s="229">
        <f t="shared" si="354"/>
        <v>115000</v>
      </c>
      <c r="H10047" s="230">
        <f>+G10047*F10047</f>
        <v>1150</v>
      </c>
      <c r="M10047" s="228">
        <v>0.01</v>
      </c>
    </row>
    <row r="10048" spans="1:13" ht="18.75" customHeight="1" x14ac:dyDescent="0.25">
      <c r="B10048" s="550"/>
      <c r="C10048" s="227" t="s">
        <v>600</v>
      </c>
      <c r="D10048" s="550" t="s">
        <v>635</v>
      </c>
      <c r="E10048" s="224" t="s">
        <v>631</v>
      </c>
      <c r="F10048" s="228">
        <v>5.5999999999999999E-3</v>
      </c>
      <c r="G10048" s="229">
        <f t="shared" si="354"/>
        <v>140000</v>
      </c>
      <c r="H10048" s="230">
        <f>+G10048*F10048</f>
        <v>784</v>
      </c>
      <c r="M10048" s="228">
        <v>5.5999999999999999E-3</v>
      </c>
    </row>
    <row r="10049" spans="2:13" ht="18.75" customHeight="1" x14ac:dyDescent="0.25">
      <c r="B10049" s="550"/>
      <c r="C10049" s="223"/>
      <c r="D10049" s="550"/>
      <c r="E10049" s="224"/>
      <c r="F10049" s="237" t="s">
        <v>636</v>
      </c>
      <c r="G10049" s="290"/>
      <c r="H10049" s="231">
        <f>SUM(H10045:H10048)</f>
        <v>20059</v>
      </c>
      <c r="M10049" s="237" t="s">
        <v>636</v>
      </c>
    </row>
    <row r="10050" spans="2:13" ht="18.75" customHeight="1" x14ac:dyDescent="0.25">
      <c r="B10050" s="550"/>
      <c r="C10050" s="223"/>
      <c r="D10050" s="550"/>
      <c r="E10050" s="224"/>
      <c r="F10050" s="237"/>
      <c r="G10050" s="290"/>
      <c r="H10050" s="231"/>
      <c r="M10050" s="237"/>
    </row>
    <row r="10051" spans="2:13" ht="18.75" customHeight="1" x14ac:dyDescent="0.25">
      <c r="B10051" s="550" t="s">
        <v>637</v>
      </c>
      <c r="C10051" s="223" t="s">
        <v>638</v>
      </c>
      <c r="D10051" s="550"/>
      <c r="E10051" s="224"/>
      <c r="F10051" s="225"/>
      <c r="G10051" s="290"/>
      <c r="H10051" s="226"/>
      <c r="M10051" s="225"/>
    </row>
    <row r="10052" spans="2:13" ht="18.75" customHeight="1" x14ac:dyDescent="0.25">
      <c r="B10052" s="550"/>
      <c r="C10052" s="232" t="s">
        <v>1400</v>
      </c>
      <c r="D10052" s="550"/>
      <c r="E10052" s="550" t="s">
        <v>14</v>
      </c>
      <c r="F10052" s="233">
        <v>6.415</v>
      </c>
      <c r="G10052" s="234">
        <f>Bahan!D22</f>
        <v>23500</v>
      </c>
      <c r="H10052" s="235">
        <f t="shared" ref="H10052:H10057" si="355">G10052*F10052</f>
        <v>150752.5</v>
      </c>
      <c r="K10052" s="422"/>
      <c r="M10052" s="233">
        <v>6.415</v>
      </c>
    </row>
    <row r="10053" spans="2:13" ht="18.75" customHeight="1" x14ac:dyDescent="0.25">
      <c r="B10053" s="550"/>
      <c r="C10053" s="232" t="s">
        <v>1401</v>
      </c>
      <c r="D10053" s="550"/>
      <c r="E10053" s="550" t="s">
        <v>37</v>
      </c>
      <c r="F10053" s="233">
        <v>3</v>
      </c>
      <c r="G10053" s="234">
        <f>Bahan!D47</f>
        <v>28000</v>
      </c>
      <c r="H10053" s="235">
        <f t="shared" si="355"/>
        <v>84000</v>
      </c>
      <c r="K10053" s="422"/>
      <c r="M10053" s="233">
        <v>3</v>
      </c>
    </row>
    <row r="10054" spans="2:13" ht="18.75" customHeight="1" x14ac:dyDescent="0.25">
      <c r="B10054" s="550"/>
      <c r="C10054" s="232" t="s">
        <v>1402</v>
      </c>
      <c r="D10054" s="550"/>
      <c r="E10054" s="550" t="s">
        <v>28</v>
      </c>
      <c r="F10054" s="233">
        <v>2</v>
      </c>
      <c r="G10054" s="234">
        <f>Bahan!D51</f>
        <v>9000</v>
      </c>
      <c r="H10054" s="235">
        <f t="shared" si="355"/>
        <v>18000</v>
      </c>
      <c r="K10054" s="422"/>
      <c r="M10054" s="233">
        <v>2</v>
      </c>
    </row>
    <row r="10055" spans="2:13" ht="18.75" customHeight="1" x14ac:dyDescent="0.25">
      <c r="B10055" s="550"/>
      <c r="C10055" s="232" t="s">
        <v>1403</v>
      </c>
      <c r="D10055" s="550"/>
      <c r="E10055" s="550" t="s">
        <v>20</v>
      </c>
      <c r="F10055" s="233">
        <v>15</v>
      </c>
      <c r="G10055" s="234">
        <f>Bahan!D26</f>
        <v>1000</v>
      </c>
      <c r="H10055" s="235">
        <f t="shared" si="355"/>
        <v>15000</v>
      </c>
      <c r="K10055" s="422"/>
      <c r="M10055" s="233">
        <v>15</v>
      </c>
    </row>
    <row r="10056" spans="2:13" ht="18.75" customHeight="1" x14ac:dyDescent="0.25">
      <c r="B10056" s="550"/>
      <c r="C10056" s="232" t="s">
        <v>1404</v>
      </c>
      <c r="D10056" s="550"/>
      <c r="E10056" s="550" t="s">
        <v>20</v>
      </c>
      <c r="F10056" s="233">
        <v>3</v>
      </c>
      <c r="G10056" s="234">
        <f>Bahan!D52</f>
        <v>3500</v>
      </c>
      <c r="H10056" s="235">
        <f t="shared" si="355"/>
        <v>10500</v>
      </c>
      <c r="K10056" s="422"/>
      <c r="M10056" s="233">
        <v>3</v>
      </c>
    </row>
    <row r="10057" spans="2:13" ht="18.75" customHeight="1" x14ac:dyDescent="0.25">
      <c r="B10057" s="550"/>
      <c r="C10057" s="232" t="s">
        <v>1405</v>
      </c>
      <c r="D10057" s="550"/>
      <c r="E10057" s="550" t="s">
        <v>14</v>
      </c>
      <c r="F10057" s="233">
        <v>1</v>
      </c>
      <c r="G10057" s="234">
        <f>Bahan!D19</f>
        <v>15000</v>
      </c>
      <c r="H10057" s="235">
        <f t="shared" si="355"/>
        <v>15000</v>
      </c>
      <c r="K10057" s="422"/>
      <c r="M10057" s="233">
        <v>1</v>
      </c>
    </row>
    <row r="10058" spans="2:13" ht="18.75" customHeight="1" x14ac:dyDescent="0.25">
      <c r="B10058" s="550"/>
      <c r="C10058" s="223"/>
      <c r="D10058" s="550"/>
      <c r="E10058" s="224"/>
      <c r="F10058" s="237" t="s">
        <v>643</v>
      </c>
      <c r="G10058" s="290"/>
      <c r="H10058" s="231">
        <f>SUM(H10052:H10057)</f>
        <v>293252.5</v>
      </c>
      <c r="M10058" s="237" t="s">
        <v>643</v>
      </c>
    </row>
    <row r="10059" spans="2:13" ht="18.75" customHeight="1" x14ac:dyDescent="0.25">
      <c r="B10059" s="550"/>
      <c r="C10059" s="223"/>
      <c r="D10059" s="550"/>
      <c r="E10059" s="224"/>
      <c r="F10059" s="225"/>
      <c r="G10059" s="290"/>
      <c r="H10059" s="226"/>
      <c r="M10059" s="225"/>
    </row>
    <row r="10060" spans="2:13" ht="18.75" customHeight="1" x14ac:dyDescent="0.25">
      <c r="B10060" s="550" t="s">
        <v>644</v>
      </c>
      <c r="C10060" s="223" t="s">
        <v>645</v>
      </c>
      <c r="D10060" s="550"/>
      <c r="E10060" s="224"/>
      <c r="F10060" s="225"/>
      <c r="G10060" s="290"/>
      <c r="H10060" s="235">
        <f>+G10060*F10060</f>
        <v>0</v>
      </c>
      <c r="M10060" s="225"/>
    </row>
    <row r="10061" spans="2:13" ht="18.75" customHeight="1" x14ac:dyDescent="0.25">
      <c r="B10061" s="236"/>
      <c r="C10061" s="232"/>
      <c r="D10061" s="550"/>
      <c r="E10061" s="224"/>
      <c r="F10061" s="237" t="s">
        <v>646</v>
      </c>
      <c r="G10061" s="290"/>
      <c r="H10061" s="230">
        <f>SUM(H10060)</f>
        <v>0</v>
      </c>
      <c r="M10061" s="237" t="s">
        <v>646</v>
      </c>
    </row>
    <row r="10062" spans="2:13" ht="18.75" customHeight="1" x14ac:dyDescent="0.25">
      <c r="B10062" s="236"/>
      <c r="C10062" s="232"/>
      <c r="D10062" s="550"/>
      <c r="E10062" s="224"/>
      <c r="F10062" s="237"/>
      <c r="G10062" s="290"/>
      <c r="H10062" s="226"/>
      <c r="M10062" s="237"/>
    </row>
    <row r="10063" spans="2:13" ht="18.75" customHeight="1" x14ac:dyDescent="0.25">
      <c r="B10063" s="354"/>
      <c r="C10063" s="362"/>
      <c r="D10063" s="239"/>
      <c r="E10063" s="266"/>
      <c r="F10063" s="241"/>
      <c r="G10063" s="370"/>
      <c r="H10063" s="369"/>
      <c r="M10063" s="241"/>
    </row>
    <row r="10064" spans="2:13" ht="18.75" customHeight="1" x14ac:dyDescent="0.25">
      <c r="B10064" s="356" t="s">
        <v>647</v>
      </c>
      <c r="C10064" s="364" t="s">
        <v>648</v>
      </c>
      <c r="D10064" s="435"/>
      <c r="E10064" s="92"/>
      <c r="F10064" s="183"/>
      <c r="G10064" s="295"/>
      <c r="H10064" s="357">
        <f>H10049+H10058</f>
        <v>313311.5</v>
      </c>
      <c r="M10064" s="183"/>
    </row>
    <row r="10065" spans="2:13" ht="18.75" customHeight="1" x14ac:dyDescent="0.25">
      <c r="B10065" s="356" t="s">
        <v>649</v>
      </c>
      <c r="C10065" s="364" t="s">
        <v>650</v>
      </c>
      <c r="D10065" s="435"/>
      <c r="E10065" s="92"/>
      <c r="F10065" s="184" t="str">
        <f>$J$5</f>
        <v>8,0 % x D</v>
      </c>
      <c r="G10065" s="295"/>
      <c r="H10065" s="358">
        <f>+H10064*$K$5</f>
        <v>25064.920000000002</v>
      </c>
      <c r="M10065" s="184" t="str">
        <f>$J$5</f>
        <v>8,0 % x D</v>
      </c>
    </row>
    <row r="10066" spans="2:13" ht="18.75" customHeight="1" x14ac:dyDescent="0.25">
      <c r="B10066" s="356" t="s">
        <v>651</v>
      </c>
      <c r="C10066" s="365" t="s">
        <v>652</v>
      </c>
      <c r="D10066" s="435"/>
      <c r="E10066" s="91"/>
      <c r="F10066" s="185"/>
      <c r="G10066" s="296"/>
      <c r="H10066" s="359">
        <f>ROUNDUP((H10065+H10064)/100,0)*100</f>
        <v>338400</v>
      </c>
      <c r="M10066" s="185"/>
    </row>
    <row r="10067" spans="2:13" ht="18.75" customHeight="1" x14ac:dyDescent="0.25">
      <c r="B10067" s="371"/>
      <c r="C10067" s="439"/>
      <c r="D10067" s="245"/>
      <c r="E10067" s="246"/>
      <c r="F10067" s="247"/>
      <c r="G10067" s="299"/>
      <c r="H10067" s="372"/>
      <c r="M10067" s="247"/>
    </row>
    <row r="10068" spans="2:13" ht="18.75" customHeight="1" x14ac:dyDescent="0.25">
      <c r="B10068" s="349"/>
      <c r="C10068" s="349"/>
      <c r="D10068" s="349"/>
      <c r="E10068" s="349"/>
      <c r="F10068" s="349"/>
      <c r="G10068" s="350"/>
      <c r="H10068" s="351"/>
      <c r="M10068" s="349"/>
    </row>
    <row r="10069" spans="2:13" ht="18.75" customHeight="1" x14ac:dyDescent="0.25">
      <c r="B10069" s="19">
        <v>2</v>
      </c>
      <c r="C10069" s="93" t="s">
        <v>1406</v>
      </c>
      <c r="D10069" s="19"/>
      <c r="E10069" s="21"/>
      <c r="F10069" s="176"/>
      <c r="G10069" s="165"/>
      <c r="H10069" s="119"/>
      <c r="M10069" s="176"/>
    </row>
    <row r="10070" spans="2:13" ht="18.75" customHeight="1" x14ac:dyDescent="0.25">
      <c r="B10070" s="618" t="s">
        <v>620</v>
      </c>
      <c r="C10070" s="620" t="s">
        <v>621</v>
      </c>
      <c r="D10070" s="618" t="s">
        <v>622</v>
      </c>
      <c r="E10070" s="618" t="s">
        <v>2</v>
      </c>
      <c r="F10070" s="615" t="s">
        <v>623</v>
      </c>
      <c r="G10070" s="300" t="s">
        <v>624</v>
      </c>
      <c r="H10070" s="257" t="s">
        <v>625</v>
      </c>
      <c r="M10070" s="615" t="s">
        <v>623</v>
      </c>
    </row>
    <row r="10071" spans="2:13" ht="18.75" customHeight="1" x14ac:dyDescent="0.25">
      <c r="B10071" s="619"/>
      <c r="C10071" s="621"/>
      <c r="D10071" s="619"/>
      <c r="E10071" s="619"/>
      <c r="F10071" s="616"/>
      <c r="G10071" s="585" t="s">
        <v>626</v>
      </c>
      <c r="H10071" s="586" t="s">
        <v>626</v>
      </c>
      <c r="M10071" s="616"/>
    </row>
    <row r="10072" spans="2:13" ht="18.75" customHeight="1" x14ac:dyDescent="0.25">
      <c r="B10072" s="221"/>
      <c r="C10072" s="222"/>
      <c r="D10072" s="221"/>
      <c r="E10072" s="550"/>
      <c r="F10072" s="555"/>
      <c r="G10072" s="551"/>
      <c r="H10072" s="220"/>
      <c r="M10072" s="590"/>
    </row>
    <row r="10073" spans="2:13" ht="18.75" customHeight="1" x14ac:dyDescent="0.25">
      <c r="B10073" s="550" t="s">
        <v>627</v>
      </c>
      <c r="C10073" s="223" t="s">
        <v>628</v>
      </c>
      <c r="D10073" s="550"/>
      <c r="E10073" s="224"/>
      <c r="F10073" s="225"/>
      <c r="G10073" s="290"/>
      <c r="H10073" s="226"/>
      <c r="M10073" s="225"/>
    </row>
    <row r="10074" spans="2:13" ht="18.75" customHeight="1" x14ac:dyDescent="0.25">
      <c r="B10074" s="550"/>
      <c r="C10074" s="227" t="s">
        <v>629</v>
      </c>
      <c r="D10074" s="550" t="s">
        <v>630</v>
      </c>
      <c r="E10074" s="224" t="s">
        <v>631</v>
      </c>
      <c r="F10074" s="228">
        <v>0.5</v>
      </c>
      <c r="G10074" s="229">
        <f>G10045</f>
        <v>95000</v>
      </c>
      <c r="H10074" s="230">
        <f>+G10074*F10074</f>
        <v>47500</v>
      </c>
      <c r="M10074" s="228">
        <v>0.5</v>
      </c>
    </row>
    <row r="10075" spans="2:13" ht="18.75" customHeight="1" x14ac:dyDescent="0.25">
      <c r="B10075" s="550"/>
      <c r="C10075" s="227" t="s">
        <v>1508</v>
      </c>
      <c r="D10075" s="550" t="s">
        <v>632</v>
      </c>
      <c r="E10075" s="224" t="s">
        <v>631</v>
      </c>
      <c r="F10075" s="228">
        <v>0.1</v>
      </c>
      <c r="G10075" s="229">
        <f t="shared" ref="G10075:G10077" si="356">G10046</f>
        <v>110000</v>
      </c>
      <c r="H10075" s="230">
        <f>+G10075*F10075</f>
        <v>11000</v>
      </c>
      <c r="M10075" s="228">
        <v>0.1</v>
      </c>
    </row>
    <row r="10076" spans="2:13" ht="18.75" customHeight="1" x14ac:dyDescent="0.25">
      <c r="B10076" s="550"/>
      <c r="C10076" s="227" t="s">
        <v>633</v>
      </c>
      <c r="D10076" s="550" t="s">
        <v>634</v>
      </c>
      <c r="E10076" s="224" t="s">
        <v>631</v>
      </c>
      <c r="F10076" s="228">
        <v>0.01</v>
      </c>
      <c r="G10076" s="229">
        <f t="shared" si="356"/>
        <v>115000</v>
      </c>
      <c r="H10076" s="230">
        <f>+G10076*F10076</f>
        <v>1150</v>
      </c>
      <c r="M10076" s="228">
        <v>0.01</v>
      </c>
    </row>
    <row r="10077" spans="2:13" ht="18.75" customHeight="1" x14ac:dyDescent="0.25">
      <c r="B10077" s="550"/>
      <c r="C10077" s="227" t="s">
        <v>600</v>
      </c>
      <c r="D10077" s="550" t="s">
        <v>635</v>
      </c>
      <c r="E10077" s="224" t="s">
        <v>631</v>
      </c>
      <c r="F10077" s="228">
        <v>5.0000000000000001E-3</v>
      </c>
      <c r="G10077" s="229">
        <f t="shared" si="356"/>
        <v>140000</v>
      </c>
      <c r="H10077" s="230">
        <f>+G10077*F10077</f>
        <v>700</v>
      </c>
      <c r="M10077" s="228">
        <v>5.0000000000000001E-3</v>
      </c>
    </row>
    <row r="10078" spans="2:13" ht="18.75" customHeight="1" x14ac:dyDescent="0.25">
      <c r="B10078" s="550"/>
      <c r="C10078" s="223"/>
      <c r="D10078" s="550"/>
      <c r="E10078" s="224"/>
      <c r="F10078" s="237" t="s">
        <v>636</v>
      </c>
      <c r="G10078" s="290"/>
      <c r="H10078" s="231">
        <f>SUM(H10074:H10077)</f>
        <v>60350</v>
      </c>
      <c r="M10078" s="237" t="s">
        <v>636</v>
      </c>
    </row>
    <row r="10079" spans="2:13" ht="18.75" customHeight="1" x14ac:dyDescent="0.25">
      <c r="B10079" s="550"/>
      <c r="C10079" s="223"/>
      <c r="D10079" s="550"/>
      <c r="E10079" s="224"/>
      <c r="F10079" s="237"/>
      <c r="G10079" s="290"/>
      <c r="H10079" s="231"/>
      <c r="M10079" s="237"/>
    </row>
    <row r="10080" spans="2:13" ht="18.75" customHeight="1" x14ac:dyDescent="0.25">
      <c r="B10080" s="550" t="s">
        <v>637</v>
      </c>
      <c r="C10080" s="223" t="s">
        <v>638</v>
      </c>
      <c r="D10080" s="550"/>
      <c r="E10080" s="224"/>
      <c r="F10080" s="225"/>
      <c r="G10080" s="290"/>
      <c r="H10080" s="226"/>
      <c r="M10080" s="225"/>
    </row>
    <row r="10081" spans="2:13" ht="18.75" customHeight="1" x14ac:dyDescent="0.25">
      <c r="B10081" s="550"/>
      <c r="C10081" s="232" t="s">
        <v>1400</v>
      </c>
      <c r="D10081" s="550"/>
      <c r="E10081" s="550" t="s">
        <v>14</v>
      </c>
      <c r="F10081" s="233">
        <v>6.2169999999999996</v>
      </c>
      <c r="G10081" s="234">
        <f t="shared" ref="G10081:G10086" si="357">G10052</f>
        <v>23500</v>
      </c>
      <c r="H10081" s="235">
        <f>G10081*F10081</f>
        <v>146099.5</v>
      </c>
      <c r="M10081" s="233">
        <v>6.2169999999999996</v>
      </c>
    </row>
    <row r="10082" spans="2:13" ht="18.75" customHeight="1" x14ac:dyDescent="0.25">
      <c r="B10082" s="550"/>
      <c r="C10082" s="232" t="s">
        <v>1401</v>
      </c>
      <c r="D10082" s="550"/>
      <c r="E10082" s="550" t="s">
        <v>37</v>
      </c>
      <c r="F10082" s="233">
        <v>3</v>
      </c>
      <c r="G10082" s="234">
        <f t="shared" si="357"/>
        <v>28000</v>
      </c>
      <c r="H10082" s="235">
        <f t="shared" ref="H10082:H10087" si="358">G10082*F10082</f>
        <v>84000</v>
      </c>
      <c r="M10082" s="233">
        <v>3</v>
      </c>
    </row>
    <row r="10083" spans="2:13" ht="18.75" customHeight="1" x14ac:dyDescent="0.25">
      <c r="B10083" s="550"/>
      <c r="C10083" s="232" t="s">
        <v>1402</v>
      </c>
      <c r="D10083" s="550"/>
      <c r="E10083" s="550" t="s">
        <v>28</v>
      </c>
      <c r="F10083" s="233">
        <v>1.5</v>
      </c>
      <c r="G10083" s="234">
        <f t="shared" si="357"/>
        <v>9000</v>
      </c>
      <c r="H10083" s="235">
        <f t="shared" si="358"/>
        <v>13500</v>
      </c>
      <c r="M10083" s="233">
        <v>1.5</v>
      </c>
    </row>
    <row r="10084" spans="2:13" ht="18.75" customHeight="1" x14ac:dyDescent="0.25">
      <c r="B10084" s="550"/>
      <c r="C10084" s="232" t="s">
        <v>1403</v>
      </c>
      <c r="D10084" s="550"/>
      <c r="E10084" s="550" t="s">
        <v>20</v>
      </c>
      <c r="F10084" s="233">
        <v>15</v>
      </c>
      <c r="G10084" s="234">
        <f t="shared" si="357"/>
        <v>1000</v>
      </c>
      <c r="H10084" s="235">
        <f t="shared" si="358"/>
        <v>15000</v>
      </c>
      <c r="M10084" s="233">
        <v>15</v>
      </c>
    </row>
    <row r="10085" spans="2:13" ht="18.75" customHeight="1" x14ac:dyDescent="0.25">
      <c r="B10085" s="550"/>
      <c r="C10085" s="232" t="s">
        <v>1404</v>
      </c>
      <c r="D10085" s="550"/>
      <c r="E10085" s="550" t="s">
        <v>20</v>
      </c>
      <c r="F10085" s="233">
        <v>3</v>
      </c>
      <c r="G10085" s="234">
        <f t="shared" si="357"/>
        <v>3500</v>
      </c>
      <c r="H10085" s="235">
        <f t="shared" si="358"/>
        <v>10500</v>
      </c>
      <c r="M10085" s="233">
        <v>3</v>
      </c>
    </row>
    <row r="10086" spans="2:13" ht="18.75" customHeight="1" x14ac:dyDescent="0.25">
      <c r="B10086" s="550"/>
      <c r="C10086" s="232" t="s">
        <v>1405</v>
      </c>
      <c r="D10086" s="550"/>
      <c r="E10086" s="550" t="s">
        <v>14</v>
      </c>
      <c r="F10086" s="233">
        <v>1</v>
      </c>
      <c r="G10086" s="234">
        <f t="shared" si="357"/>
        <v>15000</v>
      </c>
      <c r="H10086" s="235">
        <f t="shared" si="358"/>
        <v>15000</v>
      </c>
      <c r="M10086" s="233">
        <v>1</v>
      </c>
    </row>
    <row r="10087" spans="2:13" ht="18.75" customHeight="1" x14ac:dyDescent="0.25">
      <c r="B10087" s="550"/>
      <c r="C10087" s="232" t="s">
        <v>1407</v>
      </c>
      <c r="D10087" s="550"/>
      <c r="E10087" s="550" t="s">
        <v>14</v>
      </c>
      <c r="F10087" s="233">
        <v>1</v>
      </c>
      <c r="G10087" s="234">
        <f>Bahan!D48</f>
        <v>17000</v>
      </c>
      <c r="H10087" s="235">
        <f t="shared" si="358"/>
        <v>17000</v>
      </c>
      <c r="M10087" s="233">
        <v>1</v>
      </c>
    </row>
    <row r="10088" spans="2:13" ht="18.75" customHeight="1" x14ac:dyDescent="0.25">
      <c r="B10088" s="550"/>
      <c r="C10088" s="223"/>
      <c r="D10088" s="550"/>
      <c r="E10088" s="224"/>
      <c r="F10088" s="237" t="s">
        <v>643</v>
      </c>
      <c r="G10088" s="290"/>
      <c r="H10088" s="231">
        <f>SUM(H10081:H10087)</f>
        <v>301099.5</v>
      </c>
      <c r="M10088" s="237" t="s">
        <v>643</v>
      </c>
    </row>
    <row r="10089" spans="2:13" ht="18.75" customHeight="1" x14ac:dyDescent="0.25">
      <c r="B10089" s="550"/>
      <c r="C10089" s="223"/>
      <c r="D10089" s="550"/>
      <c r="E10089" s="224"/>
      <c r="F10089" s="225"/>
      <c r="G10089" s="290"/>
      <c r="H10089" s="226"/>
      <c r="M10089" s="225"/>
    </row>
    <row r="10090" spans="2:13" ht="18.75" customHeight="1" x14ac:dyDescent="0.25">
      <c r="B10090" s="550" t="s">
        <v>644</v>
      </c>
      <c r="C10090" s="223" t="s">
        <v>645</v>
      </c>
      <c r="D10090" s="550"/>
      <c r="E10090" s="224"/>
      <c r="F10090" s="225"/>
      <c r="G10090" s="290"/>
      <c r="H10090" s="235">
        <f>+G10090*F10090</f>
        <v>0</v>
      </c>
      <c r="M10090" s="225"/>
    </row>
    <row r="10091" spans="2:13" ht="18.75" customHeight="1" x14ac:dyDescent="0.25">
      <c r="B10091" s="236"/>
      <c r="C10091" s="232"/>
      <c r="D10091" s="550"/>
      <c r="E10091" s="224"/>
      <c r="F10091" s="237" t="s">
        <v>646</v>
      </c>
      <c r="G10091" s="290"/>
      <c r="H10091" s="230">
        <f>SUM(H10090)</f>
        <v>0</v>
      </c>
      <c r="M10091" s="237" t="s">
        <v>646</v>
      </c>
    </row>
    <row r="10092" spans="2:13" ht="18.75" customHeight="1" x14ac:dyDescent="0.25">
      <c r="B10092" s="236"/>
      <c r="C10092" s="232"/>
      <c r="D10092" s="550"/>
      <c r="E10092" s="224"/>
      <c r="F10092" s="237"/>
      <c r="G10092" s="290"/>
      <c r="H10092" s="230"/>
      <c r="M10092" s="237"/>
    </row>
    <row r="10093" spans="2:13" ht="18.75" customHeight="1" x14ac:dyDescent="0.25">
      <c r="B10093" s="354"/>
      <c r="C10093" s="362"/>
      <c r="D10093" s="239"/>
      <c r="E10093" s="266"/>
      <c r="F10093" s="241"/>
      <c r="G10093" s="370"/>
      <c r="H10093" s="369"/>
      <c r="M10093" s="241"/>
    </row>
    <row r="10094" spans="2:13" ht="18.75" customHeight="1" x14ac:dyDescent="0.25">
      <c r="B10094" s="356" t="s">
        <v>647</v>
      </c>
      <c r="C10094" s="364" t="s">
        <v>648</v>
      </c>
      <c r="D10094" s="435"/>
      <c r="E10094" s="92"/>
      <c r="F10094" s="183"/>
      <c r="G10094" s="295"/>
      <c r="H10094" s="357">
        <f>H10078+H10088</f>
        <v>361449.5</v>
      </c>
      <c r="M10094" s="183"/>
    </row>
    <row r="10095" spans="2:13" ht="18.75" customHeight="1" x14ac:dyDescent="0.25">
      <c r="B10095" s="356" t="s">
        <v>649</v>
      </c>
      <c r="C10095" s="364" t="s">
        <v>650</v>
      </c>
      <c r="D10095" s="435"/>
      <c r="E10095" s="92"/>
      <c r="F10095" s="184" t="str">
        <f>$J$5</f>
        <v>8,0 % x D</v>
      </c>
      <c r="G10095" s="295"/>
      <c r="H10095" s="358">
        <f>+H10094*$K$5</f>
        <v>28915.96</v>
      </c>
      <c r="M10095" s="184" t="str">
        <f>$J$5</f>
        <v>8,0 % x D</v>
      </c>
    </row>
    <row r="10096" spans="2:13" ht="18.75" customHeight="1" x14ac:dyDescent="0.25">
      <c r="B10096" s="356" t="s">
        <v>651</v>
      </c>
      <c r="C10096" s="365" t="s">
        <v>652</v>
      </c>
      <c r="D10096" s="435"/>
      <c r="E10096" s="91"/>
      <c r="F10096" s="185"/>
      <c r="G10096" s="296"/>
      <c r="H10096" s="359">
        <f>ROUNDUP((H10095+H10094)/100,0)*100</f>
        <v>390400</v>
      </c>
      <c r="M10096" s="185"/>
    </row>
    <row r="10097" spans="1:13" ht="18.75" customHeight="1" x14ac:dyDescent="0.25">
      <c r="B10097" s="371"/>
      <c r="C10097" s="439"/>
      <c r="D10097" s="245"/>
      <c r="E10097" s="246"/>
      <c r="F10097" s="247"/>
      <c r="G10097" s="299"/>
      <c r="H10097" s="372"/>
      <c r="M10097" s="247"/>
    </row>
    <row r="10098" spans="1:13" ht="18.75" customHeight="1" x14ac:dyDescent="0.25">
      <c r="B10098" s="22"/>
      <c r="E10098" s="21"/>
      <c r="F10098" s="176"/>
      <c r="G10098" s="165"/>
      <c r="H10098" s="119"/>
      <c r="M10098" s="176"/>
    </row>
    <row r="10099" spans="1:13" ht="18.75" customHeight="1" x14ac:dyDescent="0.25">
      <c r="A10099" s="395" t="s">
        <v>1397</v>
      </c>
      <c r="B10099" s="396" t="s">
        <v>1408</v>
      </c>
      <c r="C10099" s="395"/>
      <c r="D10099" s="401"/>
      <c r="E10099" s="402"/>
      <c r="F10099" s="403"/>
      <c r="G10099" s="404"/>
      <c r="H10099" s="394"/>
      <c r="M10099" s="403"/>
    </row>
    <row r="10100" spans="1:13" ht="18.75" customHeight="1" x14ac:dyDescent="0.25">
      <c r="B10100" s="19"/>
      <c r="C10100" s="93"/>
      <c r="D10100" s="19"/>
      <c r="E10100" s="552"/>
      <c r="F10100" s="196"/>
      <c r="G10100" s="171"/>
      <c r="H10100" s="142"/>
      <c r="M10100" s="196"/>
    </row>
    <row r="10101" spans="1:13" ht="18.75" customHeight="1" x14ac:dyDescent="0.25">
      <c r="B10101" s="19" t="s">
        <v>1694</v>
      </c>
      <c r="C10101" s="93" t="s">
        <v>1696</v>
      </c>
      <c r="D10101" s="19"/>
      <c r="E10101" s="552"/>
      <c r="F10101" s="196"/>
      <c r="G10101" s="171"/>
      <c r="H10101" s="142"/>
      <c r="M10101" s="196"/>
    </row>
    <row r="10102" spans="1:13" ht="18.75" customHeight="1" x14ac:dyDescent="0.25">
      <c r="B10102" s="19" t="s">
        <v>1695</v>
      </c>
      <c r="C10102" s="93" t="s">
        <v>1697</v>
      </c>
      <c r="D10102" s="19"/>
      <c r="E10102" s="552"/>
      <c r="F10102" s="196"/>
      <c r="G10102" s="171"/>
      <c r="H10102" s="142"/>
      <c r="M10102" s="196"/>
    </row>
    <row r="10103" spans="1:13" ht="18.75" customHeight="1" x14ac:dyDescent="0.25">
      <c r="B10103" s="618" t="s">
        <v>620</v>
      </c>
      <c r="C10103" s="620" t="s">
        <v>621</v>
      </c>
      <c r="D10103" s="618" t="s">
        <v>622</v>
      </c>
      <c r="E10103" s="618" t="s">
        <v>2</v>
      </c>
      <c r="F10103" s="615" t="s">
        <v>623</v>
      </c>
      <c r="G10103" s="300" t="s">
        <v>624</v>
      </c>
      <c r="H10103" s="257" t="s">
        <v>625</v>
      </c>
      <c r="M10103" s="615" t="s">
        <v>623</v>
      </c>
    </row>
    <row r="10104" spans="1:13" ht="18.75" customHeight="1" x14ac:dyDescent="0.25">
      <c r="B10104" s="619"/>
      <c r="C10104" s="621"/>
      <c r="D10104" s="619"/>
      <c r="E10104" s="619"/>
      <c r="F10104" s="616"/>
      <c r="G10104" s="585" t="s">
        <v>626</v>
      </c>
      <c r="H10104" s="586" t="s">
        <v>626</v>
      </c>
      <c r="M10104" s="616"/>
    </row>
    <row r="10105" spans="1:13" ht="18.75" customHeight="1" x14ac:dyDescent="0.25">
      <c r="B10105" s="221"/>
      <c r="C10105" s="222"/>
      <c r="D10105" s="221"/>
      <c r="E10105" s="550"/>
      <c r="F10105" s="555"/>
      <c r="G10105" s="551"/>
      <c r="H10105" s="220"/>
      <c r="M10105" s="590"/>
    </row>
    <row r="10106" spans="1:13" ht="18.75" customHeight="1" x14ac:dyDescent="0.25">
      <c r="B10106" s="550" t="s">
        <v>627</v>
      </c>
      <c r="C10106" s="223" t="s">
        <v>628</v>
      </c>
      <c r="D10106" s="550"/>
      <c r="E10106" s="550"/>
      <c r="F10106" s="555"/>
      <c r="G10106" s="551"/>
      <c r="H10106" s="220"/>
      <c r="M10106" s="590"/>
    </row>
    <row r="10107" spans="1:13" ht="18.75" customHeight="1" x14ac:dyDescent="0.25">
      <c r="B10107" s="550"/>
      <c r="C10107" s="227" t="s">
        <v>629</v>
      </c>
      <c r="D10107" s="550" t="s">
        <v>630</v>
      </c>
      <c r="E10107" s="550" t="s">
        <v>631</v>
      </c>
      <c r="F10107" s="228">
        <v>0.6</v>
      </c>
      <c r="G10107" s="229">
        <f>G10074</f>
        <v>95000</v>
      </c>
      <c r="H10107" s="230">
        <f>+G10107*F10107</f>
        <v>57000</v>
      </c>
      <c r="J10107" s="474"/>
      <c r="M10107" s="228">
        <v>0.6</v>
      </c>
    </row>
    <row r="10108" spans="1:13" ht="18.75" customHeight="1" x14ac:dyDescent="0.25">
      <c r="B10108" s="550"/>
      <c r="C10108" s="227" t="s">
        <v>1508</v>
      </c>
      <c r="D10108" s="550" t="s">
        <v>632</v>
      </c>
      <c r="E10108" s="550" t="s">
        <v>631</v>
      </c>
      <c r="F10108" s="228">
        <v>0.3</v>
      </c>
      <c r="G10108" s="229">
        <f>G10075</f>
        <v>110000</v>
      </c>
      <c r="H10108" s="230">
        <f>+G10108*F10108</f>
        <v>33000</v>
      </c>
      <c r="J10108" s="474"/>
      <c r="M10108" s="228">
        <v>0.3</v>
      </c>
    </row>
    <row r="10109" spans="1:13" ht="18.75" customHeight="1" x14ac:dyDescent="0.25">
      <c r="B10109" s="550"/>
      <c r="C10109" s="227" t="s">
        <v>633</v>
      </c>
      <c r="D10109" s="550" t="s">
        <v>634</v>
      </c>
      <c r="E10109" s="550" t="s">
        <v>631</v>
      </c>
      <c r="F10109" s="228">
        <v>0.03</v>
      </c>
      <c r="G10109" s="229">
        <f>G10076</f>
        <v>115000</v>
      </c>
      <c r="H10109" s="230">
        <f>+G10109*F10109</f>
        <v>3450</v>
      </c>
      <c r="J10109" s="474"/>
      <c r="M10109" s="228">
        <v>0.03</v>
      </c>
    </row>
    <row r="10110" spans="1:13" ht="18.75" customHeight="1" x14ac:dyDescent="0.25">
      <c r="B10110" s="550"/>
      <c r="C10110" s="227" t="s">
        <v>600</v>
      </c>
      <c r="D10110" s="550" t="s">
        <v>635</v>
      </c>
      <c r="E10110" s="550" t="s">
        <v>631</v>
      </c>
      <c r="F10110" s="228">
        <v>0.03</v>
      </c>
      <c r="G10110" s="229">
        <f>G10077</f>
        <v>140000</v>
      </c>
      <c r="H10110" s="230">
        <f>+G10110*F10110</f>
        <v>4200</v>
      </c>
      <c r="J10110" s="474"/>
      <c r="M10110" s="228">
        <v>0.03</v>
      </c>
    </row>
    <row r="10111" spans="1:13" ht="18.75" customHeight="1" x14ac:dyDescent="0.25">
      <c r="B10111" s="550"/>
      <c r="C10111" s="223"/>
      <c r="D10111" s="550"/>
      <c r="E10111" s="550"/>
      <c r="F10111" s="237" t="s">
        <v>636</v>
      </c>
      <c r="G10111" s="551"/>
      <c r="H10111" s="231">
        <f>SUM(H10107:H10110)</f>
        <v>97650</v>
      </c>
      <c r="M10111" s="237" t="s">
        <v>636</v>
      </c>
    </row>
    <row r="10112" spans="1:13" ht="18.75" customHeight="1" x14ac:dyDescent="0.25">
      <c r="B10112" s="550"/>
      <c r="C10112" s="223"/>
      <c r="D10112" s="550"/>
      <c r="E10112" s="550"/>
      <c r="F10112" s="237"/>
      <c r="G10112" s="551"/>
      <c r="H10112" s="231"/>
      <c r="M10112" s="237"/>
    </row>
    <row r="10113" spans="2:13" ht="18.75" customHeight="1" x14ac:dyDescent="0.25">
      <c r="B10113" s="550" t="s">
        <v>637</v>
      </c>
      <c r="C10113" s="223" t="s">
        <v>638</v>
      </c>
      <c r="D10113" s="550"/>
      <c r="E10113" s="550"/>
      <c r="F10113" s="555"/>
      <c r="G10113" s="551"/>
      <c r="H10113" s="220"/>
      <c r="M10113" s="590"/>
    </row>
    <row r="10114" spans="2:13" ht="18.75" customHeight="1" x14ac:dyDescent="0.25">
      <c r="B10114" s="550"/>
      <c r="C10114" s="232" t="s">
        <v>1409</v>
      </c>
      <c r="D10114" s="550"/>
      <c r="E10114" s="550" t="s">
        <v>58</v>
      </c>
      <c r="F10114" s="233">
        <v>1</v>
      </c>
      <c r="G10114" s="234">
        <f>Bahan!D359</f>
        <v>85000</v>
      </c>
      <c r="H10114" s="235">
        <f>G10114*F10114</f>
        <v>85000</v>
      </c>
      <c r="M10114" s="233">
        <v>1</v>
      </c>
    </row>
    <row r="10115" spans="2:13" ht="18.75" customHeight="1" x14ac:dyDescent="0.25">
      <c r="B10115" s="550"/>
      <c r="C10115" s="232" t="s">
        <v>1410</v>
      </c>
      <c r="D10115" s="550"/>
      <c r="E10115" s="550" t="s">
        <v>58</v>
      </c>
      <c r="F10115" s="233">
        <v>1</v>
      </c>
      <c r="G10115" s="234">
        <f>Bahan!D360</f>
        <v>120000</v>
      </c>
      <c r="H10115" s="235">
        <f>G10115*F10115</f>
        <v>120000</v>
      </c>
      <c r="M10115" s="233">
        <v>1</v>
      </c>
    </row>
    <row r="10116" spans="2:13" ht="18.75" customHeight="1" x14ac:dyDescent="0.25">
      <c r="B10116" s="550"/>
      <c r="C10116" s="232" t="s">
        <v>1411</v>
      </c>
      <c r="D10116" s="550"/>
      <c r="E10116" s="550" t="s">
        <v>52</v>
      </c>
      <c r="F10116" s="233">
        <v>0.1</v>
      </c>
      <c r="G10116" s="234">
        <f>Bahan!D91</f>
        <v>182000</v>
      </c>
      <c r="H10116" s="235">
        <f>F10116*G10116</f>
        <v>18200</v>
      </c>
      <c r="M10116" s="233">
        <v>0.1</v>
      </c>
    </row>
    <row r="10117" spans="2:13" ht="18.75" customHeight="1" x14ac:dyDescent="0.25">
      <c r="B10117" s="550"/>
      <c r="C10117" s="223"/>
      <c r="D10117" s="550"/>
      <c r="E10117" s="550"/>
      <c r="F10117" s="237" t="s">
        <v>643</v>
      </c>
      <c r="G10117" s="551"/>
      <c r="H10117" s="231">
        <f>H10114+H10116</f>
        <v>103200</v>
      </c>
      <c r="M10117" s="237" t="s">
        <v>643</v>
      </c>
    </row>
    <row r="10118" spans="2:13" ht="18.75" customHeight="1" x14ac:dyDescent="0.25">
      <c r="B10118" s="550"/>
      <c r="C10118" s="223"/>
      <c r="D10118" s="550"/>
      <c r="E10118" s="550"/>
      <c r="F10118" s="237" t="s">
        <v>643</v>
      </c>
      <c r="G10118" s="551"/>
      <c r="H10118" s="231">
        <f>H10115+H10116</f>
        <v>138200</v>
      </c>
      <c r="M10118" s="237" t="s">
        <v>643</v>
      </c>
    </row>
    <row r="10119" spans="2:13" ht="18.75" customHeight="1" x14ac:dyDescent="0.25">
      <c r="B10119" s="550"/>
      <c r="C10119" s="223"/>
      <c r="D10119" s="550"/>
      <c r="E10119" s="550"/>
      <c r="F10119" s="555"/>
      <c r="G10119" s="551"/>
      <c r="H10119" s="220"/>
      <c r="M10119" s="590"/>
    </row>
    <row r="10120" spans="2:13" ht="18.75" customHeight="1" x14ac:dyDescent="0.25">
      <c r="B10120" s="550" t="s">
        <v>644</v>
      </c>
      <c r="C10120" s="223" t="s">
        <v>645</v>
      </c>
      <c r="D10120" s="550"/>
      <c r="E10120" s="224"/>
      <c r="F10120" s="225"/>
      <c r="G10120" s="290"/>
      <c r="H10120" s="235">
        <f>+G10120*F10120</f>
        <v>0</v>
      </c>
      <c r="M10120" s="225"/>
    </row>
    <row r="10121" spans="2:13" ht="18.75" customHeight="1" x14ac:dyDescent="0.25">
      <c r="B10121" s="236"/>
      <c r="C10121" s="232"/>
      <c r="D10121" s="550"/>
      <c r="E10121" s="224"/>
      <c r="F10121" s="237" t="s">
        <v>646</v>
      </c>
      <c r="G10121" s="290"/>
      <c r="H10121" s="230">
        <f>SUM(H10120)</f>
        <v>0</v>
      </c>
      <c r="M10121" s="237" t="s">
        <v>646</v>
      </c>
    </row>
    <row r="10122" spans="2:13" ht="18.75" customHeight="1" x14ac:dyDescent="0.25">
      <c r="B10122" s="236"/>
      <c r="C10122" s="232"/>
      <c r="D10122" s="550"/>
      <c r="E10122" s="224"/>
      <c r="F10122" s="237"/>
      <c r="G10122" s="290"/>
      <c r="H10122" s="226"/>
      <c r="M10122" s="237"/>
    </row>
    <row r="10123" spans="2:13" ht="18.75" customHeight="1" x14ac:dyDescent="0.25">
      <c r="B10123" s="354"/>
      <c r="C10123" s="362"/>
      <c r="D10123" s="239"/>
      <c r="E10123" s="266"/>
      <c r="F10123" s="241"/>
      <c r="G10123" s="370"/>
      <c r="H10123" s="369"/>
      <c r="M10123" s="241"/>
    </row>
    <row r="10124" spans="2:13" ht="18.75" customHeight="1" x14ac:dyDescent="0.25">
      <c r="B10124" s="356" t="s">
        <v>647</v>
      </c>
      <c r="C10124" s="364" t="s">
        <v>648</v>
      </c>
      <c r="D10124" s="435"/>
      <c r="E10124" s="92"/>
      <c r="F10124" s="183"/>
      <c r="G10124" s="295"/>
      <c r="H10124" s="357">
        <f>+H10121+H10117+H10111</f>
        <v>200850</v>
      </c>
      <c r="M10124" s="183"/>
    </row>
    <row r="10125" spans="2:13" ht="18.75" customHeight="1" x14ac:dyDescent="0.25">
      <c r="B10125" s="356" t="s">
        <v>649</v>
      </c>
      <c r="C10125" s="364" t="s">
        <v>650</v>
      </c>
      <c r="D10125" s="435"/>
      <c r="E10125" s="92"/>
      <c r="F10125" s="184" t="str">
        <f>$J$5</f>
        <v>8,0 % x D</v>
      </c>
      <c r="G10125" s="295"/>
      <c r="H10125" s="358">
        <f>+H10124*$K$5</f>
        <v>16068</v>
      </c>
      <c r="M10125" s="184" t="str">
        <f>$J$5</f>
        <v>8,0 % x D</v>
      </c>
    </row>
    <row r="10126" spans="2:13" ht="18.75" customHeight="1" x14ac:dyDescent="0.25">
      <c r="B10126" s="356" t="s">
        <v>651</v>
      </c>
      <c r="C10126" s="365" t="s">
        <v>652</v>
      </c>
      <c r="D10126" s="435"/>
      <c r="E10126" s="91"/>
      <c r="F10126" s="185"/>
      <c r="G10126" s="296"/>
      <c r="H10126" s="359">
        <f>ROUNDUP((H10125+H10124)/100,0)*100</f>
        <v>217000</v>
      </c>
      <c r="M10126" s="185"/>
    </row>
    <row r="10127" spans="2:13" ht="18.75" customHeight="1" x14ac:dyDescent="0.25">
      <c r="B10127" s="356"/>
      <c r="C10127" s="582"/>
      <c r="D10127" s="435"/>
      <c r="E10127" s="92"/>
      <c r="F10127" s="184"/>
      <c r="G10127" s="295"/>
      <c r="H10127" s="580"/>
      <c r="M10127" s="184"/>
    </row>
    <row r="10128" spans="2:13" ht="18.75" customHeight="1" x14ac:dyDescent="0.25">
      <c r="B10128" s="356" t="s">
        <v>825</v>
      </c>
      <c r="C10128" s="364" t="s">
        <v>648</v>
      </c>
      <c r="D10128" s="435"/>
      <c r="E10128" s="92"/>
      <c r="F10128" s="183"/>
      <c r="G10128" s="295"/>
      <c r="H10128" s="357">
        <f>H10111+H10118</f>
        <v>235850</v>
      </c>
      <c r="M10128" s="183"/>
    </row>
    <row r="10129" spans="2:13" ht="18.75" customHeight="1" x14ac:dyDescent="0.25">
      <c r="B10129" s="356" t="s">
        <v>827</v>
      </c>
      <c r="C10129" s="364" t="s">
        <v>650</v>
      </c>
      <c r="D10129" s="435"/>
      <c r="E10129" s="92"/>
      <c r="F10129" s="184" t="str">
        <f>$J$5</f>
        <v>8,0 % x D</v>
      </c>
      <c r="G10129" s="295"/>
      <c r="H10129" s="358">
        <f>+H10128*$K$5</f>
        <v>18868</v>
      </c>
      <c r="M10129" s="184" t="str">
        <f>$J$5</f>
        <v>8,0 % x D</v>
      </c>
    </row>
    <row r="10130" spans="2:13" ht="18.75" customHeight="1" x14ac:dyDescent="0.25">
      <c r="B10130" s="356" t="s">
        <v>617</v>
      </c>
      <c r="C10130" s="365" t="s">
        <v>1490</v>
      </c>
      <c r="D10130" s="435"/>
      <c r="E10130" s="91"/>
      <c r="F10130" s="185"/>
      <c r="G10130" s="296"/>
      <c r="H10130" s="359">
        <f>ROUNDUP((H10129+H10128)/100,0)*100</f>
        <v>254800</v>
      </c>
      <c r="M10130" s="185"/>
    </row>
    <row r="10131" spans="2:13" ht="18.75" customHeight="1" x14ac:dyDescent="0.25">
      <c r="B10131" s="360"/>
      <c r="C10131" s="581"/>
      <c r="D10131" s="245"/>
      <c r="E10131" s="246"/>
      <c r="F10131" s="247"/>
      <c r="G10131" s="299"/>
      <c r="H10131" s="361"/>
      <c r="M10131" s="247"/>
    </row>
    <row r="10132" spans="2:13" ht="18.75" customHeight="1" x14ac:dyDescent="0.25">
      <c r="B10132" s="92"/>
      <c r="C10132" s="242"/>
      <c r="D10132" s="435"/>
      <c r="E10132" s="91"/>
      <c r="F10132" s="185"/>
      <c r="G10132" s="168"/>
      <c r="H10132" s="139"/>
      <c r="M10132" s="185"/>
    </row>
    <row r="10133" spans="2:13" ht="18.75" customHeight="1" x14ac:dyDescent="0.25">
      <c r="B10133" s="19">
        <v>2</v>
      </c>
      <c r="C10133" s="93" t="s">
        <v>1412</v>
      </c>
      <c r="D10133" s="19"/>
      <c r="E10133" s="21"/>
      <c r="F10133" s="176"/>
      <c r="G10133" s="165"/>
      <c r="H10133" s="119"/>
      <c r="M10133" s="176"/>
    </row>
    <row r="10134" spans="2:13" ht="18.75" customHeight="1" x14ac:dyDescent="0.25">
      <c r="B10134" s="618" t="s">
        <v>620</v>
      </c>
      <c r="C10134" s="620" t="s">
        <v>621</v>
      </c>
      <c r="D10134" s="618" t="s">
        <v>622</v>
      </c>
      <c r="E10134" s="618" t="s">
        <v>2</v>
      </c>
      <c r="F10134" s="615" t="s">
        <v>623</v>
      </c>
      <c r="G10134" s="300" t="s">
        <v>624</v>
      </c>
      <c r="H10134" s="257" t="s">
        <v>625</v>
      </c>
      <c r="M10134" s="615" t="s">
        <v>623</v>
      </c>
    </row>
    <row r="10135" spans="2:13" ht="18.75" customHeight="1" x14ac:dyDescent="0.25">
      <c r="B10135" s="619"/>
      <c r="C10135" s="621"/>
      <c r="D10135" s="619"/>
      <c r="E10135" s="619"/>
      <c r="F10135" s="616"/>
      <c r="G10135" s="585" t="s">
        <v>626</v>
      </c>
      <c r="H10135" s="586" t="s">
        <v>626</v>
      </c>
      <c r="M10135" s="616"/>
    </row>
    <row r="10136" spans="2:13" ht="18.75" customHeight="1" x14ac:dyDescent="0.25">
      <c r="B10136" s="221"/>
      <c r="C10136" s="222"/>
      <c r="D10136" s="221"/>
      <c r="E10136" s="550"/>
      <c r="F10136" s="555"/>
      <c r="G10136" s="551"/>
      <c r="H10136" s="220"/>
      <c r="M10136" s="590"/>
    </row>
    <row r="10137" spans="2:13" ht="18.75" customHeight="1" x14ac:dyDescent="0.25">
      <c r="B10137" s="550" t="s">
        <v>627</v>
      </c>
      <c r="C10137" s="223" t="s">
        <v>628</v>
      </c>
      <c r="D10137" s="550"/>
      <c r="E10137" s="224"/>
      <c r="F10137" s="225"/>
      <c r="G10137" s="290"/>
      <c r="H10137" s="226"/>
      <c r="M10137" s="225"/>
    </row>
    <row r="10138" spans="2:13" ht="18.75" customHeight="1" x14ac:dyDescent="0.25">
      <c r="B10138" s="550"/>
      <c r="C10138" s="227" t="s">
        <v>629</v>
      </c>
      <c r="D10138" s="550" t="s">
        <v>630</v>
      </c>
      <c r="E10138" s="224" t="s">
        <v>631</v>
      </c>
      <c r="F10138" s="228">
        <v>1</v>
      </c>
      <c r="G10138" s="229">
        <f>G10107</f>
        <v>95000</v>
      </c>
      <c r="H10138" s="230">
        <f>+G10138*F10138</f>
        <v>95000</v>
      </c>
      <c r="J10138" s="474"/>
      <c r="M10138" s="228">
        <v>1</v>
      </c>
    </row>
    <row r="10139" spans="2:13" ht="18.75" customHeight="1" x14ac:dyDescent="0.25">
      <c r="B10139" s="550"/>
      <c r="C10139" s="227" t="s">
        <v>1508</v>
      </c>
      <c r="D10139" s="550" t="s">
        <v>632</v>
      </c>
      <c r="E10139" s="224" t="s">
        <v>631</v>
      </c>
      <c r="F10139" s="228">
        <v>0.5</v>
      </c>
      <c r="G10139" s="229">
        <f>G10108</f>
        <v>110000</v>
      </c>
      <c r="H10139" s="230">
        <f>+G10139*F10139</f>
        <v>55000</v>
      </c>
      <c r="J10139" s="474"/>
      <c r="M10139" s="228">
        <v>0.5</v>
      </c>
    </row>
    <row r="10140" spans="2:13" ht="18.75" customHeight="1" x14ac:dyDescent="0.25">
      <c r="B10140" s="550"/>
      <c r="C10140" s="227" t="s">
        <v>633</v>
      </c>
      <c r="D10140" s="550" t="s">
        <v>634</v>
      </c>
      <c r="E10140" s="224" t="s">
        <v>631</v>
      </c>
      <c r="F10140" s="228">
        <v>7.4999999999999997E-2</v>
      </c>
      <c r="G10140" s="229">
        <f>G10109</f>
        <v>115000</v>
      </c>
      <c r="H10140" s="230">
        <f>+G10140*F10140</f>
        <v>8625</v>
      </c>
      <c r="J10140" s="474"/>
      <c r="M10140" s="228">
        <v>7.4999999999999997E-2</v>
      </c>
    </row>
    <row r="10141" spans="2:13" ht="18.75" customHeight="1" x14ac:dyDescent="0.25">
      <c r="B10141" s="550"/>
      <c r="C10141" s="227" t="s">
        <v>600</v>
      </c>
      <c r="D10141" s="550" t="s">
        <v>635</v>
      </c>
      <c r="E10141" s="224" t="s">
        <v>631</v>
      </c>
      <c r="F10141" s="228">
        <v>7.4999999999999997E-2</v>
      </c>
      <c r="G10141" s="229">
        <f>G10110</f>
        <v>140000</v>
      </c>
      <c r="H10141" s="230">
        <f>+G10141*F10141</f>
        <v>10500</v>
      </c>
      <c r="J10141" s="474"/>
      <c r="M10141" s="228">
        <v>7.4999999999999997E-2</v>
      </c>
    </row>
    <row r="10142" spans="2:13" ht="18.75" customHeight="1" x14ac:dyDescent="0.25">
      <c r="B10142" s="550"/>
      <c r="C10142" s="223"/>
      <c r="D10142" s="550"/>
      <c r="E10142" s="224"/>
      <c r="F10142" s="237" t="s">
        <v>636</v>
      </c>
      <c r="G10142" s="290"/>
      <c r="H10142" s="231">
        <f>SUM(H10138:H10141)</f>
        <v>169125</v>
      </c>
      <c r="M10142" s="237" t="s">
        <v>636</v>
      </c>
    </row>
    <row r="10143" spans="2:13" ht="18.75" customHeight="1" x14ac:dyDescent="0.25">
      <c r="B10143" s="550"/>
      <c r="C10143" s="223"/>
      <c r="D10143" s="550"/>
      <c r="E10143" s="224"/>
      <c r="F10143" s="237"/>
      <c r="G10143" s="290"/>
      <c r="H10143" s="231"/>
      <c r="M10143" s="237"/>
    </row>
    <row r="10144" spans="2:13" ht="18.75" customHeight="1" x14ac:dyDescent="0.25">
      <c r="B10144" s="550" t="s">
        <v>637</v>
      </c>
      <c r="C10144" s="223" t="s">
        <v>638</v>
      </c>
      <c r="D10144" s="550"/>
      <c r="E10144" s="224"/>
      <c r="F10144" s="225"/>
      <c r="G10144" s="290"/>
      <c r="H10144" s="226"/>
      <c r="M10144" s="225"/>
    </row>
    <row r="10145" spans="2:13" ht="18.75" customHeight="1" x14ac:dyDescent="0.25">
      <c r="B10145" s="550"/>
      <c r="C10145" s="232" t="s">
        <v>1413</v>
      </c>
      <c r="D10145" s="550"/>
      <c r="E10145" s="550" t="s">
        <v>58</v>
      </c>
      <c r="F10145" s="233">
        <v>1</v>
      </c>
      <c r="G10145" s="234">
        <f>Bahan!D386</f>
        <v>80000</v>
      </c>
      <c r="H10145" s="235">
        <f>G10145*F10145</f>
        <v>80000</v>
      </c>
      <c r="M10145" s="233">
        <v>1</v>
      </c>
    </row>
    <row r="10146" spans="2:13" ht="18.75" customHeight="1" x14ac:dyDescent="0.25">
      <c r="B10146" s="550"/>
      <c r="C10146" s="232" t="s">
        <v>699</v>
      </c>
      <c r="D10146" s="550"/>
      <c r="E10146" s="550" t="s">
        <v>52</v>
      </c>
      <c r="F10146" s="233">
        <v>7.5899999999999995E-2</v>
      </c>
      <c r="G10146" s="234">
        <f>G10116</f>
        <v>182000</v>
      </c>
      <c r="H10146" s="230">
        <f>+G10146*F10146</f>
        <v>13813.8</v>
      </c>
      <c r="M10146" s="233">
        <v>7.5899999999999995E-2</v>
      </c>
    </row>
    <row r="10147" spans="2:13" ht="18.75" customHeight="1" x14ac:dyDescent="0.25">
      <c r="B10147" s="550"/>
      <c r="C10147" s="223"/>
      <c r="D10147" s="550"/>
      <c r="E10147" s="224"/>
      <c r="F10147" s="237" t="s">
        <v>643</v>
      </c>
      <c r="G10147" s="290"/>
      <c r="H10147" s="231">
        <f>SUM(H10145:H10146)</f>
        <v>93813.8</v>
      </c>
      <c r="M10147" s="237" t="s">
        <v>643</v>
      </c>
    </row>
    <row r="10148" spans="2:13" ht="18.75" customHeight="1" x14ac:dyDescent="0.25">
      <c r="B10148" s="550"/>
      <c r="C10148" s="223"/>
      <c r="D10148" s="550"/>
      <c r="E10148" s="224"/>
      <c r="F10148" s="225"/>
      <c r="G10148" s="290"/>
      <c r="H10148" s="226"/>
      <c r="M10148" s="225"/>
    </row>
    <row r="10149" spans="2:13" ht="18.75" customHeight="1" x14ac:dyDescent="0.25">
      <c r="B10149" s="550" t="s">
        <v>644</v>
      </c>
      <c r="C10149" s="223" t="s">
        <v>645</v>
      </c>
      <c r="D10149" s="550"/>
      <c r="E10149" s="224"/>
      <c r="F10149" s="225"/>
      <c r="G10149" s="290"/>
      <c r="H10149" s="235">
        <f>+G10149*F10149</f>
        <v>0</v>
      </c>
      <c r="M10149" s="225"/>
    </row>
    <row r="10150" spans="2:13" ht="18.75" customHeight="1" x14ac:dyDescent="0.25">
      <c r="B10150" s="236"/>
      <c r="C10150" s="232"/>
      <c r="D10150" s="550"/>
      <c r="E10150" s="224"/>
      <c r="F10150" s="237" t="s">
        <v>646</v>
      </c>
      <c r="G10150" s="290"/>
      <c r="H10150" s="230">
        <f>SUM(H10149)</f>
        <v>0</v>
      </c>
      <c r="M10150" s="237" t="s">
        <v>646</v>
      </c>
    </row>
    <row r="10151" spans="2:13" ht="18.75" customHeight="1" x14ac:dyDescent="0.25">
      <c r="B10151" s="236"/>
      <c r="C10151" s="232"/>
      <c r="D10151" s="550"/>
      <c r="E10151" s="224"/>
      <c r="F10151" s="237"/>
      <c r="G10151" s="290"/>
      <c r="H10151" s="226"/>
      <c r="M10151" s="237"/>
    </row>
    <row r="10152" spans="2:13" ht="18.75" customHeight="1" x14ac:dyDescent="0.25">
      <c r="B10152" s="354"/>
      <c r="C10152" s="362"/>
      <c r="D10152" s="239"/>
      <c r="E10152" s="240"/>
      <c r="F10152" s="241"/>
      <c r="G10152" s="293"/>
      <c r="H10152" s="355"/>
      <c r="M10152" s="241"/>
    </row>
    <row r="10153" spans="2:13" ht="18.75" customHeight="1" x14ac:dyDescent="0.25">
      <c r="B10153" s="356" t="s">
        <v>647</v>
      </c>
      <c r="C10153" s="364" t="s">
        <v>648</v>
      </c>
      <c r="D10153" s="435"/>
      <c r="E10153" s="92"/>
      <c r="F10153" s="183"/>
      <c r="G10153" s="295"/>
      <c r="H10153" s="357">
        <f>+H10150+H10147+H10142</f>
        <v>262938.8</v>
      </c>
      <c r="M10153" s="183"/>
    </row>
    <row r="10154" spans="2:13" ht="18.75" customHeight="1" x14ac:dyDescent="0.25">
      <c r="B10154" s="356" t="s">
        <v>649</v>
      </c>
      <c r="C10154" s="364" t="s">
        <v>650</v>
      </c>
      <c r="D10154" s="435"/>
      <c r="E10154" s="92"/>
      <c r="F10154" s="184" t="str">
        <f>$J$5</f>
        <v>8,0 % x D</v>
      </c>
      <c r="G10154" s="295"/>
      <c r="H10154" s="358">
        <f>+H10153*$K$5</f>
        <v>21035.103999999999</v>
      </c>
      <c r="M10154" s="184" t="str">
        <f>$J$5</f>
        <v>8,0 % x D</v>
      </c>
    </row>
    <row r="10155" spans="2:13" ht="18.75" customHeight="1" x14ac:dyDescent="0.25">
      <c r="B10155" s="356" t="s">
        <v>651</v>
      </c>
      <c r="C10155" s="365" t="s">
        <v>652</v>
      </c>
      <c r="D10155" s="435"/>
      <c r="E10155" s="91"/>
      <c r="F10155" s="185"/>
      <c r="G10155" s="296"/>
      <c r="H10155" s="359">
        <f>ROUNDUP((H10154+H10153)/100,0)*100</f>
        <v>284000</v>
      </c>
      <c r="M10155" s="185"/>
    </row>
    <row r="10156" spans="2:13" ht="18.75" customHeight="1" x14ac:dyDescent="0.25">
      <c r="B10156" s="360"/>
      <c r="C10156" s="581"/>
      <c r="D10156" s="245"/>
      <c r="E10156" s="246"/>
      <c r="F10156" s="247"/>
      <c r="G10156" s="299"/>
      <c r="H10156" s="361"/>
      <c r="M10156" s="247"/>
    </row>
    <row r="10157" spans="2:13" ht="18.75" customHeight="1" x14ac:dyDescent="0.25">
      <c r="B10157" s="22"/>
      <c r="E10157" s="21"/>
      <c r="F10157" s="176"/>
      <c r="G10157" s="165"/>
      <c r="H10157" s="119"/>
      <c r="M10157" s="176"/>
    </row>
    <row r="10158" spans="2:13" ht="18.75" customHeight="1" x14ac:dyDescent="0.25">
      <c r="B10158" s="19">
        <f>+B10133+1</f>
        <v>3</v>
      </c>
      <c r="C10158" s="93" t="s">
        <v>1414</v>
      </c>
      <c r="D10158" s="19"/>
      <c r="E10158" s="21"/>
      <c r="F10158" s="176"/>
      <c r="G10158" s="165"/>
      <c r="H10158" s="119"/>
      <c r="M10158" s="176"/>
    </row>
    <row r="10159" spans="2:13" ht="18.75" customHeight="1" x14ac:dyDescent="0.25">
      <c r="B10159" s="618" t="s">
        <v>620</v>
      </c>
      <c r="C10159" s="620" t="s">
        <v>621</v>
      </c>
      <c r="D10159" s="618" t="s">
        <v>622</v>
      </c>
      <c r="E10159" s="618" t="s">
        <v>2</v>
      </c>
      <c r="F10159" s="615" t="s">
        <v>623</v>
      </c>
      <c r="G10159" s="300" t="s">
        <v>624</v>
      </c>
      <c r="H10159" s="257" t="s">
        <v>625</v>
      </c>
      <c r="M10159" s="615" t="s">
        <v>623</v>
      </c>
    </row>
    <row r="10160" spans="2:13" ht="18.75" customHeight="1" x14ac:dyDescent="0.25">
      <c r="B10160" s="619"/>
      <c r="C10160" s="621"/>
      <c r="D10160" s="619"/>
      <c r="E10160" s="619"/>
      <c r="F10160" s="616"/>
      <c r="G10160" s="585" t="s">
        <v>626</v>
      </c>
      <c r="H10160" s="586" t="s">
        <v>626</v>
      </c>
      <c r="M10160" s="616"/>
    </row>
    <row r="10161" spans="2:13" ht="18.75" customHeight="1" x14ac:dyDescent="0.25">
      <c r="B10161" s="221"/>
      <c r="C10161" s="222"/>
      <c r="D10161" s="221"/>
      <c r="E10161" s="550"/>
      <c r="F10161" s="555"/>
      <c r="G10161" s="551"/>
      <c r="H10161" s="220"/>
      <c r="M10161" s="590"/>
    </row>
    <row r="10162" spans="2:13" ht="18.75" customHeight="1" x14ac:dyDescent="0.25">
      <c r="B10162" s="550" t="s">
        <v>627</v>
      </c>
      <c r="C10162" s="223" t="s">
        <v>628</v>
      </c>
      <c r="D10162" s="550"/>
      <c r="E10162" s="224"/>
      <c r="F10162" s="225"/>
      <c r="G10162" s="290"/>
      <c r="H10162" s="226"/>
      <c r="M10162" s="225"/>
    </row>
    <row r="10163" spans="2:13" ht="18.75" customHeight="1" x14ac:dyDescent="0.25">
      <c r="B10163" s="550"/>
      <c r="C10163" s="227" t="s">
        <v>629</v>
      </c>
      <c r="D10163" s="550" t="s">
        <v>630</v>
      </c>
      <c r="E10163" s="224" t="s">
        <v>631</v>
      </c>
      <c r="F10163" s="228">
        <v>0.35</v>
      </c>
      <c r="G10163" s="229">
        <f>G10138</f>
        <v>95000</v>
      </c>
      <c r="H10163" s="230">
        <f>+G10163*F10163</f>
        <v>33250</v>
      </c>
      <c r="K10163" s="530"/>
      <c r="M10163" s="228">
        <v>0.35</v>
      </c>
    </row>
    <row r="10164" spans="2:13" ht="18.75" customHeight="1" x14ac:dyDescent="0.25">
      <c r="B10164" s="550"/>
      <c r="C10164" s="227" t="s">
        <v>1508</v>
      </c>
      <c r="D10164" s="550" t="s">
        <v>632</v>
      </c>
      <c r="E10164" s="224" t="s">
        <v>631</v>
      </c>
      <c r="F10164" s="228">
        <v>3.5000000000000003E-2</v>
      </c>
      <c r="G10164" s="229">
        <f>G10139</f>
        <v>110000</v>
      </c>
      <c r="H10164" s="230">
        <f>+G10164*F10164</f>
        <v>3850.0000000000005</v>
      </c>
      <c r="K10164" s="530"/>
      <c r="M10164" s="228">
        <v>3.5000000000000003E-2</v>
      </c>
    </row>
    <row r="10165" spans="2:13" ht="18.75" customHeight="1" x14ac:dyDescent="0.25">
      <c r="B10165" s="550"/>
      <c r="C10165" s="227" t="s">
        <v>633</v>
      </c>
      <c r="D10165" s="550" t="s">
        <v>634</v>
      </c>
      <c r="E10165" s="224" t="s">
        <v>631</v>
      </c>
      <c r="F10165" s="228">
        <v>0.62</v>
      </c>
      <c r="G10165" s="229">
        <f>G10140</f>
        <v>115000</v>
      </c>
      <c r="H10165" s="230">
        <f>+G10165*F10165</f>
        <v>71300</v>
      </c>
      <c r="K10165" s="530"/>
      <c r="M10165" s="228">
        <v>0.62</v>
      </c>
    </row>
    <row r="10166" spans="2:13" ht="18.75" customHeight="1" x14ac:dyDescent="0.25">
      <c r="B10166" s="550"/>
      <c r="C10166" s="227" t="s">
        <v>600</v>
      </c>
      <c r="D10166" s="550" t="s">
        <v>635</v>
      </c>
      <c r="E10166" s="224" t="s">
        <v>631</v>
      </c>
      <c r="F10166" s="228">
        <v>0.03</v>
      </c>
      <c r="G10166" s="229">
        <f>G10141</f>
        <v>140000</v>
      </c>
      <c r="H10166" s="230">
        <f>+G10166*F10166</f>
        <v>4200</v>
      </c>
      <c r="K10166" s="530"/>
      <c r="M10166" s="228">
        <v>0.03</v>
      </c>
    </row>
    <row r="10167" spans="2:13" ht="18.75" customHeight="1" x14ac:dyDescent="0.25">
      <c r="B10167" s="550"/>
      <c r="C10167" s="223"/>
      <c r="D10167" s="550"/>
      <c r="E10167" s="224"/>
      <c r="F10167" s="237" t="s">
        <v>636</v>
      </c>
      <c r="G10167" s="290"/>
      <c r="H10167" s="231">
        <f>SUM(H10163:H10166)</f>
        <v>112600</v>
      </c>
      <c r="K10167" s="117"/>
      <c r="M10167" s="237" t="s">
        <v>636</v>
      </c>
    </row>
    <row r="10168" spans="2:13" ht="18.75" customHeight="1" x14ac:dyDescent="0.25">
      <c r="B10168" s="550"/>
      <c r="C10168" s="223"/>
      <c r="D10168" s="550"/>
      <c r="E10168" s="224"/>
      <c r="F10168" s="237"/>
      <c r="G10168" s="290"/>
      <c r="H10168" s="231"/>
      <c r="K10168" s="117"/>
      <c r="M10168" s="237"/>
    </row>
    <row r="10169" spans="2:13" ht="18.75" customHeight="1" x14ac:dyDescent="0.25">
      <c r="B10169" s="550" t="s">
        <v>637</v>
      </c>
      <c r="C10169" s="223" t="s">
        <v>638</v>
      </c>
      <c r="D10169" s="550"/>
      <c r="E10169" s="224"/>
      <c r="F10169" s="225"/>
      <c r="G10169" s="290"/>
      <c r="H10169" s="226"/>
      <c r="K10169" s="117"/>
      <c r="M10169" s="225"/>
    </row>
    <row r="10170" spans="2:13" ht="18.75" customHeight="1" x14ac:dyDescent="0.25">
      <c r="B10170" s="550"/>
      <c r="C10170" s="232" t="s">
        <v>1415</v>
      </c>
      <c r="D10170" s="550"/>
      <c r="E10170" s="550" t="s">
        <v>61</v>
      </c>
      <c r="F10170" s="233">
        <v>1.65</v>
      </c>
      <c r="G10170" s="234">
        <f>Bahan!D72</f>
        <v>35400</v>
      </c>
      <c r="H10170" s="235">
        <f>G10170*F10170</f>
        <v>58410</v>
      </c>
      <c r="K10170" s="531"/>
      <c r="M10170" s="233">
        <v>1.65</v>
      </c>
    </row>
    <row r="10171" spans="2:13" ht="18.75" customHeight="1" x14ac:dyDescent="0.25">
      <c r="B10171" s="550"/>
      <c r="C10171" s="232" t="s">
        <v>1416</v>
      </c>
      <c r="D10171" s="550"/>
      <c r="E10171" s="550" t="s">
        <v>5</v>
      </c>
      <c r="F10171" s="233">
        <v>9.2799999999999994</v>
      </c>
      <c r="G10171" s="234">
        <f>G9721</f>
        <v>1700</v>
      </c>
      <c r="H10171" s="230">
        <f>+G10171*F10171</f>
        <v>15775.999999999998</v>
      </c>
      <c r="K10171" s="531"/>
      <c r="M10171" s="233">
        <v>9.2799999999999994</v>
      </c>
    </row>
    <row r="10172" spans="2:13" ht="18.75" customHeight="1" x14ac:dyDescent="0.25">
      <c r="B10172" s="550"/>
      <c r="C10172" s="232" t="s">
        <v>661</v>
      </c>
      <c r="D10172" s="550"/>
      <c r="E10172" s="550" t="s">
        <v>52</v>
      </c>
      <c r="F10172" s="233">
        <v>1.7999999999999999E-2</v>
      </c>
      <c r="G10172" s="234">
        <f>G9722</f>
        <v>230000</v>
      </c>
      <c r="H10172" s="230">
        <f>G10172*F10172</f>
        <v>4140</v>
      </c>
      <c r="K10172" s="531"/>
      <c r="M10172" s="233">
        <v>1.7999999999999999E-2</v>
      </c>
    </row>
    <row r="10173" spans="2:13" ht="18.75" customHeight="1" x14ac:dyDescent="0.25">
      <c r="B10173" s="550"/>
      <c r="C10173" s="223"/>
      <c r="D10173" s="550"/>
      <c r="E10173" s="224"/>
      <c r="F10173" s="237" t="s">
        <v>643</v>
      </c>
      <c r="G10173" s="290"/>
      <c r="H10173" s="231">
        <f>SUM(H10170:H10172)</f>
        <v>78326</v>
      </c>
      <c r="M10173" s="237" t="s">
        <v>643</v>
      </c>
    </row>
    <row r="10174" spans="2:13" ht="18.75" customHeight="1" x14ac:dyDescent="0.25">
      <c r="B10174" s="550"/>
      <c r="C10174" s="223"/>
      <c r="D10174" s="550"/>
      <c r="E10174" s="224"/>
      <c r="F10174" s="225"/>
      <c r="G10174" s="290"/>
      <c r="H10174" s="226"/>
      <c r="M10174" s="225"/>
    </row>
    <row r="10175" spans="2:13" ht="18.75" customHeight="1" x14ac:dyDescent="0.25">
      <c r="B10175" s="550" t="s">
        <v>644</v>
      </c>
      <c r="C10175" s="223" t="s">
        <v>645</v>
      </c>
      <c r="D10175" s="550"/>
      <c r="E10175" s="224"/>
      <c r="F10175" s="225"/>
      <c r="G10175" s="290"/>
      <c r="H10175" s="235">
        <f>+G10175*F10175</f>
        <v>0</v>
      </c>
      <c r="M10175" s="225"/>
    </row>
    <row r="10176" spans="2:13" ht="18.75" customHeight="1" x14ac:dyDescent="0.25">
      <c r="B10176" s="236"/>
      <c r="C10176" s="232"/>
      <c r="D10176" s="550"/>
      <c r="E10176" s="224"/>
      <c r="F10176" s="237" t="s">
        <v>646</v>
      </c>
      <c r="G10176" s="290"/>
      <c r="H10176" s="230">
        <f>SUM(H10175)</f>
        <v>0</v>
      </c>
      <c r="M10176" s="237" t="s">
        <v>646</v>
      </c>
    </row>
    <row r="10177" spans="2:13" ht="18.75" customHeight="1" x14ac:dyDescent="0.25">
      <c r="B10177" s="236"/>
      <c r="C10177" s="232"/>
      <c r="D10177" s="550"/>
      <c r="E10177" s="224"/>
      <c r="F10177" s="237"/>
      <c r="G10177" s="290"/>
      <c r="H10177" s="226"/>
      <c r="M10177" s="237"/>
    </row>
    <row r="10178" spans="2:13" ht="18.75" customHeight="1" x14ac:dyDescent="0.25">
      <c r="B10178" s="354"/>
      <c r="C10178" s="362"/>
      <c r="D10178" s="239"/>
      <c r="E10178" s="266"/>
      <c r="F10178" s="241"/>
      <c r="G10178" s="370"/>
      <c r="H10178" s="369"/>
      <c r="M10178" s="241"/>
    </row>
    <row r="10179" spans="2:13" ht="18.75" customHeight="1" x14ac:dyDescent="0.25">
      <c r="B10179" s="356" t="s">
        <v>647</v>
      </c>
      <c r="C10179" s="364" t="s">
        <v>648</v>
      </c>
      <c r="D10179" s="435"/>
      <c r="E10179" s="92"/>
      <c r="F10179" s="183"/>
      <c r="G10179" s="295"/>
      <c r="H10179" s="357">
        <f>+H10176+H10173+H10167</f>
        <v>190926</v>
      </c>
      <c r="M10179" s="183"/>
    </row>
    <row r="10180" spans="2:13" ht="18.75" customHeight="1" x14ac:dyDescent="0.25">
      <c r="B10180" s="356" t="s">
        <v>649</v>
      </c>
      <c r="C10180" s="364" t="s">
        <v>650</v>
      </c>
      <c r="D10180" s="435"/>
      <c r="E10180" s="92"/>
      <c r="F10180" s="184" t="str">
        <f>$J$5</f>
        <v>8,0 % x D</v>
      </c>
      <c r="G10180" s="295"/>
      <c r="H10180" s="358">
        <f>+H10179*$K$5</f>
        <v>15274.08</v>
      </c>
      <c r="M10180" s="184" t="str">
        <f>$J$5</f>
        <v>8,0 % x D</v>
      </c>
    </row>
    <row r="10181" spans="2:13" ht="18.75" customHeight="1" x14ac:dyDescent="0.25">
      <c r="B10181" s="356" t="s">
        <v>651</v>
      </c>
      <c r="C10181" s="365" t="s">
        <v>652</v>
      </c>
      <c r="D10181" s="435"/>
      <c r="E10181" s="91"/>
      <c r="F10181" s="185"/>
      <c r="G10181" s="296"/>
      <c r="H10181" s="359">
        <f>ROUNDUP((H10180+H10179)/100,0)*100</f>
        <v>206300</v>
      </c>
      <c r="M10181" s="185"/>
    </row>
    <row r="10182" spans="2:13" ht="18.75" customHeight="1" x14ac:dyDescent="0.25">
      <c r="B10182" s="360"/>
      <c r="C10182" s="581"/>
      <c r="D10182" s="245"/>
      <c r="E10182" s="246"/>
      <c r="F10182" s="247"/>
      <c r="G10182" s="299"/>
      <c r="H10182" s="361"/>
      <c r="M10182" s="247"/>
    </row>
    <row r="10183" spans="2:13" ht="18.75" customHeight="1" x14ac:dyDescent="0.25">
      <c r="B10183" s="92"/>
      <c r="C10183" s="242"/>
      <c r="D10183" s="435"/>
      <c r="E10183" s="91"/>
      <c r="F10183" s="185"/>
      <c r="G10183" s="168"/>
      <c r="H10183" s="139"/>
      <c r="M10183" s="185"/>
    </row>
    <row r="10184" spans="2:13" ht="18.75" customHeight="1" x14ac:dyDescent="0.25">
      <c r="B10184" s="19">
        <f>+B10158+1</f>
        <v>4</v>
      </c>
      <c r="C10184" s="93" t="s">
        <v>1833</v>
      </c>
      <c r="D10184" s="19"/>
      <c r="E10184" s="21"/>
      <c r="F10184" s="176"/>
      <c r="G10184" s="165"/>
      <c r="H10184" s="119"/>
      <c r="M10184" s="176"/>
    </row>
    <row r="10185" spans="2:13" ht="18.75" customHeight="1" x14ac:dyDescent="0.25">
      <c r="B10185" s="618" t="s">
        <v>620</v>
      </c>
      <c r="C10185" s="620" t="s">
        <v>621</v>
      </c>
      <c r="D10185" s="618" t="s">
        <v>622</v>
      </c>
      <c r="E10185" s="618" t="s">
        <v>2</v>
      </c>
      <c r="F10185" s="615" t="s">
        <v>623</v>
      </c>
      <c r="G10185" s="300" t="s">
        <v>624</v>
      </c>
      <c r="H10185" s="257" t="s">
        <v>625</v>
      </c>
      <c r="M10185" s="615" t="s">
        <v>623</v>
      </c>
    </row>
    <row r="10186" spans="2:13" ht="18.75" customHeight="1" x14ac:dyDescent="0.25">
      <c r="B10186" s="619"/>
      <c r="C10186" s="621"/>
      <c r="D10186" s="619"/>
      <c r="E10186" s="619"/>
      <c r="F10186" s="616"/>
      <c r="G10186" s="585" t="s">
        <v>626</v>
      </c>
      <c r="H10186" s="586" t="s">
        <v>626</v>
      </c>
      <c r="M10186" s="616"/>
    </row>
    <row r="10187" spans="2:13" ht="18.75" customHeight="1" x14ac:dyDescent="0.25">
      <c r="B10187" s="221"/>
      <c r="C10187" s="222"/>
      <c r="D10187" s="221"/>
      <c r="E10187" s="550"/>
      <c r="F10187" s="555"/>
      <c r="G10187" s="551"/>
      <c r="H10187" s="220"/>
      <c r="M10187" s="590"/>
    </row>
    <row r="10188" spans="2:13" ht="18.75" customHeight="1" x14ac:dyDescent="0.25">
      <c r="B10188" s="550" t="s">
        <v>627</v>
      </c>
      <c r="C10188" s="223" t="s">
        <v>628</v>
      </c>
      <c r="D10188" s="550"/>
      <c r="E10188" s="224"/>
      <c r="F10188" s="225"/>
      <c r="G10188" s="290"/>
      <c r="H10188" s="226"/>
      <c r="M10188" s="225"/>
    </row>
    <row r="10189" spans="2:13" ht="18.75" customHeight="1" x14ac:dyDescent="0.25">
      <c r="B10189" s="550"/>
      <c r="C10189" s="227" t="s">
        <v>629</v>
      </c>
      <c r="D10189" s="550" t="s">
        <v>630</v>
      </c>
      <c r="E10189" s="224" t="s">
        <v>631</v>
      </c>
      <c r="F10189" s="228">
        <v>0.95</v>
      </c>
      <c r="G10189" s="229">
        <f>G10163</f>
        <v>95000</v>
      </c>
      <c r="H10189" s="230">
        <f>+G10189*F10189</f>
        <v>90250</v>
      </c>
      <c r="M10189" s="228">
        <v>0.95</v>
      </c>
    </row>
    <row r="10190" spans="2:13" ht="18.75" customHeight="1" x14ac:dyDescent="0.25">
      <c r="B10190" s="550"/>
      <c r="C10190" s="227" t="s">
        <v>1508</v>
      </c>
      <c r="D10190" s="550" t="s">
        <v>632</v>
      </c>
      <c r="E10190" s="224" t="s">
        <v>631</v>
      </c>
      <c r="F10190" s="228">
        <v>0.2</v>
      </c>
      <c r="G10190" s="229">
        <f>G10164</f>
        <v>110000</v>
      </c>
      <c r="H10190" s="230">
        <f>+G10190*F10190</f>
        <v>22000</v>
      </c>
      <c r="M10190" s="228">
        <v>0.2</v>
      </c>
    </row>
    <row r="10191" spans="2:13" ht="18.75" customHeight="1" x14ac:dyDescent="0.25">
      <c r="B10191" s="550"/>
      <c r="C10191" s="227" t="s">
        <v>633</v>
      </c>
      <c r="D10191" s="550" t="s">
        <v>634</v>
      </c>
      <c r="E10191" s="224" t="s">
        <v>631</v>
      </c>
      <c r="F10191" s="228">
        <v>3.5000000000000003E-2</v>
      </c>
      <c r="G10191" s="229">
        <f>G10165</f>
        <v>115000</v>
      </c>
      <c r="H10191" s="230">
        <f>+G10191*F10191</f>
        <v>4025.0000000000005</v>
      </c>
      <c r="M10191" s="228">
        <v>3.5000000000000003E-2</v>
      </c>
    </row>
    <row r="10192" spans="2:13" ht="18.75" customHeight="1" x14ac:dyDescent="0.25">
      <c r="B10192" s="550"/>
      <c r="C10192" s="227" t="s">
        <v>600</v>
      </c>
      <c r="D10192" s="550" t="s">
        <v>635</v>
      </c>
      <c r="E10192" s="224" t="s">
        <v>631</v>
      </c>
      <c r="F10192" s="228">
        <v>9.5000000000000001E-2</v>
      </c>
      <c r="G10192" s="229">
        <f>G10166</f>
        <v>140000</v>
      </c>
      <c r="H10192" s="230">
        <f>+G10192*F10192</f>
        <v>13300</v>
      </c>
      <c r="M10192" s="228">
        <v>9.5000000000000001E-2</v>
      </c>
    </row>
    <row r="10193" spans="2:13" ht="18.75" customHeight="1" x14ac:dyDescent="0.25">
      <c r="B10193" s="550"/>
      <c r="C10193" s="223"/>
      <c r="D10193" s="550"/>
      <c r="E10193" s="224"/>
      <c r="F10193" s="237" t="s">
        <v>636</v>
      </c>
      <c r="G10193" s="290"/>
      <c r="H10193" s="231">
        <f>SUM(H10189:H10192)</f>
        <v>129575</v>
      </c>
      <c r="M10193" s="237" t="s">
        <v>636</v>
      </c>
    </row>
    <row r="10194" spans="2:13" ht="18.75" customHeight="1" x14ac:dyDescent="0.25">
      <c r="B10194" s="550"/>
      <c r="C10194" s="223"/>
      <c r="D10194" s="550"/>
      <c r="E10194" s="224"/>
      <c r="F10194" s="237"/>
      <c r="G10194" s="290"/>
      <c r="H10194" s="231"/>
      <c r="M10194" s="237"/>
    </row>
    <row r="10195" spans="2:13" ht="18.75" customHeight="1" x14ac:dyDescent="0.25">
      <c r="B10195" s="550" t="s">
        <v>637</v>
      </c>
      <c r="C10195" s="223" t="s">
        <v>638</v>
      </c>
      <c r="D10195" s="550"/>
      <c r="E10195" s="224"/>
      <c r="F10195" s="225"/>
      <c r="G10195" s="290"/>
      <c r="H10195" s="226"/>
      <c r="M10195" s="225"/>
    </row>
    <row r="10196" spans="2:13" ht="18.75" customHeight="1" x14ac:dyDescent="0.25">
      <c r="B10196" s="550"/>
      <c r="C10196" s="232" t="s">
        <v>1417</v>
      </c>
      <c r="D10196" s="550"/>
      <c r="E10196" s="550" t="s">
        <v>14</v>
      </c>
      <c r="F10196" s="233">
        <v>1</v>
      </c>
      <c r="G10196" s="234">
        <f>Bahan!D382</f>
        <v>56000</v>
      </c>
      <c r="H10196" s="235">
        <f>G10196*F10196</f>
        <v>56000</v>
      </c>
      <c r="M10196" s="233">
        <v>1</v>
      </c>
    </row>
    <row r="10197" spans="2:13" ht="18.75" customHeight="1" x14ac:dyDescent="0.25">
      <c r="B10197" s="550"/>
      <c r="C10197" s="232" t="s">
        <v>1416</v>
      </c>
      <c r="D10197" s="550"/>
      <c r="E10197" s="550" t="s">
        <v>5</v>
      </c>
      <c r="F10197" s="233">
        <v>0.45</v>
      </c>
      <c r="G10197" s="234">
        <f>G10171</f>
        <v>1700</v>
      </c>
      <c r="H10197" s="230">
        <f>+G10197*F10197</f>
        <v>765</v>
      </c>
      <c r="M10197" s="233">
        <v>0.45</v>
      </c>
    </row>
    <row r="10198" spans="2:13" ht="18.75" customHeight="1" x14ac:dyDescent="0.25">
      <c r="B10198" s="550"/>
      <c r="C10198" s="232" t="s">
        <v>661</v>
      </c>
      <c r="D10198" s="550"/>
      <c r="E10198" s="550" t="s">
        <v>8</v>
      </c>
      <c r="F10198" s="233">
        <v>2.3E-3</v>
      </c>
      <c r="G10198" s="234">
        <f>G10172</f>
        <v>230000</v>
      </c>
      <c r="H10198" s="230">
        <f>G10198*F10198</f>
        <v>529</v>
      </c>
      <c r="M10198" s="233">
        <v>2.3E-3</v>
      </c>
    </row>
    <row r="10199" spans="2:13" ht="18.75" customHeight="1" x14ac:dyDescent="0.25">
      <c r="B10199" s="550"/>
      <c r="C10199" s="223"/>
      <c r="D10199" s="550"/>
      <c r="E10199" s="224"/>
      <c r="F10199" s="237" t="s">
        <v>643</v>
      </c>
      <c r="G10199" s="290"/>
      <c r="H10199" s="231">
        <f>SUM(H10196:H10198)</f>
        <v>57294</v>
      </c>
      <c r="M10199" s="237" t="s">
        <v>643</v>
      </c>
    </row>
    <row r="10200" spans="2:13" ht="18.75" customHeight="1" x14ac:dyDescent="0.25">
      <c r="B10200" s="550"/>
      <c r="C10200" s="223"/>
      <c r="D10200" s="550"/>
      <c r="E10200" s="224"/>
      <c r="F10200" s="225"/>
      <c r="G10200" s="290"/>
      <c r="H10200" s="226"/>
      <c r="M10200" s="225"/>
    </row>
    <row r="10201" spans="2:13" ht="18.75" customHeight="1" x14ac:dyDescent="0.25">
      <c r="B10201" s="550" t="s">
        <v>644</v>
      </c>
      <c r="C10201" s="223" t="s">
        <v>645</v>
      </c>
      <c r="D10201" s="550"/>
      <c r="E10201" s="224"/>
      <c r="F10201" s="225"/>
      <c r="G10201" s="290"/>
      <c r="H10201" s="235">
        <f>+G10201*F10201</f>
        <v>0</v>
      </c>
      <c r="M10201" s="225"/>
    </row>
    <row r="10202" spans="2:13" ht="18.75" customHeight="1" x14ac:dyDescent="0.25">
      <c r="B10202" s="236"/>
      <c r="C10202" s="232"/>
      <c r="D10202" s="550"/>
      <c r="E10202" s="224"/>
      <c r="F10202" s="237" t="s">
        <v>646</v>
      </c>
      <c r="G10202" s="290"/>
      <c r="H10202" s="230">
        <f>SUM(H10201)</f>
        <v>0</v>
      </c>
      <c r="M10202" s="237" t="s">
        <v>646</v>
      </c>
    </row>
    <row r="10203" spans="2:13" ht="18.75" customHeight="1" x14ac:dyDescent="0.25">
      <c r="B10203" s="236"/>
      <c r="C10203" s="232"/>
      <c r="D10203" s="550"/>
      <c r="E10203" s="224"/>
      <c r="F10203" s="237"/>
      <c r="G10203" s="290"/>
      <c r="H10203" s="226"/>
      <c r="M10203" s="237"/>
    </row>
    <row r="10204" spans="2:13" ht="18.75" customHeight="1" x14ac:dyDescent="0.25">
      <c r="B10204" s="354"/>
      <c r="C10204" s="362"/>
      <c r="D10204" s="239"/>
      <c r="E10204" s="266"/>
      <c r="F10204" s="241"/>
      <c r="G10204" s="370"/>
      <c r="H10204" s="369"/>
      <c r="M10204" s="241"/>
    </row>
    <row r="10205" spans="2:13" ht="18.75" customHeight="1" x14ac:dyDescent="0.25">
      <c r="B10205" s="356" t="s">
        <v>647</v>
      </c>
      <c r="C10205" s="364" t="s">
        <v>648</v>
      </c>
      <c r="D10205" s="435"/>
      <c r="E10205" s="92"/>
      <c r="F10205" s="183"/>
      <c r="G10205" s="295"/>
      <c r="H10205" s="357">
        <f>+H10202+H10199+H10193</f>
        <v>186869</v>
      </c>
      <c r="M10205" s="183"/>
    </row>
    <row r="10206" spans="2:13" ht="18.75" customHeight="1" x14ac:dyDescent="0.25">
      <c r="B10206" s="356" t="s">
        <v>649</v>
      </c>
      <c r="C10206" s="364" t="s">
        <v>650</v>
      </c>
      <c r="D10206" s="435"/>
      <c r="E10206" s="92"/>
      <c r="F10206" s="184" t="str">
        <f>$J$5</f>
        <v>8,0 % x D</v>
      </c>
      <c r="G10206" s="295"/>
      <c r="H10206" s="358">
        <f>+H10205*$K$5</f>
        <v>14949.52</v>
      </c>
      <c r="M10206" s="184" t="str">
        <f>$J$5</f>
        <v>8,0 % x D</v>
      </c>
    </row>
    <row r="10207" spans="2:13" ht="18.75" customHeight="1" x14ac:dyDescent="0.25">
      <c r="B10207" s="356" t="s">
        <v>651</v>
      </c>
      <c r="C10207" s="365" t="s">
        <v>652</v>
      </c>
      <c r="D10207" s="435"/>
      <c r="E10207" s="91"/>
      <c r="F10207" s="185"/>
      <c r="G10207" s="296"/>
      <c r="H10207" s="359">
        <f>ROUNDUP((H10206+H10205)/100,0)*100</f>
        <v>201900</v>
      </c>
      <c r="M10207" s="185"/>
    </row>
    <row r="10208" spans="2:13" ht="18.75" customHeight="1" x14ac:dyDescent="0.25">
      <c r="B10208" s="360"/>
      <c r="C10208" s="581"/>
      <c r="D10208" s="245"/>
      <c r="E10208" s="246"/>
      <c r="F10208" s="247"/>
      <c r="G10208" s="299"/>
      <c r="H10208" s="361"/>
      <c r="M10208" s="247"/>
    </row>
    <row r="10209" spans="2:13" ht="18.75" customHeight="1" x14ac:dyDescent="0.25">
      <c r="B10209" s="22"/>
      <c r="E10209" s="21"/>
      <c r="F10209" s="176"/>
      <c r="G10209" s="165"/>
      <c r="H10209" s="119"/>
      <c r="M10209" s="176"/>
    </row>
    <row r="10210" spans="2:13" ht="18.75" customHeight="1" x14ac:dyDescent="0.25">
      <c r="B10210" s="19">
        <f>+B10184+1</f>
        <v>5</v>
      </c>
      <c r="C10210" s="93" t="s">
        <v>1418</v>
      </c>
      <c r="D10210" s="19"/>
      <c r="E10210" s="21"/>
      <c r="F10210" s="176"/>
      <c r="G10210" s="165"/>
      <c r="H10210" s="119"/>
      <c r="M10210" s="176"/>
    </row>
    <row r="10211" spans="2:13" ht="18.75" customHeight="1" x14ac:dyDescent="0.25">
      <c r="B10211" s="618" t="s">
        <v>620</v>
      </c>
      <c r="C10211" s="620" t="s">
        <v>621</v>
      </c>
      <c r="D10211" s="618" t="s">
        <v>622</v>
      </c>
      <c r="E10211" s="618" t="s">
        <v>2</v>
      </c>
      <c r="F10211" s="615" t="s">
        <v>623</v>
      </c>
      <c r="G10211" s="300" t="s">
        <v>624</v>
      </c>
      <c r="H10211" s="257" t="s">
        <v>625</v>
      </c>
      <c r="M10211" s="615" t="s">
        <v>623</v>
      </c>
    </row>
    <row r="10212" spans="2:13" ht="18.75" customHeight="1" x14ac:dyDescent="0.25">
      <c r="B10212" s="619"/>
      <c r="C10212" s="621"/>
      <c r="D10212" s="619"/>
      <c r="E10212" s="619"/>
      <c r="F10212" s="616"/>
      <c r="G10212" s="585" t="s">
        <v>626</v>
      </c>
      <c r="H10212" s="586" t="s">
        <v>626</v>
      </c>
      <c r="M10212" s="616"/>
    </row>
    <row r="10213" spans="2:13" ht="18.75" customHeight="1" x14ac:dyDescent="0.25">
      <c r="B10213" s="221"/>
      <c r="C10213" s="222"/>
      <c r="D10213" s="221"/>
      <c r="E10213" s="550"/>
      <c r="F10213" s="555"/>
      <c r="G10213" s="551"/>
      <c r="H10213" s="220"/>
      <c r="M10213" s="590"/>
    </row>
    <row r="10214" spans="2:13" ht="18.75" customHeight="1" x14ac:dyDescent="0.25">
      <c r="B10214" s="550" t="s">
        <v>627</v>
      </c>
      <c r="C10214" s="223" t="s">
        <v>628</v>
      </c>
      <c r="D10214" s="550"/>
      <c r="E10214" s="224"/>
      <c r="F10214" s="225"/>
      <c r="G10214" s="290"/>
      <c r="H10214" s="226"/>
      <c r="M10214" s="225"/>
    </row>
    <row r="10215" spans="2:13" ht="18.75" customHeight="1" x14ac:dyDescent="0.25">
      <c r="B10215" s="550"/>
      <c r="C10215" s="227" t="s">
        <v>629</v>
      </c>
      <c r="D10215" s="550" t="s">
        <v>630</v>
      </c>
      <c r="E10215" s="224" t="s">
        <v>631</v>
      </c>
      <c r="F10215" s="228">
        <v>0.15</v>
      </c>
      <c r="G10215" s="229">
        <f>G10189</f>
        <v>95000</v>
      </c>
      <c r="H10215" s="230">
        <f>+G10215*F10215</f>
        <v>14250</v>
      </c>
      <c r="M10215" s="228">
        <v>0.15</v>
      </c>
    </row>
    <row r="10216" spans="2:13" ht="18.75" customHeight="1" x14ac:dyDescent="0.25">
      <c r="B10216" s="550"/>
      <c r="C10216" s="227" t="s">
        <v>1508</v>
      </c>
      <c r="D10216" s="550" t="s">
        <v>632</v>
      </c>
      <c r="E10216" s="224" t="s">
        <v>631</v>
      </c>
      <c r="F10216" s="228">
        <v>0.03</v>
      </c>
      <c r="G10216" s="229">
        <f>G10190</f>
        <v>110000</v>
      </c>
      <c r="H10216" s="230">
        <f>+G10216*F10216</f>
        <v>3300</v>
      </c>
      <c r="M10216" s="228">
        <v>0.03</v>
      </c>
    </row>
    <row r="10217" spans="2:13" ht="18.75" customHeight="1" x14ac:dyDescent="0.25">
      <c r="B10217" s="550"/>
      <c r="C10217" s="227" t="s">
        <v>633</v>
      </c>
      <c r="D10217" s="550" t="s">
        <v>634</v>
      </c>
      <c r="E10217" s="224" t="s">
        <v>631</v>
      </c>
      <c r="F10217" s="228">
        <v>3.0000000000000001E-3</v>
      </c>
      <c r="G10217" s="229">
        <f>G10191</f>
        <v>115000</v>
      </c>
      <c r="H10217" s="230">
        <f>+G10217*F10217</f>
        <v>345</v>
      </c>
      <c r="M10217" s="228">
        <v>3.0000000000000001E-3</v>
      </c>
    </row>
    <row r="10218" spans="2:13" ht="18.75" customHeight="1" x14ac:dyDescent="0.25">
      <c r="B10218" s="550"/>
      <c r="C10218" s="227" t="s">
        <v>600</v>
      </c>
      <c r="D10218" s="550" t="s">
        <v>635</v>
      </c>
      <c r="E10218" s="224" t="s">
        <v>631</v>
      </c>
      <c r="F10218" s="228">
        <v>1.4999999999999999E-2</v>
      </c>
      <c r="G10218" s="229">
        <f>G10192</f>
        <v>140000</v>
      </c>
      <c r="H10218" s="230">
        <f>+G10218*F10218</f>
        <v>2100</v>
      </c>
      <c r="M10218" s="228">
        <v>1.4999999999999999E-2</v>
      </c>
    </row>
    <row r="10219" spans="2:13" ht="18.75" customHeight="1" x14ac:dyDescent="0.25">
      <c r="B10219" s="550"/>
      <c r="C10219" s="223"/>
      <c r="D10219" s="550"/>
      <c r="E10219" s="224"/>
      <c r="F10219" s="237" t="s">
        <v>636</v>
      </c>
      <c r="G10219" s="290"/>
      <c r="H10219" s="231">
        <f>SUM(H10215:H10218)</f>
        <v>19995</v>
      </c>
      <c r="M10219" s="237" t="s">
        <v>636</v>
      </c>
    </row>
    <row r="10220" spans="2:13" ht="18.75" customHeight="1" x14ac:dyDescent="0.25">
      <c r="B10220" s="550"/>
      <c r="C10220" s="223"/>
      <c r="D10220" s="550"/>
      <c r="E10220" s="224"/>
      <c r="F10220" s="237"/>
      <c r="G10220" s="290"/>
      <c r="H10220" s="231"/>
      <c r="M10220" s="237"/>
    </row>
    <row r="10221" spans="2:13" ht="18.75" customHeight="1" x14ac:dyDescent="0.25">
      <c r="B10221" s="550" t="s">
        <v>637</v>
      </c>
      <c r="C10221" s="223" t="s">
        <v>638</v>
      </c>
      <c r="D10221" s="550"/>
      <c r="E10221" s="224"/>
      <c r="F10221" s="225"/>
      <c r="G10221" s="290"/>
      <c r="H10221" s="226"/>
      <c r="M10221" s="225"/>
    </row>
    <row r="10222" spans="2:13" ht="18.75" customHeight="1" x14ac:dyDescent="0.25">
      <c r="B10222" s="550"/>
      <c r="C10222" s="232" t="s">
        <v>1419</v>
      </c>
      <c r="D10222" s="550"/>
      <c r="E10222" s="550" t="s">
        <v>62</v>
      </c>
      <c r="F10222" s="233">
        <v>0.28399999999999997</v>
      </c>
      <c r="G10222" s="234">
        <f>Bahan!D192</f>
        <v>115000</v>
      </c>
      <c r="H10222" s="235">
        <f>G10222*F10222</f>
        <v>32659.999999999996</v>
      </c>
      <c r="M10222" s="233">
        <v>0.28399999999999997</v>
      </c>
    </row>
    <row r="10223" spans="2:13" ht="18.75" customHeight="1" x14ac:dyDescent="0.25">
      <c r="B10223" s="550"/>
      <c r="C10223" s="232" t="s">
        <v>591</v>
      </c>
      <c r="D10223" s="550"/>
      <c r="E10223" s="550" t="s">
        <v>62</v>
      </c>
      <c r="F10223" s="233">
        <v>7.0999999999999994E-2</v>
      </c>
      <c r="G10223" s="234">
        <f>Bahan!D199</f>
        <v>31000</v>
      </c>
      <c r="H10223" s="235">
        <f>G10223*12/100</f>
        <v>3720</v>
      </c>
      <c r="M10223" s="233">
        <v>7.0999999999999994E-2</v>
      </c>
    </row>
    <row r="10224" spans="2:13" ht="18.75" customHeight="1" x14ac:dyDescent="0.25">
      <c r="B10224" s="550"/>
      <c r="C10224" s="223"/>
      <c r="D10224" s="550"/>
      <c r="E10224" s="224"/>
      <c r="F10224" s="237" t="s">
        <v>643</v>
      </c>
      <c r="G10224" s="290"/>
      <c r="H10224" s="231">
        <f>SUM(H10222:H10223)</f>
        <v>36380</v>
      </c>
      <c r="M10224" s="237" t="s">
        <v>643</v>
      </c>
    </row>
    <row r="10225" spans="2:13" ht="18.75" customHeight="1" x14ac:dyDescent="0.25">
      <c r="B10225" s="550"/>
      <c r="C10225" s="223"/>
      <c r="D10225" s="550"/>
      <c r="E10225" s="224"/>
      <c r="F10225" s="225"/>
      <c r="G10225" s="290"/>
      <c r="H10225" s="226"/>
      <c r="M10225" s="225"/>
    </row>
    <row r="10226" spans="2:13" ht="18.75" customHeight="1" x14ac:dyDescent="0.25">
      <c r="B10226" s="550" t="s">
        <v>644</v>
      </c>
      <c r="C10226" s="223" t="s">
        <v>645</v>
      </c>
      <c r="D10226" s="550"/>
      <c r="E10226" s="224"/>
      <c r="F10226" s="225"/>
      <c r="G10226" s="290"/>
      <c r="H10226" s="235">
        <f>+G10226*F10226</f>
        <v>0</v>
      </c>
      <c r="M10226" s="225"/>
    </row>
    <row r="10227" spans="2:13" ht="18.75" customHeight="1" x14ac:dyDescent="0.25">
      <c r="B10227" s="236"/>
      <c r="C10227" s="232"/>
      <c r="D10227" s="550"/>
      <c r="E10227" s="224"/>
      <c r="F10227" s="237" t="s">
        <v>646</v>
      </c>
      <c r="G10227" s="290"/>
      <c r="H10227" s="230">
        <f>SUM(H10226)</f>
        <v>0</v>
      </c>
      <c r="M10227" s="237" t="s">
        <v>646</v>
      </c>
    </row>
    <row r="10228" spans="2:13" ht="18.75" customHeight="1" x14ac:dyDescent="0.25">
      <c r="B10228" s="236"/>
      <c r="C10228" s="232"/>
      <c r="D10228" s="550"/>
      <c r="E10228" s="224"/>
      <c r="F10228" s="237"/>
      <c r="G10228" s="290"/>
      <c r="H10228" s="226"/>
      <c r="M10228" s="237"/>
    </row>
    <row r="10229" spans="2:13" ht="18.75" customHeight="1" x14ac:dyDescent="0.25">
      <c r="B10229" s="354"/>
      <c r="C10229" s="362"/>
      <c r="D10229" s="239"/>
      <c r="E10229" s="266"/>
      <c r="F10229" s="241"/>
      <c r="G10229" s="370"/>
      <c r="H10229" s="369"/>
      <c r="M10229" s="241"/>
    </row>
    <row r="10230" spans="2:13" ht="18.75" customHeight="1" x14ac:dyDescent="0.25">
      <c r="B10230" s="356" t="s">
        <v>647</v>
      </c>
      <c r="C10230" s="364" t="s">
        <v>648</v>
      </c>
      <c r="D10230" s="435"/>
      <c r="E10230" s="92"/>
      <c r="F10230" s="183"/>
      <c r="G10230" s="295"/>
      <c r="H10230" s="357">
        <f>+H10227+H10224+H10219</f>
        <v>56375</v>
      </c>
      <c r="M10230" s="183"/>
    </row>
    <row r="10231" spans="2:13" ht="18.75" customHeight="1" x14ac:dyDescent="0.25">
      <c r="B10231" s="356" t="s">
        <v>649</v>
      </c>
      <c r="C10231" s="364" t="s">
        <v>650</v>
      </c>
      <c r="D10231" s="435"/>
      <c r="E10231" s="92"/>
      <c r="F10231" s="184" t="str">
        <f>$J$5</f>
        <v>8,0 % x D</v>
      </c>
      <c r="G10231" s="295"/>
      <c r="H10231" s="358">
        <f>+H10230*$K$5</f>
        <v>4510</v>
      </c>
      <c r="M10231" s="184" t="str">
        <f>$J$5</f>
        <v>8,0 % x D</v>
      </c>
    </row>
    <row r="10232" spans="2:13" ht="18.75" customHeight="1" x14ac:dyDescent="0.25">
      <c r="B10232" s="356" t="s">
        <v>651</v>
      </c>
      <c r="C10232" s="365" t="s">
        <v>652</v>
      </c>
      <c r="D10232" s="435"/>
      <c r="E10232" s="91"/>
      <c r="F10232" s="185"/>
      <c r="G10232" s="296"/>
      <c r="H10232" s="359">
        <f>ROUNDUP((H10231+H10230)/100,0)*100</f>
        <v>60900</v>
      </c>
      <c r="M10232" s="185"/>
    </row>
    <row r="10233" spans="2:13" ht="18.75" customHeight="1" x14ac:dyDescent="0.25">
      <c r="B10233" s="360"/>
      <c r="C10233" s="581"/>
      <c r="D10233" s="245"/>
      <c r="E10233" s="246"/>
      <c r="F10233" s="247"/>
      <c r="G10233" s="299"/>
      <c r="H10233" s="361"/>
      <c r="M10233" s="247"/>
    </row>
    <row r="10234" spans="2:13" ht="18.75" customHeight="1" x14ac:dyDescent="0.25">
      <c r="B10234" s="92"/>
      <c r="C10234" s="242"/>
      <c r="D10234" s="435"/>
      <c r="E10234" s="91"/>
      <c r="F10234" s="185"/>
      <c r="G10234" s="168"/>
      <c r="H10234" s="139"/>
      <c r="M10234" s="185"/>
    </row>
    <row r="10235" spans="2:13" ht="18.75" customHeight="1" x14ac:dyDescent="0.25">
      <c r="B10235" s="19">
        <f>+B10210+1</f>
        <v>6</v>
      </c>
      <c r="C10235" s="93" t="s">
        <v>1420</v>
      </c>
      <c r="D10235" s="19"/>
      <c r="E10235" s="21"/>
      <c r="F10235" s="176"/>
      <c r="G10235" s="165"/>
      <c r="H10235" s="119"/>
      <c r="M10235" s="176"/>
    </row>
    <row r="10236" spans="2:13" ht="18.75" customHeight="1" x14ac:dyDescent="0.25">
      <c r="B10236" s="618" t="s">
        <v>620</v>
      </c>
      <c r="C10236" s="620" t="s">
        <v>621</v>
      </c>
      <c r="D10236" s="618" t="s">
        <v>622</v>
      </c>
      <c r="E10236" s="618" t="s">
        <v>2</v>
      </c>
      <c r="F10236" s="615" t="s">
        <v>623</v>
      </c>
      <c r="G10236" s="300" t="s">
        <v>624</v>
      </c>
      <c r="H10236" s="257" t="s">
        <v>625</v>
      </c>
      <c r="M10236" s="615" t="s">
        <v>623</v>
      </c>
    </row>
    <row r="10237" spans="2:13" ht="18.75" customHeight="1" x14ac:dyDescent="0.25">
      <c r="B10237" s="619"/>
      <c r="C10237" s="621"/>
      <c r="D10237" s="619"/>
      <c r="E10237" s="619"/>
      <c r="F10237" s="616"/>
      <c r="G10237" s="585" t="s">
        <v>626</v>
      </c>
      <c r="H10237" s="586" t="s">
        <v>626</v>
      </c>
      <c r="M10237" s="616"/>
    </row>
    <row r="10238" spans="2:13" ht="18.75" customHeight="1" x14ac:dyDescent="0.25">
      <c r="B10238" s="221"/>
      <c r="C10238" s="222"/>
      <c r="D10238" s="221"/>
      <c r="E10238" s="550"/>
      <c r="F10238" s="555"/>
      <c r="G10238" s="551"/>
      <c r="H10238" s="220"/>
      <c r="M10238" s="590"/>
    </row>
    <row r="10239" spans="2:13" ht="18.75" customHeight="1" x14ac:dyDescent="0.25">
      <c r="B10239" s="550" t="s">
        <v>627</v>
      </c>
      <c r="C10239" s="223" t="s">
        <v>628</v>
      </c>
      <c r="D10239" s="550"/>
      <c r="E10239" s="224"/>
      <c r="F10239" s="225"/>
      <c r="G10239" s="290"/>
      <c r="H10239" s="226"/>
      <c r="M10239" s="225"/>
    </row>
    <row r="10240" spans="2:13" ht="18.75" customHeight="1" x14ac:dyDescent="0.25">
      <c r="B10240" s="550"/>
      <c r="C10240" s="227" t="s">
        <v>629</v>
      </c>
      <c r="D10240" s="550" t="s">
        <v>630</v>
      </c>
      <c r="E10240" s="224" t="s">
        <v>631</v>
      </c>
      <c r="F10240" s="228">
        <v>0.15</v>
      </c>
      <c r="G10240" s="229">
        <f>G10215</f>
        <v>95000</v>
      </c>
      <c r="H10240" s="230">
        <f>+G10240*F10240</f>
        <v>14250</v>
      </c>
      <c r="M10240" s="228">
        <v>0.15</v>
      </c>
    </row>
    <row r="10241" spans="2:13" ht="18.75" customHeight="1" x14ac:dyDescent="0.25">
      <c r="B10241" s="550"/>
      <c r="C10241" s="227" t="s">
        <v>1508</v>
      </c>
      <c r="D10241" s="550" t="s">
        <v>632</v>
      </c>
      <c r="E10241" s="224" t="s">
        <v>631</v>
      </c>
      <c r="F10241" s="228">
        <v>0.03</v>
      </c>
      <c r="G10241" s="229">
        <f t="shared" ref="G10241:G10243" si="359">G10216</f>
        <v>110000</v>
      </c>
      <c r="H10241" s="230">
        <f>+G10241*F10241</f>
        <v>3300</v>
      </c>
      <c r="M10241" s="228">
        <v>0.03</v>
      </c>
    </row>
    <row r="10242" spans="2:13" ht="18.75" customHeight="1" x14ac:dyDescent="0.25">
      <c r="B10242" s="550"/>
      <c r="C10242" s="227" t="s">
        <v>633</v>
      </c>
      <c r="D10242" s="550" t="s">
        <v>634</v>
      </c>
      <c r="E10242" s="224" t="s">
        <v>631</v>
      </c>
      <c r="F10242" s="228">
        <v>3.0000000000000001E-3</v>
      </c>
      <c r="G10242" s="229">
        <f t="shared" si="359"/>
        <v>115000</v>
      </c>
      <c r="H10242" s="230">
        <f>+G10242*F10242</f>
        <v>345</v>
      </c>
      <c r="M10242" s="228">
        <v>3.0000000000000001E-3</v>
      </c>
    </row>
    <row r="10243" spans="2:13" ht="18.75" customHeight="1" x14ac:dyDescent="0.25">
      <c r="B10243" s="550"/>
      <c r="C10243" s="227" t="s">
        <v>600</v>
      </c>
      <c r="D10243" s="550" t="s">
        <v>635</v>
      </c>
      <c r="E10243" s="224" t="s">
        <v>631</v>
      </c>
      <c r="F10243" s="228">
        <v>1.4999999999999999E-2</v>
      </c>
      <c r="G10243" s="229">
        <f t="shared" si="359"/>
        <v>140000</v>
      </c>
      <c r="H10243" s="230">
        <f>+G10243*F10243</f>
        <v>2100</v>
      </c>
      <c r="M10243" s="228">
        <v>1.4999999999999999E-2</v>
      </c>
    </row>
    <row r="10244" spans="2:13" ht="18.75" customHeight="1" x14ac:dyDescent="0.25">
      <c r="B10244" s="550"/>
      <c r="C10244" s="223"/>
      <c r="D10244" s="550"/>
      <c r="E10244" s="224"/>
      <c r="F10244" s="237" t="s">
        <v>636</v>
      </c>
      <c r="G10244" s="290"/>
      <c r="H10244" s="231">
        <f>SUM(H10240:H10243)</f>
        <v>19995</v>
      </c>
      <c r="M10244" s="237" t="s">
        <v>636</v>
      </c>
    </row>
    <row r="10245" spans="2:13" ht="18.75" customHeight="1" x14ac:dyDescent="0.25">
      <c r="B10245" s="550"/>
      <c r="C10245" s="223"/>
      <c r="D10245" s="550"/>
      <c r="E10245" s="224"/>
      <c r="F10245" s="237"/>
      <c r="G10245" s="290"/>
      <c r="H10245" s="231"/>
      <c r="M10245" s="237"/>
    </row>
    <row r="10246" spans="2:13" ht="18.75" customHeight="1" x14ac:dyDescent="0.25">
      <c r="B10246" s="550" t="s">
        <v>637</v>
      </c>
      <c r="C10246" s="223" t="s">
        <v>638</v>
      </c>
      <c r="D10246" s="550"/>
      <c r="E10246" s="224"/>
      <c r="F10246" s="225"/>
      <c r="G10246" s="290"/>
      <c r="H10246" s="226"/>
      <c r="M10246" s="225"/>
    </row>
    <row r="10247" spans="2:13" ht="18.75" customHeight="1" x14ac:dyDescent="0.25">
      <c r="B10247" s="550"/>
      <c r="C10247" s="232" t="s">
        <v>1419</v>
      </c>
      <c r="D10247" s="550"/>
      <c r="E10247" s="550" t="s">
        <v>62</v>
      </c>
      <c r="F10247" s="233">
        <v>0.28399999999999997</v>
      </c>
      <c r="G10247" s="234">
        <f>Bahan!D205</f>
        <v>59000</v>
      </c>
      <c r="H10247" s="235">
        <f>G10247*F10247</f>
        <v>16756</v>
      </c>
      <c r="M10247" s="233">
        <v>0.28399999999999997</v>
      </c>
    </row>
    <row r="10248" spans="2:13" ht="18.75" customHeight="1" x14ac:dyDescent="0.25">
      <c r="B10248" s="550"/>
      <c r="C10248" s="232" t="s">
        <v>591</v>
      </c>
      <c r="D10248" s="550"/>
      <c r="E10248" s="550" t="s">
        <v>62</v>
      </c>
      <c r="F10248" s="233">
        <v>7.0999999999999994E-2</v>
      </c>
      <c r="G10248" s="234">
        <f>G10223</f>
        <v>31000</v>
      </c>
      <c r="H10248" s="235">
        <f>G10248*12/100</f>
        <v>3720</v>
      </c>
      <c r="M10248" s="233">
        <v>7.0999999999999994E-2</v>
      </c>
    </row>
    <row r="10249" spans="2:13" ht="18.75" customHeight="1" x14ac:dyDescent="0.25">
      <c r="B10249" s="550"/>
      <c r="C10249" s="223"/>
      <c r="D10249" s="550"/>
      <c r="E10249" s="224"/>
      <c r="F10249" s="237" t="s">
        <v>643</v>
      </c>
      <c r="G10249" s="290"/>
      <c r="H10249" s="231">
        <f>SUM(H10247:H10248)</f>
        <v>20476</v>
      </c>
      <c r="M10249" s="237" t="s">
        <v>643</v>
      </c>
    </row>
    <row r="10250" spans="2:13" ht="18.75" customHeight="1" x14ac:dyDescent="0.25">
      <c r="B10250" s="550"/>
      <c r="C10250" s="223"/>
      <c r="D10250" s="550"/>
      <c r="E10250" s="224"/>
      <c r="F10250" s="225"/>
      <c r="G10250" s="290"/>
      <c r="H10250" s="226"/>
      <c r="M10250" s="225"/>
    </row>
    <row r="10251" spans="2:13" ht="18.75" customHeight="1" x14ac:dyDescent="0.25">
      <c r="B10251" s="550" t="s">
        <v>644</v>
      </c>
      <c r="C10251" s="223" t="s">
        <v>645</v>
      </c>
      <c r="D10251" s="550"/>
      <c r="E10251" s="224"/>
      <c r="F10251" s="225"/>
      <c r="G10251" s="290"/>
      <c r="H10251" s="235">
        <f>+G10251*F10251</f>
        <v>0</v>
      </c>
      <c r="M10251" s="225"/>
    </row>
    <row r="10252" spans="2:13" ht="18.75" customHeight="1" x14ac:dyDescent="0.25">
      <c r="B10252" s="236"/>
      <c r="C10252" s="232"/>
      <c r="D10252" s="550"/>
      <c r="E10252" s="224"/>
      <c r="F10252" s="237" t="s">
        <v>646</v>
      </c>
      <c r="G10252" s="290"/>
      <c r="H10252" s="230">
        <f>SUM(H10251)</f>
        <v>0</v>
      </c>
      <c r="M10252" s="237" t="s">
        <v>646</v>
      </c>
    </row>
    <row r="10253" spans="2:13" ht="18.75" customHeight="1" x14ac:dyDescent="0.25">
      <c r="B10253" s="236"/>
      <c r="C10253" s="232"/>
      <c r="D10253" s="550"/>
      <c r="E10253" s="224"/>
      <c r="F10253" s="237"/>
      <c r="G10253" s="290"/>
      <c r="H10253" s="226"/>
      <c r="M10253" s="237"/>
    </row>
    <row r="10254" spans="2:13" ht="18.75" customHeight="1" x14ac:dyDescent="0.25">
      <c r="B10254" s="354"/>
      <c r="C10254" s="362"/>
      <c r="D10254" s="239"/>
      <c r="E10254" s="266"/>
      <c r="F10254" s="241"/>
      <c r="G10254" s="370"/>
      <c r="H10254" s="369"/>
      <c r="M10254" s="241"/>
    </row>
    <row r="10255" spans="2:13" ht="18.75" customHeight="1" x14ac:dyDescent="0.25">
      <c r="B10255" s="356" t="s">
        <v>647</v>
      </c>
      <c r="C10255" s="364" t="s">
        <v>648</v>
      </c>
      <c r="D10255" s="435"/>
      <c r="E10255" s="92"/>
      <c r="F10255" s="183"/>
      <c r="G10255" s="295"/>
      <c r="H10255" s="357">
        <f>+H10252+H10249+H10244</f>
        <v>40471</v>
      </c>
      <c r="M10255" s="183"/>
    </row>
    <row r="10256" spans="2:13" ht="18.75" customHeight="1" x14ac:dyDescent="0.25">
      <c r="B10256" s="356" t="s">
        <v>649</v>
      </c>
      <c r="C10256" s="364" t="s">
        <v>650</v>
      </c>
      <c r="D10256" s="435"/>
      <c r="E10256" s="92"/>
      <c r="F10256" s="184" t="str">
        <f>$J$5</f>
        <v>8,0 % x D</v>
      </c>
      <c r="G10256" s="295"/>
      <c r="H10256" s="358">
        <f>+H10255*$K$5</f>
        <v>3237.6800000000003</v>
      </c>
      <c r="M10256" s="184" t="str">
        <f>$J$5</f>
        <v>8,0 % x D</v>
      </c>
    </row>
    <row r="10257" spans="1:13" ht="18.75" customHeight="1" x14ac:dyDescent="0.25">
      <c r="B10257" s="356" t="s">
        <v>651</v>
      </c>
      <c r="C10257" s="365" t="s">
        <v>652</v>
      </c>
      <c r="D10257" s="435"/>
      <c r="E10257" s="91"/>
      <c r="F10257" s="185"/>
      <c r="G10257" s="296"/>
      <c r="H10257" s="359">
        <f>ROUNDUP((H10256+H10255)/100,0)*100</f>
        <v>43800</v>
      </c>
      <c r="M10257" s="185"/>
    </row>
    <row r="10258" spans="1:13" ht="18.75" customHeight="1" x14ac:dyDescent="0.25">
      <c r="B10258" s="360"/>
      <c r="C10258" s="581"/>
      <c r="D10258" s="245"/>
      <c r="E10258" s="246"/>
      <c r="F10258" s="247"/>
      <c r="G10258" s="299"/>
      <c r="H10258" s="361"/>
      <c r="M10258" s="247"/>
    </row>
    <row r="10259" spans="1:13" ht="18.75" customHeight="1" x14ac:dyDescent="0.25">
      <c r="B10259" s="92"/>
      <c r="C10259" s="242"/>
      <c r="D10259" s="435"/>
      <c r="E10259" s="91"/>
      <c r="F10259" s="185"/>
      <c r="G10259" s="168"/>
      <c r="H10259" s="139"/>
      <c r="M10259" s="185"/>
    </row>
    <row r="10260" spans="1:13" ht="18.75" customHeight="1" x14ac:dyDescent="0.25">
      <c r="B10260" s="22"/>
      <c r="E10260" s="21"/>
      <c r="F10260" s="176"/>
      <c r="G10260" s="165"/>
      <c r="H10260" s="119"/>
      <c r="M10260" s="176"/>
    </row>
    <row r="10261" spans="1:13" ht="18.75" customHeight="1" x14ac:dyDescent="0.25">
      <c r="A10261" s="395" t="s">
        <v>1421</v>
      </c>
      <c r="B10261" s="396" t="s">
        <v>1422</v>
      </c>
      <c r="C10261" s="395"/>
      <c r="D10261" s="397"/>
      <c r="E10261" s="398"/>
      <c r="F10261" s="399"/>
      <c r="G10261" s="400"/>
      <c r="H10261" s="394"/>
      <c r="M10261" s="399"/>
    </row>
    <row r="10262" spans="1:13" s="217" customFormat="1" ht="18.75" customHeight="1" x14ac:dyDescent="0.25">
      <c r="B10262" s="214"/>
      <c r="C10262" s="215"/>
      <c r="D10262" s="214"/>
      <c r="E10262" s="440"/>
      <c r="F10262" s="441"/>
      <c r="G10262" s="442"/>
      <c r="H10262" s="118"/>
      <c r="J10262" s="219"/>
      <c r="M10262" s="441"/>
    </row>
    <row r="10263" spans="1:13" ht="18.75" customHeight="1" x14ac:dyDescent="0.25">
      <c r="B10263" s="19">
        <v>1</v>
      </c>
      <c r="C10263" s="93" t="s">
        <v>1423</v>
      </c>
      <c r="D10263" s="19"/>
      <c r="E10263" s="21"/>
      <c r="F10263" s="176"/>
      <c r="G10263" s="165"/>
      <c r="H10263" s="119"/>
      <c r="M10263" s="176"/>
    </row>
    <row r="10264" spans="1:13" ht="18.75" customHeight="1" x14ac:dyDescent="0.25">
      <c r="B10264" s="618" t="s">
        <v>620</v>
      </c>
      <c r="C10264" s="620" t="s">
        <v>621</v>
      </c>
      <c r="D10264" s="618" t="s">
        <v>622</v>
      </c>
      <c r="E10264" s="618" t="s">
        <v>2</v>
      </c>
      <c r="F10264" s="615" t="s">
        <v>623</v>
      </c>
      <c r="G10264" s="300" t="s">
        <v>624</v>
      </c>
      <c r="H10264" s="257" t="s">
        <v>625</v>
      </c>
      <c r="M10264" s="615" t="s">
        <v>623</v>
      </c>
    </row>
    <row r="10265" spans="1:13" ht="18.75" customHeight="1" x14ac:dyDescent="0.25">
      <c r="B10265" s="619"/>
      <c r="C10265" s="621"/>
      <c r="D10265" s="619"/>
      <c r="E10265" s="619"/>
      <c r="F10265" s="616"/>
      <c r="G10265" s="585" t="s">
        <v>626</v>
      </c>
      <c r="H10265" s="586" t="s">
        <v>626</v>
      </c>
      <c r="J10265" s="645">
        <v>0.3</v>
      </c>
      <c r="M10265" s="616"/>
    </row>
    <row r="10266" spans="1:13" ht="18.75" customHeight="1" x14ac:dyDescent="0.25">
      <c r="B10266" s="221"/>
      <c r="C10266" s="222"/>
      <c r="D10266" s="221"/>
      <c r="E10266" s="550"/>
      <c r="F10266" s="555"/>
      <c r="G10266" s="551"/>
      <c r="H10266" s="220"/>
      <c r="M10266" s="590"/>
    </row>
    <row r="10267" spans="1:13" ht="18.75" customHeight="1" x14ac:dyDescent="0.25">
      <c r="B10267" s="550" t="s">
        <v>627</v>
      </c>
      <c r="C10267" s="223" t="s">
        <v>628</v>
      </c>
      <c r="D10267" s="550"/>
      <c r="E10267" s="224"/>
      <c r="F10267" s="225"/>
      <c r="G10267" s="290"/>
      <c r="H10267" s="226"/>
      <c r="M10267" s="225"/>
    </row>
    <row r="10268" spans="1:13" ht="18.75" customHeight="1" x14ac:dyDescent="0.25">
      <c r="B10268" s="550"/>
      <c r="C10268" s="577" t="s">
        <v>605</v>
      </c>
      <c r="D10268" s="550" t="s">
        <v>630</v>
      </c>
      <c r="E10268" s="224" t="s">
        <v>631</v>
      </c>
      <c r="F10268" s="228">
        <v>2.8</v>
      </c>
      <c r="G10268" s="229">
        <f>Upah!E15</f>
        <v>125000</v>
      </c>
      <c r="H10268" s="230">
        <f>+G10268*F10268</f>
        <v>350000</v>
      </c>
      <c r="M10268" s="228">
        <v>2.8</v>
      </c>
    </row>
    <row r="10269" spans="1:13" ht="18.75" customHeight="1" x14ac:dyDescent="0.25">
      <c r="B10269" s="550"/>
      <c r="C10269" s="577" t="s">
        <v>604</v>
      </c>
      <c r="D10269" s="550" t="s">
        <v>632</v>
      </c>
      <c r="E10269" s="224" t="s">
        <v>631</v>
      </c>
      <c r="F10269" s="228">
        <v>3</v>
      </c>
      <c r="G10269" s="229">
        <f>Upah!E14</f>
        <v>170000</v>
      </c>
      <c r="H10269" s="230">
        <f>+G10269*F10269</f>
        <v>510000</v>
      </c>
      <c r="M10269" s="228">
        <v>3</v>
      </c>
    </row>
    <row r="10270" spans="1:13" ht="18.75" customHeight="1" x14ac:dyDescent="0.25">
      <c r="B10270" s="550"/>
      <c r="C10270" s="577" t="s">
        <v>602</v>
      </c>
      <c r="D10270" s="550" t="s">
        <v>634</v>
      </c>
      <c r="E10270" s="224" t="s">
        <v>631</v>
      </c>
      <c r="F10270" s="228">
        <v>0.35</v>
      </c>
      <c r="G10270" s="229">
        <f>Upah!E12</f>
        <v>185000</v>
      </c>
      <c r="H10270" s="230">
        <f>+G10270*F10270</f>
        <v>64749.999999999993</v>
      </c>
      <c r="M10270" s="228">
        <v>0.35</v>
      </c>
    </row>
    <row r="10271" spans="1:13" ht="18.75" customHeight="1" x14ac:dyDescent="0.25">
      <c r="B10271" s="550"/>
      <c r="C10271" s="577" t="s">
        <v>603</v>
      </c>
      <c r="D10271" s="550" t="s">
        <v>635</v>
      </c>
      <c r="E10271" s="224" t="s">
        <v>631</v>
      </c>
      <c r="F10271" s="228">
        <v>0.15</v>
      </c>
      <c r="G10271" s="229">
        <f>Upah!E10</f>
        <v>185000</v>
      </c>
      <c r="H10271" s="230">
        <f>+G10271*F10271</f>
        <v>27750</v>
      </c>
      <c r="M10271" s="228">
        <v>0.15</v>
      </c>
    </row>
    <row r="10272" spans="1:13" ht="18.75" customHeight="1" x14ac:dyDescent="0.25">
      <c r="B10272" s="550"/>
      <c r="C10272" s="223"/>
      <c r="D10272" s="550"/>
      <c r="E10272" s="224"/>
      <c r="F10272" s="237" t="s">
        <v>636</v>
      </c>
      <c r="G10272" s="290"/>
      <c r="H10272" s="231">
        <f>SUM(H10268:H10271)</f>
        <v>952500</v>
      </c>
      <c r="M10272" s="237" t="s">
        <v>636</v>
      </c>
    </row>
    <row r="10273" spans="2:13" ht="18.75" customHeight="1" x14ac:dyDescent="0.25">
      <c r="B10273" s="550"/>
      <c r="C10273" s="223"/>
      <c r="D10273" s="550"/>
      <c r="E10273" s="224"/>
      <c r="F10273" s="237"/>
      <c r="G10273" s="290"/>
      <c r="H10273" s="231"/>
      <c r="M10273" s="237"/>
    </row>
    <row r="10274" spans="2:13" ht="18.75" customHeight="1" x14ac:dyDescent="0.25">
      <c r="B10274" s="550" t="s">
        <v>637</v>
      </c>
      <c r="C10274" s="223" t="s">
        <v>638</v>
      </c>
      <c r="D10274" s="550"/>
      <c r="E10274" s="224"/>
      <c r="F10274" s="225"/>
      <c r="G10274" s="290"/>
      <c r="H10274" s="226"/>
      <c r="M10274" s="225"/>
    </row>
    <row r="10275" spans="2:13" ht="18.75" customHeight="1" x14ac:dyDescent="0.25">
      <c r="B10275" s="550"/>
      <c r="C10275" s="232" t="s">
        <v>1698</v>
      </c>
      <c r="D10275" s="550"/>
      <c r="E10275" s="550" t="s">
        <v>58</v>
      </c>
      <c r="F10275" s="233">
        <v>0.6</v>
      </c>
      <c r="G10275" s="234">
        <f>Bahan!D82</f>
        <v>225000</v>
      </c>
      <c r="H10275" s="235">
        <f>G10275*F10275</f>
        <v>135000</v>
      </c>
      <c r="M10275" s="233">
        <v>0.6</v>
      </c>
    </row>
    <row r="10276" spans="2:13" ht="18.75" customHeight="1" x14ac:dyDescent="0.25">
      <c r="B10276" s="550"/>
      <c r="C10276" s="232" t="s">
        <v>1699</v>
      </c>
      <c r="D10276" s="550"/>
      <c r="E10276" s="550" t="s">
        <v>58</v>
      </c>
      <c r="F10276" s="233">
        <v>0.9</v>
      </c>
      <c r="G10276" s="234">
        <f>Bahan!D70</f>
        <v>154000</v>
      </c>
      <c r="H10276" s="235">
        <f>G10276*F10276</f>
        <v>138600</v>
      </c>
      <c r="M10276" s="233">
        <v>0.9</v>
      </c>
    </row>
    <row r="10277" spans="2:13" ht="18.75" customHeight="1" x14ac:dyDescent="0.25">
      <c r="B10277" s="550"/>
      <c r="C10277" s="232" t="s">
        <v>1424</v>
      </c>
      <c r="D10277" s="550"/>
      <c r="E10277" s="550" t="s">
        <v>61</v>
      </c>
      <c r="F10277" s="233">
        <v>0.3</v>
      </c>
      <c r="G10277" s="234">
        <f>Bahan!D580</f>
        <v>65500</v>
      </c>
      <c r="H10277" s="235">
        <f>G10277*F10277</f>
        <v>19650</v>
      </c>
      <c r="M10277" s="233">
        <v>0.3</v>
      </c>
    </row>
    <row r="10278" spans="2:13" ht="18.75" customHeight="1" x14ac:dyDescent="0.25">
      <c r="B10278" s="550"/>
      <c r="C10278" s="223" t="s">
        <v>566</v>
      </c>
      <c r="D10278" s="550"/>
      <c r="E10278" s="224"/>
      <c r="F10278" s="237" t="s">
        <v>643</v>
      </c>
      <c r="G10278" s="290"/>
      <c r="H10278" s="231">
        <f>SUM(H10275:H10277)</f>
        <v>293250</v>
      </c>
      <c r="M10278" s="237" t="s">
        <v>643</v>
      </c>
    </row>
    <row r="10279" spans="2:13" ht="18.75" customHeight="1" x14ac:dyDescent="0.25">
      <c r="B10279" s="550"/>
      <c r="C10279" s="223"/>
      <c r="D10279" s="550"/>
      <c r="E10279" s="224"/>
      <c r="F10279" s="225"/>
      <c r="G10279" s="290"/>
      <c r="H10279" s="226"/>
      <c r="M10279" s="225"/>
    </row>
    <row r="10280" spans="2:13" ht="18.75" customHeight="1" x14ac:dyDescent="0.25">
      <c r="B10280" s="550" t="s">
        <v>644</v>
      </c>
      <c r="C10280" s="223" t="s">
        <v>645</v>
      </c>
      <c r="D10280" s="550"/>
      <c r="E10280" s="224"/>
      <c r="F10280" s="225"/>
      <c r="G10280" s="290"/>
      <c r="H10280" s="235"/>
      <c r="M10280" s="225"/>
    </row>
    <row r="10281" spans="2:13" ht="18.75" customHeight="1" x14ac:dyDescent="0.25">
      <c r="B10281" s="550"/>
      <c r="C10281" s="232" t="s">
        <v>1425</v>
      </c>
      <c r="D10281" s="550"/>
      <c r="E10281" s="550" t="s">
        <v>546</v>
      </c>
      <c r="F10281" s="228">
        <f>J10265</f>
        <v>0.3</v>
      </c>
      <c r="G10281" s="578"/>
      <c r="H10281" s="579">
        <f>F10281*(H10272)</f>
        <v>285750</v>
      </c>
      <c r="M10281" s="228">
        <f>Q10265</f>
        <v>0</v>
      </c>
    </row>
    <row r="10282" spans="2:13" ht="18.75" customHeight="1" x14ac:dyDescent="0.25">
      <c r="B10282" s="236"/>
      <c r="C10282" s="232"/>
      <c r="D10282" s="550"/>
      <c r="E10282" s="224"/>
      <c r="F10282" s="237" t="s">
        <v>646</v>
      </c>
      <c r="G10282" s="290"/>
      <c r="H10282" s="231">
        <f>H10281</f>
        <v>285750</v>
      </c>
      <c r="M10282" s="237" t="s">
        <v>646</v>
      </c>
    </row>
    <row r="10283" spans="2:13" ht="18.75" customHeight="1" x14ac:dyDescent="0.25">
      <c r="B10283" s="236"/>
      <c r="C10283" s="232"/>
      <c r="D10283" s="550"/>
      <c r="E10283" s="224"/>
      <c r="F10283" s="237"/>
      <c r="G10283" s="290"/>
      <c r="H10283" s="230"/>
      <c r="M10283" s="237"/>
    </row>
    <row r="10284" spans="2:13" ht="18.75" customHeight="1" x14ac:dyDescent="0.25">
      <c r="B10284" s="354"/>
      <c r="C10284" s="362"/>
      <c r="D10284" s="239"/>
      <c r="E10284" s="240"/>
      <c r="F10284" s="241"/>
      <c r="G10284" s="293"/>
      <c r="H10284" s="355"/>
      <c r="M10284" s="241"/>
    </row>
    <row r="10285" spans="2:13" ht="18.75" customHeight="1" x14ac:dyDescent="0.25">
      <c r="B10285" s="356" t="s">
        <v>647</v>
      </c>
      <c r="C10285" s="364" t="s">
        <v>648</v>
      </c>
      <c r="D10285" s="435"/>
      <c r="E10285" s="92"/>
      <c r="F10285" s="183"/>
      <c r="G10285" s="295"/>
      <c r="H10285" s="357">
        <f>H10272+H10278+H10282</f>
        <v>1531500</v>
      </c>
      <c r="M10285" s="183"/>
    </row>
    <row r="10286" spans="2:13" ht="18.75" customHeight="1" x14ac:dyDescent="0.25">
      <c r="B10286" s="356" t="s">
        <v>649</v>
      </c>
      <c r="C10286" s="364" t="s">
        <v>650</v>
      </c>
      <c r="D10286" s="435"/>
      <c r="E10286" s="92"/>
      <c r="F10286" s="184" t="str">
        <f>$J$5</f>
        <v>8,0 % x D</v>
      </c>
      <c r="G10286" s="295"/>
      <c r="H10286" s="358">
        <f>+H10285*$K$5</f>
        <v>122520</v>
      </c>
      <c r="M10286" s="184" t="str">
        <f>$J$5</f>
        <v>8,0 % x D</v>
      </c>
    </row>
    <row r="10287" spans="2:13" ht="18.75" customHeight="1" x14ac:dyDescent="0.25">
      <c r="B10287" s="356" t="s">
        <v>651</v>
      </c>
      <c r="C10287" s="365" t="s">
        <v>652</v>
      </c>
      <c r="D10287" s="435"/>
      <c r="E10287" s="91"/>
      <c r="F10287" s="185"/>
      <c r="G10287" s="296"/>
      <c r="H10287" s="359">
        <f>ROUNDUP((H10286+H10285)/100,0)*100</f>
        <v>1654100</v>
      </c>
      <c r="M10287" s="185"/>
    </row>
    <row r="10288" spans="2:13" ht="18.75" customHeight="1" x14ac:dyDescent="0.25">
      <c r="B10288" s="360"/>
      <c r="C10288" s="581"/>
      <c r="D10288" s="245"/>
      <c r="E10288" s="246"/>
      <c r="F10288" s="247"/>
      <c r="G10288" s="299"/>
      <c r="H10288" s="361"/>
      <c r="M10288" s="247"/>
    </row>
    <row r="10289" spans="2:13" ht="18.75" customHeight="1" x14ac:dyDescent="0.25">
      <c r="B10289" s="22"/>
      <c r="E10289" s="21"/>
      <c r="F10289" s="176"/>
      <c r="G10289" s="165"/>
      <c r="H10289" s="119"/>
      <c r="M10289" s="176"/>
    </row>
    <row r="10290" spans="2:13" ht="18.75" customHeight="1" x14ac:dyDescent="0.25">
      <c r="B10290" s="19">
        <f>B10263+1</f>
        <v>2</v>
      </c>
      <c r="C10290" s="93" t="s">
        <v>1426</v>
      </c>
      <c r="D10290" s="19"/>
      <c r="E10290" s="21"/>
      <c r="F10290" s="176"/>
      <c r="G10290" s="165"/>
      <c r="H10290" s="119"/>
      <c r="M10290" s="176"/>
    </row>
    <row r="10291" spans="2:13" ht="18.75" customHeight="1" x14ac:dyDescent="0.25">
      <c r="B10291" s="618" t="s">
        <v>620</v>
      </c>
      <c r="C10291" s="620" t="s">
        <v>621</v>
      </c>
      <c r="D10291" s="618" t="s">
        <v>622</v>
      </c>
      <c r="E10291" s="618" t="s">
        <v>2</v>
      </c>
      <c r="F10291" s="615" t="s">
        <v>623</v>
      </c>
      <c r="G10291" s="300" t="s">
        <v>624</v>
      </c>
      <c r="H10291" s="257" t="s">
        <v>625</v>
      </c>
      <c r="M10291" s="615" t="s">
        <v>623</v>
      </c>
    </row>
    <row r="10292" spans="2:13" ht="18.75" customHeight="1" x14ac:dyDescent="0.25">
      <c r="B10292" s="619"/>
      <c r="C10292" s="621"/>
      <c r="D10292" s="619"/>
      <c r="E10292" s="619"/>
      <c r="F10292" s="616"/>
      <c r="G10292" s="585" t="s">
        <v>626</v>
      </c>
      <c r="H10292" s="586" t="s">
        <v>626</v>
      </c>
      <c r="M10292" s="616"/>
    </row>
    <row r="10293" spans="2:13" ht="18.75" customHeight="1" x14ac:dyDescent="0.25">
      <c r="B10293" s="221"/>
      <c r="C10293" s="222"/>
      <c r="D10293" s="221"/>
      <c r="E10293" s="550"/>
      <c r="F10293" s="555"/>
      <c r="G10293" s="551"/>
      <c r="H10293" s="220"/>
      <c r="M10293" s="590"/>
    </row>
    <row r="10294" spans="2:13" ht="18.75" customHeight="1" x14ac:dyDescent="0.25">
      <c r="B10294" s="550" t="s">
        <v>627</v>
      </c>
      <c r="C10294" s="223" t="s">
        <v>628</v>
      </c>
      <c r="D10294" s="550"/>
      <c r="E10294" s="224"/>
      <c r="F10294" s="225"/>
      <c r="G10294" s="290"/>
      <c r="H10294" s="226"/>
      <c r="M10294" s="225"/>
    </row>
    <row r="10295" spans="2:13" ht="18.75" customHeight="1" x14ac:dyDescent="0.25">
      <c r="B10295" s="550"/>
      <c r="C10295" s="577" t="s">
        <v>605</v>
      </c>
      <c r="D10295" s="550" t="s">
        <v>630</v>
      </c>
      <c r="E10295" s="224" t="s">
        <v>631</v>
      </c>
      <c r="F10295" s="228">
        <v>2.5</v>
      </c>
      <c r="G10295" s="229">
        <f>G10268</f>
        <v>125000</v>
      </c>
      <c r="H10295" s="230">
        <f>+G10295*F10295</f>
        <v>312500</v>
      </c>
      <c r="M10295" s="228">
        <v>2.5</v>
      </c>
    </row>
    <row r="10296" spans="2:13" ht="18.75" customHeight="1" x14ac:dyDescent="0.25">
      <c r="B10296" s="550"/>
      <c r="C10296" s="577" t="s">
        <v>604</v>
      </c>
      <c r="D10296" s="550" t="s">
        <v>632</v>
      </c>
      <c r="E10296" s="224" t="s">
        <v>631</v>
      </c>
      <c r="F10296" s="228">
        <v>2.8</v>
      </c>
      <c r="G10296" s="229">
        <f t="shared" ref="G10296:G10298" si="360">G10269</f>
        <v>170000</v>
      </c>
      <c r="H10296" s="230">
        <f>+G10296*F10296</f>
        <v>475999.99999999994</v>
      </c>
      <c r="M10296" s="228">
        <v>2.8</v>
      </c>
    </row>
    <row r="10297" spans="2:13" ht="18.75" customHeight="1" x14ac:dyDescent="0.25">
      <c r="B10297" s="550"/>
      <c r="C10297" s="577" t="s">
        <v>602</v>
      </c>
      <c r="D10297" s="550" t="s">
        <v>634</v>
      </c>
      <c r="E10297" s="224" t="s">
        <v>631</v>
      </c>
      <c r="F10297" s="228">
        <v>0.3</v>
      </c>
      <c r="G10297" s="229">
        <f t="shared" si="360"/>
        <v>185000</v>
      </c>
      <c r="H10297" s="230">
        <f>+G10297*F10297</f>
        <v>55500</v>
      </c>
      <c r="M10297" s="228">
        <v>0.3</v>
      </c>
    </row>
    <row r="10298" spans="2:13" ht="18.75" customHeight="1" x14ac:dyDescent="0.25">
      <c r="B10298" s="550"/>
      <c r="C10298" s="577" t="s">
        <v>603</v>
      </c>
      <c r="D10298" s="550" t="s">
        <v>635</v>
      </c>
      <c r="E10298" s="224" t="s">
        <v>631</v>
      </c>
      <c r="F10298" s="228">
        <v>0.15</v>
      </c>
      <c r="G10298" s="229">
        <f t="shared" si="360"/>
        <v>185000</v>
      </c>
      <c r="H10298" s="230">
        <f>+G10298*F10298</f>
        <v>27750</v>
      </c>
      <c r="M10298" s="228">
        <v>0.15</v>
      </c>
    </row>
    <row r="10299" spans="2:13" ht="18.75" customHeight="1" x14ac:dyDescent="0.25">
      <c r="B10299" s="550"/>
      <c r="C10299" s="223"/>
      <c r="D10299" s="550"/>
      <c r="E10299" s="224"/>
      <c r="F10299" s="237" t="s">
        <v>636</v>
      </c>
      <c r="G10299" s="290"/>
      <c r="H10299" s="231">
        <f>SUM(H10295:H10298)</f>
        <v>871750</v>
      </c>
      <c r="M10299" s="237" t="s">
        <v>636</v>
      </c>
    </row>
    <row r="10300" spans="2:13" ht="18.75" customHeight="1" x14ac:dyDescent="0.25">
      <c r="B10300" s="550"/>
      <c r="C10300" s="223"/>
      <c r="D10300" s="550"/>
      <c r="E10300" s="224"/>
      <c r="F10300" s="237"/>
      <c r="G10300" s="290"/>
      <c r="H10300" s="231"/>
      <c r="M10300" s="237"/>
    </row>
    <row r="10301" spans="2:13" ht="18.75" customHeight="1" x14ac:dyDescent="0.25">
      <c r="B10301" s="550" t="s">
        <v>637</v>
      </c>
      <c r="C10301" s="223" t="s">
        <v>638</v>
      </c>
      <c r="D10301" s="550"/>
      <c r="E10301" s="224"/>
      <c r="F10301" s="225"/>
      <c r="G10301" s="290"/>
      <c r="H10301" s="226"/>
      <c r="M10301" s="225"/>
    </row>
    <row r="10302" spans="2:13" ht="18.75" customHeight="1" x14ac:dyDescent="0.25">
      <c r="B10302" s="550"/>
      <c r="C10302" s="232" t="s">
        <v>1427</v>
      </c>
      <c r="D10302" s="550"/>
      <c r="E10302" s="550" t="s">
        <v>58</v>
      </c>
      <c r="F10302" s="233">
        <v>1.5</v>
      </c>
      <c r="G10302" s="234">
        <f>Bahan!D70</f>
        <v>154000</v>
      </c>
      <c r="H10302" s="235">
        <f>G10302*F10302</f>
        <v>231000</v>
      </c>
      <c r="M10302" s="233">
        <v>1.5</v>
      </c>
    </row>
    <row r="10303" spans="2:13" ht="18.75" customHeight="1" x14ac:dyDescent="0.25">
      <c r="B10303" s="550"/>
      <c r="C10303" s="232" t="s">
        <v>1424</v>
      </c>
      <c r="D10303" s="550"/>
      <c r="E10303" s="550" t="s">
        <v>61</v>
      </c>
      <c r="F10303" s="233">
        <v>0.5</v>
      </c>
      <c r="G10303" s="234">
        <f>G10277</f>
        <v>65500</v>
      </c>
      <c r="H10303" s="235">
        <f>G10303*F10303</f>
        <v>32750</v>
      </c>
      <c r="M10303" s="233">
        <v>0.5</v>
      </c>
    </row>
    <row r="10304" spans="2:13" ht="18.75" customHeight="1" x14ac:dyDescent="0.25">
      <c r="B10304" s="550"/>
      <c r="C10304" s="223" t="s">
        <v>566</v>
      </c>
      <c r="D10304" s="550"/>
      <c r="E10304" s="224"/>
      <c r="F10304" s="237" t="s">
        <v>643</v>
      </c>
      <c r="G10304" s="290"/>
      <c r="H10304" s="231">
        <f>SUM(H10302:H10303)</f>
        <v>263750</v>
      </c>
      <c r="M10304" s="237" t="s">
        <v>643</v>
      </c>
    </row>
    <row r="10305" spans="2:13" ht="18.75" customHeight="1" x14ac:dyDescent="0.25">
      <c r="B10305" s="550"/>
      <c r="C10305" s="223"/>
      <c r="D10305" s="550"/>
      <c r="E10305" s="224"/>
      <c r="F10305" s="225"/>
      <c r="G10305" s="290"/>
      <c r="H10305" s="226"/>
      <c r="M10305" s="225"/>
    </row>
    <row r="10306" spans="2:13" ht="18.75" customHeight="1" x14ac:dyDescent="0.25">
      <c r="B10306" s="550" t="s">
        <v>644</v>
      </c>
      <c r="C10306" s="223" t="s">
        <v>645</v>
      </c>
      <c r="D10306" s="550"/>
      <c r="E10306" s="224"/>
      <c r="F10306" s="225"/>
      <c r="G10306" s="290"/>
      <c r="H10306" s="235"/>
      <c r="M10306" s="225"/>
    </row>
    <row r="10307" spans="2:13" ht="18.75" customHeight="1" x14ac:dyDescent="0.25">
      <c r="B10307" s="550"/>
      <c r="C10307" s="232" t="s">
        <v>1425</v>
      </c>
      <c r="D10307" s="550"/>
      <c r="E10307" s="550" t="s">
        <v>546</v>
      </c>
      <c r="F10307" s="228">
        <f>F10281</f>
        <v>0.3</v>
      </c>
      <c r="G10307" s="578"/>
      <c r="H10307" s="579">
        <f>F10307*H10299</f>
        <v>261525</v>
      </c>
      <c r="M10307" s="228">
        <f>M10281</f>
        <v>0</v>
      </c>
    </row>
    <row r="10308" spans="2:13" ht="18.75" customHeight="1" x14ac:dyDescent="0.25">
      <c r="B10308" s="236"/>
      <c r="C10308" s="232"/>
      <c r="D10308" s="550"/>
      <c r="E10308" s="224"/>
      <c r="F10308" s="237" t="s">
        <v>646</v>
      </c>
      <c r="G10308" s="290"/>
      <c r="H10308" s="231">
        <f>H10307</f>
        <v>261525</v>
      </c>
      <c r="M10308" s="237" t="s">
        <v>646</v>
      </c>
    </row>
    <row r="10309" spans="2:13" ht="18.75" customHeight="1" x14ac:dyDescent="0.25">
      <c r="B10309" s="236"/>
      <c r="C10309" s="232"/>
      <c r="D10309" s="550"/>
      <c r="E10309" s="224"/>
      <c r="F10309" s="237"/>
      <c r="G10309" s="290"/>
      <c r="H10309" s="226"/>
      <c r="M10309" s="237"/>
    </row>
    <row r="10310" spans="2:13" ht="18.75" customHeight="1" x14ac:dyDescent="0.25">
      <c r="B10310" s="354"/>
      <c r="C10310" s="362"/>
      <c r="D10310" s="239"/>
      <c r="E10310" s="240"/>
      <c r="F10310" s="241"/>
      <c r="G10310" s="293"/>
      <c r="H10310" s="355"/>
      <c r="M10310" s="241"/>
    </row>
    <row r="10311" spans="2:13" ht="18.75" customHeight="1" x14ac:dyDescent="0.25">
      <c r="B10311" s="356" t="s">
        <v>647</v>
      </c>
      <c r="C10311" s="364" t="s">
        <v>648</v>
      </c>
      <c r="D10311" s="435"/>
      <c r="E10311" s="92"/>
      <c r="F10311" s="183"/>
      <c r="G10311" s="295"/>
      <c r="H10311" s="357">
        <f>+H10308+H10304+H10299</f>
        <v>1397025</v>
      </c>
      <c r="M10311" s="183"/>
    </row>
    <row r="10312" spans="2:13" ht="18.75" customHeight="1" x14ac:dyDescent="0.25">
      <c r="B10312" s="356" t="s">
        <v>649</v>
      </c>
      <c r="C10312" s="364" t="s">
        <v>650</v>
      </c>
      <c r="D10312" s="435"/>
      <c r="E10312" s="92"/>
      <c r="F10312" s="184" t="str">
        <f>$J$5</f>
        <v>8,0 % x D</v>
      </c>
      <c r="G10312" s="295"/>
      <c r="H10312" s="358">
        <f>+H10311*$K$5</f>
        <v>111762</v>
      </c>
      <c r="M10312" s="184" t="str">
        <f>$J$5</f>
        <v>8,0 % x D</v>
      </c>
    </row>
    <row r="10313" spans="2:13" ht="18.75" customHeight="1" x14ac:dyDescent="0.25">
      <c r="B10313" s="356" t="s">
        <v>651</v>
      </c>
      <c r="C10313" s="365" t="s">
        <v>652</v>
      </c>
      <c r="D10313" s="435"/>
      <c r="E10313" s="91"/>
      <c r="F10313" s="185"/>
      <c r="G10313" s="296"/>
      <c r="H10313" s="359">
        <f>ROUNDUP((H10312+H10311)/100,0)*100</f>
        <v>1508800</v>
      </c>
      <c r="M10313" s="185"/>
    </row>
    <row r="10314" spans="2:13" ht="18.75" customHeight="1" x14ac:dyDescent="0.25">
      <c r="B10314" s="360"/>
      <c r="C10314" s="581"/>
      <c r="D10314" s="245"/>
      <c r="E10314" s="246"/>
      <c r="F10314" s="247"/>
      <c r="G10314" s="299"/>
      <c r="H10314" s="361"/>
      <c r="M10314" s="247"/>
    </row>
    <row r="10315" spans="2:13" ht="18.75" customHeight="1" x14ac:dyDescent="0.25">
      <c r="B10315" s="22"/>
      <c r="E10315" s="552"/>
      <c r="F10315" s="196"/>
      <c r="G10315" s="171"/>
      <c r="H10315" s="142"/>
      <c r="M10315" s="196"/>
    </row>
    <row r="10316" spans="2:13" ht="18.75" customHeight="1" x14ac:dyDescent="0.25">
      <c r="B10316" s="19">
        <f>B10290+1</f>
        <v>3</v>
      </c>
      <c r="C10316" s="93" t="s">
        <v>1428</v>
      </c>
      <c r="D10316" s="19"/>
      <c r="E10316" s="552"/>
      <c r="F10316" s="196"/>
      <c r="G10316" s="171"/>
      <c r="H10316" s="142"/>
      <c r="M10316" s="196"/>
    </row>
    <row r="10317" spans="2:13" ht="18.75" customHeight="1" x14ac:dyDescent="0.25">
      <c r="B10317" s="618" t="s">
        <v>620</v>
      </c>
      <c r="C10317" s="620" t="s">
        <v>621</v>
      </c>
      <c r="D10317" s="618" t="s">
        <v>622</v>
      </c>
      <c r="E10317" s="618" t="s">
        <v>2</v>
      </c>
      <c r="F10317" s="615" t="s">
        <v>623</v>
      </c>
      <c r="G10317" s="300" t="s">
        <v>624</v>
      </c>
      <c r="H10317" s="257" t="s">
        <v>625</v>
      </c>
      <c r="M10317" s="615" t="s">
        <v>623</v>
      </c>
    </row>
    <row r="10318" spans="2:13" ht="18.75" customHeight="1" x14ac:dyDescent="0.25">
      <c r="B10318" s="619"/>
      <c r="C10318" s="621"/>
      <c r="D10318" s="619"/>
      <c r="E10318" s="619"/>
      <c r="F10318" s="616"/>
      <c r="G10318" s="585" t="s">
        <v>626</v>
      </c>
      <c r="H10318" s="586" t="s">
        <v>626</v>
      </c>
      <c r="M10318" s="616"/>
    </row>
    <row r="10319" spans="2:13" ht="18.75" customHeight="1" x14ac:dyDescent="0.25">
      <c r="B10319" s="221"/>
      <c r="C10319" s="222"/>
      <c r="D10319" s="221"/>
      <c r="E10319" s="550"/>
      <c r="F10319" s="555"/>
      <c r="G10319" s="551"/>
      <c r="H10319" s="220"/>
      <c r="M10319" s="590"/>
    </row>
    <row r="10320" spans="2:13" ht="18.75" customHeight="1" x14ac:dyDescent="0.25">
      <c r="B10320" s="550" t="s">
        <v>627</v>
      </c>
      <c r="C10320" s="223" t="s">
        <v>628</v>
      </c>
      <c r="D10320" s="550"/>
      <c r="E10320" s="224"/>
      <c r="F10320" s="225"/>
      <c r="G10320" s="290"/>
      <c r="H10320" s="226"/>
      <c r="M10320" s="225"/>
    </row>
    <row r="10321" spans="2:13" ht="18.75" customHeight="1" x14ac:dyDescent="0.25">
      <c r="B10321" s="550"/>
      <c r="C10321" s="577" t="s">
        <v>605</v>
      </c>
      <c r="D10321" s="550" t="s">
        <v>630</v>
      </c>
      <c r="E10321" s="224" t="s">
        <v>631</v>
      </c>
      <c r="F10321" s="228">
        <v>2.5</v>
      </c>
      <c r="G10321" s="229">
        <f>G10295</f>
        <v>125000</v>
      </c>
      <c r="H10321" s="230">
        <f>+G10321*F10321</f>
        <v>312500</v>
      </c>
      <c r="M10321" s="228">
        <v>2.5</v>
      </c>
    </row>
    <row r="10322" spans="2:13" ht="18.75" customHeight="1" x14ac:dyDescent="0.25">
      <c r="B10322" s="550"/>
      <c r="C10322" s="577" t="s">
        <v>604</v>
      </c>
      <c r="D10322" s="550" t="s">
        <v>632</v>
      </c>
      <c r="E10322" s="224" t="s">
        <v>631</v>
      </c>
      <c r="F10322" s="228">
        <v>2.8</v>
      </c>
      <c r="G10322" s="229">
        <f>G10296</f>
        <v>170000</v>
      </c>
      <c r="H10322" s="230">
        <f>+G10322*F10322</f>
        <v>475999.99999999994</v>
      </c>
      <c r="M10322" s="228">
        <v>2.8</v>
      </c>
    </row>
    <row r="10323" spans="2:13" ht="18.75" customHeight="1" x14ac:dyDescent="0.25">
      <c r="B10323" s="550"/>
      <c r="C10323" s="577" t="s">
        <v>602</v>
      </c>
      <c r="D10323" s="550" t="s">
        <v>634</v>
      </c>
      <c r="E10323" s="224" t="s">
        <v>631</v>
      </c>
      <c r="F10323" s="228">
        <v>0.35</v>
      </c>
      <c r="G10323" s="229">
        <f>G10297</f>
        <v>185000</v>
      </c>
      <c r="H10323" s="230">
        <f>+G10323*F10323</f>
        <v>64749.999999999993</v>
      </c>
      <c r="M10323" s="228">
        <v>0.35</v>
      </c>
    </row>
    <row r="10324" spans="2:13" ht="18.75" customHeight="1" x14ac:dyDescent="0.25">
      <c r="B10324" s="550"/>
      <c r="C10324" s="577" t="s">
        <v>603</v>
      </c>
      <c r="D10324" s="550" t="s">
        <v>635</v>
      </c>
      <c r="E10324" s="224" t="s">
        <v>631</v>
      </c>
      <c r="F10324" s="228">
        <v>0.15</v>
      </c>
      <c r="G10324" s="229">
        <f>G10298</f>
        <v>185000</v>
      </c>
      <c r="H10324" s="230">
        <f>+G10324*F10324</f>
        <v>27750</v>
      </c>
      <c r="M10324" s="228">
        <v>0.15</v>
      </c>
    </row>
    <row r="10325" spans="2:13" ht="18.75" customHeight="1" x14ac:dyDescent="0.25">
      <c r="B10325" s="550"/>
      <c r="C10325" s="223"/>
      <c r="D10325" s="550"/>
      <c r="E10325" s="224"/>
      <c r="F10325" s="237" t="s">
        <v>636</v>
      </c>
      <c r="G10325" s="290"/>
      <c r="H10325" s="231">
        <f>SUM(H10321:H10324)</f>
        <v>881000</v>
      </c>
      <c r="M10325" s="237" t="s">
        <v>636</v>
      </c>
    </row>
    <row r="10326" spans="2:13" ht="18.75" customHeight="1" x14ac:dyDescent="0.25">
      <c r="B10326" s="550"/>
      <c r="C10326" s="223"/>
      <c r="D10326" s="550"/>
      <c r="E10326" s="224"/>
      <c r="F10326" s="237"/>
      <c r="G10326" s="290"/>
      <c r="H10326" s="231"/>
      <c r="M10326" s="237"/>
    </row>
    <row r="10327" spans="2:13" ht="18.75" customHeight="1" x14ac:dyDescent="0.25">
      <c r="B10327" s="550" t="s">
        <v>637</v>
      </c>
      <c r="C10327" s="223" t="s">
        <v>638</v>
      </c>
      <c r="D10327" s="550"/>
      <c r="E10327" s="224"/>
      <c r="F10327" s="225"/>
      <c r="G10327" s="290"/>
      <c r="H10327" s="226"/>
      <c r="M10327" s="225"/>
    </row>
    <row r="10328" spans="2:13" ht="18.75" customHeight="1" x14ac:dyDescent="0.25">
      <c r="B10328" s="550"/>
      <c r="C10328" s="232" t="s">
        <v>1698</v>
      </c>
      <c r="D10328" s="550"/>
      <c r="E10328" s="550" t="s">
        <v>58</v>
      </c>
      <c r="F10328" s="233">
        <v>1.5</v>
      </c>
      <c r="G10328" s="234">
        <f>Bahan!D82</f>
        <v>225000</v>
      </c>
      <c r="H10328" s="235">
        <f>G10328*F10328</f>
        <v>337500</v>
      </c>
      <c r="M10328" s="233">
        <v>1.5</v>
      </c>
    </row>
    <row r="10329" spans="2:13" ht="18.75" customHeight="1" x14ac:dyDescent="0.25">
      <c r="B10329" s="550"/>
      <c r="C10329" s="232" t="s">
        <v>1424</v>
      </c>
      <c r="D10329" s="550"/>
      <c r="E10329" s="550" t="s">
        <v>61</v>
      </c>
      <c r="F10329" s="233">
        <v>0.3</v>
      </c>
      <c r="G10329" s="234">
        <f>G10303</f>
        <v>65500</v>
      </c>
      <c r="H10329" s="235">
        <f>G10329*F10329</f>
        <v>19650</v>
      </c>
      <c r="M10329" s="233">
        <v>0.3</v>
      </c>
    </row>
    <row r="10330" spans="2:13" ht="18.75" customHeight="1" x14ac:dyDescent="0.25">
      <c r="B10330" s="550"/>
      <c r="C10330" s="223" t="s">
        <v>566</v>
      </c>
      <c r="D10330" s="550"/>
      <c r="E10330" s="224"/>
      <c r="F10330" s="237" t="s">
        <v>643</v>
      </c>
      <c r="G10330" s="290"/>
      <c r="H10330" s="231">
        <f>SUM(H10328:H10329)</f>
        <v>357150</v>
      </c>
      <c r="M10330" s="237" t="s">
        <v>643</v>
      </c>
    </row>
    <row r="10331" spans="2:13" ht="18.75" customHeight="1" x14ac:dyDescent="0.25">
      <c r="B10331" s="550"/>
      <c r="C10331" s="223"/>
      <c r="D10331" s="550"/>
      <c r="E10331" s="224"/>
      <c r="F10331" s="225"/>
      <c r="G10331" s="290"/>
      <c r="H10331" s="226"/>
      <c r="M10331" s="225"/>
    </row>
    <row r="10332" spans="2:13" ht="18.75" customHeight="1" x14ac:dyDescent="0.25">
      <c r="B10332" s="550" t="s">
        <v>644</v>
      </c>
      <c r="C10332" s="223" t="s">
        <v>645</v>
      </c>
      <c r="D10332" s="550"/>
      <c r="E10332" s="224"/>
      <c r="F10332" s="225"/>
      <c r="G10332" s="290"/>
      <c r="H10332" s="235"/>
      <c r="M10332" s="225"/>
    </row>
    <row r="10333" spans="2:13" ht="18.75" customHeight="1" x14ac:dyDescent="0.25">
      <c r="B10333" s="550"/>
      <c r="C10333" s="232" t="s">
        <v>1425</v>
      </c>
      <c r="D10333" s="550"/>
      <c r="E10333" s="550" t="s">
        <v>546</v>
      </c>
      <c r="F10333" s="228">
        <f>J10265</f>
        <v>0.3</v>
      </c>
      <c r="G10333" s="578"/>
      <c r="H10333" s="579">
        <f>F10333*(H10325)</f>
        <v>264300</v>
      </c>
      <c r="M10333" s="228">
        <f>Q10265</f>
        <v>0</v>
      </c>
    </row>
    <row r="10334" spans="2:13" ht="18.75" customHeight="1" x14ac:dyDescent="0.25">
      <c r="B10334" s="236"/>
      <c r="C10334" s="232"/>
      <c r="D10334" s="550"/>
      <c r="E10334" s="224"/>
      <c r="F10334" s="237" t="s">
        <v>646</v>
      </c>
      <c r="G10334" s="290"/>
      <c r="H10334" s="231">
        <f>H10333</f>
        <v>264300</v>
      </c>
      <c r="M10334" s="237" t="s">
        <v>646</v>
      </c>
    </row>
    <row r="10335" spans="2:13" ht="18.75" customHeight="1" x14ac:dyDescent="0.25">
      <c r="B10335" s="236"/>
      <c r="C10335" s="232"/>
      <c r="D10335" s="550"/>
      <c r="E10335" s="224"/>
      <c r="F10335" s="237"/>
      <c r="G10335" s="290"/>
      <c r="H10335" s="230"/>
      <c r="M10335" s="237"/>
    </row>
    <row r="10336" spans="2:13" ht="18.75" customHeight="1" x14ac:dyDescent="0.25">
      <c r="B10336" s="354"/>
      <c r="C10336" s="362"/>
      <c r="D10336" s="239"/>
      <c r="E10336" s="266"/>
      <c r="F10336" s="241"/>
      <c r="G10336" s="370"/>
      <c r="H10336" s="369"/>
      <c r="M10336" s="241"/>
    </row>
    <row r="10337" spans="2:13" ht="18.75" customHeight="1" x14ac:dyDescent="0.25">
      <c r="B10337" s="356" t="s">
        <v>647</v>
      </c>
      <c r="C10337" s="364" t="s">
        <v>648</v>
      </c>
      <c r="D10337" s="435"/>
      <c r="E10337" s="92"/>
      <c r="F10337" s="183"/>
      <c r="G10337" s="295"/>
      <c r="H10337" s="357">
        <f>+H10334+H10330+H10325</f>
        <v>1502450</v>
      </c>
      <c r="M10337" s="183"/>
    </row>
    <row r="10338" spans="2:13" ht="18.75" customHeight="1" x14ac:dyDescent="0.25">
      <c r="B10338" s="356" t="s">
        <v>649</v>
      </c>
      <c r="C10338" s="364" t="s">
        <v>650</v>
      </c>
      <c r="D10338" s="435"/>
      <c r="E10338" s="92"/>
      <c r="F10338" s="184" t="str">
        <f>$J$5</f>
        <v>8,0 % x D</v>
      </c>
      <c r="G10338" s="295"/>
      <c r="H10338" s="358">
        <f>+H10337*$K$5</f>
        <v>120196</v>
      </c>
      <c r="M10338" s="184" t="str">
        <f>$J$5</f>
        <v>8,0 % x D</v>
      </c>
    </row>
    <row r="10339" spans="2:13" ht="18.75" customHeight="1" x14ac:dyDescent="0.25">
      <c r="B10339" s="356" t="s">
        <v>651</v>
      </c>
      <c r="C10339" s="365" t="s">
        <v>652</v>
      </c>
      <c r="D10339" s="435"/>
      <c r="E10339" s="91"/>
      <c r="F10339" s="185"/>
      <c r="G10339" s="296"/>
      <c r="H10339" s="359">
        <f>ROUNDUP((H10338+H10337)/100,0)*100</f>
        <v>1622700</v>
      </c>
      <c r="M10339" s="185"/>
    </row>
    <row r="10340" spans="2:13" ht="18.75" customHeight="1" x14ac:dyDescent="0.25">
      <c r="B10340" s="360"/>
      <c r="C10340" s="581"/>
      <c r="D10340" s="245"/>
      <c r="E10340" s="246"/>
      <c r="F10340" s="247"/>
      <c r="G10340" s="299"/>
      <c r="H10340" s="361"/>
      <c r="M10340" s="247"/>
    </row>
    <row r="10341" spans="2:13" ht="18.75" customHeight="1" x14ac:dyDescent="0.25">
      <c r="B10341" s="92"/>
      <c r="C10341" s="242"/>
      <c r="D10341" s="435"/>
      <c r="E10341" s="91"/>
      <c r="F10341" s="185"/>
      <c r="G10341" s="168"/>
      <c r="H10341" s="139"/>
      <c r="M10341" s="185"/>
    </row>
    <row r="10342" spans="2:13" ht="18.75" customHeight="1" x14ac:dyDescent="0.25">
      <c r="B10342" s="19">
        <f>B10316+1</f>
        <v>4</v>
      </c>
      <c r="C10342" s="93" t="s">
        <v>1429</v>
      </c>
      <c r="D10342" s="19"/>
      <c r="E10342" s="21"/>
      <c r="F10342" s="176"/>
      <c r="G10342" s="165"/>
      <c r="H10342" s="119"/>
      <c r="M10342" s="176"/>
    </row>
    <row r="10343" spans="2:13" ht="18.75" customHeight="1" x14ac:dyDescent="0.25">
      <c r="B10343" s="618" t="s">
        <v>620</v>
      </c>
      <c r="C10343" s="620" t="s">
        <v>621</v>
      </c>
      <c r="D10343" s="618" t="s">
        <v>622</v>
      </c>
      <c r="E10343" s="618" t="s">
        <v>2</v>
      </c>
      <c r="F10343" s="615" t="s">
        <v>623</v>
      </c>
      <c r="G10343" s="300" t="s">
        <v>624</v>
      </c>
      <c r="H10343" s="257" t="s">
        <v>625</v>
      </c>
      <c r="M10343" s="615" t="s">
        <v>623</v>
      </c>
    </row>
    <row r="10344" spans="2:13" ht="18.75" customHeight="1" x14ac:dyDescent="0.25">
      <c r="B10344" s="619"/>
      <c r="C10344" s="621"/>
      <c r="D10344" s="619"/>
      <c r="E10344" s="619"/>
      <c r="F10344" s="616"/>
      <c r="G10344" s="585" t="s">
        <v>626</v>
      </c>
      <c r="H10344" s="586" t="s">
        <v>626</v>
      </c>
      <c r="M10344" s="616"/>
    </row>
    <row r="10345" spans="2:13" ht="18.75" customHeight="1" x14ac:dyDescent="0.25">
      <c r="B10345" s="221"/>
      <c r="C10345" s="222"/>
      <c r="D10345" s="221"/>
      <c r="E10345" s="550"/>
      <c r="F10345" s="555"/>
      <c r="G10345" s="551"/>
      <c r="H10345" s="220"/>
      <c r="M10345" s="590"/>
    </row>
    <row r="10346" spans="2:13" ht="18.75" customHeight="1" x14ac:dyDescent="0.25">
      <c r="B10346" s="550" t="s">
        <v>627</v>
      </c>
      <c r="C10346" s="223" t="s">
        <v>628</v>
      </c>
      <c r="D10346" s="550"/>
      <c r="E10346" s="224"/>
      <c r="F10346" s="225"/>
      <c r="G10346" s="290"/>
      <c r="H10346" s="226"/>
      <c r="M10346" s="225"/>
    </row>
    <row r="10347" spans="2:13" ht="18.75" customHeight="1" x14ac:dyDescent="0.25">
      <c r="B10347" s="550"/>
      <c r="C10347" s="577" t="s">
        <v>605</v>
      </c>
      <c r="D10347" s="550" t="s">
        <v>630</v>
      </c>
      <c r="E10347" s="224" t="s">
        <v>631</v>
      </c>
      <c r="F10347" s="228">
        <v>1.8</v>
      </c>
      <c r="G10347" s="229">
        <f>G10321</f>
        <v>125000</v>
      </c>
      <c r="H10347" s="230">
        <f>+G10347*F10347</f>
        <v>225000</v>
      </c>
      <c r="M10347" s="228">
        <v>1.8</v>
      </c>
    </row>
    <row r="10348" spans="2:13" ht="18.75" customHeight="1" x14ac:dyDescent="0.25">
      <c r="B10348" s="550"/>
      <c r="C10348" s="577" t="s">
        <v>604</v>
      </c>
      <c r="D10348" s="550" t="s">
        <v>632</v>
      </c>
      <c r="E10348" s="224" t="s">
        <v>631</v>
      </c>
      <c r="F10348" s="228">
        <v>2.1</v>
      </c>
      <c r="G10348" s="229">
        <f>G10322</f>
        <v>170000</v>
      </c>
      <c r="H10348" s="230">
        <f>+G10348*F10348</f>
        <v>357000</v>
      </c>
      <c r="M10348" s="228">
        <v>2.1</v>
      </c>
    </row>
    <row r="10349" spans="2:13" ht="18.75" customHeight="1" x14ac:dyDescent="0.25">
      <c r="B10349" s="550"/>
      <c r="C10349" s="577" t="s">
        <v>602</v>
      </c>
      <c r="D10349" s="550" t="s">
        <v>634</v>
      </c>
      <c r="E10349" s="224" t="s">
        <v>631</v>
      </c>
      <c r="F10349" s="228">
        <v>0.3</v>
      </c>
      <c r="G10349" s="229">
        <f>G10323</f>
        <v>185000</v>
      </c>
      <c r="H10349" s="230">
        <f>+G10349*F10349</f>
        <v>55500</v>
      </c>
      <c r="M10349" s="228">
        <v>0.3</v>
      </c>
    </row>
    <row r="10350" spans="2:13" ht="18.75" customHeight="1" x14ac:dyDescent="0.25">
      <c r="B10350" s="550"/>
      <c r="C10350" s="577" t="s">
        <v>603</v>
      </c>
      <c r="D10350" s="550" t="s">
        <v>635</v>
      </c>
      <c r="E10350" s="224" t="s">
        <v>631</v>
      </c>
      <c r="F10350" s="228">
        <v>0.1</v>
      </c>
      <c r="G10350" s="229">
        <f>G10324</f>
        <v>185000</v>
      </c>
      <c r="H10350" s="230">
        <f>+G10350*F10350</f>
        <v>18500</v>
      </c>
      <c r="M10350" s="228">
        <v>0.1</v>
      </c>
    </row>
    <row r="10351" spans="2:13" ht="18.75" customHeight="1" x14ac:dyDescent="0.25">
      <c r="B10351" s="550"/>
      <c r="C10351" s="223"/>
      <c r="D10351" s="550"/>
      <c r="E10351" s="224"/>
      <c r="F10351" s="237" t="s">
        <v>636</v>
      </c>
      <c r="G10351" s="290"/>
      <c r="H10351" s="231">
        <f>SUM(H10347:H10350)</f>
        <v>656000</v>
      </c>
      <c r="M10351" s="237" t="s">
        <v>636</v>
      </c>
    </row>
    <row r="10352" spans="2:13" ht="18.75" customHeight="1" x14ac:dyDescent="0.25">
      <c r="B10352" s="550"/>
      <c r="C10352" s="223"/>
      <c r="D10352" s="550"/>
      <c r="E10352" s="224"/>
      <c r="F10352" s="237"/>
      <c r="G10352" s="290"/>
      <c r="H10352" s="231"/>
      <c r="M10352" s="237"/>
    </row>
    <row r="10353" spans="2:13" ht="18.75" customHeight="1" x14ac:dyDescent="0.25">
      <c r="B10353" s="550" t="s">
        <v>637</v>
      </c>
      <c r="C10353" s="223" t="s">
        <v>638</v>
      </c>
      <c r="D10353" s="550"/>
      <c r="E10353" s="224"/>
      <c r="F10353" s="225"/>
      <c r="G10353" s="290"/>
      <c r="H10353" s="226"/>
      <c r="M10353" s="225"/>
    </row>
    <row r="10354" spans="2:13" ht="18.75" customHeight="1" x14ac:dyDescent="0.25">
      <c r="B10354" s="550"/>
      <c r="C10354" s="232" t="s">
        <v>1430</v>
      </c>
      <c r="D10354" s="550"/>
      <c r="E10354" s="550" t="s">
        <v>58</v>
      </c>
      <c r="F10354" s="233">
        <v>1.5</v>
      </c>
      <c r="G10354" s="234">
        <f>Bahan!D81</f>
        <v>175000</v>
      </c>
      <c r="H10354" s="235">
        <f>G10354*F10354</f>
        <v>262500</v>
      </c>
      <c r="M10354" s="233">
        <v>1.5</v>
      </c>
    </row>
    <row r="10355" spans="2:13" ht="18.75" customHeight="1" x14ac:dyDescent="0.25">
      <c r="B10355" s="550"/>
      <c r="C10355" s="232" t="s">
        <v>1424</v>
      </c>
      <c r="D10355" s="550"/>
      <c r="E10355" s="550" t="s">
        <v>61</v>
      </c>
      <c r="F10355" s="233">
        <v>0.3</v>
      </c>
      <c r="G10355" s="234">
        <f>G10329</f>
        <v>65500</v>
      </c>
      <c r="H10355" s="235">
        <f>G10355*F10355</f>
        <v>19650</v>
      </c>
      <c r="M10355" s="233">
        <v>0.3</v>
      </c>
    </row>
    <row r="10356" spans="2:13" ht="18.75" customHeight="1" x14ac:dyDescent="0.25">
      <c r="B10356" s="550"/>
      <c r="C10356" s="223" t="s">
        <v>566</v>
      </c>
      <c r="D10356" s="550"/>
      <c r="E10356" s="224"/>
      <c r="F10356" s="237" t="s">
        <v>643</v>
      </c>
      <c r="G10356" s="290"/>
      <c r="H10356" s="231">
        <f>SUM(H10354:H10355)</f>
        <v>282150</v>
      </c>
      <c r="M10356" s="237" t="s">
        <v>643</v>
      </c>
    </row>
    <row r="10357" spans="2:13" ht="18.75" customHeight="1" x14ac:dyDescent="0.25">
      <c r="B10357" s="550"/>
      <c r="C10357" s="223"/>
      <c r="D10357" s="550"/>
      <c r="E10357" s="224"/>
      <c r="F10357" s="225"/>
      <c r="G10357" s="290"/>
      <c r="H10357" s="226"/>
      <c r="M10357" s="225"/>
    </row>
    <row r="10358" spans="2:13" ht="18.75" customHeight="1" x14ac:dyDescent="0.25">
      <c r="B10358" s="550" t="s">
        <v>644</v>
      </c>
      <c r="C10358" s="223" t="s">
        <v>645</v>
      </c>
      <c r="D10358" s="550"/>
      <c r="E10358" s="224"/>
      <c r="F10358" s="225"/>
      <c r="G10358" s="290"/>
      <c r="H10358" s="235"/>
      <c r="M10358" s="225"/>
    </row>
    <row r="10359" spans="2:13" ht="18.75" customHeight="1" x14ac:dyDescent="0.25">
      <c r="B10359" s="550"/>
      <c r="C10359" s="232" t="s">
        <v>1425</v>
      </c>
      <c r="D10359" s="550"/>
      <c r="E10359" s="550" t="s">
        <v>546</v>
      </c>
      <c r="F10359" s="228">
        <f>J10265</f>
        <v>0.3</v>
      </c>
      <c r="G10359" s="578"/>
      <c r="H10359" s="579">
        <f>F10359*(H10351)</f>
        <v>196800</v>
      </c>
      <c r="M10359" s="228">
        <f>Q10265</f>
        <v>0</v>
      </c>
    </row>
    <row r="10360" spans="2:13" ht="18.75" customHeight="1" x14ac:dyDescent="0.25">
      <c r="B10360" s="236"/>
      <c r="C10360" s="232"/>
      <c r="D10360" s="550"/>
      <c r="E10360" s="224"/>
      <c r="F10360" s="237" t="s">
        <v>646</v>
      </c>
      <c r="G10360" s="290"/>
      <c r="H10360" s="230">
        <f>H10359</f>
        <v>196800</v>
      </c>
      <c r="M10360" s="237" t="s">
        <v>646</v>
      </c>
    </row>
    <row r="10361" spans="2:13" ht="18.75" customHeight="1" x14ac:dyDescent="0.25">
      <c r="B10361" s="236"/>
      <c r="C10361" s="232"/>
      <c r="D10361" s="550"/>
      <c r="E10361" s="224"/>
      <c r="F10361" s="237"/>
      <c r="G10361" s="290"/>
      <c r="H10361" s="230"/>
      <c r="M10361" s="237"/>
    </row>
    <row r="10362" spans="2:13" ht="18.75" customHeight="1" x14ac:dyDescent="0.25">
      <c r="B10362" s="354"/>
      <c r="C10362" s="362"/>
      <c r="D10362" s="239"/>
      <c r="E10362" s="266"/>
      <c r="F10362" s="241"/>
      <c r="G10362" s="370"/>
      <c r="H10362" s="369"/>
      <c r="M10362" s="241"/>
    </row>
    <row r="10363" spans="2:13" ht="18.75" customHeight="1" x14ac:dyDescent="0.25">
      <c r="B10363" s="356" t="s">
        <v>647</v>
      </c>
      <c r="C10363" s="364" t="s">
        <v>648</v>
      </c>
      <c r="D10363" s="435"/>
      <c r="E10363" s="92"/>
      <c r="F10363" s="183"/>
      <c r="G10363" s="295"/>
      <c r="H10363" s="357">
        <f>+H10360+H10356+H10351</f>
        <v>1134950</v>
      </c>
      <c r="M10363" s="183"/>
    </row>
    <row r="10364" spans="2:13" ht="18.75" customHeight="1" x14ac:dyDescent="0.25">
      <c r="B10364" s="356" t="s">
        <v>649</v>
      </c>
      <c r="C10364" s="364" t="s">
        <v>650</v>
      </c>
      <c r="D10364" s="435"/>
      <c r="E10364" s="92"/>
      <c r="F10364" s="184" t="str">
        <f>$J$5</f>
        <v>8,0 % x D</v>
      </c>
      <c r="G10364" s="295"/>
      <c r="H10364" s="358">
        <f>+H10363*$K$5</f>
        <v>90796</v>
      </c>
      <c r="M10364" s="184" t="str">
        <f>$J$5</f>
        <v>8,0 % x D</v>
      </c>
    </row>
    <row r="10365" spans="2:13" ht="18.75" customHeight="1" x14ac:dyDescent="0.25">
      <c r="B10365" s="356" t="s">
        <v>651</v>
      </c>
      <c r="C10365" s="365" t="s">
        <v>652</v>
      </c>
      <c r="D10365" s="435"/>
      <c r="E10365" s="91"/>
      <c r="F10365" s="185"/>
      <c r="G10365" s="296"/>
      <c r="H10365" s="359">
        <f>ROUNDUP((H10364+H10363)/100,0)*100</f>
        <v>1225800</v>
      </c>
      <c r="M10365" s="185"/>
    </row>
    <row r="10366" spans="2:13" ht="18.75" customHeight="1" x14ac:dyDescent="0.25">
      <c r="B10366" s="360"/>
      <c r="C10366" s="581"/>
      <c r="D10366" s="245"/>
      <c r="E10366" s="246"/>
      <c r="F10366" s="247"/>
      <c r="G10366" s="299"/>
      <c r="H10366" s="361"/>
      <c r="M10366" s="247"/>
    </row>
    <row r="10367" spans="2:13" ht="18.75" customHeight="1" x14ac:dyDescent="0.25">
      <c r="B10367" s="22"/>
      <c r="E10367" s="21"/>
      <c r="F10367" s="176"/>
      <c r="G10367" s="165"/>
      <c r="H10367" s="119"/>
      <c r="M10367" s="176"/>
    </row>
    <row r="10368" spans="2:13" ht="18.75" customHeight="1" x14ac:dyDescent="0.25">
      <c r="B10368" s="19">
        <f>B10342+1</f>
        <v>5</v>
      </c>
      <c r="C10368" s="93" t="s">
        <v>1431</v>
      </c>
      <c r="D10368" s="19"/>
      <c r="E10368" s="21"/>
      <c r="F10368" s="176"/>
      <c r="G10368" s="165"/>
      <c r="H10368" s="119"/>
      <c r="M10368" s="176"/>
    </row>
    <row r="10369" spans="2:13" ht="18.75" customHeight="1" x14ac:dyDescent="0.25">
      <c r="B10369" s="618" t="s">
        <v>620</v>
      </c>
      <c r="C10369" s="620" t="s">
        <v>621</v>
      </c>
      <c r="D10369" s="618" t="s">
        <v>622</v>
      </c>
      <c r="E10369" s="618" t="s">
        <v>2</v>
      </c>
      <c r="F10369" s="615" t="s">
        <v>623</v>
      </c>
      <c r="G10369" s="300" t="s">
        <v>624</v>
      </c>
      <c r="H10369" s="257" t="s">
        <v>625</v>
      </c>
      <c r="M10369" s="615" t="s">
        <v>623</v>
      </c>
    </row>
    <row r="10370" spans="2:13" ht="18.75" customHeight="1" x14ac:dyDescent="0.25">
      <c r="B10370" s="619"/>
      <c r="C10370" s="621"/>
      <c r="D10370" s="619"/>
      <c r="E10370" s="619"/>
      <c r="F10370" s="616"/>
      <c r="G10370" s="585" t="s">
        <v>626</v>
      </c>
      <c r="H10370" s="586" t="s">
        <v>626</v>
      </c>
      <c r="M10370" s="616"/>
    </row>
    <row r="10371" spans="2:13" ht="18.75" customHeight="1" x14ac:dyDescent="0.25">
      <c r="B10371" s="221"/>
      <c r="C10371" s="222"/>
      <c r="D10371" s="221"/>
      <c r="E10371" s="550"/>
      <c r="F10371" s="555"/>
      <c r="G10371" s="551"/>
      <c r="H10371" s="220"/>
      <c r="M10371" s="590"/>
    </row>
    <row r="10372" spans="2:13" ht="18.75" customHeight="1" x14ac:dyDescent="0.25">
      <c r="B10372" s="550" t="s">
        <v>627</v>
      </c>
      <c r="C10372" s="223" t="s">
        <v>628</v>
      </c>
      <c r="D10372" s="550"/>
      <c r="E10372" s="224"/>
      <c r="F10372" s="225"/>
      <c r="G10372" s="290"/>
      <c r="H10372" s="226"/>
      <c r="M10372" s="225"/>
    </row>
    <row r="10373" spans="2:13" ht="18.75" customHeight="1" x14ac:dyDescent="0.25">
      <c r="B10373" s="550"/>
      <c r="C10373" s="577" t="s">
        <v>605</v>
      </c>
      <c r="D10373" s="550" t="s">
        <v>630</v>
      </c>
      <c r="E10373" s="224" t="s">
        <v>631</v>
      </c>
      <c r="F10373" s="228">
        <v>1.8</v>
      </c>
      <c r="G10373" s="229">
        <f>G10347</f>
        <v>125000</v>
      </c>
      <c r="H10373" s="230">
        <f>+G10373*F10373</f>
        <v>225000</v>
      </c>
      <c r="M10373" s="228">
        <v>1.8</v>
      </c>
    </row>
    <row r="10374" spans="2:13" ht="18.75" customHeight="1" x14ac:dyDescent="0.25">
      <c r="B10374" s="550"/>
      <c r="C10374" s="577" t="s">
        <v>604</v>
      </c>
      <c r="D10374" s="550" t="s">
        <v>632</v>
      </c>
      <c r="E10374" s="224" t="s">
        <v>631</v>
      </c>
      <c r="F10374" s="228">
        <v>2.1</v>
      </c>
      <c r="G10374" s="229">
        <f>G10348</f>
        <v>170000</v>
      </c>
      <c r="H10374" s="230">
        <f>+G10374*F10374</f>
        <v>357000</v>
      </c>
      <c r="M10374" s="228">
        <v>2.1</v>
      </c>
    </row>
    <row r="10375" spans="2:13" ht="18.75" customHeight="1" x14ac:dyDescent="0.25">
      <c r="B10375" s="550"/>
      <c r="C10375" s="577" t="s">
        <v>602</v>
      </c>
      <c r="D10375" s="550" t="s">
        <v>634</v>
      </c>
      <c r="E10375" s="224" t="s">
        <v>631</v>
      </c>
      <c r="F10375" s="228">
        <v>0.3</v>
      </c>
      <c r="G10375" s="229">
        <f>G10349</f>
        <v>185000</v>
      </c>
      <c r="H10375" s="230">
        <f>+G10375*F10375</f>
        <v>55500</v>
      </c>
      <c r="M10375" s="228">
        <v>0.3</v>
      </c>
    </row>
    <row r="10376" spans="2:13" ht="18.75" customHeight="1" x14ac:dyDescent="0.25">
      <c r="B10376" s="550"/>
      <c r="C10376" s="577" t="s">
        <v>603</v>
      </c>
      <c r="D10376" s="550" t="s">
        <v>635</v>
      </c>
      <c r="E10376" s="224" t="s">
        <v>631</v>
      </c>
      <c r="F10376" s="228">
        <v>0.1</v>
      </c>
      <c r="G10376" s="229">
        <f>G10350</f>
        <v>185000</v>
      </c>
      <c r="H10376" s="230">
        <f>+G10376*F10376</f>
        <v>18500</v>
      </c>
      <c r="M10376" s="228">
        <v>0.1</v>
      </c>
    </row>
    <row r="10377" spans="2:13" ht="18.75" customHeight="1" x14ac:dyDescent="0.25">
      <c r="B10377" s="550"/>
      <c r="C10377" s="223"/>
      <c r="D10377" s="550"/>
      <c r="E10377" s="224"/>
      <c r="F10377" s="237" t="s">
        <v>636</v>
      </c>
      <c r="G10377" s="290"/>
      <c r="H10377" s="231">
        <f>SUM(H10373:H10376)</f>
        <v>656000</v>
      </c>
      <c r="M10377" s="237" t="s">
        <v>636</v>
      </c>
    </row>
    <row r="10378" spans="2:13" ht="18.75" customHeight="1" x14ac:dyDescent="0.25">
      <c r="B10378" s="550"/>
      <c r="C10378" s="223"/>
      <c r="D10378" s="550"/>
      <c r="E10378" s="224"/>
      <c r="F10378" s="237"/>
      <c r="G10378" s="290"/>
      <c r="H10378" s="231"/>
      <c r="M10378" s="237"/>
    </row>
    <row r="10379" spans="2:13" ht="18.75" customHeight="1" x14ac:dyDescent="0.25">
      <c r="B10379" s="550" t="s">
        <v>637</v>
      </c>
      <c r="C10379" s="223" t="s">
        <v>638</v>
      </c>
      <c r="D10379" s="550"/>
      <c r="E10379" s="224"/>
      <c r="F10379" s="225"/>
      <c r="G10379" s="290"/>
      <c r="H10379" s="226"/>
      <c r="M10379" s="225"/>
    </row>
    <row r="10380" spans="2:13" ht="18.75" customHeight="1" x14ac:dyDescent="0.25">
      <c r="B10380" s="550"/>
      <c r="C10380" s="232" t="s">
        <v>1432</v>
      </c>
      <c r="D10380" s="550"/>
      <c r="E10380" s="550" t="s">
        <v>58</v>
      </c>
      <c r="F10380" s="233">
        <v>1.5</v>
      </c>
      <c r="G10380" s="234">
        <f>Bahan!D98</f>
        <v>191000</v>
      </c>
      <c r="H10380" s="235">
        <f>G10380*F10380</f>
        <v>286500</v>
      </c>
      <c r="M10380" s="233">
        <v>1.5</v>
      </c>
    </row>
    <row r="10381" spans="2:13" ht="18.75" customHeight="1" x14ac:dyDescent="0.25">
      <c r="B10381" s="550"/>
      <c r="C10381" s="232" t="s">
        <v>1424</v>
      </c>
      <c r="D10381" s="550"/>
      <c r="E10381" s="550" t="s">
        <v>61</v>
      </c>
      <c r="F10381" s="233">
        <v>0.5</v>
      </c>
      <c r="G10381" s="234">
        <f>G10355</f>
        <v>65500</v>
      </c>
      <c r="H10381" s="235">
        <f>G10381*F10381</f>
        <v>32750</v>
      </c>
      <c r="M10381" s="233">
        <v>0.5</v>
      </c>
    </row>
    <row r="10382" spans="2:13" ht="18.75" customHeight="1" x14ac:dyDescent="0.25">
      <c r="B10382" s="550"/>
      <c r="C10382" s="223" t="s">
        <v>566</v>
      </c>
      <c r="D10382" s="550"/>
      <c r="E10382" s="224"/>
      <c r="F10382" s="237" t="s">
        <v>643</v>
      </c>
      <c r="G10382" s="290"/>
      <c r="H10382" s="231">
        <f>SUM(H10380:H10381)</f>
        <v>319250</v>
      </c>
      <c r="M10382" s="237" t="s">
        <v>643</v>
      </c>
    </row>
    <row r="10383" spans="2:13" ht="18.75" customHeight="1" x14ac:dyDescent="0.25">
      <c r="B10383" s="550"/>
      <c r="C10383" s="223"/>
      <c r="D10383" s="550"/>
      <c r="E10383" s="224"/>
      <c r="F10383" s="225"/>
      <c r="G10383" s="290"/>
      <c r="H10383" s="226"/>
      <c r="M10383" s="225"/>
    </row>
    <row r="10384" spans="2:13" ht="18.75" customHeight="1" x14ac:dyDescent="0.25">
      <c r="B10384" s="550" t="s">
        <v>644</v>
      </c>
      <c r="C10384" s="223" t="s">
        <v>645</v>
      </c>
      <c r="D10384" s="550"/>
      <c r="E10384" s="224"/>
      <c r="F10384" s="225"/>
      <c r="G10384" s="290"/>
      <c r="H10384" s="235"/>
      <c r="M10384" s="225"/>
    </row>
    <row r="10385" spans="2:13" ht="18.75" customHeight="1" x14ac:dyDescent="0.25">
      <c r="B10385" s="550"/>
      <c r="C10385" s="232" t="s">
        <v>1425</v>
      </c>
      <c r="D10385" s="550"/>
      <c r="E10385" s="550" t="s">
        <v>546</v>
      </c>
      <c r="F10385" s="228">
        <f>F10359</f>
        <v>0.3</v>
      </c>
      <c r="G10385" s="578"/>
      <c r="H10385" s="579">
        <f>F10385*(H10377)</f>
        <v>196800</v>
      </c>
      <c r="M10385" s="228">
        <f>M10359</f>
        <v>0</v>
      </c>
    </row>
    <row r="10386" spans="2:13" ht="18.75" customHeight="1" x14ac:dyDescent="0.25">
      <c r="B10386" s="236"/>
      <c r="C10386" s="232"/>
      <c r="D10386" s="550"/>
      <c r="E10386" s="224"/>
      <c r="F10386" s="237" t="s">
        <v>646</v>
      </c>
      <c r="G10386" s="290"/>
      <c r="H10386" s="230">
        <f>SUM(H10385)</f>
        <v>196800</v>
      </c>
      <c r="M10386" s="237" t="s">
        <v>646</v>
      </c>
    </row>
    <row r="10387" spans="2:13" ht="18.75" customHeight="1" x14ac:dyDescent="0.25">
      <c r="B10387" s="236"/>
      <c r="C10387" s="232"/>
      <c r="D10387" s="550"/>
      <c r="E10387" s="224"/>
      <c r="F10387" s="237"/>
      <c r="G10387" s="290"/>
      <c r="H10387" s="230"/>
      <c r="M10387" s="237"/>
    </row>
    <row r="10388" spans="2:13" ht="18.75" customHeight="1" x14ac:dyDescent="0.25">
      <c r="B10388" s="354"/>
      <c r="C10388" s="362"/>
      <c r="D10388" s="239"/>
      <c r="E10388" s="240"/>
      <c r="F10388" s="241"/>
      <c r="G10388" s="293"/>
      <c r="H10388" s="355"/>
      <c r="M10388" s="241"/>
    </row>
    <row r="10389" spans="2:13" ht="18.75" customHeight="1" x14ac:dyDescent="0.25">
      <c r="B10389" s="356" t="s">
        <v>647</v>
      </c>
      <c r="C10389" s="364" t="s">
        <v>648</v>
      </c>
      <c r="D10389" s="435"/>
      <c r="E10389" s="92"/>
      <c r="F10389" s="183"/>
      <c r="G10389" s="295"/>
      <c r="H10389" s="357">
        <f>+H10386+H10382+H10377</f>
        <v>1172050</v>
      </c>
      <c r="M10389" s="183"/>
    </row>
    <row r="10390" spans="2:13" ht="18.75" customHeight="1" x14ac:dyDescent="0.25">
      <c r="B10390" s="356" t="s">
        <v>649</v>
      </c>
      <c r="C10390" s="364" t="s">
        <v>650</v>
      </c>
      <c r="D10390" s="435"/>
      <c r="E10390" s="92"/>
      <c r="F10390" s="184" t="str">
        <f>$J$5</f>
        <v>8,0 % x D</v>
      </c>
      <c r="G10390" s="295"/>
      <c r="H10390" s="358">
        <f>+H10389*$K$5</f>
        <v>93764</v>
      </c>
      <c r="M10390" s="184" t="str">
        <f>$J$5</f>
        <v>8,0 % x D</v>
      </c>
    </row>
    <row r="10391" spans="2:13" ht="18.75" customHeight="1" x14ac:dyDescent="0.25">
      <c r="B10391" s="356" t="s">
        <v>651</v>
      </c>
      <c r="C10391" s="365" t="s">
        <v>652</v>
      </c>
      <c r="D10391" s="435"/>
      <c r="E10391" s="91"/>
      <c r="F10391" s="185"/>
      <c r="G10391" s="296"/>
      <c r="H10391" s="359">
        <f>ROUNDUP((H10390+H10389)/100,0)*100</f>
        <v>1265900</v>
      </c>
      <c r="M10391" s="185"/>
    </row>
    <row r="10392" spans="2:13" ht="18.75" customHeight="1" x14ac:dyDescent="0.25">
      <c r="B10392" s="360"/>
      <c r="C10392" s="581"/>
      <c r="D10392" s="245"/>
      <c r="E10392" s="246"/>
      <c r="F10392" s="247"/>
      <c r="G10392" s="299"/>
      <c r="H10392" s="361"/>
      <c r="M10392" s="247"/>
    </row>
    <row r="10393" spans="2:13" ht="18.75" customHeight="1" x14ac:dyDescent="0.25">
      <c r="B10393" s="92"/>
      <c r="C10393" s="242"/>
      <c r="D10393" s="435"/>
      <c r="E10393" s="91"/>
      <c r="F10393" s="185"/>
      <c r="G10393" s="168"/>
      <c r="H10393" s="139"/>
      <c r="M10393" s="185"/>
    </row>
    <row r="10394" spans="2:13" ht="18.75" customHeight="1" x14ac:dyDescent="0.25">
      <c r="B10394" s="19">
        <f>B10368+1</f>
        <v>6</v>
      </c>
      <c r="C10394" s="93" t="s">
        <v>1433</v>
      </c>
      <c r="D10394" s="19"/>
      <c r="E10394" s="21"/>
      <c r="F10394" s="176"/>
      <c r="G10394" s="165"/>
      <c r="H10394" s="119"/>
      <c r="M10394" s="176"/>
    </row>
    <row r="10395" spans="2:13" ht="18.75" customHeight="1" x14ac:dyDescent="0.25">
      <c r="B10395" s="618" t="s">
        <v>620</v>
      </c>
      <c r="C10395" s="620" t="s">
        <v>621</v>
      </c>
      <c r="D10395" s="618" t="s">
        <v>622</v>
      </c>
      <c r="E10395" s="618" t="s">
        <v>2</v>
      </c>
      <c r="F10395" s="615" t="s">
        <v>623</v>
      </c>
      <c r="G10395" s="300" t="s">
        <v>624</v>
      </c>
      <c r="H10395" s="257" t="s">
        <v>625</v>
      </c>
      <c r="M10395" s="615" t="s">
        <v>623</v>
      </c>
    </row>
    <row r="10396" spans="2:13" ht="18.75" customHeight="1" x14ac:dyDescent="0.25">
      <c r="B10396" s="619"/>
      <c r="C10396" s="621"/>
      <c r="D10396" s="619"/>
      <c r="E10396" s="619"/>
      <c r="F10396" s="616"/>
      <c r="G10396" s="585" t="s">
        <v>626</v>
      </c>
      <c r="H10396" s="586" t="s">
        <v>626</v>
      </c>
      <c r="M10396" s="616"/>
    </row>
    <row r="10397" spans="2:13" ht="18.75" customHeight="1" x14ac:dyDescent="0.25">
      <c r="B10397" s="221"/>
      <c r="C10397" s="222"/>
      <c r="D10397" s="221"/>
      <c r="E10397" s="550"/>
      <c r="F10397" s="555"/>
      <c r="G10397" s="551"/>
      <c r="H10397" s="220"/>
      <c r="M10397" s="590"/>
    </row>
    <row r="10398" spans="2:13" ht="18.75" customHeight="1" x14ac:dyDescent="0.25">
      <c r="B10398" s="550" t="s">
        <v>627</v>
      </c>
      <c r="C10398" s="223" t="s">
        <v>628</v>
      </c>
      <c r="D10398" s="550"/>
      <c r="E10398" s="224"/>
      <c r="F10398" s="225"/>
      <c r="G10398" s="290"/>
      <c r="H10398" s="226"/>
      <c r="M10398" s="225"/>
    </row>
    <row r="10399" spans="2:13" ht="18.75" customHeight="1" x14ac:dyDescent="0.25">
      <c r="B10399" s="550"/>
      <c r="C10399" s="577" t="s">
        <v>605</v>
      </c>
      <c r="D10399" s="550" t="s">
        <v>630</v>
      </c>
      <c r="E10399" s="224" t="s">
        <v>631</v>
      </c>
      <c r="F10399" s="228">
        <v>1.8</v>
      </c>
      <c r="G10399" s="229">
        <f>G10373</f>
        <v>125000</v>
      </c>
      <c r="H10399" s="230">
        <f>+G10399*F10399</f>
        <v>225000</v>
      </c>
      <c r="M10399" s="228">
        <v>1.8</v>
      </c>
    </row>
    <row r="10400" spans="2:13" ht="18.75" customHeight="1" x14ac:dyDescent="0.25">
      <c r="B10400" s="550"/>
      <c r="C10400" s="577" t="s">
        <v>604</v>
      </c>
      <c r="D10400" s="550" t="s">
        <v>632</v>
      </c>
      <c r="E10400" s="224" t="s">
        <v>631</v>
      </c>
      <c r="F10400" s="228">
        <v>2.1</v>
      </c>
      <c r="G10400" s="229">
        <f>G10374</f>
        <v>170000</v>
      </c>
      <c r="H10400" s="230">
        <f>+G10400*F10400</f>
        <v>357000</v>
      </c>
      <c r="M10400" s="228">
        <v>2.1</v>
      </c>
    </row>
    <row r="10401" spans="2:13" ht="18.75" customHeight="1" x14ac:dyDescent="0.25">
      <c r="B10401" s="550"/>
      <c r="C10401" s="577" t="s">
        <v>602</v>
      </c>
      <c r="D10401" s="550" t="s">
        <v>634</v>
      </c>
      <c r="E10401" s="224" t="s">
        <v>631</v>
      </c>
      <c r="F10401" s="228">
        <v>0.3</v>
      </c>
      <c r="G10401" s="229">
        <f>G10375</f>
        <v>185000</v>
      </c>
      <c r="H10401" s="230">
        <f>+G10401*F10401</f>
        <v>55500</v>
      </c>
      <c r="M10401" s="228">
        <v>0.3</v>
      </c>
    </row>
    <row r="10402" spans="2:13" ht="18.75" customHeight="1" x14ac:dyDescent="0.25">
      <c r="B10402" s="550"/>
      <c r="C10402" s="577" t="s">
        <v>603</v>
      </c>
      <c r="D10402" s="550" t="s">
        <v>635</v>
      </c>
      <c r="E10402" s="224" t="s">
        <v>631</v>
      </c>
      <c r="F10402" s="228">
        <v>0.1</v>
      </c>
      <c r="G10402" s="229">
        <f>G10376</f>
        <v>185000</v>
      </c>
      <c r="H10402" s="230">
        <f>+G10402*F10402</f>
        <v>18500</v>
      </c>
      <c r="M10402" s="228">
        <v>0.1</v>
      </c>
    </row>
    <row r="10403" spans="2:13" ht="18.75" customHeight="1" x14ac:dyDescent="0.25">
      <c r="B10403" s="550"/>
      <c r="C10403" s="223"/>
      <c r="D10403" s="550"/>
      <c r="E10403" s="224"/>
      <c r="F10403" s="237" t="s">
        <v>636</v>
      </c>
      <c r="G10403" s="290"/>
      <c r="H10403" s="231">
        <f>SUM(H10399:H10402)</f>
        <v>656000</v>
      </c>
      <c r="M10403" s="237" t="s">
        <v>636</v>
      </c>
    </row>
    <row r="10404" spans="2:13" ht="18.75" customHeight="1" x14ac:dyDescent="0.25">
      <c r="B10404" s="550"/>
      <c r="C10404" s="223"/>
      <c r="D10404" s="550"/>
      <c r="E10404" s="224"/>
      <c r="F10404" s="237"/>
      <c r="G10404" s="290"/>
      <c r="H10404" s="231"/>
      <c r="M10404" s="237"/>
    </row>
    <row r="10405" spans="2:13" ht="18.75" customHeight="1" x14ac:dyDescent="0.25">
      <c r="B10405" s="550" t="s">
        <v>637</v>
      </c>
      <c r="C10405" s="223" t="s">
        <v>638</v>
      </c>
      <c r="D10405" s="550"/>
      <c r="E10405" s="224"/>
      <c r="F10405" s="225"/>
      <c r="G10405" s="290"/>
      <c r="H10405" s="226"/>
      <c r="M10405" s="225"/>
    </row>
    <row r="10406" spans="2:13" ht="18.75" customHeight="1" x14ac:dyDescent="0.25">
      <c r="B10406" s="550"/>
      <c r="C10406" s="232" t="s">
        <v>1434</v>
      </c>
      <c r="D10406" s="550"/>
      <c r="E10406" s="550" t="s">
        <v>58</v>
      </c>
      <c r="F10406" s="233">
        <v>1.5</v>
      </c>
      <c r="G10406" s="234">
        <f>Bahan!D98</f>
        <v>191000</v>
      </c>
      <c r="H10406" s="235">
        <f>G10406*F10406</f>
        <v>286500</v>
      </c>
      <c r="M10406" s="233">
        <v>1.5</v>
      </c>
    </row>
    <row r="10407" spans="2:13" ht="18.75" customHeight="1" x14ac:dyDescent="0.25">
      <c r="B10407" s="550"/>
      <c r="C10407" s="232" t="s">
        <v>1424</v>
      </c>
      <c r="D10407" s="550"/>
      <c r="E10407" s="550" t="s">
        <v>61</v>
      </c>
      <c r="F10407" s="233">
        <v>0.3</v>
      </c>
      <c r="G10407" s="234">
        <f>G10381</f>
        <v>65500</v>
      </c>
      <c r="H10407" s="235">
        <f>G10407*F10407</f>
        <v>19650</v>
      </c>
      <c r="M10407" s="233">
        <v>0.3</v>
      </c>
    </row>
    <row r="10408" spans="2:13" ht="18.75" customHeight="1" x14ac:dyDescent="0.25">
      <c r="B10408" s="550"/>
      <c r="C10408" s="223" t="s">
        <v>566</v>
      </c>
      <c r="D10408" s="550"/>
      <c r="E10408" s="224"/>
      <c r="F10408" s="237" t="s">
        <v>643</v>
      </c>
      <c r="G10408" s="290"/>
      <c r="H10408" s="231">
        <f>SUM(H10406:H10407)</f>
        <v>306150</v>
      </c>
      <c r="M10408" s="237" t="s">
        <v>643</v>
      </c>
    </row>
    <row r="10409" spans="2:13" ht="18.75" customHeight="1" x14ac:dyDescent="0.25">
      <c r="B10409" s="550"/>
      <c r="C10409" s="223"/>
      <c r="D10409" s="550"/>
      <c r="E10409" s="224"/>
      <c r="F10409" s="225"/>
      <c r="G10409" s="290"/>
      <c r="H10409" s="226"/>
      <c r="M10409" s="225"/>
    </row>
    <row r="10410" spans="2:13" ht="18.75" customHeight="1" x14ac:dyDescent="0.25">
      <c r="B10410" s="550" t="s">
        <v>644</v>
      </c>
      <c r="C10410" s="223" t="s">
        <v>645</v>
      </c>
      <c r="D10410" s="550"/>
      <c r="E10410" s="224"/>
      <c r="F10410" s="225"/>
      <c r="G10410" s="290"/>
      <c r="H10410" s="235"/>
      <c r="M10410" s="225"/>
    </row>
    <row r="10411" spans="2:13" ht="18.75" customHeight="1" x14ac:dyDescent="0.25">
      <c r="B10411" s="550"/>
      <c r="C10411" s="232" t="s">
        <v>1425</v>
      </c>
      <c r="D10411" s="550"/>
      <c r="E10411" s="550" t="s">
        <v>546</v>
      </c>
      <c r="F10411" s="228">
        <f>F10385</f>
        <v>0.3</v>
      </c>
      <c r="G10411" s="578"/>
      <c r="H10411" s="579">
        <f>F10411*(H10403)</f>
        <v>196800</v>
      </c>
      <c r="M10411" s="228">
        <f>M10385</f>
        <v>0</v>
      </c>
    </row>
    <row r="10412" spans="2:13" ht="18.75" customHeight="1" x14ac:dyDescent="0.25">
      <c r="B10412" s="236"/>
      <c r="C10412" s="232"/>
      <c r="D10412" s="550"/>
      <c r="E10412" s="224"/>
      <c r="F10412" s="237" t="s">
        <v>646</v>
      </c>
      <c r="G10412" s="290"/>
      <c r="H10412" s="230">
        <f>SUM(H10411)</f>
        <v>196800</v>
      </c>
      <c r="M10412" s="237" t="s">
        <v>646</v>
      </c>
    </row>
    <row r="10413" spans="2:13" ht="18.75" customHeight="1" x14ac:dyDescent="0.25">
      <c r="B10413" s="236"/>
      <c r="C10413" s="232"/>
      <c r="D10413" s="550"/>
      <c r="E10413" s="224"/>
      <c r="F10413" s="237"/>
      <c r="G10413" s="290"/>
      <c r="H10413" s="226"/>
      <c r="M10413" s="237"/>
    </row>
    <row r="10414" spans="2:13" ht="18.75" customHeight="1" x14ac:dyDescent="0.25">
      <c r="B10414" s="354"/>
      <c r="C10414" s="362"/>
      <c r="D10414" s="239"/>
      <c r="E10414" s="240"/>
      <c r="F10414" s="241"/>
      <c r="G10414" s="293"/>
      <c r="H10414" s="355"/>
      <c r="M10414" s="241"/>
    </row>
    <row r="10415" spans="2:13" ht="18.75" customHeight="1" x14ac:dyDescent="0.25">
      <c r="B10415" s="356" t="s">
        <v>647</v>
      </c>
      <c r="C10415" s="364" t="s">
        <v>648</v>
      </c>
      <c r="D10415" s="435"/>
      <c r="E10415" s="92"/>
      <c r="F10415" s="183"/>
      <c r="G10415" s="295"/>
      <c r="H10415" s="357">
        <f>+H10412+H10408+H10403</f>
        <v>1158950</v>
      </c>
      <c r="M10415" s="183"/>
    </row>
    <row r="10416" spans="2:13" ht="18.75" customHeight="1" x14ac:dyDescent="0.25">
      <c r="B10416" s="356" t="s">
        <v>649</v>
      </c>
      <c r="C10416" s="364" t="s">
        <v>650</v>
      </c>
      <c r="D10416" s="435"/>
      <c r="E10416" s="92"/>
      <c r="F10416" s="184" t="str">
        <f>$J$5</f>
        <v>8,0 % x D</v>
      </c>
      <c r="G10416" s="295"/>
      <c r="H10416" s="358">
        <f>+H10415*$K$5</f>
        <v>92716</v>
      </c>
      <c r="M10416" s="184" t="str">
        <f>$J$5</f>
        <v>8,0 % x D</v>
      </c>
    </row>
    <row r="10417" spans="2:13" ht="18.75" customHeight="1" x14ac:dyDescent="0.25">
      <c r="B10417" s="356" t="s">
        <v>651</v>
      </c>
      <c r="C10417" s="365" t="s">
        <v>652</v>
      </c>
      <c r="D10417" s="435"/>
      <c r="E10417" s="91"/>
      <c r="F10417" s="185"/>
      <c r="G10417" s="296"/>
      <c r="H10417" s="359">
        <f>ROUNDUP((H10416+H10415)/100,0)*100</f>
        <v>1251700</v>
      </c>
      <c r="M10417" s="185"/>
    </row>
    <row r="10418" spans="2:13" ht="18.75" customHeight="1" x14ac:dyDescent="0.25">
      <c r="B10418" s="360"/>
      <c r="C10418" s="581"/>
      <c r="D10418" s="245"/>
      <c r="E10418" s="246"/>
      <c r="F10418" s="247"/>
      <c r="G10418" s="299"/>
      <c r="H10418" s="361"/>
      <c r="M10418" s="247"/>
    </row>
    <row r="10419" spans="2:13" ht="18.75" customHeight="1" x14ac:dyDescent="0.25">
      <c r="B10419" s="18"/>
      <c r="D10419" s="22"/>
      <c r="E10419" s="552"/>
      <c r="F10419" s="176"/>
      <c r="G10419" s="165"/>
      <c r="H10419" s="119"/>
      <c r="M10419" s="176"/>
    </row>
    <row r="10420" spans="2:13" ht="18.75" customHeight="1" x14ac:dyDescent="0.25">
      <c r="B10420" s="19">
        <f>B10394+1</f>
        <v>7</v>
      </c>
      <c r="C10420" s="93" t="s">
        <v>1435</v>
      </c>
      <c r="D10420" s="19"/>
      <c r="E10420" s="21"/>
      <c r="F10420" s="176"/>
      <c r="G10420" s="165"/>
      <c r="H10420" s="119"/>
      <c r="M10420" s="176"/>
    </row>
    <row r="10421" spans="2:13" ht="18.75" customHeight="1" x14ac:dyDescent="0.25">
      <c r="B10421" s="618" t="s">
        <v>620</v>
      </c>
      <c r="C10421" s="620" t="s">
        <v>621</v>
      </c>
      <c r="D10421" s="618" t="s">
        <v>622</v>
      </c>
      <c r="E10421" s="618" t="s">
        <v>2</v>
      </c>
      <c r="F10421" s="615" t="s">
        <v>623</v>
      </c>
      <c r="G10421" s="300" t="s">
        <v>624</v>
      </c>
      <c r="H10421" s="257" t="s">
        <v>625</v>
      </c>
      <c r="M10421" s="615" t="s">
        <v>623</v>
      </c>
    </row>
    <row r="10422" spans="2:13" ht="18.75" customHeight="1" x14ac:dyDescent="0.25">
      <c r="B10422" s="619"/>
      <c r="C10422" s="621"/>
      <c r="D10422" s="619"/>
      <c r="E10422" s="619"/>
      <c r="F10422" s="616"/>
      <c r="G10422" s="585" t="s">
        <v>626</v>
      </c>
      <c r="H10422" s="586" t="s">
        <v>626</v>
      </c>
      <c r="M10422" s="616"/>
    </row>
    <row r="10423" spans="2:13" ht="18.75" customHeight="1" x14ac:dyDescent="0.25">
      <c r="B10423" s="221"/>
      <c r="C10423" s="222"/>
      <c r="D10423" s="221"/>
      <c r="E10423" s="550"/>
      <c r="F10423" s="555"/>
      <c r="G10423" s="551"/>
      <c r="H10423" s="220"/>
      <c r="M10423" s="590"/>
    </row>
    <row r="10424" spans="2:13" ht="18.75" customHeight="1" x14ac:dyDescent="0.25">
      <c r="B10424" s="550" t="s">
        <v>627</v>
      </c>
      <c r="C10424" s="223" t="s">
        <v>628</v>
      </c>
      <c r="D10424" s="550"/>
      <c r="E10424" s="224"/>
      <c r="F10424" s="225"/>
      <c r="G10424" s="290"/>
      <c r="H10424" s="226"/>
      <c r="M10424" s="225"/>
    </row>
    <row r="10425" spans="2:13" ht="18.75" customHeight="1" x14ac:dyDescent="0.25">
      <c r="B10425" s="550"/>
      <c r="C10425" s="577" t="s">
        <v>605</v>
      </c>
      <c r="D10425" s="550" t="s">
        <v>630</v>
      </c>
      <c r="E10425" s="224" t="s">
        <v>631</v>
      </c>
      <c r="F10425" s="228">
        <v>2.1</v>
      </c>
      <c r="G10425" s="229">
        <f>G10399</f>
        <v>125000</v>
      </c>
      <c r="H10425" s="230">
        <f>+G10425*F10425</f>
        <v>262500</v>
      </c>
      <c r="M10425" s="228">
        <v>2.1</v>
      </c>
    </row>
    <row r="10426" spans="2:13" ht="18.75" customHeight="1" x14ac:dyDescent="0.25">
      <c r="B10426" s="550"/>
      <c r="C10426" s="577" t="s">
        <v>604</v>
      </c>
      <c r="D10426" s="550" t="s">
        <v>632</v>
      </c>
      <c r="E10426" s="224" t="s">
        <v>631</v>
      </c>
      <c r="F10426" s="228">
        <v>2.7</v>
      </c>
      <c r="G10426" s="229">
        <f>G10374</f>
        <v>170000</v>
      </c>
      <c r="H10426" s="230">
        <f>+G10426*F10426</f>
        <v>459000.00000000006</v>
      </c>
      <c r="M10426" s="228">
        <v>2.7</v>
      </c>
    </row>
    <row r="10427" spans="2:13" ht="18.75" customHeight="1" x14ac:dyDescent="0.25">
      <c r="B10427" s="550"/>
      <c r="C10427" s="577" t="s">
        <v>602</v>
      </c>
      <c r="D10427" s="550" t="s">
        <v>634</v>
      </c>
      <c r="E10427" s="224" t="s">
        <v>631</v>
      </c>
      <c r="F10427" s="228">
        <v>0.35</v>
      </c>
      <c r="G10427" s="229">
        <f>G10401</f>
        <v>185000</v>
      </c>
      <c r="H10427" s="230">
        <f>+G10427*F10427</f>
        <v>64749.999999999993</v>
      </c>
      <c r="M10427" s="228">
        <v>0.35</v>
      </c>
    </row>
    <row r="10428" spans="2:13" ht="18.75" customHeight="1" x14ac:dyDescent="0.25">
      <c r="B10428" s="550"/>
      <c r="C10428" s="577" t="s">
        <v>603</v>
      </c>
      <c r="D10428" s="550" t="s">
        <v>635</v>
      </c>
      <c r="E10428" s="224" t="s">
        <v>631</v>
      </c>
      <c r="F10428" s="228">
        <v>0.15</v>
      </c>
      <c r="G10428" s="229">
        <f>G10402</f>
        <v>185000</v>
      </c>
      <c r="H10428" s="230">
        <f>+G10428*F10428</f>
        <v>27750</v>
      </c>
      <c r="M10428" s="228">
        <v>0.15</v>
      </c>
    </row>
    <row r="10429" spans="2:13" ht="18.75" customHeight="1" x14ac:dyDescent="0.25">
      <c r="B10429" s="550"/>
      <c r="C10429" s="223"/>
      <c r="D10429" s="550"/>
      <c r="E10429" s="224"/>
      <c r="F10429" s="237" t="s">
        <v>636</v>
      </c>
      <c r="G10429" s="290"/>
      <c r="H10429" s="231">
        <f>SUM(H10425:H10428)</f>
        <v>814000</v>
      </c>
      <c r="M10429" s="237" t="s">
        <v>636</v>
      </c>
    </row>
    <row r="10430" spans="2:13" ht="18.75" customHeight="1" x14ac:dyDescent="0.25">
      <c r="B10430" s="550"/>
      <c r="C10430" s="223"/>
      <c r="D10430" s="550"/>
      <c r="E10430" s="224"/>
      <c r="F10430" s="237"/>
      <c r="G10430" s="290"/>
      <c r="H10430" s="231"/>
      <c r="M10430" s="237"/>
    </row>
    <row r="10431" spans="2:13" ht="18.75" customHeight="1" x14ac:dyDescent="0.25">
      <c r="B10431" s="550" t="s">
        <v>637</v>
      </c>
      <c r="C10431" s="223" t="s">
        <v>638</v>
      </c>
      <c r="D10431" s="550"/>
      <c r="E10431" s="224"/>
      <c r="F10431" s="225"/>
      <c r="G10431" s="290"/>
      <c r="H10431" s="226"/>
      <c r="M10431" s="225"/>
    </row>
    <row r="10432" spans="2:13" ht="18.75" customHeight="1" x14ac:dyDescent="0.25">
      <c r="B10432" s="550"/>
      <c r="C10432" s="232" t="s">
        <v>1436</v>
      </c>
      <c r="D10432" s="550"/>
      <c r="E10432" s="550" t="s">
        <v>58</v>
      </c>
      <c r="F10432" s="233">
        <v>1.5</v>
      </c>
      <c r="G10432" s="234">
        <f>Bahan!D97</f>
        <v>275000</v>
      </c>
      <c r="H10432" s="235">
        <f>G10432*F10432</f>
        <v>412500</v>
      </c>
      <c r="M10432" s="233">
        <v>1.5</v>
      </c>
    </row>
    <row r="10433" spans="2:13" ht="18.75" customHeight="1" x14ac:dyDescent="0.25">
      <c r="B10433" s="550"/>
      <c r="C10433" s="232" t="s">
        <v>1424</v>
      </c>
      <c r="D10433" s="550"/>
      <c r="E10433" s="550" t="s">
        <v>61</v>
      </c>
      <c r="F10433" s="233">
        <v>0.5</v>
      </c>
      <c r="G10433" s="234">
        <f>G10407</f>
        <v>65500</v>
      </c>
      <c r="H10433" s="235">
        <f>G10433*F10433</f>
        <v>32750</v>
      </c>
      <c r="M10433" s="233">
        <v>0.5</v>
      </c>
    </row>
    <row r="10434" spans="2:13" ht="18.75" customHeight="1" x14ac:dyDescent="0.25">
      <c r="B10434" s="550"/>
      <c r="C10434" s="223" t="s">
        <v>566</v>
      </c>
      <c r="D10434" s="550"/>
      <c r="E10434" s="224"/>
      <c r="F10434" s="237" t="s">
        <v>643</v>
      </c>
      <c r="G10434" s="290"/>
      <c r="H10434" s="231">
        <f>SUM(H10432:H10433)</f>
        <v>445250</v>
      </c>
      <c r="M10434" s="237" t="s">
        <v>643</v>
      </c>
    </row>
    <row r="10435" spans="2:13" ht="18.75" customHeight="1" x14ac:dyDescent="0.25">
      <c r="B10435" s="550"/>
      <c r="C10435" s="223"/>
      <c r="D10435" s="550"/>
      <c r="E10435" s="224"/>
      <c r="F10435" s="225"/>
      <c r="G10435" s="290"/>
      <c r="H10435" s="226"/>
      <c r="M10435" s="225"/>
    </row>
    <row r="10436" spans="2:13" ht="18.75" customHeight="1" x14ac:dyDescent="0.25">
      <c r="B10436" s="550" t="s">
        <v>644</v>
      </c>
      <c r="C10436" s="223" t="s">
        <v>645</v>
      </c>
      <c r="D10436" s="550"/>
      <c r="E10436" s="224"/>
      <c r="F10436" s="225"/>
      <c r="G10436" s="290"/>
      <c r="H10436" s="235"/>
      <c r="M10436" s="225"/>
    </row>
    <row r="10437" spans="2:13" ht="18.75" customHeight="1" x14ac:dyDescent="0.25">
      <c r="B10437" s="550"/>
      <c r="C10437" s="232" t="s">
        <v>1425</v>
      </c>
      <c r="D10437" s="550"/>
      <c r="E10437" s="550" t="s">
        <v>546</v>
      </c>
      <c r="F10437" s="228">
        <f>F10411</f>
        <v>0.3</v>
      </c>
      <c r="G10437" s="578"/>
      <c r="H10437" s="579">
        <f>F10437*(H10429)</f>
        <v>244200</v>
      </c>
      <c r="M10437" s="228">
        <f>M10411</f>
        <v>0</v>
      </c>
    </row>
    <row r="10438" spans="2:13" ht="18.75" customHeight="1" x14ac:dyDescent="0.25">
      <c r="B10438" s="236"/>
      <c r="C10438" s="232"/>
      <c r="D10438" s="550"/>
      <c r="E10438" s="224"/>
      <c r="F10438" s="237" t="s">
        <v>646</v>
      </c>
      <c r="G10438" s="290"/>
      <c r="H10438" s="230">
        <f>SUM(H10437)</f>
        <v>244200</v>
      </c>
      <c r="M10438" s="237" t="s">
        <v>646</v>
      </c>
    </row>
    <row r="10439" spans="2:13" ht="18.75" customHeight="1" x14ac:dyDescent="0.25">
      <c r="B10439" s="236"/>
      <c r="C10439" s="232"/>
      <c r="D10439" s="550"/>
      <c r="E10439" s="224"/>
      <c r="F10439" s="237"/>
      <c r="G10439" s="290"/>
      <c r="H10439" s="230"/>
      <c r="M10439" s="237"/>
    </row>
    <row r="10440" spans="2:13" ht="18.75" customHeight="1" x14ac:dyDescent="0.25">
      <c r="B10440" s="354"/>
      <c r="C10440" s="362"/>
      <c r="D10440" s="239"/>
      <c r="E10440" s="240"/>
      <c r="F10440" s="241"/>
      <c r="G10440" s="293"/>
      <c r="H10440" s="355"/>
      <c r="M10440" s="241"/>
    </row>
    <row r="10441" spans="2:13" ht="18.75" customHeight="1" x14ac:dyDescent="0.25">
      <c r="B10441" s="356" t="s">
        <v>647</v>
      </c>
      <c r="C10441" s="364" t="s">
        <v>648</v>
      </c>
      <c r="D10441" s="435"/>
      <c r="E10441" s="92"/>
      <c r="F10441" s="183"/>
      <c r="G10441" s="295"/>
      <c r="H10441" s="357">
        <f>H10438+H10434+H10429</f>
        <v>1503450</v>
      </c>
      <c r="M10441" s="183"/>
    </row>
    <row r="10442" spans="2:13" ht="18.75" customHeight="1" x14ac:dyDescent="0.25">
      <c r="B10442" s="356" t="s">
        <v>649</v>
      </c>
      <c r="C10442" s="364" t="s">
        <v>650</v>
      </c>
      <c r="D10442" s="435"/>
      <c r="E10442" s="92"/>
      <c r="F10442" s="184" t="str">
        <f>$J$5</f>
        <v>8,0 % x D</v>
      </c>
      <c r="G10442" s="295"/>
      <c r="H10442" s="358">
        <f>+H10441*$K$5</f>
        <v>120276</v>
      </c>
      <c r="M10442" s="184" t="str">
        <f>$J$5</f>
        <v>8,0 % x D</v>
      </c>
    </row>
    <row r="10443" spans="2:13" ht="18.75" customHeight="1" x14ac:dyDescent="0.25">
      <c r="B10443" s="356" t="s">
        <v>651</v>
      </c>
      <c r="C10443" s="365" t="s">
        <v>652</v>
      </c>
      <c r="D10443" s="435"/>
      <c r="E10443" s="91"/>
      <c r="F10443" s="185"/>
      <c r="G10443" s="296"/>
      <c r="H10443" s="359">
        <f>ROUNDUP((H10442+H10441)/100,0)*100</f>
        <v>1623800</v>
      </c>
      <c r="M10443" s="185"/>
    </row>
    <row r="10444" spans="2:13" ht="18.75" customHeight="1" x14ac:dyDescent="0.25">
      <c r="B10444" s="360"/>
      <c r="C10444" s="581"/>
      <c r="D10444" s="245"/>
      <c r="E10444" s="246"/>
      <c r="F10444" s="247"/>
      <c r="G10444" s="299"/>
      <c r="H10444" s="361"/>
      <c r="M10444" s="247"/>
    </row>
    <row r="10445" spans="2:13" ht="18.75" customHeight="1" x14ac:dyDescent="0.25">
      <c r="B10445" s="92"/>
      <c r="C10445" s="242"/>
      <c r="D10445" s="435"/>
      <c r="E10445" s="91"/>
      <c r="F10445" s="185"/>
      <c r="G10445" s="168"/>
      <c r="H10445" s="139"/>
      <c r="M10445" s="185"/>
    </row>
    <row r="10446" spans="2:13" ht="18.75" customHeight="1" x14ac:dyDescent="0.25">
      <c r="B10446" s="19">
        <f>B10420+1</f>
        <v>8</v>
      </c>
      <c r="C10446" s="93" t="s">
        <v>1437</v>
      </c>
      <c r="D10446" s="19"/>
      <c r="E10446" s="21"/>
      <c r="F10446" s="176"/>
      <c r="G10446" s="165"/>
      <c r="H10446" s="119"/>
      <c r="M10446" s="176"/>
    </row>
    <row r="10447" spans="2:13" ht="18.75" customHeight="1" x14ac:dyDescent="0.25">
      <c r="B10447" s="618" t="s">
        <v>620</v>
      </c>
      <c r="C10447" s="620" t="s">
        <v>621</v>
      </c>
      <c r="D10447" s="618" t="s">
        <v>622</v>
      </c>
      <c r="E10447" s="618" t="s">
        <v>2</v>
      </c>
      <c r="F10447" s="615" t="s">
        <v>623</v>
      </c>
      <c r="G10447" s="300" t="s">
        <v>624</v>
      </c>
      <c r="H10447" s="257" t="s">
        <v>625</v>
      </c>
      <c r="M10447" s="615" t="s">
        <v>623</v>
      </c>
    </row>
    <row r="10448" spans="2:13" ht="18.75" customHeight="1" x14ac:dyDescent="0.25">
      <c r="B10448" s="619"/>
      <c r="C10448" s="621"/>
      <c r="D10448" s="619"/>
      <c r="E10448" s="619"/>
      <c r="F10448" s="616"/>
      <c r="G10448" s="585" t="s">
        <v>626</v>
      </c>
      <c r="H10448" s="586" t="s">
        <v>626</v>
      </c>
      <c r="M10448" s="616"/>
    </row>
    <row r="10449" spans="2:13" ht="18.75" customHeight="1" x14ac:dyDescent="0.25">
      <c r="B10449" s="221"/>
      <c r="C10449" s="222"/>
      <c r="D10449" s="221"/>
      <c r="E10449" s="550"/>
      <c r="F10449" s="555"/>
      <c r="G10449" s="551"/>
      <c r="H10449" s="220"/>
      <c r="M10449" s="590"/>
    </row>
    <row r="10450" spans="2:13" ht="18.75" customHeight="1" x14ac:dyDescent="0.25">
      <c r="B10450" s="550" t="s">
        <v>627</v>
      </c>
      <c r="C10450" s="223" t="s">
        <v>628</v>
      </c>
      <c r="D10450" s="550"/>
      <c r="E10450" s="224"/>
      <c r="F10450" s="225"/>
      <c r="G10450" s="290"/>
      <c r="H10450" s="226"/>
      <c r="M10450" s="225"/>
    </row>
    <row r="10451" spans="2:13" ht="18.75" customHeight="1" x14ac:dyDescent="0.25">
      <c r="B10451" s="550"/>
      <c r="C10451" s="577" t="s">
        <v>605</v>
      </c>
      <c r="D10451" s="550" t="s">
        <v>630</v>
      </c>
      <c r="E10451" s="224" t="s">
        <v>631</v>
      </c>
      <c r="F10451" s="228">
        <v>2.9</v>
      </c>
      <c r="G10451" s="229">
        <f>G10425</f>
        <v>125000</v>
      </c>
      <c r="H10451" s="230">
        <f>+G10451*F10451</f>
        <v>362500</v>
      </c>
      <c r="M10451" s="228">
        <v>2.9</v>
      </c>
    </row>
    <row r="10452" spans="2:13" ht="18.75" customHeight="1" x14ac:dyDescent="0.25">
      <c r="B10452" s="550"/>
      <c r="C10452" s="577" t="s">
        <v>604</v>
      </c>
      <c r="D10452" s="550" t="s">
        <v>632</v>
      </c>
      <c r="E10452" s="224" t="s">
        <v>631</v>
      </c>
      <c r="F10452" s="228">
        <v>3</v>
      </c>
      <c r="G10452" s="229">
        <f>G10426</f>
        <v>170000</v>
      </c>
      <c r="H10452" s="230">
        <f>+G10452*F10452</f>
        <v>510000</v>
      </c>
      <c r="M10452" s="228">
        <v>3</v>
      </c>
    </row>
    <row r="10453" spans="2:13" ht="18.75" customHeight="1" x14ac:dyDescent="0.25">
      <c r="B10453" s="550"/>
      <c r="C10453" s="577" t="s">
        <v>602</v>
      </c>
      <c r="D10453" s="550" t="s">
        <v>634</v>
      </c>
      <c r="E10453" s="224" t="s">
        <v>631</v>
      </c>
      <c r="F10453" s="228">
        <v>0.4</v>
      </c>
      <c r="G10453" s="229">
        <f>G10427</f>
        <v>185000</v>
      </c>
      <c r="H10453" s="230">
        <f>+G10453*F10453</f>
        <v>74000</v>
      </c>
      <c r="M10453" s="228">
        <v>0.4</v>
      </c>
    </row>
    <row r="10454" spans="2:13" ht="18.75" customHeight="1" x14ac:dyDescent="0.25">
      <c r="B10454" s="550"/>
      <c r="C10454" s="577" t="s">
        <v>603</v>
      </c>
      <c r="D10454" s="550" t="s">
        <v>635</v>
      </c>
      <c r="E10454" s="224" t="s">
        <v>631</v>
      </c>
      <c r="F10454" s="228">
        <v>0.15</v>
      </c>
      <c r="G10454" s="229">
        <f>G10428</f>
        <v>185000</v>
      </c>
      <c r="H10454" s="230">
        <f>+G10454*F10454</f>
        <v>27750</v>
      </c>
      <c r="M10454" s="228">
        <v>0.15</v>
      </c>
    </row>
    <row r="10455" spans="2:13" ht="18.75" customHeight="1" x14ac:dyDescent="0.25">
      <c r="B10455" s="550"/>
      <c r="C10455" s="223"/>
      <c r="D10455" s="550"/>
      <c r="E10455" s="224"/>
      <c r="F10455" s="237" t="s">
        <v>636</v>
      </c>
      <c r="G10455" s="290"/>
      <c r="H10455" s="231">
        <f>SUM(H10451:H10454)</f>
        <v>974250</v>
      </c>
      <c r="M10455" s="237" t="s">
        <v>636</v>
      </c>
    </row>
    <row r="10456" spans="2:13" ht="18.75" customHeight="1" x14ac:dyDescent="0.25">
      <c r="B10456" s="550" t="s">
        <v>637</v>
      </c>
      <c r="C10456" s="223" t="s">
        <v>638</v>
      </c>
      <c r="D10456" s="550"/>
      <c r="E10456" s="224"/>
      <c r="F10456" s="225"/>
      <c r="G10456" s="290"/>
      <c r="H10456" s="226"/>
      <c r="M10456" s="225"/>
    </row>
    <row r="10457" spans="2:13" ht="18.75" customHeight="1" x14ac:dyDescent="0.25">
      <c r="B10457" s="550"/>
      <c r="C10457" s="232" t="s">
        <v>92</v>
      </c>
      <c r="D10457" s="550"/>
      <c r="E10457" s="550" t="s">
        <v>58</v>
      </c>
      <c r="F10457" s="233">
        <v>1.5</v>
      </c>
      <c r="G10457" s="234">
        <f>Bahan!D104</f>
        <v>505000</v>
      </c>
      <c r="H10457" s="235">
        <f>G10457*F10457</f>
        <v>757500</v>
      </c>
      <c r="M10457" s="233">
        <v>1.5</v>
      </c>
    </row>
    <row r="10458" spans="2:13" ht="18.75" customHeight="1" x14ac:dyDescent="0.25">
      <c r="B10458" s="550"/>
      <c r="C10458" s="232" t="s">
        <v>1424</v>
      </c>
      <c r="D10458" s="550"/>
      <c r="E10458" s="550" t="s">
        <v>61</v>
      </c>
      <c r="F10458" s="233">
        <v>0.3</v>
      </c>
      <c r="G10458" s="234">
        <f>G10433</f>
        <v>65500</v>
      </c>
      <c r="H10458" s="235">
        <f>G10458*F10458</f>
        <v>19650</v>
      </c>
      <c r="M10458" s="233">
        <v>0.3</v>
      </c>
    </row>
    <row r="10459" spans="2:13" ht="18.75" customHeight="1" x14ac:dyDescent="0.25">
      <c r="B10459" s="550"/>
      <c r="C10459" s="223" t="s">
        <v>566</v>
      </c>
      <c r="D10459" s="550"/>
      <c r="E10459" s="224"/>
      <c r="F10459" s="237" t="s">
        <v>643</v>
      </c>
      <c r="G10459" s="290"/>
      <c r="H10459" s="231">
        <f>SUM(H10457:H10458)</f>
        <v>777150</v>
      </c>
      <c r="M10459" s="237" t="s">
        <v>643</v>
      </c>
    </row>
    <row r="10460" spans="2:13" ht="18.75" customHeight="1" x14ac:dyDescent="0.25">
      <c r="B10460" s="550"/>
      <c r="C10460" s="223"/>
      <c r="D10460" s="550"/>
      <c r="E10460" s="224"/>
      <c r="F10460" s="225"/>
      <c r="G10460" s="290"/>
      <c r="H10460" s="226"/>
      <c r="M10460" s="225"/>
    </row>
    <row r="10461" spans="2:13" ht="18.75" customHeight="1" x14ac:dyDescent="0.25">
      <c r="B10461" s="550" t="s">
        <v>644</v>
      </c>
      <c r="C10461" s="223" t="s">
        <v>645</v>
      </c>
      <c r="D10461" s="550"/>
      <c r="E10461" s="224"/>
      <c r="F10461" s="225"/>
      <c r="G10461" s="290"/>
      <c r="H10461" s="235">
        <f>+G10461*F10461</f>
        <v>0</v>
      </c>
      <c r="M10461" s="225"/>
    </row>
    <row r="10462" spans="2:13" ht="18.75" customHeight="1" x14ac:dyDescent="0.25">
      <c r="B10462" s="550"/>
      <c r="C10462" s="232" t="s">
        <v>1425</v>
      </c>
      <c r="D10462" s="550"/>
      <c r="E10462" s="550" t="s">
        <v>546</v>
      </c>
      <c r="F10462" s="228">
        <f>F10411</f>
        <v>0.3</v>
      </c>
      <c r="G10462" s="578"/>
      <c r="H10462" s="579">
        <f>F10462*(H10455)</f>
        <v>292275</v>
      </c>
      <c r="M10462" s="228">
        <f>M10411</f>
        <v>0</v>
      </c>
    </row>
    <row r="10463" spans="2:13" ht="18.75" customHeight="1" x14ac:dyDescent="0.25">
      <c r="B10463" s="236"/>
      <c r="C10463" s="232"/>
      <c r="D10463" s="550"/>
      <c r="E10463" s="224"/>
      <c r="F10463" s="237" t="s">
        <v>646</v>
      </c>
      <c r="G10463" s="290"/>
      <c r="H10463" s="230">
        <f>SUM(H10462)</f>
        <v>292275</v>
      </c>
      <c r="M10463" s="237" t="s">
        <v>646</v>
      </c>
    </row>
    <row r="10464" spans="2:13" ht="18.75" customHeight="1" x14ac:dyDescent="0.25">
      <c r="B10464" s="236"/>
      <c r="C10464" s="232"/>
      <c r="D10464" s="550"/>
      <c r="E10464" s="224"/>
      <c r="F10464" s="237"/>
      <c r="G10464" s="290"/>
      <c r="H10464" s="226"/>
      <c r="M10464" s="237"/>
    </row>
    <row r="10465" spans="2:13" ht="18.75" customHeight="1" x14ac:dyDescent="0.25">
      <c r="B10465" s="354"/>
      <c r="C10465" s="362"/>
      <c r="D10465" s="239"/>
      <c r="E10465" s="240"/>
      <c r="F10465" s="241"/>
      <c r="G10465" s="293"/>
      <c r="H10465" s="355"/>
      <c r="M10465" s="241"/>
    </row>
    <row r="10466" spans="2:13" ht="18.75" customHeight="1" x14ac:dyDescent="0.25">
      <c r="B10466" s="356" t="s">
        <v>647</v>
      </c>
      <c r="C10466" s="364" t="s">
        <v>648</v>
      </c>
      <c r="D10466" s="435"/>
      <c r="E10466" s="92"/>
      <c r="F10466" s="183"/>
      <c r="G10466" s="295"/>
      <c r="H10466" s="357">
        <f>+H10463+H10459+H10455</f>
        <v>2043675</v>
      </c>
      <c r="M10466" s="183"/>
    </row>
    <row r="10467" spans="2:13" ht="18.75" customHeight="1" x14ac:dyDescent="0.25">
      <c r="B10467" s="356" t="s">
        <v>649</v>
      </c>
      <c r="C10467" s="364" t="s">
        <v>650</v>
      </c>
      <c r="D10467" s="435"/>
      <c r="E10467" s="92"/>
      <c r="F10467" s="184" t="str">
        <f>$J$5</f>
        <v>8,0 % x D</v>
      </c>
      <c r="G10467" s="295"/>
      <c r="H10467" s="358">
        <f>+H10466*$K$5</f>
        <v>163494</v>
      </c>
      <c r="M10467" s="184" t="str">
        <f>$J$5</f>
        <v>8,0 % x D</v>
      </c>
    </row>
    <row r="10468" spans="2:13" ht="18.75" customHeight="1" x14ac:dyDescent="0.25">
      <c r="B10468" s="356" t="s">
        <v>651</v>
      </c>
      <c r="C10468" s="365" t="s">
        <v>652</v>
      </c>
      <c r="D10468" s="435"/>
      <c r="E10468" s="91"/>
      <c r="F10468" s="185"/>
      <c r="G10468" s="296"/>
      <c r="H10468" s="359">
        <f>ROUNDUP((H10467+H10466)/100,0)*100</f>
        <v>2207200</v>
      </c>
      <c r="M10468" s="185"/>
    </row>
    <row r="10469" spans="2:13" ht="18.75" customHeight="1" x14ac:dyDescent="0.25">
      <c r="B10469" s="360"/>
      <c r="C10469" s="581"/>
      <c r="D10469" s="245"/>
      <c r="E10469" s="246"/>
      <c r="F10469" s="247"/>
      <c r="G10469" s="299"/>
      <c r="H10469" s="361"/>
      <c r="M10469" s="247"/>
    </row>
    <row r="10470" spans="2:13" ht="18.75" customHeight="1" x14ac:dyDescent="0.25">
      <c r="B10470" s="18"/>
      <c r="D10470" s="22"/>
      <c r="E10470" s="552"/>
      <c r="F10470" s="176"/>
      <c r="G10470" s="165"/>
      <c r="H10470" s="119"/>
      <c r="M10470" s="176"/>
    </row>
    <row r="10471" spans="2:13" ht="18.75" customHeight="1" x14ac:dyDescent="0.25">
      <c r="B10471" s="18"/>
      <c r="D10471" s="22"/>
      <c r="E10471" s="552"/>
      <c r="F10471" s="176"/>
      <c r="G10471" s="165"/>
      <c r="H10471" s="119"/>
      <c r="M10471" s="176"/>
    </row>
    <row r="10472" spans="2:13" ht="18.75" customHeight="1" x14ac:dyDescent="0.25">
      <c r="B10472" s="18"/>
      <c r="D10472" s="22"/>
      <c r="E10472" s="552"/>
      <c r="F10472" s="176"/>
      <c r="G10472" s="165"/>
      <c r="H10472" s="119"/>
      <c r="M10472" s="176"/>
    </row>
    <row r="10473" spans="2:13" ht="18.75" customHeight="1" x14ac:dyDescent="0.25">
      <c r="B10473" s="18"/>
      <c r="D10473" s="22"/>
      <c r="E10473" s="552"/>
      <c r="F10473" s="176"/>
      <c r="G10473" s="165"/>
      <c r="H10473" s="119"/>
      <c r="M10473" s="176"/>
    </row>
    <row r="10474" spans="2:13" ht="18.75" customHeight="1" x14ac:dyDescent="0.25">
      <c r="B10474" s="18"/>
      <c r="D10474" s="22"/>
      <c r="E10474" s="552"/>
      <c r="F10474" s="176"/>
      <c r="G10474" s="165"/>
      <c r="H10474" s="119"/>
      <c r="M10474" s="176"/>
    </row>
    <row r="10475" spans="2:13" ht="18.75" customHeight="1" x14ac:dyDescent="0.25">
      <c r="B10475" s="18"/>
      <c r="D10475" s="22"/>
      <c r="E10475" s="552"/>
      <c r="F10475" s="176"/>
      <c r="G10475" s="165"/>
      <c r="H10475" s="119"/>
      <c r="M10475" s="176"/>
    </row>
    <row r="10476" spans="2:13" ht="18.75" customHeight="1" x14ac:dyDescent="0.25">
      <c r="B10476" s="18"/>
      <c r="D10476" s="22"/>
      <c r="E10476" s="552"/>
      <c r="F10476" s="176"/>
      <c r="G10476" s="165"/>
      <c r="H10476" s="119"/>
      <c r="M10476" s="176"/>
    </row>
    <row r="10477" spans="2:13" ht="18.75" customHeight="1" x14ac:dyDescent="0.25">
      <c r="B10477" s="18"/>
      <c r="D10477" s="22"/>
      <c r="E10477" s="552"/>
      <c r="F10477" s="176"/>
      <c r="G10477" s="165"/>
      <c r="H10477" s="119"/>
      <c r="M10477" s="176"/>
    </row>
    <row r="10478" spans="2:13" ht="18.75" customHeight="1" x14ac:dyDescent="0.25">
      <c r="B10478" s="18"/>
      <c r="D10478" s="22"/>
      <c r="E10478" s="552"/>
      <c r="F10478" s="176"/>
      <c r="G10478" s="165"/>
      <c r="H10478" s="119"/>
      <c r="M10478" s="176"/>
    </row>
    <row r="10479" spans="2:13" ht="18.75" customHeight="1" x14ac:dyDescent="0.25">
      <c r="B10479" s="18"/>
      <c r="D10479" s="22"/>
      <c r="E10479" s="552"/>
      <c r="F10479" s="176"/>
      <c r="G10479" s="165"/>
      <c r="H10479" s="119"/>
      <c r="M10479" s="176"/>
    </row>
    <row r="10480" spans="2:13" ht="18.75" customHeight="1" x14ac:dyDescent="0.25">
      <c r="B10480" s="18"/>
      <c r="D10480" s="22"/>
      <c r="E10480" s="552"/>
      <c r="F10480" s="176"/>
      <c r="G10480" s="165"/>
      <c r="H10480" s="119"/>
      <c r="M10480" s="176"/>
    </row>
    <row r="10481" spans="2:13" ht="18.75" customHeight="1" x14ac:dyDescent="0.25">
      <c r="B10481" s="18"/>
      <c r="D10481" s="22"/>
      <c r="E10481" s="552"/>
      <c r="F10481" s="176"/>
      <c r="G10481" s="165"/>
      <c r="H10481" s="119"/>
      <c r="M10481" s="176"/>
    </row>
    <row r="10482" spans="2:13" ht="18.75" customHeight="1" x14ac:dyDescent="0.25">
      <c r="B10482" s="18"/>
      <c r="D10482" s="22"/>
      <c r="E10482" s="552"/>
      <c r="F10482" s="176"/>
      <c r="G10482" s="165"/>
      <c r="H10482" s="119"/>
      <c r="M10482" s="176"/>
    </row>
    <row r="10483" spans="2:13" ht="18.75" customHeight="1" x14ac:dyDescent="0.25">
      <c r="B10483" s="18"/>
      <c r="D10483" s="22"/>
      <c r="E10483" s="552"/>
      <c r="F10483" s="176"/>
      <c r="G10483" s="165"/>
      <c r="H10483" s="119"/>
      <c r="M10483" s="176"/>
    </row>
    <row r="10484" spans="2:13" ht="18.75" customHeight="1" x14ac:dyDescent="0.25">
      <c r="B10484" s="18"/>
      <c r="D10484" s="22"/>
      <c r="E10484" s="552"/>
      <c r="F10484" s="176"/>
      <c r="G10484" s="165"/>
      <c r="H10484" s="119"/>
      <c r="M10484" s="176"/>
    </row>
    <row r="10485" spans="2:13" ht="18.75" customHeight="1" x14ac:dyDescent="0.25">
      <c r="B10485" s="18"/>
      <c r="D10485" s="22"/>
      <c r="E10485" s="552"/>
      <c r="F10485" s="176"/>
      <c r="G10485" s="165"/>
      <c r="H10485" s="119"/>
      <c r="M10485" s="176"/>
    </row>
    <row r="10486" spans="2:13" ht="18.75" customHeight="1" x14ac:dyDescent="0.25">
      <c r="B10486" s="18"/>
      <c r="D10486" s="22"/>
      <c r="E10486" s="552"/>
      <c r="F10486" s="176"/>
      <c r="G10486" s="165"/>
      <c r="H10486" s="119"/>
      <c r="M10486" s="176"/>
    </row>
    <row r="10487" spans="2:13" ht="18.75" customHeight="1" x14ac:dyDescent="0.25">
      <c r="B10487" s="18"/>
      <c r="D10487" s="22"/>
      <c r="E10487" s="552"/>
      <c r="F10487" s="176"/>
      <c r="G10487" s="165"/>
      <c r="H10487" s="119"/>
      <c r="M10487" s="176"/>
    </row>
    <row r="10488" spans="2:13" ht="18.75" customHeight="1" x14ac:dyDescent="0.25">
      <c r="B10488" s="18"/>
      <c r="D10488" s="22"/>
      <c r="E10488" s="552"/>
      <c r="F10488" s="176"/>
      <c r="G10488" s="165"/>
      <c r="H10488" s="119"/>
      <c r="M10488" s="176"/>
    </row>
    <row r="10489" spans="2:13" ht="18.75" customHeight="1" x14ac:dyDescent="0.25">
      <c r="B10489" s="18"/>
      <c r="D10489" s="22"/>
      <c r="E10489" s="552"/>
      <c r="F10489" s="176"/>
      <c r="G10489" s="165"/>
      <c r="H10489" s="119"/>
      <c r="M10489" s="176"/>
    </row>
    <row r="10490" spans="2:13" ht="18.75" customHeight="1" x14ac:dyDescent="0.25">
      <c r="B10490" s="18"/>
      <c r="D10490" s="22"/>
      <c r="E10490" s="552"/>
      <c r="F10490" s="176"/>
      <c r="G10490" s="165"/>
      <c r="H10490" s="119"/>
      <c r="M10490" s="176"/>
    </row>
    <row r="10491" spans="2:13" ht="18.75" customHeight="1" x14ac:dyDescent="0.25">
      <c r="B10491" s="18"/>
      <c r="D10491" s="22"/>
      <c r="E10491" s="552"/>
      <c r="F10491" s="176"/>
      <c r="G10491" s="165"/>
      <c r="H10491" s="119"/>
      <c r="M10491" s="176"/>
    </row>
    <row r="10492" spans="2:13" ht="18.75" customHeight="1" x14ac:dyDescent="0.25">
      <c r="B10492" s="18"/>
      <c r="D10492" s="22"/>
      <c r="E10492" s="552"/>
      <c r="F10492" s="176"/>
      <c r="G10492" s="165"/>
      <c r="H10492" s="119"/>
      <c r="M10492" s="176"/>
    </row>
    <row r="10493" spans="2:13" ht="18.75" customHeight="1" x14ac:dyDescent="0.25">
      <c r="B10493" s="18"/>
      <c r="D10493" s="22"/>
      <c r="E10493" s="552"/>
      <c r="F10493" s="176"/>
      <c r="G10493" s="165"/>
      <c r="H10493" s="119"/>
      <c r="M10493" s="176"/>
    </row>
    <row r="10494" spans="2:13" ht="18.75" customHeight="1" x14ac:dyDescent="0.25">
      <c r="B10494" s="18"/>
      <c r="D10494" s="22"/>
      <c r="E10494" s="552"/>
      <c r="F10494" s="176"/>
      <c r="G10494" s="165"/>
      <c r="H10494" s="119"/>
      <c r="M10494" s="176"/>
    </row>
    <row r="10495" spans="2:13" ht="18.75" customHeight="1" x14ac:dyDescent="0.25">
      <c r="B10495" s="18"/>
      <c r="D10495" s="22"/>
      <c r="E10495" s="552"/>
      <c r="F10495" s="176"/>
      <c r="G10495" s="165"/>
      <c r="H10495" s="119"/>
      <c r="M10495" s="176"/>
    </row>
    <row r="10496" spans="2:13" ht="18.75" customHeight="1" x14ac:dyDescent="0.25">
      <c r="B10496" s="18"/>
      <c r="D10496" s="22"/>
      <c r="E10496" s="552"/>
      <c r="F10496" s="176"/>
      <c r="G10496" s="165"/>
      <c r="H10496" s="119"/>
      <c r="M10496" s="176"/>
    </row>
    <row r="10497" spans="2:13" ht="18.75" customHeight="1" x14ac:dyDescent="0.25">
      <c r="B10497" s="18"/>
      <c r="D10497" s="22"/>
      <c r="E10497" s="552"/>
      <c r="F10497" s="176"/>
      <c r="G10497" s="165"/>
      <c r="H10497" s="119"/>
      <c r="M10497" s="176"/>
    </row>
    <row r="10498" spans="2:13" ht="18.75" customHeight="1" x14ac:dyDescent="0.25">
      <c r="B10498" s="18"/>
      <c r="D10498" s="22"/>
      <c r="E10498" s="552"/>
      <c r="F10498" s="176"/>
      <c r="G10498" s="165"/>
      <c r="H10498" s="119"/>
      <c r="M10498" s="176"/>
    </row>
    <row r="10499" spans="2:13" ht="18.75" customHeight="1" x14ac:dyDescent="0.25">
      <c r="B10499" s="18"/>
      <c r="D10499" s="22"/>
      <c r="E10499" s="552"/>
      <c r="F10499" s="176"/>
      <c r="G10499" s="165"/>
      <c r="H10499" s="119"/>
      <c r="M10499" s="176"/>
    </row>
    <row r="10500" spans="2:13" ht="18.75" customHeight="1" x14ac:dyDescent="0.25">
      <c r="B10500" s="18"/>
      <c r="D10500" s="22"/>
      <c r="E10500" s="552"/>
      <c r="F10500" s="176"/>
      <c r="G10500" s="165"/>
      <c r="H10500" s="119"/>
      <c r="M10500" s="176"/>
    </row>
    <row r="10501" spans="2:13" ht="18.75" customHeight="1" x14ac:dyDescent="0.25">
      <c r="B10501" s="18"/>
      <c r="D10501" s="22"/>
      <c r="E10501" s="552"/>
      <c r="F10501" s="176"/>
      <c r="G10501" s="165"/>
      <c r="H10501" s="119"/>
      <c r="M10501" s="176"/>
    </row>
    <row r="10502" spans="2:13" ht="18.75" customHeight="1" x14ac:dyDescent="0.25">
      <c r="B10502" s="18"/>
      <c r="D10502" s="22"/>
      <c r="E10502" s="552"/>
      <c r="F10502" s="176"/>
      <c r="G10502" s="165"/>
      <c r="H10502" s="119"/>
      <c r="M10502" s="176"/>
    </row>
    <row r="10503" spans="2:13" ht="18.75" customHeight="1" x14ac:dyDescent="0.25">
      <c r="B10503" s="18"/>
      <c r="D10503" s="22"/>
      <c r="E10503" s="552"/>
      <c r="F10503" s="176"/>
      <c r="G10503" s="165"/>
      <c r="H10503" s="119"/>
      <c r="M10503" s="176"/>
    </row>
    <row r="10504" spans="2:13" ht="18.75" customHeight="1" x14ac:dyDescent="0.25">
      <c r="B10504" s="18"/>
      <c r="D10504" s="22"/>
      <c r="E10504" s="552"/>
      <c r="F10504" s="176"/>
      <c r="G10504" s="165"/>
      <c r="H10504" s="119"/>
      <c r="M10504" s="176"/>
    </row>
    <row r="10505" spans="2:13" ht="18.75" customHeight="1" x14ac:dyDescent="0.25">
      <c r="B10505" s="18"/>
      <c r="D10505" s="22"/>
      <c r="E10505" s="552"/>
      <c r="F10505" s="176"/>
      <c r="G10505" s="165"/>
      <c r="H10505" s="119"/>
      <c r="M10505" s="176"/>
    </row>
    <row r="10506" spans="2:13" ht="18.75" customHeight="1" x14ac:dyDescent="0.25">
      <c r="B10506" s="18"/>
      <c r="D10506" s="22"/>
      <c r="E10506" s="552"/>
      <c r="F10506" s="176"/>
      <c r="G10506" s="165"/>
      <c r="H10506" s="119"/>
      <c r="M10506" s="176"/>
    </row>
    <row r="10507" spans="2:13" ht="18.75" customHeight="1" x14ac:dyDescent="0.25">
      <c r="B10507" s="18"/>
      <c r="D10507" s="22"/>
      <c r="E10507" s="552"/>
      <c r="F10507" s="176"/>
      <c r="G10507" s="165"/>
      <c r="H10507" s="119"/>
      <c r="M10507" s="176"/>
    </row>
    <row r="10508" spans="2:13" ht="18.75" customHeight="1" x14ac:dyDescent="0.25">
      <c r="B10508" s="18"/>
      <c r="D10508" s="22"/>
      <c r="E10508" s="552"/>
      <c r="F10508" s="176"/>
      <c r="G10508" s="165"/>
      <c r="H10508" s="119"/>
      <c r="M10508" s="176"/>
    </row>
    <row r="10509" spans="2:13" ht="18.75" customHeight="1" x14ac:dyDescent="0.25">
      <c r="B10509" s="18"/>
      <c r="D10509" s="22"/>
      <c r="E10509" s="552"/>
      <c r="F10509" s="176"/>
      <c r="G10509" s="165"/>
      <c r="H10509" s="119"/>
      <c r="M10509" s="176"/>
    </row>
    <row r="10510" spans="2:13" ht="18.75" customHeight="1" x14ac:dyDescent="0.25">
      <c r="B10510" s="18"/>
      <c r="D10510" s="22"/>
      <c r="E10510" s="552"/>
      <c r="F10510" s="176"/>
      <c r="G10510" s="165"/>
      <c r="H10510" s="119"/>
      <c r="M10510" s="176"/>
    </row>
    <row r="10511" spans="2:13" ht="18.75" customHeight="1" x14ac:dyDescent="0.25">
      <c r="B10511" s="18"/>
      <c r="D10511" s="22"/>
      <c r="E10511" s="552"/>
      <c r="F10511" s="176"/>
      <c r="G10511" s="165"/>
      <c r="H10511" s="119"/>
      <c r="M10511" s="176"/>
    </row>
    <row r="10512" spans="2:13" ht="18.75" customHeight="1" x14ac:dyDescent="0.25">
      <c r="B10512" s="18"/>
      <c r="D10512" s="22"/>
      <c r="E10512" s="552"/>
      <c r="F10512" s="176"/>
      <c r="G10512" s="165"/>
      <c r="H10512" s="119"/>
      <c r="M10512" s="176"/>
    </row>
    <row r="10513" spans="2:13" ht="18.75" customHeight="1" x14ac:dyDescent="0.25">
      <c r="B10513" s="18"/>
      <c r="D10513" s="22"/>
      <c r="E10513" s="552"/>
      <c r="F10513" s="176"/>
      <c r="G10513" s="165"/>
      <c r="H10513" s="119"/>
      <c r="M10513" s="176"/>
    </row>
    <row r="10514" spans="2:13" ht="18.75" customHeight="1" x14ac:dyDescent="0.25">
      <c r="B10514" s="18"/>
      <c r="D10514" s="22"/>
      <c r="E10514" s="552"/>
      <c r="F10514" s="176"/>
      <c r="G10514" s="165"/>
      <c r="H10514" s="119"/>
      <c r="M10514" s="176"/>
    </row>
    <row r="10515" spans="2:13" ht="18.75" customHeight="1" x14ac:dyDescent="0.25">
      <c r="B10515" s="18"/>
      <c r="D10515" s="22"/>
      <c r="E10515" s="552"/>
      <c r="F10515" s="176"/>
      <c r="G10515" s="165"/>
      <c r="H10515" s="119"/>
      <c r="M10515" s="176"/>
    </row>
    <row r="10516" spans="2:13" ht="18.75" customHeight="1" x14ac:dyDescent="0.25">
      <c r="B10516" s="18"/>
      <c r="D10516" s="22"/>
      <c r="E10516" s="552"/>
      <c r="F10516" s="176"/>
      <c r="G10516" s="165"/>
      <c r="H10516" s="119"/>
      <c r="M10516" s="176"/>
    </row>
    <row r="10517" spans="2:13" ht="18.75" customHeight="1" x14ac:dyDescent="0.25">
      <c r="B10517" s="18"/>
      <c r="D10517" s="22"/>
      <c r="E10517" s="552"/>
      <c r="F10517" s="176"/>
      <c r="G10517" s="165"/>
      <c r="H10517" s="119"/>
      <c r="M10517" s="176"/>
    </row>
    <row r="10518" spans="2:13" ht="18.75" customHeight="1" x14ac:dyDescent="0.25">
      <c r="B10518" s="18"/>
      <c r="D10518" s="22"/>
      <c r="E10518" s="552"/>
      <c r="F10518" s="176"/>
      <c r="G10518" s="165"/>
      <c r="H10518" s="119"/>
      <c r="M10518" s="176"/>
    </row>
    <row r="10519" spans="2:13" ht="18.75" customHeight="1" x14ac:dyDescent="0.25">
      <c r="B10519" s="18"/>
      <c r="D10519" s="22"/>
      <c r="E10519" s="552"/>
      <c r="F10519" s="176"/>
      <c r="G10519" s="165"/>
      <c r="H10519" s="119"/>
      <c r="M10519" s="176"/>
    </row>
    <row r="10520" spans="2:13" ht="18.75" customHeight="1" x14ac:dyDescent="0.25">
      <c r="B10520" s="18"/>
      <c r="D10520" s="22"/>
      <c r="E10520" s="552"/>
      <c r="F10520" s="176"/>
      <c r="G10520" s="165"/>
      <c r="H10520" s="119"/>
      <c r="M10520" s="176"/>
    </row>
    <row r="10521" spans="2:13" ht="18.75" customHeight="1" x14ac:dyDescent="0.25">
      <c r="B10521" s="18"/>
      <c r="D10521" s="22"/>
      <c r="E10521" s="552"/>
      <c r="F10521" s="176"/>
      <c r="G10521" s="165"/>
      <c r="H10521" s="119"/>
      <c r="M10521" s="176"/>
    </row>
    <row r="10522" spans="2:13" ht="18.75" customHeight="1" x14ac:dyDescent="0.25">
      <c r="B10522" s="18"/>
      <c r="D10522" s="22"/>
      <c r="E10522" s="552"/>
      <c r="F10522" s="176"/>
      <c r="G10522" s="165"/>
      <c r="H10522" s="119"/>
      <c r="M10522" s="176"/>
    </row>
    <row r="10523" spans="2:13" ht="18.75" customHeight="1" x14ac:dyDescent="0.25">
      <c r="B10523" s="18"/>
      <c r="D10523" s="22"/>
      <c r="E10523" s="552"/>
      <c r="F10523" s="176"/>
      <c r="G10523" s="165"/>
      <c r="H10523" s="119"/>
      <c r="M10523" s="176"/>
    </row>
    <row r="10524" spans="2:13" ht="18.75" customHeight="1" x14ac:dyDescent="0.25">
      <c r="B10524" s="18"/>
      <c r="C10524" s="116"/>
      <c r="E10524" s="552"/>
      <c r="G10524" s="66"/>
      <c r="H10524" s="142"/>
    </row>
    <row r="10525" spans="2:13" ht="18.75" customHeight="1" x14ac:dyDescent="0.25">
      <c r="C10525" s="116"/>
      <c r="G10525" s="428"/>
    </row>
    <row r="10526" spans="2:13" ht="18.75" customHeight="1" x14ac:dyDescent="0.25">
      <c r="G10526" s="428"/>
    </row>
    <row r="10527" spans="2:13" ht="18.75" customHeight="1" x14ac:dyDescent="0.25">
      <c r="E10527" s="552"/>
      <c r="G10527" s="428"/>
    </row>
    <row r="10528" spans="2:13" ht="18.75" customHeight="1" x14ac:dyDescent="0.25">
      <c r="E10528" s="552"/>
    </row>
    <row r="10529" spans="5:5" ht="18.75" customHeight="1" x14ac:dyDescent="0.25">
      <c r="E10529" s="552"/>
    </row>
    <row r="10530" spans="5:5" ht="18.75" customHeight="1" x14ac:dyDescent="0.25">
      <c r="E10530" s="552"/>
    </row>
    <row r="10531" spans="5:5" ht="18.75" customHeight="1" x14ac:dyDescent="0.25">
      <c r="E10531" s="552"/>
    </row>
    <row r="10532" spans="5:5" ht="18.75" customHeight="1" x14ac:dyDescent="0.25">
      <c r="E10532" s="552"/>
    </row>
    <row r="10533" spans="5:5" ht="18.75" customHeight="1" x14ac:dyDescent="0.25">
      <c r="E10533" s="552"/>
    </row>
    <row r="10534" spans="5:5" ht="18.75" customHeight="1" x14ac:dyDescent="0.25">
      <c r="E10534" s="552"/>
    </row>
    <row r="10535" spans="5:5" ht="18.75" customHeight="1" x14ac:dyDescent="0.25">
      <c r="E10535" s="429"/>
    </row>
    <row r="10536" spans="5:5" ht="18.75" customHeight="1" x14ac:dyDescent="0.25">
      <c r="E10536" s="552"/>
    </row>
    <row r="10537" spans="5:5" ht="18.75" customHeight="1" x14ac:dyDescent="0.25">
      <c r="E10537" s="552"/>
    </row>
  </sheetData>
  <mergeCells count="2409">
    <mergeCell ref="B1:H1"/>
    <mergeCell ref="B2:H2"/>
    <mergeCell ref="B7:B8"/>
    <mergeCell ref="C7:C8"/>
    <mergeCell ref="D7:D8"/>
    <mergeCell ref="E7:E8"/>
    <mergeCell ref="F7:F8"/>
    <mergeCell ref="B92:B93"/>
    <mergeCell ref="C92:C93"/>
    <mergeCell ref="D92:D93"/>
    <mergeCell ref="E92:E93"/>
    <mergeCell ref="F92:F93"/>
    <mergeCell ref="B117:B118"/>
    <mergeCell ref="C117:C118"/>
    <mergeCell ref="D117:D118"/>
    <mergeCell ref="E117:E118"/>
    <mergeCell ref="F117:F118"/>
    <mergeCell ref="B34:B35"/>
    <mergeCell ref="C34:C35"/>
    <mergeCell ref="D34:D35"/>
    <mergeCell ref="E34:E35"/>
    <mergeCell ref="F34:F35"/>
    <mergeCell ref="B63:B64"/>
    <mergeCell ref="C63:C64"/>
    <mergeCell ref="D63:D64"/>
    <mergeCell ref="E63:E64"/>
    <mergeCell ref="F63:F64"/>
    <mergeCell ref="F54:G54"/>
    <mergeCell ref="B211:B212"/>
    <mergeCell ref="C211:C212"/>
    <mergeCell ref="D211:D212"/>
    <mergeCell ref="E211:E212"/>
    <mergeCell ref="F211:F212"/>
    <mergeCell ref="B242:B243"/>
    <mergeCell ref="C242:C243"/>
    <mergeCell ref="D242:D243"/>
    <mergeCell ref="E242:E243"/>
    <mergeCell ref="F242:F243"/>
    <mergeCell ref="B154:B155"/>
    <mergeCell ref="C154:C155"/>
    <mergeCell ref="D154:D155"/>
    <mergeCell ref="E154:E155"/>
    <mergeCell ref="F154:F155"/>
    <mergeCell ref="B180:B181"/>
    <mergeCell ref="C180:C181"/>
    <mergeCell ref="D180:D181"/>
    <mergeCell ref="E180:E181"/>
    <mergeCell ref="F180:F181"/>
    <mergeCell ref="B312:B313"/>
    <mergeCell ref="C312:C313"/>
    <mergeCell ref="D312:D313"/>
    <mergeCell ref="E312:E313"/>
    <mergeCell ref="F312:F313"/>
    <mergeCell ref="B336:B337"/>
    <mergeCell ref="C336:C337"/>
    <mergeCell ref="D336:D337"/>
    <mergeCell ref="E336:E337"/>
    <mergeCell ref="F336:F337"/>
    <mergeCell ref="B264:B265"/>
    <mergeCell ref="C264:C265"/>
    <mergeCell ref="D264:D265"/>
    <mergeCell ref="E264:E265"/>
    <mergeCell ref="F264:F265"/>
    <mergeCell ref="B288:B289"/>
    <mergeCell ref="C288:C289"/>
    <mergeCell ref="D288:D289"/>
    <mergeCell ref="E288:E289"/>
    <mergeCell ref="F288:F289"/>
    <mergeCell ref="B427:B428"/>
    <mergeCell ref="C427:C428"/>
    <mergeCell ref="D427:D428"/>
    <mergeCell ref="E427:E428"/>
    <mergeCell ref="F427:F428"/>
    <mergeCell ref="B449:B450"/>
    <mergeCell ref="C449:C450"/>
    <mergeCell ref="D449:D450"/>
    <mergeCell ref="E449:E450"/>
    <mergeCell ref="F449:F450"/>
    <mergeCell ref="B406:B407"/>
    <mergeCell ref="C406:C407"/>
    <mergeCell ref="D406:D407"/>
    <mergeCell ref="E406:E407"/>
    <mergeCell ref="F406:F407"/>
    <mergeCell ref="B358:B359"/>
    <mergeCell ref="C358:C359"/>
    <mergeCell ref="D358:D359"/>
    <mergeCell ref="E358:E359"/>
    <mergeCell ref="F358:F359"/>
    <mergeCell ref="B379:B380"/>
    <mergeCell ref="C379:C380"/>
    <mergeCell ref="D379:D380"/>
    <mergeCell ref="E379:E380"/>
    <mergeCell ref="F379:F380"/>
    <mergeCell ref="B556:B557"/>
    <mergeCell ref="C556:C557"/>
    <mergeCell ref="D556:D557"/>
    <mergeCell ref="E556:E557"/>
    <mergeCell ref="F556:F557"/>
    <mergeCell ref="B513:B514"/>
    <mergeCell ref="C513:C514"/>
    <mergeCell ref="D513:D514"/>
    <mergeCell ref="E513:E514"/>
    <mergeCell ref="F513:F514"/>
    <mergeCell ref="B534:B535"/>
    <mergeCell ref="C534:C535"/>
    <mergeCell ref="D534:D535"/>
    <mergeCell ref="E534:E535"/>
    <mergeCell ref="F534:F535"/>
    <mergeCell ref="B471:B472"/>
    <mergeCell ref="C471:C472"/>
    <mergeCell ref="D471:D472"/>
    <mergeCell ref="E471:E472"/>
    <mergeCell ref="F471:F472"/>
    <mergeCell ref="B492:B493"/>
    <mergeCell ref="C492:C493"/>
    <mergeCell ref="D492:D493"/>
    <mergeCell ref="E492:E493"/>
    <mergeCell ref="F492:F493"/>
    <mergeCell ref="B664:B665"/>
    <mergeCell ref="C664:C665"/>
    <mergeCell ref="D664:D665"/>
    <mergeCell ref="E664:E665"/>
    <mergeCell ref="F664:F665"/>
    <mergeCell ref="B621:B622"/>
    <mergeCell ref="C621:C622"/>
    <mergeCell ref="D621:D622"/>
    <mergeCell ref="E621:E622"/>
    <mergeCell ref="F621:F622"/>
    <mergeCell ref="B642:B643"/>
    <mergeCell ref="C642:C643"/>
    <mergeCell ref="D642:D643"/>
    <mergeCell ref="E642:E643"/>
    <mergeCell ref="F642:F643"/>
    <mergeCell ref="B578:B579"/>
    <mergeCell ref="C578:C579"/>
    <mergeCell ref="D578:D579"/>
    <mergeCell ref="E578:E579"/>
    <mergeCell ref="F578:F579"/>
    <mergeCell ref="B600:B601"/>
    <mergeCell ref="C600:C601"/>
    <mergeCell ref="D600:D601"/>
    <mergeCell ref="E600:E601"/>
    <mergeCell ref="F600:F601"/>
    <mergeCell ref="B755:B756"/>
    <mergeCell ref="C755:C756"/>
    <mergeCell ref="D755:D756"/>
    <mergeCell ref="E755:E756"/>
    <mergeCell ref="F755:F756"/>
    <mergeCell ref="B781:B782"/>
    <mergeCell ref="C781:C782"/>
    <mergeCell ref="D781:D782"/>
    <mergeCell ref="E781:E782"/>
    <mergeCell ref="F781:F782"/>
    <mergeCell ref="B730:B731"/>
    <mergeCell ref="C730:C731"/>
    <mergeCell ref="D730:D731"/>
    <mergeCell ref="E730:E731"/>
    <mergeCell ref="F730:F731"/>
    <mergeCell ref="B686:B687"/>
    <mergeCell ref="C686:C687"/>
    <mergeCell ref="D686:D687"/>
    <mergeCell ref="E686:E687"/>
    <mergeCell ref="F686:F687"/>
    <mergeCell ref="B708:B709"/>
    <mergeCell ref="C708:C709"/>
    <mergeCell ref="D708:D709"/>
    <mergeCell ref="E708:E709"/>
    <mergeCell ref="F708:F709"/>
    <mergeCell ref="B859:B860"/>
    <mergeCell ref="C859:C860"/>
    <mergeCell ref="D859:D860"/>
    <mergeCell ref="E859:E860"/>
    <mergeCell ref="F859:F860"/>
    <mergeCell ref="B884:B885"/>
    <mergeCell ref="C884:C885"/>
    <mergeCell ref="D884:D885"/>
    <mergeCell ref="E884:E885"/>
    <mergeCell ref="F884:F885"/>
    <mergeCell ref="B806:B807"/>
    <mergeCell ref="C806:C807"/>
    <mergeCell ref="D806:D807"/>
    <mergeCell ref="E806:E807"/>
    <mergeCell ref="F806:F807"/>
    <mergeCell ref="B832:B833"/>
    <mergeCell ref="C832:C833"/>
    <mergeCell ref="D832:D833"/>
    <mergeCell ref="E832:E833"/>
    <mergeCell ref="F832:F833"/>
    <mergeCell ref="B963:B964"/>
    <mergeCell ref="C963:C964"/>
    <mergeCell ref="D963:D964"/>
    <mergeCell ref="E963:E964"/>
    <mergeCell ref="F963:F964"/>
    <mergeCell ref="B986:B987"/>
    <mergeCell ref="C986:C987"/>
    <mergeCell ref="D986:D987"/>
    <mergeCell ref="E986:E987"/>
    <mergeCell ref="F986:F987"/>
    <mergeCell ref="B912:B913"/>
    <mergeCell ref="C912:C913"/>
    <mergeCell ref="D912:D913"/>
    <mergeCell ref="E912:E913"/>
    <mergeCell ref="F912:F913"/>
    <mergeCell ref="B940:B941"/>
    <mergeCell ref="C940:C941"/>
    <mergeCell ref="D940:D941"/>
    <mergeCell ref="E940:E941"/>
    <mergeCell ref="F940:F941"/>
    <mergeCell ref="B1076:B1077"/>
    <mergeCell ref="C1076:C1077"/>
    <mergeCell ref="D1076:D1077"/>
    <mergeCell ref="E1076:E1077"/>
    <mergeCell ref="F1076:F1077"/>
    <mergeCell ref="B1103:B1104"/>
    <mergeCell ref="C1103:C1104"/>
    <mergeCell ref="D1103:D1104"/>
    <mergeCell ref="E1103:E1104"/>
    <mergeCell ref="F1103:F1104"/>
    <mergeCell ref="B1041:B1042"/>
    <mergeCell ref="C1041:C1042"/>
    <mergeCell ref="D1041:D1042"/>
    <mergeCell ref="E1041:E1042"/>
    <mergeCell ref="F1041:F1042"/>
    <mergeCell ref="B1008:B1009"/>
    <mergeCell ref="C1008:C1009"/>
    <mergeCell ref="D1008:D1009"/>
    <mergeCell ref="E1008:E1009"/>
    <mergeCell ref="F1008:F1009"/>
    <mergeCell ref="B1184:B1185"/>
    <mergeCell ref="C1184:C1185"/>
    <mergeCell ref="D1184:D1185"/>
    <mergeCell ref="E1184:E1185"/>
    <mergeCell ref="F1184:F1185"/>
    <mergeCell ref="B1211:B1212"/>
    <mergeCell ref="C1211:C1212"/>
    <mergeCell ref="D1211:D1212"/>
    <mergeCell ref="E1211:E1212"/>
    <mergeCell ref="F1211:F1212"/>
    <mergeCell ref="B1129:B1130"/>
    <mergeCell ref="C1129:C1130"/>
    <mergeCell ref="D1129:D1130"/>
    <mergeCell ref="E1129:E1130"/>
    <mergeCell ref="F1129:F1130"/>
    <mergeCell ref="B1158:B1159"/>
    <mergeCell ref="C1158:C1159"/>
    <mergeCell ref="D1158:D1159"/>
    <mergeCell ref="E1158:E1159"/>
    <mergeCell ref="F1158:F1159"/>
    <mergeCell ref="B1293:B1294"/>
    <mergeCell ref="C1293:C1294"/>
    <mergeCell ref="D1293:D1294"/>
    <mergeCell ref="E1293:E1294"/>
    <mergeCell ref="F1293:F1294"/>
    <mergeCell ref="B1320:B1321"/>
    <mergeCell ref="C1320:C1321"/>
    <mergeCell ref="D1320:D1321"/>
    <mergeCell ref="E1320:E1321"/>
    <mergeCell ref="F1320:F1321"/>
    <mergeCell ref="B1238:B1239"/>
    <mergeCell ref="C1238:C1239"/>
    <mergeCell ref="D1238:D1239"/>
    <mergeCell ref="E1238:E1239"/>
    <mergeCell ref="F1238:F1239"/>
    <mergeCell ref="B1266:B1267"/>
    <mergeCell ref="C1266:C1267"/>
    <mergeCell ref="D1266:D1267"/>
    <mergeCell ref="E1266:E1267"/>
    <mergeCell ref="F1266:F1267"/>
    <mergeCell ref="B1400:B1401"/>
    <mergeCell ref="C1400:C1401"/>
    <mergeCell ref="D1400:D1401"/>
    <mergeCell ref="E1400:E1401"/>
    <mergeCell ref="F1400:F1401"/>
    <mergeCell ref="B1427:B1428"/>
    <mergeCell ref="C1427:C1428"/>
    <mergeCell ref="D1427:D1428"/>
    <mergeCell ref="E1427:E1428"/>
    <mergeCell ref="F1427:F1428"/>
    <mergeCell ref="B1347:B1348"/>
    <mergeCell ref="C1347:C1348"/>
    <mergeCell ref="D1347:D1348"/>
    <mergeCell ref="E1347:E1348"/>
    <mergeCell ref="F1347:F1348"/>
    <mergeCell ref="B1374:B1375"/>
    <mergeCell ref="C1374:C1375"/>
    <mergeCell ref="D1374:D1375"/>
    <mergeCell ref="E1374:E1375"/>
    <mergeCell ref="F1374:F1375"/>
    <mergeCell ref="B1502:B1503"/>
    <mergeCell ref="C1502:C1503"/>
    <mergeCell ref="D1502:D1503"/>
    <mergeCell ref="E1502:E1503"/>
    <mergeCell ref="F1502:F1503"/>
    <mergeCell ref="B1528:B1529"/>
    <mergeCell ref="C1528:C1529"/>
    <mergeCell ref="D1528:D1529"/>
    <mergeCell ref="E1528:E1529"/>
    <mergeCell ref="F1528:F1529"/>
    <mergeCell ref="B1452:B1453"/>
    <mergeCell ref="C1452:C1453"/>
    <mergeCell ref="D1452:D1453"/>
    <mergeCell ref="E1452:E1453"/>
    <mergeCell ref="F1452:F1453"/>
    <mergeCell ref="B1477:B1478"/>
    <mergeCell ref="C1477:C1478"/>
    <mergeCell ref="D1477:D1478"/>
    <mergeCell ref="E1477:E1478"/>
    <mergeCell ref="F1477:F1478"/>
    <mergeCell ref="B1612:B1613"/>
    <mergeCell ref="C1612:C1613"/>
    <mergeCell ref="D1612:D1613"/>
    <mergeCell ref="E1612:E1613"/>
    <mergeCell ref="F1612:F1613"/>
    <mergeCell ref="B1642:B1643"/>
    <mergeCell ref="C1642:C1643"/>
    <mergeCell ref="D1642:D1643"/>
    <mergeCell ref="E1642:E1643"/>
    <mergeCell ref="F1642:F1643"/>
    <mergeCell ref="B1554:B1555"/>
    <mergeCell ref="C1554:C1555"/>
    <mergeCell ref="D1554:D1555"/>
    <mergeCell ref="E1554:E1555"/>
    <mergeCell ref="F1554:F1555"/>
    <mergeCell ref="B1583:B1584"/>
    <mergeCell ref="C1583:C1584"/>
    <mergeCell ref="D1583:D1584"/>
    <mergeCell ref="E1583:E1584"/>
    <mergeCell ref="F1583:F1584"/>
    <mergeCell ref="C1790:G1790"/>
    <mergeCell ref="B1793:B1794"/>
    <mergeCell ref="C1793:C1794"/>
    <mergeCell ref="D1793:D1794"/>
    <mergeCell ref="E1793:E1794"/>
    <mergeCell ref="F1793:F1794"/>
    <mergeCell ref="B1760:B1761"/>
    <mergeCell ref="C1760:C1761"/>
    <mergeCell ref="D1760:D1761"/>
    <mergeCell ref="E1760:E1761"/>
    <mergeCell ref="F1760:F1761"/>
    <mergeCell ref="B1734:B1735"/>
    <mergeCell ref="C1734:C1735"/>
    <mergeCell ref="D1734:D1735"/>
    <mergeCell ref="E1734:E1735"/>
    <mergeCell ref="F1734:F1735"/>
    <mergeCell ref="B1672:B1673"/>
    <mergeCell ref="C1672:C1673"/>
    <mergeCell ref="D1672:D1673"/>
    <mergeCell ref="E1672:E1673"/>
    <mergeCell ref="F1672:F1673"/>
    <mergeCell ref="B1702:B1703"/>
    <mergeCell ref="C1702:C1703"/>
    <mergeCell ref="D1702:D1703"/>
    <mergeCell ref="E1702:E1703"/>
    <mergeCell ref="F1702:F1703"/>
    <mergeCell ref="B1951:B1952"/>
    <mergeCell ref="C1951:C1952"/>
    <mergeCell ref="D1951:D1952"/>
    <mergeCell ref="E1951:E1952"/>
    <mergeCell ref="F1951:F1952"/>
    <mergeCell ref="B1869:B1870"/>
    <mergeCell ref="C1869:C1870"/>
    <mergeCell ref="D1869:D1870"/>
    <mergeCell ref="E1869:E1870"/>
    <mergeCell ref="F1869:F1870"/>
    <mergeCell ref="B1910:B1911"/>
    <mergeCell ref="C1910:C1911"/>
    <mergeCell ref="D1910:D1911"/>
    <mergeCell ref="E1910:E1911"/>
    <mergeCell ref="F1910:F1911"/>
    <mergeCell ref="B1825:B1826"/>
    <mergeCell ref="C1825:C1826"/>
    <mergeCell ref="D1825:D1826"/>
    <mergeCell ref="E1825:E1826"/>
    <mergeCell ref="F1825:F1826"/>
    <mergeCell ref="B1849:B1850"/>
    <mergeCell ref="C1849:C1850"/>
    <mergeCell ref="D1849:D1850"/>
    <mergeCell ref="E1849:E1850"/>
    <mergeCell ref="F1849:F1850"/>
    <mergeCell ref="B2160:B2161"/>
    <mergeCell ref="C2160:C2161"/>
    <mergeCell ref="D2160:D2161"/>
    <mergeCell ref="E2160:E2161"/>
    <mergeCell ref="F2160:F2161"/>
    <mergeCell ref="B2075:B2076"/>
    <mergeCell ref="C2075:C2076"/>
    <mergeCell ref="D2075:D2076"/>
    <mergeCell ref="E2075:E2076"/>
    <mergeCell ref="F2075:F2076"/>
    <mergeCell ref="B2117:B2118"/>
    <mergeCell ref="C2117:C2118"/>
    <mergeCell ref="D2117:D2118"/>
    <mergeCell ref="E2117:E2118"/>
    <mergeCell ref="F2117:F2118"/>
    <mergeCell ref="B1992:B1993"/>
    <mergeCell ref="C1992:C1993"/>
    <mergeCell ref="D1992:D1993"/>
    <mergeCell ref="E1992:E1993"/>
    <mergeCell ref="F1992:F1993"/>
    <mergeCell ref="B2034:B2035"/>
    <mergeCell ref="C2034:C2035"/>
    <mergeCell ref="D2034:D2035"/>
    <mergeCell ref="E2034:E2035"/>
    <mergeCell ref="F2034:F2035"/>
    <mergeCell ref="B2252:B2253"/>
    <mergeCell ref="C2252:C2253"/>
    <mergeCell ref="D2252:D2253"/>
    <mergeCell ref="E2252:E2253"/>
    <mergeCell ref="F2252:F2253"/>
    <mergeCell ref="B2279:B2280"/>
    <mergeCell ref="C2279:C2280"/>
    <mergeCell ref="D2279:D2280"/>
    <mergeCell ref="E2279:E2280"/>
    <mergeCell ref="F2279:F2280"/>
    <mergeCell ref="B2187:B2188"/>
    <mergeCell ref="C2187:C2188"/>
    <mergeCell ref="D2187:D2188"/>
    <mergeCell ref="E2187:E2188"/>
    <mergeCell ref="F2187:F2188"/>
    <mergeCell ref="B2226:B2227"/>
    <mergeCell ref="C2226:C2227"/>
    <mergeCell ref="D2226:D2227"/>
    <mergeCell ref="E2226:E2227"/>
    <mergeCell ref="F2226:F2227"/>
    <mergeCell ref="B2356:B2357"/>
    <mergeCell ref="C2356:C2357"/>
    <mergeCell ref="D2356:D2357"/>
    <mergeCell ref="E2356:E2357"/>
    <mergeCell ref="F2356:F2357"/>
    <mergeCell ref="B2381:B2382"/>
    <mergeCell ref="C2381:C2382"/>
    <mergeCell ref="D2381:D2382"/>
    <mergeCell ref="E2381:E2382"/>
    <mergeCell ref="F2381:F2382"/>
    <mergeCell ref="B2306:B2307"/>
    <mergeCell ref="C2306:C2307"/>
    <mergeCell ref="D2306:D2307"/>
    <mergeCell ref="E2306:E2307"/>
    <mergeCell ref="F2306:F2307"/>
    <mergeCell ref="B2332:B2333"/>
    <mergeCell ref="C2332:C2333"/>
    <mergeCell ref="D2332:D2333"/>
    <mergeCell ref="E2332:E2333"/>
    <mergeCell ref="F2332:F2333"/>
    <mergeCell ref="B2460:B2461"/>
    <mergeCell ref="C2460:C2461"/>
    <mergeCell ref="D2460:D2461"/>
    <mergeCell ref="E2460:E2461"/>
    <mergeCell ref="F2460:F2461"/>
    <mergeCell ref="B2486:B2487"/>
    <mergeCell ref="C2486:C2487"/>
    <mergeCell ref="D2486:D2487"/>
    <mergeCell ref="E2486:E2487"/>
    <mergeCell ref="F2486:F2487"/>
    <mergeCell ref="B2406:B2407"/>
    <mergeCell ref="C2406:C2407"/>
    <mergeCell ref="D2406:D2407"/>
    <mergeCell ref="E2406:E2407"/>
    <mergeCell ref="F2406:F2407"/>
    <mergeCell ref="B2435:B2436"/>
    <mergeCell ref="C2435:C2436"/>
    <mergeCell ref="D2435:D2436"/>
    <mergeCell ref="E2435:E2436"/>
    <mergeCell ref="F2435:F2436"/>
    <mergeCell ref="B2561:B2562"/>
    <mergeCell ref="C2561:C2562"/>
    <mergeCell ref="D2561:D2562"/>
    <mergeCell ref="E2561:E2562"/>
    <mergeCell ref="F2561:F2562"/>
    <mergeCell ref="B2588:B2589"/>
    <mergeCell ref="C2588:C2589"/>
    <mergeCell ref="D2588:D2589"/>
    <mergeCell ref="E2588:E2589"/>
    <mergeCell ref="F2588:F2589"/>
    <mergeCell ref="B2510:B2511"/>
    <mergeCell ref="C2510:C2511"/>
    <mergeCell ref="D2510:D2511"/>
    <mergeCell ref="E2510:E2511"/>
    <mergeCell ref="F2510:F2511"/>
    <mergeCell ref="B2535:B2536"/>
    <mergeCell ref="C2535:C2536"/>
    <mergeCell ref="D2535:D2536"/>
    <mergeCell ref="E2535:E2536"/>
    <mergeCell ref="F2535:F2536"/>
    <mergeCell ref="B2689:B2690"/>
    <mergeCell ref="C2689:C2690"/>
    <mergeCell ref="D2689:D2690"/>
    <mergeCell ref="E2689:E2690"/>
    <mergeCell ref="F2689:F2690"/>
    <mergeCell ref="B2717:B2718"/>
    <mergeCell ref="C2717:C2718"/>
    <mergeCell ref="D2717:D2718"/>
    <mergeCell ref="E2717:E2718"/>
    <mergeCell ref="F2717:F2718"/>
    <mergeCell ref="B2664:B2665"/>
    <mergeCell ref="C2664:C2665"/>
    <mergeCell ref="D2664:D2665"/>
    <mergeCell ref="E2664:E2665"/>
    <mergeCell ref="F2664:F2665"/>
    <mergeCell ref="B2614:B2615"/>
    <mergeCell ref="C2614:C2615"/>
    <mergeCell ref="D2614:D2615"/>
    <mergeCell ref="E2614:E2615"/>
    <mergeCell ref="F2614:F2615"/>
    <mergeCell ref="B2639:B2640"/>
    <mergeCell ref="C2639:C2640"/>
    <mergeCell ref="D2639:D2640"/>
    <mergeCell ref="E2639:E2640"/>
    <mergeCell ref="F2639:F2640"/>
    <mergeCell ref="B2802:B2803"/>
    <mergeCell ref="C2802:C2803"/>
    <mergeCell ref="D2802:D2803"/>
    <mergeCell ref="E2802:E2803"/>
    <mergeCell ref="F2802:F2803"/>
    <mergeCell ref="B2828:B2829"/>
    <mergeCell ref="C2828:C2829"/>
    <mergeCell ref="D2828:D2829"/>
    <mergeCell ref="E2828:E2829"/>
    <mergeCell ref="F2828:F2829"/>
    <mergeCell ref="B2744:B2745"/>
    <mergeCell ref="C2744:C2745"/>
    <mergeCell ref="D2744:D2745"/>
    <mergeCell ref="E2744:E2745"/>
    <mergeCell ref="F2744:F2745"/>
    <mergeCell ref="B2772:B2773"/>
    <mergeCell ref="C2772:C2773"/>
    <mergeCell ref="D2772:D2773"/>
    <mergeCell ref="E2772:E2773"/>
    <mergeCell ref="F2772:F2773"/>
    <mergeCell ref="B2906:B2907"/>
    <mergeCell ref="C2906:C2907"/>
    <mergeCell ref="D2906:D2907"/>
    <mergeCell ref="E2906:E2907"/>
    <mergeCell ref="F2906:F2907"/>
    <mergeCell ref="B2932:B2933"/>
    <mergeCell ref="C2932:C2933"/>
    <mergeCell ref="D2932:D2933"/>
    <mergeCell ref="E2932:E2933"/>
    <mergeCell ref="F2932:F2933"/>
    <mergeCell ref="B2854:B2855"/>
    <mergeCell ref="C2854:C2855"/>
    <mergeCell ref="D2854:D2855"/>
    <mergeCell ref="E2854:E2855"/>
    <mergeCell ref="F2854:F2855"/>
    <mergeCell ref="B2880:B2881"/>
    <mergeCell ref="C2880:C2881"/>
    <mergeCell ref="D2880:D2881"/>
    <mergeCell ref="E2880:E2881"/>
    <mergeCell ref="F2880:F2881"/>
    <mergeCell ref="B3011:B3012"/>
    <mergeCell ref="C3011:C3012"/>
    <mergeCell ref="D3011:D3012"/>
    <mergeCell ref="E3011:E3012"/>
    <mergeCell ref="F3011:F3012"/>
    <mergeCell ref="B3037:B3038"/>
    <mergeCell ref="C3037:C3038"/>
    <mergeCell ref="D3037:D3038"/>
    <mergeCell ref="E3037:E3038"/>
    <mergeCell ref="F3037:F3038"/>
    <mergeCell ref="B2959:B2960"/>
    <mergeCell ref="C2959:C2960"/>
    <mergeCell ref="D2959:D2960"/>
    <mergeCell ref="E2959:E2960"/>
    <mergeCell ref="F2959:F2960"/>
    <mergeCell ref="B2985:B2986"/>
    <mergeCell ref="C2985:C2986"/>
    <mergeCell ref="D2985:D2986"/>
    <mergeCell ref="E2985:E2986"/>
    <mergeCell ref="F2985:F2986"/>
    <mergeCell ref="B3114:B3115"/>
    <mergeCell ref="C3114:C3115"/>
    <mergeCell ref="D3114:D3115"/>
    <mergeCell ref="E3114:E3115"/>
    <mergeCell ref="F3114:F3115"/>
    <mergeCell ref="B3141:B3142"/>
    <mergeCell ref="C3141:C3142"/>
    <mergeCell ref="D3141:D3142"/>
    <mergeCell ref="E3141:E3142"/>
    <mergeCell ref="F3141:F3142"/>
    <mergeCell ref="B3062:B3063"/>
    <mergeCell ref="C3062:C3063"/>
    <mergeCell ref="D3062:D3063"/>
    <mergeCell ref="E3062:E3063"/>
    <mergeCell ref="F3062:F3063"/>
    <mergeCell ref="B3088:B3089"/>
    <mergeCell ref="C3088:C3089"/>
    <mergeCell ref="D3088:D3089"/>
    <mergeCell ref="E3088:E3089"/>
    <mergeCell ref="F3088:F3089"/>
    <mergeCell ref="B3222:B3223"/>
    <mergeCell ref="C3222:C3223"/>
    <mergeCell ref="D3222:D3223"/>
    <mergeCell ref="E3222:E3223"/>
    <mergeCell ref="F3222:F3223"/>
    <mergeCell ref="B3249:B3250"/>
    <mergeCell ref="C3249:C3250"/>
    <mergeCell ref="D3249:D3250"/>
    <mergeCell ref="E3249:E3250"/>
    <mergeCell ref="F3249:F3250"/>
    <mergeCell ref="B3168:B3169"/>
    <mergeCell ref="C3168:C3169"/>
    <mergeCell ref="D3168:D3169"/>
    <mergeCell ref="E3168:E3169"/>
    <mergeCell ref="F3168:F3169"/>
    <mergeCell ref="B3195:B3196"/>
    <mergeCell ref="C3195:C3196"/>
    <mergeCell ref="D3195:D3196"/>
    <mergeCell ref="E3195:E3196"/>
    <mergeCell ref="F3195:F3196"/>
    <mergeCell ref="B3363:B3364"/>
    <mergeCell ref="C3363:C3364"/>
    <mergeCell ref="D3363:D3364"/>
    <mergeCell ref="E3363:E3364"/>
    <mergeCell ref="F3363:F3364"/>
    <mergeCell ref="B3389:B3390"/>
    <mergeCell ref="C3389:C3390"/>
    <mergeCell ref="D3389:D3390"/>
    <mergeCell ref="E3389:E3390"/>
    <mergeCell ref="F3389:F3390"/>
    <mergeCell ref="B3331:B3332"/>
    <mergeCell ref="C3331:C3332"/>
    <mergeCell ref="D3331:D3332"/>
    <mergeCell ref="E3331:E3332"/>
    <mergeCell ref="F3331:F3332"/>
    <mergeCell ref="B3275:B3276"/>
    <mergeCell ref="C3275:C3276"/>
    <mergeCell ref="D3275:D3276"/>
    <mergeCell ref="E3275:E3276"/>
    <mergeCell ref="F3275:F3276"/>
    <mergeCell ref="B3302:B3303"/>
    <mergeCell ref="C3302:C3303"/>
    <mergeCell ref="D3302:D3303"/>
    <mergeCell ref="E3302:E3303"/>
    <mergeCell ref="F3302:F3303"/>
    <mergeCell ref="B3469:B3470"/>
    <mergeCell ref="C3469:C3470"/>
    <mergeCell ref="D3469:D3470"/>
    <mergeCell ref="E3469:E3470"/>
    <mergeCell ref="F3469:F3470"/>
    <mergeCell ref="B3493:B3494"/>
    <mergeCell ref="C3493:C3494"/>
    <mergeCell ref="D3493:D3494"/>
    <mergeCell ref="E3493:E3494"/>
    <mergeCell ref="F3493:F3494"/>
    <mergeCell ref="B3415:B3416"/>
    <mergeCell ref="C3415:C3416"/>
    <mergeCell ref="D3415:D3416"/>
    <mergeCell ref="E3415:E3416"/>
    <mergeCell ref="F3415:F3416"/>
    <mergeCell ref="B3444:B3445"/>
    <mergeCell ref="C3444:C3445"/>
    <mergeCell ref="D3444:D3445"/>
    <mergeCell ref="E3444:E3445"/>
    <mergeCell ref="F3444:F3445"/>
    <mergeCell ref="B3568:B3569"/>
    <mergeCell ref="C3568:C3569"/>
    <mergeCell ref="D3568:D3569"/>
    <mergeCell ref="E3568:E3569"/>
    <mergeCell ref="F3568:F3569"/>
    <mergeCell ref="B3593:B3594"/>
    <mergeCell ref="C3593:C3594"/>
    <mergeCell ref="D3593:D3594"/>
    <mergeCell ref="E3593:E3594"/>
    <mergeCell ref="F3593:F3594"/>
    <mergeCell ref="B3518:B3519"/>
    <mergeCell ref="C3518:C3519"/>
    <mergeCell ref="D3518:D3519"/>
    <mergeCell ref="E3518:E3519"/>
    <mergeCell ref="F3518:F3519"/>
    <mergeCell ref="B3543:B3544"/>
    <mergeCell ref="C3543:C3544"/>
    <mergeCell ref="D3543:D3544"/>
    <mergeCell ref="E3543:E3544"/>
    <mergeCell ref="F3543:F3544"/>
    <mergeCell ref="B3669:B3670"/>
    <mergeCell ref="C3669:C3670"/>
    <mergeCell ref="D3669:D3670"/>
    <mergeCell ref="E3669:E3670"/>
    <mergeCell ref="F3669:F3670"/>
    <mergeCell ref="B3695:B3696"/>
    <mergeCell ref="C3695:C3696"/>
    <mergeCell ref="D3695:D3696"/>
    <mergeCell ref="E3695:E3696"/>
    <mergeCell ref="F3695:F3696"/>
    <mergeCell ref="B3618:B3619"/>
    <mergeCell ref="C3618:C3619"/>
    <mergeCell ref="D3618:D3619"/>
    <mergeCell ref="E3618:E3619"/>
    <mergeCell ref="F3618:F3619"/>
    <mergeCell ref="B3643:B3644"/>
    <mergeCell ref="C3643:C3644"/>
    <mergeCell ref="D3643:D3644"/>
    <mergeCell ref="E3643:E3644"/>
    <mergeCell ref="F3643:F3644"/>
    <mergeCell ref="B3772:B3773"/>
    <mergeCell ref="C3772:C3773"/>
    <mergeCell ref="D3772:D3773"/>
    <mergeCell ref="E3772:E3773"/>
    <mergeCell ref="F3772:F3773"/>
    <mergeCell ref="B3797:B3798"/>
    <mergeCell ref="C3797:C3798"/>
    <mergeCell ref="D3797:D3798"/>
    <mergeCell ref="E3797:E3798"/>
    <mergeCell ref="F3797:F3798"/>
    <mergeCell ref="B3721:B3722"/>
    <mergeCell ref="C3721:C3722"/>
    <mergeCell ref="D3721:D3722"/>
    <mergeCell ref="E3721:E3722"/>
    <mergeCell ref="F3721:F3722"/>
    <mergeCell ref="B3747:B3748"/>
    <mergeCell ref="C3747:C3748"/>
    <mergeCell ref="D3747:D3748"/>
    <mergeCell ref="E3747:E3748"/>
    <mergeCell ref="F3747:F3748"/>
    <mergeCell ref="B3872:B3873"/>
    <mergeCell ref="C3872:C3873"/>
    <mergeCell ref="D3872:D3873"/>
    <mergeCell ref="E3872:E3873"/>
    <mergeCell ref="F3872:F3873"/>
    <mergeCell ref="B3898:B3899"/>
    <mergeCell ref="C3898:C3899"/>
    <mergeCell ref="D3898:D3899"/>
    <mergeCell ref="E3898:E3899"/>
    <mergeCell ref="F3898:F3899"/>
    <mergeCell ref="B3822:B3823"/>
    <mergeCell ref="C3822:C3823"/>
    <mergeCell ref="D3822:D3823"/>
    <mergeCell ref="E3822:E3823"/>
    <mergeCell ref="F3822:F3823"/>
    <mergeCell ref="B3847:B3848"/>
    <mergeCell ref="C3847:C3848"/>
    <mergeCell ref="D3847:D3848"/>
    <mergeCell ref="E3847:E3848"/>
    <mergeCell ref="F3847:F3848"/>
    <mergeCell ref="B3997:B3998"/>
    <mergeCell ref="C3997:C3998"/>
    <mergeCell ref="D3997:D3998"/>
    <mergeCell ref="E3997:E3998"/>
    <mergeCell ref="F3997:F3998"/>
    <mergeCell ref="B3948:B3949"/>
    <mergeCell ref="C3948:C3949"/>
    <mergeCell ref="D3948:D3949"/>
    <mergeCell ref="E3948:E3949"/>
    <mergeCell ref="F3948:F3949"/>
    <mergeCell ref="B3973:B3974"/>
    <mergeCell ref="C3973:C3974"/>
    <mergeCell ref="D3973:D3974"/>
    <mergeCell ref="E3973:E3974"/>
    <mergeCell ref="F3973:F3974"/>
    <mergeCell ref="B3923:B3924"/>
    <mergeCell ref="C3923:C3924"/>
    <mergeCell ref="D3923:D3924"/>
    <mergeCell ref="E3923:E3924"/>
    <mergeCell ref="F3923:F3924"/>
    <mergeCell ref="B4069:B4070"/>
    <mergeCell ref="C4069:C4070"/>
    <mergeCell ref="D4069:D4070"/>
    <mergeCell ref="E4069:E4070"/>
    <mergeCell ref="F4069:F4070"/>
    <mergeCell ref="B4092:B4093"/>
    <mergeCell ref="C4092:C4093"/>
    <mergeCell ref="D4092:D4093"/>
    <mergeCell ref="E4092:E4093"/>
    <mergeCell ref="F4092:F4093"/>
    <mergeCell ref="B4022:B4023"/>
    <mergeCell ref="C4022:C4023"/>
    <mergeCell ref="D4022:D4023"/>
    <mergeCell ref="E4022:E4023"/>
    <mergeCell ref="F4022:F4023"/>
    <mergeCell ref="B4046:B4047"/>
    <mergeCell ref="C4046:C4047"/>
    <mergeCell ref="D4046:D4047"/>
    <mergeCell ref="E4046:E4047"/>
    <mergeCell ref="F4046:F4047"/>
    <mergeCell ref="B4195:B4196"/>
    <mergeCell ref="C4195:C4196"/>
    <mergeCell ref="D4195:D4196"/>
    <mergeCell ref="E4195:E4196"/>
    <mergeCell ref="F4195:F4196"/>
    <mergeCell ref="B4221:B4222"/>
    <mergeCell ref="C4221:C4222"/>
    <mergeCell ref="D4221:D4222"/>
    <mergeCell ref="E4221:E4222"/>
    <mergeCell ref="F4221:F4222"/>
    <mergeCell ref="B4169:B4170"/>
    <mergeCell ref="C4169:C4170"/>
    <mergeCell ref="D4169:D4170"/>
    <mergeCell ref="E4169:E4170"/>
    <mergeCell ref="F4169:F4170"/>
    <mergeCell ref="D4183:G4183"/>
    <mergeCell ref="B4118:B4119"/>
    <mergeCell ref="C4118:C4119"/>
    <mergeCell ref="D4118:D4119"/>
    <mergeCell ref="E4118:E4119"/>
    <mergeCell ref="F4118:F4119"/>
    <mergeCell ref="B4144:B4145"/>
    <mergeCell ref="C4144:C4145"/>
    <mergeCell ref="D4144:D4145"/>
    <mergeCell ref="E4144:E4145"/>
    <mergeCell ref="F4144:F4145"/>
    <mergeCell ref="B4302:B4303"/>
    <mergeCell ref="C4302:C4303"/>
    <mergeCell ref="D4302:D4303"/>
    <mergeCell ref="E4302:E4303"/>
    <mergeCell ref="F4302:F4303"/>
    <mergeCell ref="B4329:B4330"/>
    <mergeCell ref="C4329:C4330"/>
    <mergeCell ref="D4329:D4330"/>
    <mergeCell ref="E4329:E4330"/>
    <mergeCell ref="F4329:F4330"/>
    <mergeCell ref="B4248:B4249"/>
    <mergeCell ref="C4248:C4249"/>
    <mergeCell ref="D4248:D4249"/>
    <mergeCell ref="E4248:E4249"/>
    <mergeCell ref="F4248:F4249"/>
    <mergeCell ref="B4275:B4276"/>
    <mergeCell ref="C4275:C4276"/>
    <mergeCell ref="D4275:D4276"/>
    <mergeCell ref="E4275:E4276"/>
    <mergeCell ref="F4275:F4276"/>
    <mergeCell ref="B4410:B4411"/>
    <mergeCell ref="C4410:C4411"/>
    <mergeCell ref="D4410:D4411"/>
    <mergeCell ref="E4410:E4411"/>
    <mergeCell ref="F4410:F4411"/>
    <mergeCell ref="B4437:B4438"/>
    <mergeCell ref="C4437:C4438"/>
    <mergeCell ref="D4437:D4438"/>
    <mergeCell ref="E4437:E4438"/>
    <mergeCell ref="F4437:F4438"/>
    <mergeCell ref="B4383:B4384"/>
    <mergeCell ref="C4383:C4384"/>
    <mergeCell ref="D4383:D4384"/>
    <mergeCell ref="E4383:E4384"/>
    <mergeCell ref="F4383:F4384"/>
    <mergeCell ref="B4356:B4357"/>
    <mergeCell ref="C4356:C4357"/>
    <mergeCell ref="D4356:D4357"/>
    <mergeCell ref="E4356:E4357"/>
    <mergeCell ref="F4356:F4357"/>
    <mergeCell ref="B4516:B4517"/>
    <mergeCell ref="C4516:C4517"/>
    <mergeCell ref="D4516:D4517"/>
    <mergeCell ref="E4516:E4517"/>
    <mergeCell ref="F4516:F4517"/>
    <mergeCell ref="B4542:B4543"/>
    <mergeCell ref="C4542:C4543"/>
    <mergeCell ref="D4542:D4543"/>
    <mergeCell ref="E4542:E4543"/>
    <mergeCell ref="F4542:F4543"/>
    <mergeCell ref="B4464:B4465"/>
    <mergeCell ref="C4464:C4465"/>
    <mergeCell ref="D4464:D4465"/>
    <mergeCell ref="E4464:E4465"/>
    <mergeCell ref="F4464:F4465"/>
    <mergeCell ref="B4490:B4491"/>
    <mergeCell ref="C4490:C4491"/>
    <mergeCell ref="D4490:D4491"/>
    <mergeCell ref="E4490:E4491"/>
    <mergeCell ref="F4490:F4491"/>
    <mergeCell ref="B4623:B4624"/>
    <mergeCell ref="C4623:C4624"/>
    <mergeCell ref="D4623:D4624"/>
    <mergeCell ref="E4623:E4624"/>
    <mergeCell ref="F4623:F4624"/>
    <mergeCell ref="B4650:B4651"/>
    <mergeCell ref="C4650:C4651"/>
    <mergeCell ref="D4650:D4651"/>
    <mergeCell ref="E4650:E4651"/>
    <mergeCell ref="F4650:F4651"/>
    <mergeCell ref="B4569:B4570"/>
    <mergeCell ref="C4569:C4570"/>
    <mergeCell ref="D4569:D4570"/>
    <mergeCell ref="E4569:E4570"/>
    <mergeCell ref="F4569:F4570"/>
    <mergeCell ref="B4596:B4597"/>
    <mergeCell ref="C4596:C4597"/>
    <mergeCell ref="D4596:D4597"/>
    <mergeCell ref="E4596:E4597"/>
    <mergeCell ref="F4596:F4597"/>
    <mergeCell ref="B4731:B4732"/>
    <mergeCell ref="C4731:C4732"/>
    <mergeCell ref="D4731:D4732"/>
    <mergeCell ref="E4731:E4732"/>
    <mergeCell ref="F4731:F4732"/>
    <mergeCell ref="B4758:B4759"/>
    <mergeCell ref="C4758:C4759"/>
    <mergeCell ref="D4758:D4759"/>
    <mergeCell ref="E4758:E4759"/>
    <mergeCell ref="F4758:F4759"/>
    <mergeCell ref="B4677:B4678"/>
    <mergeCell ref="C4677:C4678"/>
    <mergeCell ref="D4677:D4678"/>
    <mergeCell ref="E4677:E4678"/>
    <mergeCell ref="F4677:F4678"/>
    <mergeCell ref="B4704:B4705"/>
    <mergeCell ref="C4704:C4705"/>
    <mergeCell ref="D4704:D4705"/>
    <mergeCell ref="E4704:E4705"/>
    <mergeCell ref="F4704:F4705"/>
    <mergeCell ref="B4839:B4840"/>
    <mergeCell ref="C4839:C4840"/>
    <mergeCell ref="D4839:D4840"/>
    <mergeCell ref="E4839:E4840"/>
    <mergeCell ref="F4839:F4840"/>
    <mergeCell ref="B4866:B4867"/>
    <mergeCell ref="C4866:C4867"/>
    <mergeCell ref="D4866:D4867"/>
    <mergeCell ref="E4866:E4867"/>
    <mergeCell ref="F4866:F4867"/>
    <mergeCell ref="B4785:B4786"/>
    <mergeCell ref="C4785:C4786"/>
    <mergeCell ref="D4785:D4786"/>
    <mergeCell ref="E4785:E4786"/>
    <mergeCell ref="F4785:F4786"/>
    <mergeCell ref="B4812:B4813"/>
    <mergeCell ref="C4812:C4813"/>
    <mergeCell ref="D4812:D4813"/>
    <mergeCell ref="E4812:E4813"/>
    <mergeCell ref="F4812:F4813"/>
    <mergeCell ref="B4943:B4944"/>
    <mergeCell ref="C4943:C4944"/>
    <mergeCell ref="D4943:D4944"/>
    <mergeCell ref="E4943:E4944"/>
    <mergeCell ref="F4943:F4944"/>
    <mergeCell ref="B4971:B4972"/>
    <mergeCell ref="C4971:C4972"/>
    <mergeCell ref="D4971:D4972"/>
    <mergeCell ref="E4971:E4972"/>
    <mergeCell ref="F4971:F4972"/>
    <mergeCell ref="B4891:B4892"/>
    <mergeCell ref="C4891:C4892"/>
    <mergeCell ref="D4891:D4892"/>
    <mergeCell ref="E4891:E4892"/>
    <mergeCell ref="F4891:F4892"/>
    <mergeCell ref="B4917:B4918"/>
    <mergeCell ref="C4917:C4918"/>
    <mergeCell ref="D4917:D4918"/>
    <mergeCell ref="E4917:E4918"/>
    <mergeCell ref="F4917:F4918"/>
    <mergeCell ref="B5066:B5067"/>
    <mergeCell ref="C5066:C5067"/>
    <mergeCell ref="D5066:D5067"/>
    <mergeCell ref="E5066:E5067"/>
    <mergeCell ref="F5066:F5067"/>
    <mergeCell ref="B5102:B5103"/>
    <mergeCell ref="C5102:C5103"/>
    <mergeCell ref="D5102:D5103"/>
    <mergeCell ref="E5102:E5103"/>
    <mergeCell ref="F5102:F5103"/>
    <mergeCell ref="B5005:B5006"/>
    <mergeCell ref="C5005:C5006"/>
    <mergeCell ref="D5005:D5006"/>
    <mergeCell ref="E5005:E5006"/>
    <mergeCell ref="F5005:F5006"/>
    <mergeCell ref="B5038:B5039"/>
    <mergeCell ref="C5038:C5039"/>
    <mergeCell ref="D5038:D5039"/>
    <mergeCell ref="E5038:E5039"/>
    <mergeCell ref="F5038:F5039"/>
    <mergeCell ref="B5185:B5186"/>
    <mergeCell ref="C5185:C5186"/>
    <mergeCell ref="D5185:D5186"/>
    <mergeCell ref="E5185:E5186"/>
    <mergeCell ref="F5185:F5186"/>
    <mergeCell ref="B5212:B5213"/>
    <mergeCell ref="C5212:C5213"/>
    <mergeCell ref="D5212:D5213"/>
    <mergeCell ref="E5212:E5213"/>
    <mergeCell ref="F5212:F5213"/>
    <mergeCell ref="B5134:B5135"/>
    <mergeCell ref="C5134:C5135"/>
    <mergeCell ref="D5134:D5135"/>
    <mergeCell ref="E5134:E5135"/>
    <mergeCell ref="F5134:F5135"/>
    <mergeCell ref="B5158:B5159"/>
    <mergeCell ref="C5158:C5159"/>
    <mergeCell ref="D5158:D5159"/>
    <mergeCell ref="E5158:E5159"/>
    <mergeCell ref="F5158:F5159"/>
    <mergeCell ref="B5286:B5287"/>
    <mergeCell ref="C5286:C5287"/>
    <mergeCell ref="D5286:D5287"/>
    <mergeCell ref="E5286:E5287"/>
    <mergeCell ref="F5286:F5287"/>
    <mergeCell ref="B5313:B5314"/>
    <mergeCell ref="C5313:C5314"/>
    <mergeCell ref="D5313:D5314"/>
    <mergeCell ref="E5313:E5314"/>
    <mergeCell ref="F5313:F5314"/>
    <mergeCell ref="B5236:B5237"/>
    <mergeCell ref="C5236:C5237"/>
    <mergeCell ref="D5236:D5237"/>
    <mergeCell ref="E5236:E5237"/>
    <mergeCell ref="F5236:F5237"/>
    <mergeCell ref="B5261:B5262"/>
    <mergeCell ref="C5261:C5262"/>
    <mergeCell ref="D5261:D5262"/>
    <mergeCell ref="E5261:E5262"/>
    <mergeCell ref="F5261:F5262"/>
    <mergeCell ref="B5394:B5395"/>
    <mergeCell ref="C5394:C5395"/>
    <mergeCell ref="D5394:D5395"/>
    <mergeCell ref="E5394:E5395"/>
    <mergeCell ref="F5394:F5395"/>
    <mergeCell ref="B5421:B5422"/>
    <mergeCell ref="C5421:C5422"/>
    <mergeCell ref="D5421:D5422"/>
    <mergeCell ref="E5421:E5422"/>
    <mergeCell ref="F5421:F5422"/>
    <mergeCell ref="B5340:B5341"/>
    <mergeCell ref="C5340:C5341"/>
    <mergeCell ref="D5340:D5341"/>
    <mergeCell ref="E5340:E5341"/>
    <mergeCell ref="F5340:F5341"/>
    <mergeCell ref="B5367:B5368"/>
    <mergeCell ref="C5367:C5368"/>
    <mergeCell ref="D5367:D5368"/>
    <mergeCell ref="E5367:E5368"/>
    <mergeCell ref="F5367:F5368"/>
    <mergeCell ref="B5503:B5504"/>
    <mergeCell ref="C5503:C5504"/>
    <mergeCell ref="D5503:D5504"/>
    <mergeCell ref="E5503:E5504"/>
    <mergeCell ref="F5503:F5504"/>
    <mergeCell ref="B5530:B5531"/>
    <mergeCell ref="C5530:C5531"/>
    <mergeCell ref="D5530:D5531"/>
    <mergeCell ref="E5530:E5531"/>
    <mergeCell ref="F5530:F5531"/>
    <mergeCell ref="B5448:B5449"/>
    <mergeCell ref="C5448:C5449"/>
    <mergeCell ref="D5448:D5449"/>
    <mergeCell ref="E5448:E5449"/>
    <mergeCell ref="F5448:F5449"/>
    <mergeCell ref="B5475:B5476"/>
    <mergeCell ref="C5475:C5476"/>
    <mergeCell ref="D5475:D5476"/>
    <mergeCell ref="E5475:E5476"/>
    <mergeCell ref="F5475:F5476"/>
    <mergeCell ref="B5605:B5606"/>
    <mergeCell ref="C5605:C5606"/>
    <mergeCell ref="D5605:D5606"/>
    <mergeCell ref="E5605:E5606"/>
    <mergeCell ref="F5605:F5606"/>
    <mergeCell ref="B5629:B5630"/>
    <mergeCell ref="C5629:C5630"/>
    <mergeCell ref="D5629:D5630"/>
    <mergeCell ref="E5629:E5630"/>
    <mergeCell ref="F5629:F5630"/>
    <mergeCell ref="B5554:B5555"/>
    <mergeCell ref="C5554:C5555"/>
    <mergeCell ref="D5554:D5555"/>
    <mergeCell ref="E5554:E5555"/>
    <mergeCell ref="F5554:F5555"/>
    <mergeCell ref="B5579:B5580"/>
    <mergeCell ref="C5579:C5580"/>
    <mergeCell ref="D5579:D5580"/>
    <mergeCell ref="E5579:E5580"/>
    <mergeCell ref="F5579:F5580"/>
    <mergeCell ref="B5729:B5730"/>
    <mergeCell ref="C5729:C5730"/>
    <mergeCell ref="D5729:D5730"/>
    <mergeCell ref="E5729:E5730"/>
    <mergeCell ref="F5729:F5730"/>
    <mergeCell ref="B5703:B5704"/>
    <mergeCell ref="C5703:C5704"/>
    <mergeCell ref="D5703:D5704"/>
    <mergeCell ref="E5703:E5704"/>
    <mergeCell ref="F5703:F5704"/>
    <mergeCell ref="B5679:B5680"/>
    <mergeCell ref="C5679:C5680"/>
    <mergeCell ref="D5679:D5680"/>
    <mergeCell ref="E5679:E5680"/>
    <mergeCell ref="F5679:F5680"/>
    <mergeCell ref="B5654:B5655"/>
    <mergeCell ref="C5654:C5655"/>
    <mergeCell ref="D5654:D5655"/>
    <mergeCell ref="E5654:E5655"/>
    <mergeCell ref="F5654:F5655"/>
    <mergeCell ref="B5830:B5831"/>
    <mergeCell ref="C5830:C5831"/>
    <mergeCell ref="D5830:D5831"/>
    <mergeCell ref="E5830:E5831"/>
    <mergeCell ref="F5830:F5831"/>
    <mergeCell ref="B5855:B5856"/>
    <mergeCell ref="C5855:C5856"/>
    <mergeCell ref="D5855:D5856"/>
    <mergeCell ref="E5855:E5856"/>
    <mergeCell ref="F5855:F5856"/>
    <mergeCell ref="B5805:B5806"/>
    <mergeCell ref="C5805:C5806"/>
    <mergeCell ref="D5805:D5806"/>
    <mergeCell ref="E5805:E5806"/>
    <mergeCell ref="F5805:F5806"/>
    <mergeCell ref="B5755:B5756"/>
    <mergeCell ref="C5755:C5756"/>
    <mergeCell ref="D5755:D5756"/>
    <mergeCell ref="E5755:E5756"/>
    <mergeCell ref="F5755:F5756"/>
    <mergeCell ref="B5780:B5781"/>
    <mergeCell ref="C5780:C5781"/>
    <mergeCell ref="D5780:D5781"/>
    <mergeCell ref="E5780:E5781"/>
    <mergeCell ref="F5780:F5781"/>
    <mergeCell ref="B5967:B5968"/>
    <mergeCell ref="C5967:C5968"/>
    <mergeCell ref="D5967:D5968"/>
    <mergeCell ref="E5967:E5968"/>
    <mergeCell ref="F5967:F5968"/>
    <mergeCell ref="B5940:B5941"/>
    <mergeCell ref="C5940:C5941"/>
    <mergeCell ref="D5940:D5941"/>
    <mergeCell ref="E5940:E5941"/>
    <mergeCell ref="F5940:F5941"/>
    <mergeCell ref="B5883:B5884"/>
    <mergeCell ref="C5883:C5884"/>
    <mergeCell ref="D5883:D5884"/>
    <mergeCell ref="E5883:E5884"/>
    <mergeCell ref="F5883:F5884"/>
    <mergeCell ref="B5914:B5915"/>
    <mergeCell ref="C5914:C5915"/>
    <mergeCell ref="D5914:D5915"/>
    <mergeCell ref="E5914:E5915"/>
    <mergeCell ref="F5914:F5915"/>
    <mergeCell ref="B6039:B6040"/>
    <mergeCell ref="C6039:C6040"/>
    <mergeCell ref="D6039:D6040"/>
    <mergeCell ref="E6039:E6040"/>
    <mergeCell ref="F6039:F6040"/>
    <mergeCell ref="B6064:B6065"/>
    <mergeCell ref="C6064:C6065"/>
    <mergeCell ref="D6064:D6065"/>
    <mergeCell ref="E6064:E6065"/>
    <mergeCell ref="F6064:F6065"/>
    <mergeCell ref="B5991:B5992"/>
    <mergeCell ref="C5991:C5992"/>
    <mergeCell ref="D5991:D5992"/>
    <mergeCell ref="E5991:E5992"/>
    <mergeCell ref="F5991:F5992"/>
    <mergeCell ref="B6015:B6016"/>
    <mergeCell ref="C6015:C6016"/>
    <mergeCell ref="D6015:D6016"/>
    <mergeCell ref="E6015:E6016"/>
    <mergeCell ref="F6015:F6016"/>
    <mergeCell ref="B6141:B6142"/>
    <mergeCell ref="C6141:C6142"/>
    <mergeCell ref="D6141:D6142"/>
    <mergeCell ref="E6141:E6142"/>
    <mergeCell ref="F6141:F6142"/>
    <mergeCell ref="B6166:B6167"/>
    <mergeCell ref="C6166:C6167"/>
    <mergeCell ref="D6166:D6167"/>
    <mergeCell ref="E6166:E6167"/>
    <mergeCell ref="F6166:F6167"/>
    <mergeCell ref="B6090:B6091"/>
    <mergeCell ref="C6090:C6091"/>
    <mergeCell ref="D6090:D6091"/>
    <mergeCell ref="E6090:E6091"/>
    <mergeCell ref="F6090:F6091"/>
    <mergeCell ref="B6116:B6117"/>
    <mergeCell ref="C6116:C6117"/>
    <mergeCell ref="D6116:D6117"/>
    <mergeCell ref="E6116:E6117"/>
    <mergeCell ref="F6116:F6117"/>
    <mergeCell ref="B6241:B6242"/>
    <mergeCell ref="C6241:C6242"/>
    <mergeCell ref="D6241:D6242"/>
    <mergeCell ref="E6241:E6242"/>
    <mergeCell ref="F6241:F6242"/>
    <mergeCell ref="B6266:B6267"/>
    <mergeCell ref="C6266:C6267"/>
    <mergeCell ref="D6266:D6267"/>
    <mergeCell ref="E6266:E6267"/>
    <mergeCell ref="F6266:F6267"/>
    <mergeCell ref="B6191:B6192"/>
    <mergeCell ref="C6191:C6192"/>
    <mergeCell ref="D6191:D6192"/>
    <mergeCell ref="E6191:E6192"/>
    <mergeCell ref="F6191:F6192"/>
    <mergeCell ref="B6216:B6217"/>
    <mergeCell ref="C6216:C6217"/>
    <mergeCell ref="D6216:D6217"/>
    <mergeCell ref="E6216:E6217"/>
    <mergeCell ref="F6216:F6217"/>
    <mergeCell ref="B6344:B6345"/>
    <mergeCell ref="C6344:C6345"/>
    <mergeCell ref="D6344:D6345"/>
    <mergeCell ref="E6344:E6345"/>
    <mergeCell ref="F6344:F6345"/>
    <mergeCell ref="B6369:B6370"/>
    <mergeCell ref="C6369:C6370"/>
    <mergeCell ref="D6369:D6370"/>
    <mergeCell ref="E6369:E6370"/>
    <mergeCell ref="F6369:F6370"/>
    <mergeCell ref="B6293:B6294"/>
    <mergeCell ref="C6293:C6294"/>
    <mergeCell ref="D6293:D6294"/>
    <mergeCell ref="E6293:E6294"/>
    <mergeCell ref="F6293:F6294"/>
    <mergeCell ref="B6319:B6320"/>
    <mergeCell ref="C6319:C6320"/>
    <mergeCell ref="D6319:D6320"/>
    <mergeCell ref="E6319:E6320"/>
    <mergeCell ref="F6319:F6320"/>
    <mergeCell ref="B6445:B6446"/>
    <mergeCell ref="C6445:C6446"/>
    <mergeCell ref="D6445:D6446"/>
    <mergeCell ref="E6445:E6446"/>
    <mergeCell ref="F6445:F6446"/>
    <mergeCell ref="B6469:B6470"/>
    <mergeCell ref="C6469:C6470"/>
    <mergeCell ref="D6469:D6470"/>
    <mergeCell ref="E6469:E6470"/>
    <mergeCell ref="F6469:F6470"/>
    <mergeCell ref="B6396:B6397"/>
    <mergeCell ref="C6396:C6397"/>
    <mergeCell ref="D6396:D6397"/>
    <mergeCell ref="E6396:E6397"/>
    <mergeCell ref="F6396:F6397"/>
    <mergeCell ref="B6421:B6422"/>
    <mergeCell ref="C6421:C6422"/>
    <mergeCell ref="D6421:D6422"/>
    <mergeCell ref="E6421:E6422"/>
    <mergeCell ref="F6421:F6422"/>
    <mergeCell ref="B6595:B6596"/>
    <mergeCell ref="C6595:C6596"/>
    <mergeCell ref="D6595:D6596"/>
    <mergeCell ref="E6595:E6596"/>
    <mergeCell ref="F6595:F6596"/>
    <mergeCell ref="B6544:B6545"/>
    <mergeCell ref="C6544:C6545"/>
    <mergeCell ref="D6544:D6545"/>
    <mergeCell ref="E6544:E6545"/>
    <mergeCell ref="F6544:F6545"/>
    <mergeCell ref="B6570:B6571"/>
    <mergeCell ref="C6570:C6571"/>
    <mergeCell ref="D6570:D6571"/>
    <mergeCell ref="E6570:E6571"/>
    <mergeCell ref="F6570:F6571"/>
    <mergeCell ref="B6493:B6494"/>
    <mergeCell ref="C6493:C6494"/>
    <mergeCell ref="D6493:D6494"/>
    <mergeCell ref="E6493:E6494"/>
    <mergeCell ref="F6493:F6494"/>
    <mergeCell ref="B6518:B6519"/>
    <mergeCell ref="C6518:C6519"/>
    <mergeCell ref="D6518:D6519"/>
    <mergeCell ref="E6518:E6519"/>
    <mergeCell ref="F6518:F6519"/>
    <mergeCell ref="B6697:B6698"/>
    <mergeCell ref="C6697:C6698"/>
    <mergeCell ref="D6697:D6698"/>
    <mergeCell ref="E6697:E6698"/>
    <mergeCell ref="F6697:F6698"/>
    <mergeCell ref="B6646:B6647"/>
    <mergeCell ref="C6646:C6647"/>
    <mergeCell ref="D6646:D6647"/>
    <mergeCell ref="E6646:E6647"/>
    <mergeCell ref="F6646:F6647"/>
    <mergeCell ref="B6671:B6672"/>
    <mergeCell ref="C6671:C6672"/>
    <mergeCell ref="D6671:D6672"/>
    <mergeCell ref="E6671:E6672"/>
    <mergeCell ref="F6671:F6672"/>
    <mergeCell ref="B6620:B6621"/>
    <mergeCell ref="C6620:C6621"/>
    <mergeCell ref="D6620:D6621"/>
    <mergeCell ref="E6620:E6621"/>
    <mergeCell ref="F6620:F6621"/>
    <mergeCell ref="B6779:B6780"/>
    <mergeCell ref="C6779:C6780"/>
    <mergeCell ref="D6779:D6780"/>
    <mergeCell ref="E6779:E6780"/>
    <mergeCell ref="F6779:F6780"/>
    <mergeCell ref="B6803:B6804"/>
    <mergeCell ref="C6803:C6804"/>
    <mergeCell ref="D6803:D6804"/>
    <mergeCell ref="E6803:E6804"/>
    <mergeCell ref="F6803:F6804"/>
    <mergeCell ref="B6725:B6726"/>
    <mergeCell ref="C6725:C6726"/>
    <mergeCell ref="D6725:D6726"/>
    <mergeCell ref="E6725:E6726"/>
    <mergeCell ref="F6725:F6726"/>
    <mergeCell ref="B6752:B6753"/>
    <mergeCell ref="C6752:C6753"/>
    <mergeCell ref="D6752:D6753"/>
    <mergeCell ref="E6752:E6753"/>
    <mergeCell ref="F6752:F6753"/>
    <mergeCell ref="B6937:B6938"/>
    <mergeCell ref="C6937:C6938"/>
    <mergeCell ref="D6937:D6938"/>
    <mergeCell ref="E6937:E6938"/>
    <mergeCell ref="F6937:F6938"/>
    <mergeCell ref="B6899:B6900"/>
    <mergeCell ref="C6899:C6900"/>
    <mergeCell ref="D6899:D6900"/>
    <mergeCell ref="E6899:E6900"/>
    <mergeCell ref="F6899:F6900"/>
    <mergeCell ref="B6830:B6831"/>
    <mergeCell ref="C6830:C6831"/>
    <mergeCell ref="D6830:D6831"/>
    <mergeCell ref="E6830:E6831"/>
    <mergeCell ref="F6830:F6831"/>
    <mergeCell ref="B6859:B6860"/>
    <mergeCell ref="C6859:C6860"/>
    <mergeCell ref="D6859:D6860"/>
    <mergeCell ref="E6859:E6860"/>
    <mergeCell ref="F6859:F6860"/>
    <mergeCell ref="B7014:B7015"/>
    <mergeCell ref="C7014:C7015"/>
    <mergeCell ref="D7014:D7015"/>
    <mergeCell ref="E7014:E7015"/>
    <mergeCell ref="F7014:F7015"/>
    <mergeCell ref="B7039:B7040"/>
    <mergeCell ref="C7039:C7040"/>
    <mergeCell ref="D7039:D7040"/>
    <mergeCell ref="E7039:E7040"/>
    <mergeCell ref="F7039:F7040"/>
    <mergeCell ref="B6962:B6963"/>
    <mergeCell ref="C6962:C6963"/>
    <mergeCell ref="D6962:D6963"/>
    <mergeCell ref="E6962:E6963"/>
    <mergeCell ref="F6962:F6963"/>
    <mergeCell ref="B6988:B6989"/>
    <mergeCell ref="C6988:C6989"/>
    <mergeCell ref="D6988:D6989"/>
    <mergeCell ref="E6988:E6989"/>
    <mergeCell ref="F6988:F6989"/>
    <mergeCell ref="B7148:B7149"/>
    <mergeCell ref="C7148:C7149"/>
    <mergeCell ref="D7148:D7149"/>
    <mergeCell ref="E7148:E7149"/>
    <mergeCell ref="F7148:F7149"/>
    <mergeCell ref="B7173:B7174"/>
    <mergeCell ref="C7173:C7174"/>
    <mergeCell ref="D7173:D7174"/>
    <mergeCell ref="E7173:E7174"/>
    <mergeCell ref="F7173:F7174"/>
    <mergeCell ref="B7123:B7124"/>
    <mergeCell ref="C7123:C7124"/>
    <mergeCell ref="D7123:D7124"/>
    <mergeCell ref="E7123:E7124"/>
    <mergeCell ref="F7123:F7124"/>
    <mergeCell ref="B7064:B7065"/>
    <mergeCell ref="C7064:C7065"/>
    <mergeCell ref="D7064:D7065"/>
    <mergeCell ref="E7064:E7065"/>
    <mergeCell ref="F7064:F7065"/>
    <mergeCell ref="B7090:B7091"/>
    <mergeCell ref="C7090:C7091"/>
    <mergeCell ref="D7090:D7091"/>
    <mergeCell ref="E7090:E7091"/>
    <mergeCell ref="F7090:F7091"/>
    <mergeCell ref="B7256:B7257"/>
    <mergeCell ref="C7256:C7257"/>
    <mergeCell ref="D7256:D7257"/>
    <mergeCell ref="E7256:E7257"/>
    <mergeCell ref="F7256:F7257"/>
    <mergeCell ref="B7282:B7283"/>
    <mergeCell ref="C7282:C7283"/>
    <mergeCell ref="D7282:D7283"/>
    <mergeCell ref="E7282:E7283"/>
    <mergeCell ref="F7282:F7283"/>
    <mergeCell ref="B7199:B7200"/>
    <mergeCell ref="C7199:C7200"/>
    <mergeCell ref="D7199:D7200"/>
    <mergeCell ref="E7199:E7200"/>
    <mergeCell ref="F7199:F7200"/>
    <mergeCell ref="B7231:B7232"/>
    <mergeCell ref="C7231:C7232"/>
    <mergeCell ref="D7231:D7232"/>
    <mergeCell ref="E7231:E7232"/>
    <mergeCell ref="F7231:F7232"/>
    <mergeCell ref="B7362:B7363"/>
    <mergeCell ref="C7362:C7363"/>
    <mergeCell ref="D7362:D7363"/>
    <mergeCell ref="E7362:E7363"/>
    <mergeCell ref="F7362:F7363"/>
    <mergeCell ref="B7388:B7389"/>
    <mergeCell ref="C7388:C7389"/>
    <mergeCell ref="D7388:D7389"/>
    <mergeCell ref="E7388:E7389"/>
    <mergeCell ref="F7388:F7389"/>
    <mergeCell ref="B7308:B7309"/>
    <mergeCell ref="C7308:C7309"/>
    <mergeCell ref="D7308:D7309"/>
    <mergeCell ref="E7308:E7309"/>
    <mergeCell ref="F7308:F7309"/>
    <mergeCell ref="B7335:B7336"/>
    <mergeCell ref="C7335:C7336"/>
    <mergeCell ref="D7335:D7336"/>
    <mergeCell ref="E7335:E7336"/>
    <mergeCell ref="F7335:F7336"/>
    <mergeCell ref="B7467:B7468"/>
    <mergeCell ref="C7467:C7468"/>
    <mergeCell ref="D7467:D7468"/>
    <mergeCell ref="E7467:E7468"/>
    <mergeCell ref="F7467:F7468"/>
    <mergeCell ref="B7494:B7495"/>
    <mergeCell ref="C7494:C7495"/>
    <mergeCell ref="D7494:D7495"/>
    <mergeCell ref="E7494:E7495"/>
    <mergeCell ref="F7494:F7495"/>
    <mergeCell ref="B7413:B7414"/>
    <mergeCell ref="C7413:C7414"/>
    <mergeCell ref="D7413:D7414"/>
    <mergeCell ref="E7413:E7414"/>
    <mergeCell ref="F7413:F7414"/>
    <mergeCell ref="B7440:B7441"/>
    <mergeCell ref="C7440:C7441"/>
    <mergeCell ref="D7440:D7441"/>
    <mergeCell ref="E7440:E7441"/>
    <mergeCell ref="F7440:F7441"/>
    <mergeCell ref="B7566:B7567"/>
    <mergeCell ref="C7566:C7567"/>
    <mergeCell ref="D7566:D7567"/>
    <mergeCell ref="E7566:E7567"/>
    <mergeCell ref="F7566:F7567"/>
    <mergeCell ref="B7592:B7593"/>
    <mergeCell ref="C7592:C7593"/>
    <mergeCell ref="D7592:D7593"/>
    <mergeCell ref="E7592:E7593"/>
    <mergeCell ref="F7592:F7593"/>
    <mergeCell ref="B7518:B7519"/>
    <mergeCell ref="C7518:C7519"/>
    <mergeCell ref="D7518:D7519"/>
    <mergeCell ref="E7518:E7519"/>
    <mergeCell ref="F7518:F7519"/>
    <mergeCell ref="B7542:B7543"/>
    <mergeCell ref="C7542:C7543"/>
    <mergeCell ref="D7542:D7543"/>
    <mergeCell ref="E7542:E7543"/>
    <mergeCell ref="F7542:F7543"/>
    <mergeCell ref="B7668:B7669"/>
    <mergeCell ref="C7668:C7669"/>
    <mergeCell ref="D7668:D7669"/>
    <mergeCell ref="E7668:E7669"/>
    <mergeCell ref="F7668:F7669"/>
    <mergeCell ref="B7694:B7695"/>
    <mergeCell ref="C7694:C7695"/>
    <mergeCell ref="D7694:D7695"/>
    <mergeCell ref="E7694:E7695"/>
    <mergeCell ref="F7694:F7695"/>
    <mergeCell ref="B7620:B7621"/>
    <mergeCell ref="C7620:C7621"/>
    <mergeCell ref="D7620:D7621"/>
    <mergeCell ref="E7620:E7621"/>
    <mergeCell ref="F7620:F7621"/>
    <mergeCell ref="B7644:B7645"/>
    <mergeCell ref="C7644:C7645"/>
    <mergeCell ref="D7644:D7645"/>
    <mergeCell ref="E7644:E7645"/>
    <mergeCell ref="F7644:F7645"/>
    <mergeCell ref="B7768:B7769"/>
    <mergeCell ref="C7768:C7769"/>
    <mergeCell ref="D7768:D7769"/>
    <mergeCell ref="E7768:E7769"/>
    <mergeCell ref="F7768:F7769"/>
    <mergeCell ref="B7795:B7796"/>
    <mergeCell ref="C7795:C7796"/>
    <mergeCell ref="D7795:D7796"/>
    <mergeCell ref="E7795:E7796"/>
    <mergeCell ref="F7795:F7796"/>
    <mergeCell ref="B7719:B7720"/>
    <mergeCell ref="C7719:C7720"/>
    <mergeCell ref="D7719:D7720"/>
    <mergeCell ref="E7719:E7720"/>
    <mergeCell ref="F7719:F7720"/>
    <mergeCell ref="B7743:B7744"/>
    <mergeCell ref="C7743:C7744"/>
    <mergeCell ref="D7743:D7744"/>
    <mergeCell ref="E7743:E7744"/>
    <mergeCell ref="F7743:F7744"/>
    <mergeCell ref="B7871:B7872"/>
    <mergeCell ref="C7871:C7872"/>
    <mergeCell ref="D7871:D7872"/>
    <mergeCell ref="E7871:E7872"/>
    <mergeCell ref="F7871:F7872"/>
    <mergeCell ref="B7896:B7897"/>
    <mergeCell ref="C7896:C7897"/>
    <mergeCell ref="D7896:D7897"/>
    <mergeCell ref="E7896:E7897"/>
    <mergeCell ref="F7896:F7897"/>
    <mergeCell ref="B7821:B7822"/>
    <mergeCell ref="C7821:C7822"/>
    <mergeCell ref="D7821:D7822"/>
    <mergeCell ref="E7821:E7822"/>
    <mergeCell ref="F7821:F7822"/>
    <mergeCell ref="B7845:B7846"/>
    <mergeCell ref="C7845:C7846"/>
    <mergeCell ref="D7845:D7846"/>
    <mergeCell ref="E7845:E7846"/>
    <mergeCell ref="F7845:F7846"/>
    <mergeCell ref="B7962:B7963"/>
    <mergeCell ref="C7962:C7963"/>
    <mergeCell ref="D7962:D7963"/>
    <mergeCell ref="E7962:E7963"/>
    <mergeCell ref="F7962:F7963"/>
    <mergeCell ref="B7984:B7985"/>
    <mergeCell ref="C7984:C7985"/>
    <mergeCell ref="D7984:D7985"/>
    <mergeCell ref="E7984:E7985"/>
    <mergeCell ref="F7984:F7985"/>
    <mergeCell ref="B7918:B7919"/>
    <mergeCell ref="C7918:C7919"/>
    <mergeCell ref="D7918:D7919"/>
    <mergeCell ref="E7918:E7919"/>
    <mergeCell ref="F7918:F7919"/>
    <mergeCell ref="B7940:B7941"/>
    <mergeCell ref="C7940:C7941"/>
    <mergeCell ref="D7940:D7941"/>
    <mergeCell ref="E7940:E7941"/>
    <mergeCell ref="F7940:F7941"/>
    <mergeCell ref="B8050:B8051"/>
    <mergeCell ref="C8050:C8051"/>
    <mergeCell ref="D8050:D8051"/>
    <mergeCell ref="E8050:E8051"/>
    <mergeCell ref="F8050:F8051"/>
    <mergeCell ref="B8072:B8073"/>
    <mergeCell ref="C8072:C8073"/>
    <mergeCell ref="D8072:D8073"/>
    <mergeCell ref="E8072:E8073"/>
    <mergeCell ref="F8072:F8073"/>
    <mergeCell ref="B8006:B8007"/>
    <mergeCell ref="C8006:C8007"/>
    <mergeCell ref="D8006:D8007"/>
    <mergeCell ref="E8006:E8007"/>
    <mergeCell ref="F8006:F8007"/>
    <mergeCell ref="B8028:B8029"/>
    <mergeCell ref="C8028:C8029"/>
    <mergeCell ref="D8028:D8029"/>
    <mergeCell ref="E8028:E8029"/>
    <mergeCell ref="F8028:F8029"/>
    <mergeCell ref="B8139:B8140"/>
    <mergeCell ref="C8139:C8140"/>
    <mergeCell ref="D8139:D8140"/>
    <mergeCell ref="E8139:E8140"/>
    <mergeCell ref="F8139:F8140"/>
    <mergeCell ref="B8161:B8162"/>
    <mergeCell ref="C8161:C8162"/>
    <mergeCell ref="D8161:D8162"/>
    <mergeCell ref="E8161:E8162"/>
    <mergeCell ref="F8161:F8162"/>
    <mergeCell ref="B8095:B8096"/>
    <mergeCell ref="C8095:C8096"/>
    <mergeCell ref="D8095:D8096"/>
    <mergeCell ref="E8095:E8096"/>
    <mergeCell ref="F8095:F8096"/>
    <mergeCell ref="B8117:B8118"/>
    <mergeCell ref="C8117:C8118"/>
    <mergeCell ref="D8117:D8118"/>
    <mergeCell ref="E8117:E8118"/>
    <mergeCell ref="F8117:F8118"/>
    <mergeCell ref="B8230:B8231"/>
    <mergeCell ref="C8230:C8231"/>
    <mergeCell ref="D8230:D8231"/>
    <mergeCell ref="E8230:E8231"/>
    <mergeCell ref="F8230:F8231"/>
    <mergeCell ref="B8254:B8255"/>
    <mergeCell ref="C8254:C8255"/>
    <mergeCell ref="D8254:D8255"/>
    <mergeCell ref="E8254:E8255"/>
    <mergeCell ref="F8254:F8255"/>
    <mergeCell ref="B8183:B8184"/>
    <mergeCell ref="C8183:C8184"/>
    <mergeCell ref="D8183:D8184"/>
    <mergeCell ref="E8183:E8184"/>
    <mergeCell ref="F8183:F8184"/>
    <mergeCell ref="B8205:B8206"/>
    <mergeCell ref="C8205:C8206"/>
    <mergeCell ref="D8205:D8206"/>
    <mergeCell ref="E8205:E8206"/>
    <mergeCell ref="F8205:F8206"/>
    <mergeCell ref="B8326:B8327"/>
    <mergeCell ref="C8326:C8327"/>
    <mergeCell ref="D8326:D8327"/>
    <mergeCell ref="E8326:E8327"/>
    <mergeCell ref="F8326:F8327"/>
    <mergeCell ref="B8350:B8351"/>
    <mergeCell ref="C8350:C8351"/>
    <mergeCell ref="D8350:D8351"/>
    <mergeCell ref="E8350:E8351"/>
    <mergeCell ref="F8350:F8351"/>
    <mergeCell ref="B8278:B8279"/>
    <mergeCell ref="C8278:C8279"/>
    <mergeCell ref="D8278:D8279"/>
    <mergeCell ref="E8278:E8279"/>
    <mergeCell ref="F8278:F8279"/>
    <mergeCell ref="B8302:B8303"/>
    <mergeCell ref="C8302:C8303"/>
    <mergeCell ref="D8302:D8303"/>
    <mergeCell ref="E8302:E8303"/>
    <mergeCell ref="F8302:F8303"/>
    <mergeCell ref="D8493:D8494"/>
    <mergeCell ref="E8493:E8494"/>
    <mergeCell ref="F8493:F8494"/>
    <mergeCell ref="B8517:B8518"/>
    <mergeCell ref="C8517:C8518"/>
    <mergeCell ref="D8517:D8518"/>
    <mergeCell ref="E8517:E8518"/>
    <mergeCell ref="F8517:F8518"/>
    <mergeCell ref="B8374:B8375"/>
    <mergeCell ref="C8374:C8375"/>
    <mergeCell ref="D8374:D8375"/>
    <mergeCell ref="E8374:E8375"/>
    <mergeCell ref="F8374:F8375"/>
    <mergeCell ref="B8398:B8399"/>
    <mergeCell ref="C8398:C8399"/>
    <mergeCell ref="D8398:D8399"/>
    <mergeCell ref="E8398:E8399"/>
    <mergeCell ref="F8398:F8399"/>
    <mergeCell ref="B8566:B8567"/>
    <mergeCell ref="C8566:C8567"/>
    <mergeCell ref="D8566:D8567"/>
    <mergeCell ref="E8566:E8567"/>
    <mergeCell ref="F8566:F8567"/>
    <mergeCell ref="B8591:B8592"/>
    <mergeCell ref="C8591:C8592"/>
    <mergeCell ref="D8591:D8592"/>
    <mergeCell ref="E8591:E8592"/>
    <mergeCell ref="F8591:F8592"/>
    <mergeCell ref="B8469:B8470"/>
    <mergeCell ref="C8469:C8470"/>
    <mergeCell ref="D8469:D8470"/>
    <mergeCell ref="E8469:E8470"/>
    <mergeCell ref="F8469:F8470"/>
    <mergeCell ref="B8422:B8423"/>
    <mergeCell ref="C8422:C8423"/>
    <mergeCell ref="D8422:D8423"/>
    <mergeCell ref="E8422:E8423"/>
    <mergeCell ref="F8422:F8423"/>
    <mergeCell ref="B8446:B8447"/>
    <mergeCell ref="C8446:C8447"/>
    <mergeCell ref="D8446:D8447"/>
    <mergeCell ref="E8446:E8447"/>
    <mergeCell ref="F8446:F8447"/>
    <mergeCell ref="B8541:B8542"/>
    <mergeCell ref="C8541:C8542"/>
    <mergeCell ref="D8541:D8542"/>
    <mergeCell ref="E8541:E8542"/>
    <mergeCell ref="F8541:F8542"/>
    <mergeCell ref="B8493:B8494"/>
    <mergeCell ref="C8493:C8494"/>
    <mergeCell ref="I8656:I8657"/>
    <mergeCell ref="J8656:J8657"/>
    <mergeCell ref="K8656:K8657"/>
    <mergeCell ref="L8656:L8657"/>
    <mergeCell ref="B8665:B8666"/>
    <mergeCell ref="C8665:C8666"/>
    <mergeCell ref="D8665:D8666"/>
    <mergeCell ref="E8665:E8666"/>
    <mergeCell ref="F8665:F8666"/>
    <mergeCell ref="B8616:B8617"/>
    <mergeCell ref="C8616:C8617"/>
    <mergeCell ref="D8616:D8617"/>
    <mergeCell ref="E8616:E8617"/>
    <mergeCell ref="F8616:F8617"/>
    <mergeCell ref="B8641:B8642"/>
    <mergeCell ref="C8641:C8642"/>
    <mergeCell ref="D8641:D8642"/>
    <mergeCell ref="E8641:E8642"/>
    <mergeCell ref="F8641:F8642"/>
    <mergeCell ref="B8738:B8739"/>
    <mergeCell ref="C8738:C8739"/>
    <mergeCell ref="D8738:D8739"/>
    <mergeCell ref="E8738:E8739"/>
    <mergeCell ref="F8738:F8739"/>
    <mergeCell ref="B8765:B8766"/>
    <mergeCell ref="C8765:C8766"/>
    <mergeCell ref="D8765:D8766"/>
    <mergeCell ref="E8765:E8766"/>
    <mergeCell ref="F8765:F8766"/>
    <mergeCell ref="B8689:B8690"/>
    <mergeCell ref="C8689:C8690"/>
    <mergeCell ref="D8689:D8690"/>
    <mergeCell ref="E8689:E8690"/>
    <mergeCell ref="F8689:F8690"/>
    <mergeCell ref="B8713:B8714"/>
    <mergeCell ref="C8713:C8714"/>
    <mergeCell ref="D8713:D8714"/>
    <mergeCell ref="E8713:E8714"/>
    <mergeCell ref="F8713:F8714"/>
    <mergeCell ref="B8832:B8833"/>
    <mergeCell ref="C8832:C8833"/>
    <mergeCell ref="D8832:D8833"/>
    <mergeCell ref="E8832:E8833"/>
    <mergeCell ref="F8832:F8833"/>
    <mergeCell ref="B8867:B8868"/>
    <mergeCell ref="C8867:C8868"/>
    <mergeCell ref="D8867:D8868"/>
    <mergeCell ref="E8867:E8868"/>
    <mergeCell ref="F8867:F8868"/>
    <mergeCell ref="B8787:B8788"/>
    <mergeCell ref="C8787:C8788"/>
    <mergeCell ref="D8787:D8788"/>
    <mergeCell ref="E8787:E8788"/>
    <mergeCell ref="F8787:F8788"/>
    <mergeCell ref="B8809:B8810"/>
    <mergeCell ref="C8809:C8810"/>
    <mergeCell ref="D8809:D8810"/>
    <mergeCell ref="E8809:E8810"/>
    <mergeCell ref="F8809:F8810"/>
    <mergeCell ref="B8947:B8948"/>
    <mergeCell ref="C8947:C8948"/>
    <mergeCell ref="D8947:D8948"/>
    <mergeCell ref="E8947:E8948"/>
    <mergeCell ref="F8947:F8948"/>
    <mergeCell ref="B8970:B8971"/>
    <mergeCell ref="C8970:C8971"/>
    <mergeCell ref="D8970:D8971"/>
    <mergeCell ref="E8970:E8971"/>
    <mergeCell ref="F8970:F8971"/>
    <mergeCell ref="B8897:B8898"/>
    <mergeCell ref="C8897:C8898"/>
    <mergeCell ref="D8897:D8898"/>
    <mergeCell ref="E8897:E8898"/>
    <mergeCell ref="F8897:F8898"/>
    <mergeCell ref="B8921:B8922"/>
    <mergeCell ref="C8921:C8922"/>
    <mergeCell ref="D8921:D8922"/>
    <mergeCell ref="E8921:E8922"/>
    <mergeCell ref="F8921:F8922"/>
    <mergeCell ref="B9047:B9048"/>
    <mergeCell ref="C9047:C9048"/>
    <mergeCell ref="D9047:D9048"/>
    <mergeCell ref="E9047:E9048"/>
    <mergeCell ref="F9047:F9048"/>
    <mergeCell ref="B9071:B9072"/>
    <mergeCell ref="C9071:C9072"/>
    <mergeCell ref="D9071:D9072"/>
    <mergeCell ref="E9071:E9072"/>
    <mergeCell ref="F9071:F9072"/>
    <mergeCell ref="B8996:B8997"/>
    <mergeCell ref="C8996:C8997"/>
    <mergeCell ref="D8996:D8997"/>
    <mergeCell ref="E8996:E8997"/>
    <mergeCell ref="F8996:F8997"/>
    <mergeCell ref="B9022:B9023"/>
    <mergeCell ref="C9022:C9023"/>
    <mergeCell ref="D9022:D9023"/>
    <mergeCell ref="E9022:E9023"/>
    <mergeCell ref="F9022:F9023"/>
    <mergeCell ref="B9148:B9149"/>
    <mergeCell ref="C9148:C9149"/>
    <mergeCell ref="D9148:D9149"/>
    <mergeCell ref="E9148:E9149"/>
    <mergeCell ref="F9148:F9149"/>
    <mergeCell ref="B9175:B9176"/>
    <mergeCell ref="C9175:C9176"/>
    <mergeCell ref="D9175:D9176"/>
    <mergeCell ref="E9175:E9176"/>
    <mergeCell ref="F9175:F9176"/>
    <mergeCell ref="B9097:B9098"/>
    <mergeCell ref="C9097:C9098"/>
    <mergeCell ref="D9097:D9098"/>
    <mergeCell ref="E9097:E9098"/>
    <mergeCell ref="F9097:F9098"/>
    <mergeCell ref="B9123:B9124"/>
    <mergeCell ref="C9123:C9124"/>
    <mergeCell ref="D9123:D9124"/>
    <mergeCell ref="E9123:E9124"/>
    <mergeCell ref="F9123:F9124"/>
    <mergeCell ref="B9253:B9254"/>
    <mergeCell ref="C9253:C9254"/>
    <mergeCell ref="D9253:D9254"/>
    <mergeCell ref="E9253:E9254"/>
    <mergeCell ref="F9253:F9254"/>
    <mergeCell ref="B9281:B9282"/>
    <mergeCell ref="C9281:C9282"/>
    <mergeCell ref="D9281:D9282"/>
    <mergeCell ref="E9281:E9282"/>
    <mergeCell ref="F9281:F9282"/>
    <mergeCell ref="B9201:B9202"/>
    <mergeCell ref="C9201:C9202"/>
    <mergeCell ref="D9201:D9202"/>
    <mergeCell ref="E9201:E9202"/>
    <mergeCell ref="F9201:F9202"/>
    <mergeCell ref="B9227:B9228"/>
    <mergeCell ref="C9227:C9228"/>
    <mergeCell ref="D9227:D9228"/>
    <mergeCell ref="E9227:E9228"/>
    <mergeCell ref="F9227:F9228"/>
    <mergeCell ref="B9389:B9390"/>
    <mergeCell ref="C9389:C9390"/>
    <mergeCell ref="D9389:D9390"/>
    <mergeCell ref="E9389:E9390"/>
    <mergeCell ref="F9389:F9390"/>
    <mergeCell ref="B9416:B9417"/>
    <mergeCell ref="C9416:C9417"/>
    <mergeCell ref="D9416:D9417"/>
    <mergeCell ref="E9416:E9417"/>
    <mergeCell ref="F9416:F9417"/>
    <mergeCell ref="B9362:B9363"/>
    <mergeCell ref="C9362:C9363"/>
    <mergeCell ref="D9362:D9363"/>
    <mergeCell ref="E9362:E9363"/>
    <mergeCell ref="F9362:F9363"/>
    <mergeCell ref="B9307:B9308"/>
    <mergeCell ref="C9307:C9308"/>
    <mergeCell ref="D9307:D9308"/>
    <mergeCell ref="E9307:E9308"/>
    <mergeCell ref="F9307:F9308"/>
    <mergeCell ref="B9337:B9338"/>
    <mergeCell ref="C9337:C9338"/>
    <mergeCell ref="D9337:D9338"/>
    <mergeCell ref="E9337:E9338"/>
    <mergeCell ref="F9337:F9338"/>
    <mergeCell ref="B9494:B9495"/>
    <mergeCell ref="C9494:C9495"/>
    <mergeCell ref="D9494:D9495"/>
    <mergeCell ref="E9494:E9495"/>
    <mergeCell ref="F9494:F9495"/>
    <mergeCell ref="B9522:B9523"/>
    <mergeCell ref="C9522:C9523"/>
    <mergeCell ref="D9522:D9523"/>
    <mergeCell ref="E9522:E9523"/>
    <mergeCell ref="F9522:F9523"/>
    <mergeCell ref="B9443:B9444"/>
    <mergeCell ref="C9443:C9444"/>
    <mergeCell ref="D9443:D9444"/>
    <mergeCell ref="E9443:E9444"/>
    <mergeCell ref="F9443:F9444"/>
    <mergeCell ref="B9469:B9470"/>
    <mergeCell ref="C9469:C9470"/>
    <mergeCell ref="D9469:D9470"/>
    <mergeCell ref="E9469:E9470"/>
    <mergeCell ref="F9469:F9470"/>
    <mergeCell ref="B9600:B9601"/>
    <mergeCell ref="C9600:C9601"/>
    <mergeCell ref="D9600:D9601"/>
    <mergeCell ref="E9600:E9601"/>
    <mergeCell ref="F9600:F9601"/>
    <mergeCell ref="B9627:B9628"/>
    <mergeCell ref="C9627:C9628"/>
    <mergeCell ref="D9627:D9628"/>
    <mergeCell ref="E9627:E9628"/>
    <mergeCell ref="F9627:F9628"/>
    <mergeCell ref="B9547:B9548"/>
    <mergeCell ref="C9547:C9548"/>
    <mergeCell ref="D9547:D9548"/>
    <mergeCell ref="E9547:E9548"/>
    <mergeCell ref="F9547:F9548"/>
    <mergeCell ref="B9575:B9576"/>
    <mergeCell ref="C9575:C9576"/>
    <mergeCell ref="D9575:D9576"/>
    <mergeCell ref="E9575:E9576"/>
    <mergeCell ref="F9575:F9576"/>
    <mergeCell ref="B9709:B9710"/>
    <mergeCell ref="C9709:C9710"/>
    <mergeCell ref="D9709:D9710"/>
    <mergeCell ref="E9709:E9710"/>
    <mergeCell ref="F9709:F9710"/>
    <mergeCell ref="B9763:B9764"/>
    <mergeCell ref="C9763:C9764"/>
    <mergeCell ref="D9763:D9764"/>
    <mergeCell ref="E9763:E9764"/>
    <mergeCell ref="F9763:F9764"/>
    <mergeCell ref="B9651:B9652"/>
    <mergeCell ref="C9651:C9652"/>
    <mergeCell ref="D9651:D9652"/>
    <mergeCell ref="E9651:E9652"/>
    <mergeCell ref="F9651:F9652"/>
    <mergeCell ref="B9680:B9681"/>
    <mergeCell ref="C9680:C9681"/>
    <mergeCell ref="D9680:D9681"/>
    <mergeCell ref="E9680:E9681"/>
    <mergeCell ref="F9680:F9681"/>
    <mergeCell ref="B9838:B9839"/>
    <mergeCell ref="C9838:C9839"/>
    <mergeCell ref="D9838:D9839"/>
    <mergeCell ref="E9838:E9839"/>
    <mergeCell ref="F9838:F9839"/>
    <mergeCell ref="B9863:B9864"/>
    <mergeCell ref="C9863:C9864"/>
    <mergeCell ref="D9863:D9864"/>
    <mergeCell ref="E9863:E9864"/>
    <mergeCell ref="F9863:F9864"/>
    <mergeCell ref="B9788:B9789"/>
    <mergeCell ref="C9788:C9789"/>
    <mergeCell ref="D9788:D9789"/>
    <mergeCell ref="E9788:E9789"/>
    <mergeCell ref="F9788:F9789"/>
    <mergeCell ref="B9738:B9739"/>
    <mergeCell ref="C9738:C9739"/>
    <mergeCell ref="D9738:D9739"/>
    <mergeCell ref="E9738:E9739"/>
    <mergeCell ref="F9738:F9739"/>
    <mergeCell ref="B9813:B9814"/>
    <mergeCell ref="C9813:C9814"/>
    <mergeCell ref="D9813:D9814"/>
    <mergeCell ref="E9813:E9814"/>
    <mergeCell ref="F9813:F9814"/>
    <mergeCell ref="B9989:B9990"/>
    <mergeCell ref="C9989:C9990"/>
    <mergeCell ref="D9989:D9990"/>
    <mergeCell ref="E9989:E9990"/>
    <mergeCell ref="F9989:F9990"/>
    <mergeCell ref="B9938:B9939"/>
    <mergeCell ref="C9938:C9939"/>
    <mergeCell ref="D9938:D9939"/>
    <mergeCell ref="E9938:E9939"/>
    <mergeCell ref="F9938:F9939"/>
    <mergeCell ref="B9963:B9964"/>
    <mergeCell ref="C9963:C9964"/>
    <mergeCell ref="D9963:D9964"/>
    <mergeCell ref="E9963:E9964"/>
    <mergeCell ref="F9963:F9964"/>
    <mergeCell ref="B9888:B9889"/>
    <mergeCell ref="C9888:C9889"/>
    <mergeCell ref="D9888:D9889"/>
    <mergeCell ref="E9888:E9889"/>
    <mergeCell ref="F9888:F9889"/>
    <mergeCell ref="B9913:B9914"/>
    <mergeCell ref="C9913:C9914"/>
    <mergeCell ref="D9913:D9914"/>
    <mergeCell ref="E9913:E9914"/>
    <mergeCell ref="F9913:F9914"/>
    <mergeCell ref="B10103:B10104"/>
    <mergeCell ref="C10103:C10104"/>
    <mergeCell ref="D10103:D10104"/>
    <mergeCell ref="E10103:E10104"/>
    <mergeCell ref="F10103:F10104"/>
    <mergeCell ref="B10070:B10071"/>
    <mergeCell ref="C10070:C10071"/>
    <mergeCell ref="D10070:D10071"/>
    <mergeCell ref="E10070:E10071"/>
    <mergeCell ref="F10070:F10071"/>
    <mergeCell ref="B10014:B10015"/>
    <mergeCell ref="C10014:C10015"/>
    <mergeCell ref="D10014:D10015"/>
    <mergeCell ref="E10014:E10015"/>
    <mergeCell ref="F10014:F10015"/>
    <mergeCell ref="B10041:B10042"/>
    <mergeCell ref="C10041:C10042"/>
    <mergeCell ref="D10041:D10042"/>
    <mergeCell ref="E10041:E10042"/>
    <mergeCell ref="F10041:F10042"/>
    <mergeCell ref="B10185:B10186"/>
    <mergeCell ref="C10185:C10186"/>
    <mergeCell ref="D10185:D10186"/>
    <mergeCell ref="E10185:E10186"/>
    <mergeCell ref="F10185:F10186"/>
    <mergeCell ref="B10211:B10212"/>
    <mergeCell ref="C10211:C10212"/>
    <mergeCell ref="D10211:D10212"/>
    <mergeCell ref="E10211:E10212"/>
    <mergeCell ref="F10211:F10212"/>
    <mergeCell ref="B10134:B10135"/>
    <mergeCell ref="C10134:C10135"/>
    <mergeCell ref="D10134:D10135"/>
    <mergeCell ref="E10134:E10135"/>
    <mergeCell ref="F10134:F10135"/>
    <mergeCell ref="B10159:B10160"/>
    <mergeCell ref="C10159:C10160"/>
    <mergeCell ref="D10159:D10160"/>
    <mergeCell ref="E10159:E10160"/>
    <mergeCell ref="F10159:F10160"/>
    <mergeCell ref="D10291:D10292"/>
    <mergeCell ref="E10291:E10292"/>
    <mergeCell ref="F10291:F10292"/>
    <mergeCell ref="B10317:B10318"/>
    <mergeCell ref="C10317:C10318"/>
    <mergeCell ref="D10317:D10318"/>
    <mergeCell ref="E10317:E10318"/>
    <mergeCell ref="F10317:F10318"/>
    <mergeCell ref="B10236:B10237"/>
    <mergeCell ref="C10236:C10237"/>
    <mergeCell ref="D10236:D10237"/>
    <mergeCell ref="E10236:E10237"/>
    <mergeCell ref="F10236:F10237"/>
    <mergeCell ref="B10264:B10265"/>
    <mergeCell ref="C10264:C10265"/>
    <mergeCell ref="D10264:D10265"/>
    <mergeCell ref="E10264:E10265"/>
    <mergeCell ref="F10264:F10265"/>
    <mergeCell ref="B10447:B10448"/>
    <mergeCell ref="C10447:C10448"/>
    <mergeCell ref="D10447:D10448"/>
    <mergeCell ref="E10447:E10448"/>
    <mergeCell ref="F10447:F10448"/>
    <mergeCell ref="F14:G14"/>
    <mergeCell ref="F23:G23"/>
    <mergeCell ref="F25:G25"/>
    <mergeCell ref="F52:G52"/>
    <mergeCell ref="F42:G42"/>
    <mergeCell ref="B10395:B10396"/>
    <mergeCell ref="C10395:C10396"/>
    <mergeCell ref="D10395:D10396"/>
    <mergeCell ref="E10395:E10396"/>
    <mergeCell ref="F10395:F10396"/>
    <mergeCell ref="B10421:B10422"/>
    <mergeCell ref="C10421:C10422"/>
    <mergeCell ref="D10421:D10422"/>
    <mergeCell ref="E10421:E10422"/>
    <mergeCell ref="F10421:F10422"/>
    <mergeCell ref="B10343:B10344"/>
    <mergeCell ref="C10343:C10344"/>
    <mergeCell ref="D10343:D10344"/>
    <mergeCell ref="E10343:E10344"/>
    <mergeCell ref="F10343:F10344"/>
    <mergeCell ref="B10369:B10370"/>
    <mergeCell ref="C10369:C10370"/>
    <mergeCell ref="D10369:D10370"/>
    <mergeCell ref="E10369:E10370"/>
    <mergeCell ref="F10369:F10370"/>
    <mergeCell ref="B10291:B10292"/>
    <mergeCell ref="C10291:C10292"/>
    <mergeCell ref="M7:M8"/>
    <mergeCell ref="M34:M35"/>
    <mergeCell ref="M63:M64"/>
    <mergeCell ref="M92:M93"/>
    <mergeCell ref="M117:M118"/>
    <mergeCell ref="M154:M155"/>
    <mergeCell ref="M180:M181"/>
    <mergeCell ref="M211:M212"/>
    <mergeCell ref="M242:M243"/>
    <mergeCell ref="M264:M265"/>
    <mergeCell ref="M288:M289"/>
    <mergeCell ref="M312:M313"/>
    <mergeCell ref="M336:M337"/>
    <mergeCell ref="M358:M359"/>
    <mergeCell ref="M379:M380"/>
    <mergeCell ref="M406:M407"/>
    <mergeCell ref="M427:M428"/>
    <mergeCell ref="M449:M450"/>
    <mergeCell ref="M471:M472"/>
    <mergeCell ref="M492:M493"/>
    <mergeCell ref="M513:M514"/>
    <mergeCell ref="M534:M535"/>
    <mergeCell ref="M556:M557"/>
    <mergeCell ref="M578:M579"/>
    <mergeCell ref="M600:M601"/>
    <mergeCell ref="M621:M622"/>
    <mergeCell ref="M642:M643"/>
    <mergeCell ref="M664:M665"/>
    <mergeCell ref="M686:M687"/>
    <mergeCell ref="M708:M709"/>
    <mergeCell ref="M730:M731"/>
    <mergeCell ref="M755:M756"/>
    <mergeCell ref="M781:M782"/>
    <mergeCell ref="M806:M807"/>
    <mergeCell ref="M832:M833"/>
    <mergeCell ref="M859:M860"/>
    <mergeCell ref="M884:M885"/>
    <mergeCell ref="M912:M913"/>
    <mergeCell ref="M940:M941"/>
    <mergeCell ref="M963:M964"/>
    <mergeCell ref="M986:M987"/>
    <mergeCell ref="M1008:M1009"/>
    <mergeCell ref="M1041:M1042"/>
    <mergeCell ref="M1076:M1077"/>
    <mergeCell ref="M1103:M1104"/>
    <mergeCell ref="M1129:M1130"/>
    <mergeCell ref="M1158:M1159"/>
    <mergeCell ref="M1184:M1185"/>
    <mergeCell ref="M1211:M1212"/>
    <mergeCell ref="M1238:M1239"/>
    <mergeCell ref="M1266:M1267"/>
    <mergeCell ref="M1293:M1294"/>
    <mergeCell ref="M1320:M1321"/>
    <mergeCell ref="M1347:M1348"/>
    <mergeCell ref="M1374:M1375"/>
    <mergeCell ref="M1400:M1401"/>
    <mergeCell ref="M1427:M1428"/>
    <mergeCell ref="M1452:M1453"/>
    <mergeCell ref="M1477:M1478"/>
    <mergeCell ref="M1502:M1503"/>
    <mergeCell ref="M1528:M1529"/>
    <mergeCell ref="M1554:M1555"/>
    <mergeCell ref="M1583:M1584"/>
    <mergeCell ref="M1612:M1613"/>
    <mergeCell ref="M1642:M1643"/>
    <mergeCell ref="M1672:M1673"/>
    <mergeCell ref="M1702:M1703"/>
    <mergeCell ref="M1734:M1735"/>
    <mergeCell ref="M1760:M1761"/>
    <mergeCell ref="M1793:M1794"/>
    <mergeCell ref="M1825:M1826"/>
    <mergeCell ref="M1849:M1850"/>
    <mergeCell ref="M1869:M1870"/>
    <mergeCell ref="M1910:M1911"/>
    <mergeCell ref="M1951:M1952"/>
    <mergeCell ref="M1992:M1993"/>
    <mergeCell ref="M2034:M2035"/>
    <mergeCell ref="M2075:M2076"/>
    <mergeCell ref="M2117:M2118"/>
    <mergeCell ref="M2160:M2161"/>
    <mergeCell ref="M2187:M2188"/>
    <mergeCell ref="M2226:M2227"/>
    <mergeCell ref="M2252:M2253"/>
    <mergeCell ref="M2279:M2280"/>
    <mergeCell ref="M2306:M2307"/>
    <mergeCell ref="M2332:M2333"/>
    <mergeCell ref="M2356:M2357"/>
    <mergeCell ref="M2381:M2382"/>
    <mergeCell ref="M2406:M2407"/>
    <mergeCell ref="M2435:M2436"/>
    <mergeCell ref="M2460:M2461"/>
    <mergeCell ref="M2486:M2487"/>
    <mergeCell ref="M2510:M2511"/>
    <mergeCell ref="M2535:M2536"/>
    <mergeCell ref="M2561:M2562"/>
    <mergeCell ref="M2588:M2589"/>
    <mergeCell ref="M2614:M2615"/>
    <mergeCell ref="M2639:M2640"/>
    <mergeCell ref="M2664:M2665"/>
    <mergeCell ref="M2689:M2690"/>
    <mergeCell ref="M2717:M2718"/>
    <mergeCell ref="M2744:M2745"/>
    <mergeCell ref="M2772:M2773"/>
    <mergeCell ref="M2802:M2803"/>
    <mergeCell ref="M2828:M2829"/>
    <mergeCell ref="M2854:M2855"/>
    <mergeCell ref="M2880:M2881"/>
    <mergeCell ref="M2906:M2907"/>
    <mergeCell ref="M2932:M2933"/>
    <mergeCell ref="M2959:M2960"/>
    <mergeCell ref="M2985:M2986"/>
    <mergeCell ref="M3011:M3012"/>
    <mergeCell ref="M3037:M3038"/>
    <mergeCell ref="M3062:M3063"/>
    <mergeCell ref="M3088:M3089"/>
    <mergeCell ref="M3114:M3115"/>
    <mergeCell ref="M3141:M3142"/>
    <mergeCell ref="M3168:M3169"/>
    <mergeCell ref="M3195:M3196"/>
    <mergeCell ref="M3222:M3223"/>
    <mergeCell ref="M3249:M3250"/>
    <mergeCell ref="M3275:M3276"/>
    <mergeCell ref="M3302:M3303"/>
    <mergeCell ref="M3331:M3332"/>
    <mergeCell ref="M3363:M3364"/>
    <mergeCell ref="M3389:M3390"/>
    <mergeCell ref="M3415:M3416"/>
    <mergeCell ref="M3444:M3445"/>
    <mergeCell ref="M3469:M3470"/>
    <mergeCell ref="M3493:M3494"/>
    <mergeCell ref="M3518:M3519"/>
    <mergeCell ref="M3543:M3544"/>
    <mergeCell ref="M3568:M3569"/>
    <mergeCell ref="M3593:M3594"/>
    <mergeCell ref="M3618:M3619"/>
    <mergeCell ref="M3643:M3644"/>
    <mergeCell ref="M3669:M3670"/>
    <mergeCell ref="M3695:M3696"/>
    <mergeCell ref="M3721:M3722"/>
    <mergeCell ref="M3747:M3748"/>
    <mergeCell ref="M3772:M3773"/>
    <mergeCell ref="M3797:M3798"/>
    <mergeCell ref="M3822:M3823"/>
    <mergeCell ref="M3847:M3848"/>
    <mergeCell ref="M3872:M3873"/>
    <mergeCell ref="M3898:M3899"/>
    <mergeCell ref="M3923:M3924"/>
    <mergeCell ref="M3948:M3949"/>
    <mergeCell ref="M3973:M3974"/>
    <mergeCell ref="M3997:M3998"/>
    <mergeCell ref="M4022:M4023"/>
    <mergeCell ref="M4046:M4047"/>
    <mergeCell ref="M4069:M4070"/>
    <mergeCell ref="M4092:M4093"/>
    <mergeCell ref="M4118:M4119"/>
    <mergeCell ref="M4144:M4145"/>
    <mergeCell ref="M4169:M4170"/>
    <mergeCell ref="M4195:M4196"/>
    <mergeCell ref="M4221:M4222"/>
    <mergeCell ref="M4248:M4249"/>
    <mergeCell ref="M4275:M4276"/>
    <mergeCell ref="M4302:M4303"/>
    <mergeCell ref="M4329:M4330"/>
    <mergeCell ref="M4356:M4357"/>
    <mergeCell ref="M4383:M4384"/>
    <mergeCell ref="M4410:M4411"/>
    <mergeCell ref="M4437:M4438"/>
    <mergeCell ref="M4464:M4465"/>
    <mergeCell ref="M4490:M4491"/>
    <mergeCell ref="M4516:M4517"/>
    <mergeCell ref="M4542:M4543"/>
    <mergeCell ref="M4569:M4570"/>
    <mergeCell ref="M4596:M4597"/>
    <mergeCell ref="M4623:M4624"/>
    <mergeCell ref="M4650:M4651"/>
    <mergeCell ref="M4677:M4678"/>
    <mergeCell ref="M4704:M4705"/>
    <mergeCell ref="M4731:M4732"/>
    <mergeCell ref="M4758:M4759"/>
    <mergeCell ref="M4785:M4786"/>
    <mergeCell ref="M4812:M4813"/>
    <mergeCell ref="M4839:M4840"/>
    <mergeCell ref="M4866:M4867"/>
    <mergeCell ref="M4891:M4892"/>
    <mergeCell ref="M4917:M4918"/>
    <mergeCell ref="M4943:M4944"/>
    <mergeCell ref="M4971:M4972"/>
    <mergeCell ref="M5005:M5006"/>
    <mergeCell ref="M5038:M5039"/>
    <mergeCell ref="M5066:M5067"/>
    <mergeCell ref="M5102:M5103"/>
    <mergeCell ref="M5134:M5135"/>
    <mergeCell ref="M5158:M5159"/>
    <mergeCell ref="M5185:M5186"/>
    <mergeCell ref="M5212:M5213"/>
    <mergeCell ref="M5236:M5237"/>
    <mergeCell ref="M5261:M5262"/>
    <mergeCell ref="M5286:M5287"/>
    <mergeCell ref="M5313:M5314"/>
    <mergeCell ref="M5340:M5341"/>
    <mergeCell ref="M5367:M5368"/>
    <mergeCell ref="M5394:M5395"/>
    <mergeCell ref="M5421:M5422"/>
    <mergeCell ref="M5448:M5449"/>
    <mergeCell ref="M5475:M5476"/>
    <mergeCell ref="M5503:M5504"/>
    <mergeCell ref="M5530:M5531"/>
    <mergeCell ref="M5554:M5555"/>
    <mergeCell ref="M5579:M5580"/>
    <mergeCell ref="M5605:M5606"/>
    <mergeCell ref="M5629:M5630"/>
    <mergeCell ref="M5654:M5655"/>
    <mergeCell ref="M5679:M5680"/>
    <mergeCell ref="M5703:M5704"/>
    <mergeCell ref="M5729:M5730"/>
    <mergeCell ref="M5755:M5756"/>
    <mergeCell ref="M5780:M5781"/>
    <mergeCell ref="M5805:M5806"/>
    <mergeCell ref="M5830:M5831"/>
    <mergeCell ref="M5855:M5856"/>
    <mergeCell ref="M5883:M5884"/>
    <mergeCell ref="M5914:M5915"/>
    <mergeCell ref="M5940:M5941"/>
    <mergeCell ref="M5967:M5968"/>
    <mergeCell ref="M5991:M5992"/>
    <mergeCell ref="M6015:M6016"/>
    <mergeCell ref="M6039:M6040"/>
    <mergeCell ref="M6064:M6065"/>
    <mergeCell ref="M6090:M6091"/>
    <mergeCell ref="M6116:M6117"/>
    <mergeCell ref="M6141:M6142"/>
    <mergeCell ref="M6166:M6167"/>
    <mergeCell ref="M6191:M6192"/>
    <mergeCell ref="M6216:M6217"/>
    <mergeCell ref="M6241:M6242"/>
    <mergeCell ref="M6266:M6267"/>
    <mergeCell ref="M6293:M6294"/>
    <mergeCell ref="M6319:M6320"/>
    <mergeCell ref="M6344:M6345"/>
    <mergeCell ref="M6369:M6370"/>
    <mergeCell ref="M6396:M6397"/>
    <mergeCell ref="M6421:M6422"/>
    <mergeCell ref="M6445:M6446"/>
    <mergeCell ref="M6469:M6470"/>
    <mergeCell ref="M6493:M6494"/>
    <mergeCell ref="M6518:M6519"/>
    <mergeCell ref="M6544:M6545"/>
    <mergeCell ref="M6570:M6571"/>
    <mergeCell ref="M6595:M6596"/>
    <mergeCell ref="M6620:M6621"/>
    <mergeCell ref="M6646:M6647"/>
    <mergeCell ref="M6671:M6672"/>
    <mergeCell ref="M6697:M6698"/>
    <mergeCell ref="M6725:M6726"/>
    <mergeCell ref="M6752:M6753"/>
    <mergeCell ref="M6779:M6780"/>
    <mergeCell ref="M6803:M6804"/>
    <mergeCell ref="M6830:M6831"/>
    <mergeCell ref="M6859:M6860"/>
    <mergeCell ref="M6899:M6900"/>
    <mergeCell ref="M6937:M6938"/>
    <mergeCell ref="M6962:M6963"/>
    <mergeCell ref="M6988:M6989"/>
    <mergeCell ref="M7014:M7015"/>
    <mergeCell ref="M7039:M7040"/>
    <mergeCell ref="M7064:M7065"/>
    <mergeCell ref="M7090:M7091"/>
    <mergeCell ref="M7123:M7124"/>
    <mergeCell ref="M7148:M7149"/>
    <mergeCell ref="M7173:M7174"/>
    <mergeCell ref="M7199:M7200"/>
    <mergeCell ref="M7231:M7232"/>
    <mergeCell ref="M7256:M7257"/>
    <mergeCell ref="M7282:M7283"/>
    <mergeCell ref="M7308:M7309"/>
    <mergeCell ref="M7335:M7336"/>
    <mergeCell ref="M7362:M7363"/>
    <mergeCell ref="M7388:M7389"/>
    <mergeCell ref="M7413:M7414"/>
    <mergeCell ref="M7440:M7441"/>
    <mergeCell ref="M7467:M7468"/>
    <mergeCell ref="M7494:M7495"/>
    <mergeCell ref="M7518:M7519"/>
    <mergeCell ref="M7542:M7543"/>
    <mergeCell ref="M7566:M7567"/>
    <mergeCell ref="M7592:M7593"/>
    <mergeCell ref="M7620:M7621"/>
    <mergeCell ref="M7644:M7645"/>
    <mergeCell ref="M7668:M7669"/>
    <mergeCell ref="M7694:M7695"/>
    <mergeCell ref="M7719:M7720"/>
    <mergeCell ref="M7743:M7744"/>
    <mergeCell ref="M7768:M7769"/>
    <mergeCell ref="M7795:M7796"/>
    <mergeCell ref="M7821:M7822"/>
    <mergeCell ref="M7845:M7846"/>
    <mergeCell ref="M7871:M7872"/>
    <mergeCell ref="M7896:M7897"/>
    <mergeCell ref="M7918:M7919"/>
    <mergeCell ref="M7940:M7941"/>
    <mergeCell ref="M7962:M7963"/>
    <mergeCell ref="M7984:M7985"/>
    <mergeCell ref="M8006:M8007"/>
    <mergeCell ref="M8028:M8029"/>
    <mergeCell ref="M8050:M8051"/>
    <mergeCell ref="M8072:M8073"/>
    <mergeCell ref="M8095:M8096"/>
    <mergeCell ref="M8117:M8118"/>
    <mergeCell ref="M8139:M8140"/>
    <mergeCell ref="M8161:M8162"/>
    <mergeCell ref="M8183:M8184"/>
    <mergeCell ref="M8205:M8206"/>
    <mergeCell ref="M8230:M8231"/>
    <mergeCell ref="M8254:M8255"/>
    <mergeCell ref="M8278:M8279"/>
    <mergeCell ref="M8302:M8303"/>
    <mergeCell ref="M8326:M8327"/>
    <mergeCell ref="M8350:M8351"/>
    <mergeCell ref="M8374:M8375"/>
    <mergeCell ref="M8398:M8399"/>
    <mergeCell ref="M8422:M8423"/>
    <mergeCell ref="M8446:M8447"/>
    <mergeCell ref="M8469:M8470"/>
    <mergeCell ref="M8493:M8494"/>
    <mergeCell ref="M8517:M8518"/>
    <mergeCell ref="M8541:M8542"/>
    <mergeCell ref="M8566:M8567"/>
    <mergeCell ref="M8591:M8592"/>
    <mergeCell ref="M8616:M8617"/>
    <mergeCell ref="M8641:M8642"/>
    <mergeCell ref="M8665:M8666"/>
    <mergeCell ref="M8689:M8690"/>
    <mergeCell ref="M8713:M8714"/>
    <mergeCell ref="M8738:M8739"/>
    <mergeCell ref="M8765:M8766"/>
    <mergeCell ref="M8787:M8788"/>
    <mergeCell ref="M8809:M8810"/>
    <mergeCell ref="M8832:M8833"/>
    <mergeCell ref="M8867:M8868"/>
    <mergeCell ref="M8897:M8898"/>
    <mergeCell ref="M9522:M9523"/>
    <mergeCell ref="M9547:M9548"/>
    <mergeCell ref="M9575:M9576"/>
    <mergeCell ref="M9600:M9601"/>
    <mergeCell ref="M9627:M9628"/>
    <mergeCell ref="M9651:M9652"/>
    <mergeCell ref="M9680:M9681"/>
    <mergeCell ref="M9709:M9710"/>
    <mergeCell ref="M9738:M9739"/>
    <mergeCell ref="M9763:M9764"/>
    <mergeCell ref="M9788:M9789"/>
    <mergeCell ref="M8921:M8922"/>
    <mergeCell ref="M8947:M8948"/>
    <mergeCell ref="M8970:M8971"/>
    <mergeCell ref="M8996:M8997"/>
    <mergeCell ref="M9022:M9023"/>
    <mergeCell ref="M9047:M9048"/>
    <mergeCell ref="M9071:M9072"/>
    <mergeCell ref="M9097:M9098"/>
    <mergeCell ref="M9123:M9124"/>
    <mergeCell ref="M9148:M9149"/>
    <mergeCell ref="M9175:M9176"/>
    <mergeCell ref="M9201:M9202"/>
    <mergeCell ref="M9227:M9228"/>
    <mergeCell ref="M9253:M9254"/>
    <mergeCell ref="M9281:M9282"/>
    <mergeCell ref="M9307:M9308"/>
    <mergeCell ref="M9337:M9338"/>
    <mergeCell ref="J4:K4"/>
    <mergeCell ref="M10264:M10265"/>
    <mergeCell ref="M10291:M10292"/>
    <mergeCell ref="M10317:M10318"/>
    <mergeCell ref="M10343:M10344"/>
    <mergeCell ref="M10369:M10370"/>
    <mergeCell ref="M10395:M10396"/>
    <mergeCell ref="M10421:M10422"/>
    <mergeCell ref="M10447:M10448"/>
    <mergeCell ref="M9813:M9814"/>
    <mergeCell ref="M9838:M9839"/>
    <mergeCell ref="M9863:M9864"/>
    <mergeCell ref="M9888:M9889"/>
    <mergeCell ref="M9913:M9914"/>
    <mergeCell ref="M9938:M9939"/>
    <mergeCell ref="M9963:M9964"/>
    <mergeCell ref="M9989:M9990"/>
    <mergeCell ref="M10014:M10015"/>
    <mergeCell ref="M10041:M10042"/>
    <mergeCell ref="M10070:M10071"/>
    <mergeCell ref="M10103:M10104"/>
    <mergeCell ref="M10134:M10135"/>
    <mergeCell ref="M10159:M10160"/>
    <mergeCell ref="M10185:M10186"/>
    <mergeCell ref="M10211:M10212"/>
    <mergeCell ref="M10236:M10237"/>
    <mergeCell ref="M9362:M9363"/>
    <mergeCell ref="M9389:M9390"/>
    <mergeCell ref="M9416:M9417"/>
    <mergeCell ref="M9443:M9444"/>
    <mergeCell ref="M9469:M9470"/>
    <mergeCell ref="M9494:M9495"/>
  </mergeCells>
  <pageMargins left="0.25" right="0.25" top="0.75" bottom="0.75" header="0.3" footer="0.3"/>
  <pageSetup orientation="portrait" r:id="rId1"/>
  <ignoredErrors>
    <ignoredError sqref="H161:H162 H215 H246:H248 H316:H318 H321:H324 H330:H331 H362 H421:H422 H431:H435 H453 H475:H478 H496:H498 H538 H550 H561:H562 H583:H584 H604:H606 H626:H627 H647:H648 H734:H736 H437:H438 H440:H443 H762:H763 H888 H945:H946 H1080 H1797 H1843 H2256 H3826 H3851 H4404 H5869 H9842 G9867:H9870 G9892:H9895" evalError="1"/>
    <ignoredError sqref="H52 G75 G767 H1055 G1809 H1813 H1837 H1857 H5926 H6683 G6913 G7348 G7480 H9506 H9613 H9663 H9692 H9721 G10426" formula="1"/>
    <ignoredError sqref="G1438 G185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D7109-A43C-47FD-9C80-EBCCD3F516B6}">
  <sheetPr>
    <tabColor theme="4"/>
  </sheetPr>
  <dimension ref="A1:G29"/>
  <sheetViews>
    <sheetView showGridLines="0" zoomScaleNormal="100" workbookViewId="0">
      <selection sqref="A1:G1"/>
    </sheetView>
  </sheetViews>
  <sheetFormatPr defaultRowHeight="15" x14ac:dyDescent="0.25"/>
  <cols>
    <col min="1" max="1" width="7.140625" customWidth="1"/>
    <col min="2" max="6" width="14.42578125" customWidth="1"/>
    <col min="7" max="7" width="21.85546875" customWidth="1"/>
  </cols>
  <sheetData>
    <row r="1" spans="1:7" ht="18.75" x14ac:dyDescent="0.3">
      <c r="A1" s="597" t="s">
        <v>1775</v>
      </c>
      <c r="B1" s="597"/>
      <c r="C1" s="597"/>
      <c r="D1" s="597"/>
      <c r="E1" s="597"/>
      <c r="F1" s="597"/>
      <c r="G1" s="597"/>
    </row>
    <row r="2" spans="1:7" ht="18.75" x14ac:dyDescent="0.3">
      <c r="A2" s="597" t="s">
        <v>1776</v>
      </c>
      <c r="B2" s="597"/>
      <c r="C2" s="597"/>
      <c r="D2" s="597"/>
      <c r="E2" s="597"/>
      <c r="F2" s="597"/>
      <c r="G2" s="597"/>
    </row>
    <row r="3" spans="1:7" ht="15.75" x14ac:dyDescent="0.25">
      <c r="A3" s="598" t="s">
        <v>1777</v>
      </c>
      <c r="B3" s="598"/>
      <c r="C3" s="598"/>
      <c r="D3" s="598"/>
      <c r="E3" s="598"/>
      <c r="F3" s="598"/>
      <c r="G3" s="598"/>
    </row>
    <row r="4" spans="1:7" ht="15.75" x14ac:dyDescent="0.25">
      <c r="A4" s="535"/>
      <c r="B4" s="535"/>
      <c r="G4" s="535"/>
    </row>
    <row r="5" spans="1:7" ht="15.75" x14ac:dyDescent="0.25">
      <c r="A5" s="536" t="s">
        <v>1778</v>
      </c>
      <c r="B5" s="535"/>
      <c r="C5" t="s">
        <v>1780</v>
      </c>
      <c r="G5" s="535"/>
    </row>
    <row r="6" spans="1:7" ht="15.75" x14ac:dyDescent="0.25">
      <c r="A6" s="536" t="s">
        <v>1779</v>
      </c>
      <c r="B6" s="535"/>
      <c r="C6" t="s">
        <v>1781</v>
      </c>
      <c r="G6" s="535"/>
    </row>
    <row r="8" spans="1:7" s="2" customFormat="1" ht="30" customHeight="1" thickBot="1" x14ac:dyDescent="0.3">
      <c r="A8" s="543" t="s">
        <v>1730</v>
      </c>
      <c r="B8" s="599" t="s">
        <v>1731</v>
      </c>
      <c r="C8" s="599"/>
      <c r="D8" s="599"/>
      <c r="E8" s="599"/>
      <c r="F8" s="599"/>
      <c r="G8" s="544" t="s">
        <v>1735</v>
      </c>
    </row>
    <row r="9" spans="1:7" s="2" customFormat="1" ht="20.25" customHeight="1" thickTop="1" x14ac:dyDescent="0.25">
      <c r="A9" s="533" t="str">
        <f>RAB!A7</f>
        <v>I.</v>
      </c>
      <c r="B9" s="537" t="str">
        <f>RAB!B7</f>
        <v>HARGA SATUAN PEKERJAAN PERSIAPAN</v>
      </c>
      <c r="C9" s="538"/>
      <c r="D9" s="538"/>
      <c r="E9" s="538"/>
      <c r="F9" s="539"/>
      <c r="G9" s="545">
        <f>RAB!F23</f>
        <v>0</v>
      </c>
    </row>
    <row r="10" spans="1:7" s="2" customFormat="1" ht="20.25" customHeight="1" x14ac:dyDescent="0.25">
      <c r="A10" s="534" t="str">
        <f>RAB!A25</f>
        <v>II.</v>
      </c>
      <c r="B10" s="540" t="str">
        <f>RAB!B25</f>
        <v>HARGA SATUAN PEKERJAAN TANAH</v>
      </c>
      <c r="C10" s="541"/>
      <c r="D10" s="541"/>
      <c r="E10" s="541"/>
      <c r="F10" s="542"/>
      <c r="G10" s="546">
        <f>RAB!F42</f>
        <v>0</v>
      </c>
    </row>
    <row r="11" spans="1:7" s="2" customFormat="1" ht="20.25" customHeight="1" x14ac:dyDescent="0.25">
      <c r="A11" s="534" t="str">
        <f>RAB!A44</f>
        <v>III.</v>
      </c>
      <c r="B11" s="540" t="str">
        <f>RAB!B44</f>
        <v>HARGA SATUAN PEKERJAAN PONDASI</v>
      </c>
      <c r="C11" s="541"/>
      <c r="D11" s="541"/>
      <c r="E11" s="541"/>
      <c r="F11" s="542"/>
      <c r="G11" s="546">
        <f>RAB!F55</f>
        <v>0</v>
      </c>
    </row>
    <row r="12" spans="1:7" s="2" customFormat="1" ht="20.25" customHeight="1" x14ac:dyDescent="0.25">
      <c r="A12" s="534" t="str">
        <f>RAB!A57</f>
        <v>IV.</v>
      </c>
      <c r="B12" s="540" t="str">
        <f>RAB!B57</f>
        <v>HARGA SATUAN PEKERJAAN BETON</v>
      </c>
      <c r="C12" s="541"/>
      <c r="D12" s="541"/>
      <c r="E12" s="541"/>
      <c r="F12" s="542"/>
      <c r="G12" s="546">
        <f>RAB!F172</f>
        <v>0</v>
      </c>
    </row>
    <row r="13" spans="1:7" s="2" customFormat="1" ht="20.25" customHeight="1" x14ac:dyDescent="0.25">
      <c r="A13" s="534" t="str">
        <f>RAB!A174</f>
        <v>V.</v>
      </c>
      <c r="B13" s="540" t="str">
        <f>RAB!B174</f>
        <v>HARGA SATUAN PEKERJAAN BESI DAN ALUMINIUM</v>
      </c>
      <c r="C13" s="541"/>
      <c r="D13" s="541"/>
      <c r="E13" s="541"/>
      <c r="F13" s="542"/>
      <c r="G13" s="546">
        <f>RAB!F203</f>
        <v>0</v>
      </c>
    </row>
    <row r="14" spans="1:7" s="2" customFormat="1" ht="20.25" customHeight="1" x14ac:dyDescent="0.25">
      <c r="A14" s="534" t="str">
        <f>RAB!A205</f>
        <v>VI.</v>
      </c>
      <c r="B14" s="540" t="str">
        <f>RAB!B205</f>
        <v>HARGA SATUAN PEKERJAAN PASANGAN DINDING</v>
      </c>
      <c r="C14" s="541"/>
      <c r="D14" s="541"/>
      <c r="E14" s="541"/>
      <c r="F14" s="542"/>
      <c r="G14" s="546">
        <f>RAB!F231</f>
        <v>0</v>
      </c>
    </row>
    <row r="15" spans="1:7" s="2" customFormat="1" ht="20.25" customHeight="1" x14ac:dyDescent="0.25">
      <c r="A15" s="534" t="str">
        <f>RAB!A233</f>
        <v>VII.</v>
      </c>
      <c r="B15" s="540" t="str">
        <f>RAB!B233</f>
        <v>HARGA SATUAN PEKERJAAN PLESTERAN</v>
      </c>
      <c r="C15" s="541"/>
      <c r="D15" s="541"/>
      <c r="E15" s="541"/>
      <c r="F15" s="542"/>
      <c r="G15" s="546">
        <f>RAB!F261</f>
        <v>0</v>
      </c>
    </row>
    <row r="16" spans="1:7" s="2" customFormat="1" ht="20.25" customHeight="1" x14ac:dyDescent="0.25">
      <c r="A16" s="534" t="str">
        <f>RAB!A263</f>
        <v>VIII.</v>
      </c>
      <c r="B16" s="540" t="str">
        <f>RAB!B263</f>
        <v>HARGA SATUAN PEKERJAAN PENUTUP LANTAI DAN PENUTUP DINDING</v>
      </c>
      <c r="C16" s="541"/>
      <c r="D16" s="541"/>
      <c r="E16" s="541"/>
      <c r="F16" s="542"/>
      <c r="G16" s="546">
        <f>RAB!F323</f>
        <v>0</v>
      </c>
    </row>
    <row r="17" spans="1:7" s="2" customFormat="1" ht="20.25" customHeight="1" x14ac:dyDescent="0.25">
      <c r="A17" s="534" t="str">
        <f>RAB!A325</f>
        <v>IX.</v>
      </c>
      <c r="B17" s="540" t="str">
        <f>RAB!B325</f>
        <v>SATUAN PEKERJAAN LANGIT-LANGIT (PLAFOND)</v>
      </c>
      <c r="C17" s="541"/>
      <c r="D17" s="541"/>
      <c r="E17" s="541"/>
      <c r="F17" s="542"/>
      <c r="G17" s="546">
        <f>RAB!F341</f>
        <v>0</v>
      </c>
    </row>
    <row r="18" spans="1:7" s="2" customFormat="1" ht="20.25" customHeight="1" x14ac:dyDescent="0.25">
      <c r="A18" s="534" t="str">
        <f>RAB!A343</f>
        <v>X.</v>
      </c>
      <c r="B18" s="540" t="str">
        <f>RAB!B343</f>
        <v>HARGA SATUAN PEKERJAAN PENUTUP ATAP</v>
      </c>
      <c r="C18" s="541"/>
      <c r="D18" s="541"/>
      <c r="E18" s="541"/>
      <c r="F18" s="542"/>
      <c r="G18" s="546">
        <f>RAB!F366</f>
        <v>0</v>
      </c>
    </row>
    <row r="19" spans="1:7" s="2" customFormat="1" ht="20.25" customHeight="1" x14ac:dyDescent="0.25">
      <c r="A19" s="534" t="str">
        <f>RAB!A368</f>
        <v>XI.</v>
      </c>
      <c r="B19" s="540" t="str">
        <f>RAB!B368</f>
        <v>HARGA SATUAN PEKERJAAN KAYU</v>
      </c>
      <c r="C19" s="541"/>
      <c r="D19" s="541"/>
      <c r="E19" s="541"/>
      <c r="F19" s="542"/>
      <c r="G19" s="546">
        <f>RAB!F442</f>
        <v>0</v>
      </c>
    </row>
    <row r="20" spans="1:7" s="2" customFormat="1" ht="20.25" customHeight="1" x14ac:dyDescent="0.25">
      <c r="A20" s="534" t="str">
        <f>RAB!A444</f>
        <v>XII.</v>
      </c>
      <c r="B20" s="540" t="str">
        <f>RAB!B444</f>
        <v>HARGA SATUAN PEKERJAAN KUNCI DAN KACA</v>
      </c>
      <c r="C20" s="541"/>
      <c r="D20" s="541"/>
      <c r="E20" s="541"/>
      <c r="F20" s="542"/>
      <c r="G20" s="546">
        <f>RAB!F467</f>
        <v>0</v>
      </c>
    </row>
    <row r="21" spans="1:7" s="2" customFormat="1" ht="20.25" customHeight="1" x14ac:dyDescent="0.25">
      <c r="A21" s="534" t="str">
        <f>RAB!A469</f>
        <v>XIII.</v>
      </c>
      <c r="B21" s="540" t="str">
        <f>RAB!B469</f>
        <v>HARGA SATUAN PEKERJAAN PENGECATAN</v>
      </c>
      <c r="C21" s="541"/>
      <c r="D21" s="541"/>
      <c r="E21" s="541"/>
      <c r="F21" s="542"/>
      <c r="G21" s="546">
        <f>RAB!F493</f>
        <v>0</v>
      </c>
    </row>
    <row r="22" spans="1:7" s="2" customFormat="1" ht="20.25" customHeight="1" x14ac:dyDescent="0.25">
      <c r="A22" s="534" t="str">
        <f>RAB!A495</f>
        <v>XIV.</v>
      </c>
      <c r="B22" s="540" t="str">
        <f>RAB!B495</f>
        <v>HARGA SATUAN PEKERJAAN SANITASI DALAM GEDUNG</v>
      </c>
      <c r="C22" s="541"/>
      <c r="D22" s="541"/>
      <c r="E22" s="541"/>
      <c r="F22" s="542"/>
      <c r="G22" s="546">
        <f>RAB!F523</f>
        <v>0</v>
      </c>
    </row>
    <row r="23" spans="1:7" s="2" customFormat="1" ht="20.25" customHeight="1" x14ac:dyDescent="0.25">
      <c r="A23" s="534" t="str">
        <f>RAB!A525</f>
        <v>XV.</v>
      </c>
      <c r="B23" s="540" t="str">
        <f>RAB!B525</f>
        <v>HARGA SATUAN PEKERJAAN LISTRIK</v>
      </c>
      <c r="C23" s="541"/>
      <c r="D23" s="541"/>
      <c r="E23" s="541"/>
      <c r="F23" s="542"/>
      <c r="G23" s="546">
        <f>RAB!F528</f>
        <v>0</v>
      </c>
    </row>
    <row r="24" spans="1:7" s="2" customFormat="1" ht="20.25" customHeight="1" x14ac:dyDescent="0.25">
      <c r="A24" s="534" t="str">
        <f>RAB!A530</f>
        <v>XVI.</v>
      </c>
      <c r="B24" s="540" t="str">
        <f>RAB!B530</f>
        <v>HARGA SATUAN PEKERJAAN LANDSCAPE</v>
      </c>
      <c r="C24" s="541"/>
      <c r="D24" s="541"/>
      <c r="E24" s="541"/>
      <c r="F24" s="542"/>
      <c r="G24" s="546">
        <f>RAB!F538</f>
        <v>0</v>
      </c>
    </row>
    <row r="25" spans="1:7" s="2" customFormat="1" ht="20.25" customHeight="1" x14ac:dyDescent="0.25">
      <c r="A25" s="534" t="str">
        <f>RAB!A540</f>
        <v>XVII.</v>
      </c>
      <c r="B25" s="540" t="str">
        <f>RAB!B540</f>
        <v>HARGA SATUAN PEKERJAAN ORNAMEN BATA DAN PARAS UTK PEK. STYLE BALI</v>
      </c>
      <c r="C25" s="541"/>
      <c r="D25" s="541"/>
      <c r="E25" s="541"/>
      <c r="F25" s="542"/>
      <c r="G25" s="546">
        <f>RAB!F549</f>
        <v>0</v>
      </c>
    </row>
    <row r="26" spans="1:7" s="2" customFormat="1" ht="22.5" customHeight="1" x14ac:dyDescent="0.25">
      <c r="A26" s="600" t="s">
        <v>1771</v>
      </c>
      <c r="B26" s="600"/>
      <c r="C26" s="600"/>
      <c r="D26" s="600"/>
      <c r="E26" s="600"/>
      <c r="F26" s="600"/>
      <c r="G26" s="547">
        <f>SUM(G9:G25)</f>
        <v>0</v>
      </c>
    </row>
    <row r="27" spans="1:7" s="2" customFormat="1" ht="22.5" customHeight="1" x14ac:dyDescent="0.25">
      <c r="A27" s="600" t="s">
        <v>1772</v>
      </c>
      <c r="B27" s="600"/>
      <c r="C27" s="600"/>
      <c r="D27" s="600"/>
      <c r="E27" s="600"/>
      <c r="F27" s="600"/>
      <c r="G27" s="547">
        <f>0.11*G26</f>
        <v>0</v>
      </c>
    </row>
    <row r="28" spans="1:7" s="2" customFormat="1" ht="22.5" customHeight="1" x14ac:dyDescent="0.25">
      <c r="A28" s="601" t="s">
        <v>1773</v>
      </c>
      <c r="B28" s="601"/>
      <c r="C28" s="601"/>
      <c r="D28" s="601"/>
      <c r="E28" s="601"/>
      <c r="F28" s="601"/>
      <c r="G28" s="548">
        <f>SUM(G26:G27)</f>
        <v>0</v>
      </c>
    </row>
    <row r="29" spans="1:7" s="2" customFormat="1" ht="30" customHeight="1" x14ac:dyDescent="0.25">
      <c r="A29" s="595" t="s">
        <v>1774</v>
      </c>
      <c r="B29" s="596"/>
      <c r="C29" s="596"/>
      <c r="D29" s="596"/>
      <c r="E29" s="596"/>
      <c r="F29" s="596"/>
      <c r="G29" s="532">
        <f>ROUNDDOWN(G28/1000,0)*1000</f>
        <v>0</v>
      </c>
    </row>
  </sheetData>
  <mergeCells count="8">
    <mergeCell ref="A29:F29"/>
    <mergeCell ref="A2:G2"/>
    <mergeCell ref="A3:G3"/>
    <mergeCell ref="A1:G1"/>
    <mergeCell ref="B8:F8"/>
    <mergeCell ref="A26:F26"/>
    <mergeCell ref="A27:F27"/>
    <mergeCell ref="A28:F28"/>
  </mergeCells>
  <pageMargins left="0.25" right="0.2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25C1C-0B9E-41CD-8E36-764B534CD380}">
  <sheetPr>
    <tabColor theme="4"/>
  </sheetPr>
  <dimension ref="A1:G29"/>
  <sheetViews>
    <sheetView showGridLines="0" workbookViewId="0">
      <selection sqref="A1:G1"/>
    </sheetView>
  </sheetViews>
  <sheetFormatPr defaultRowHeight="15" x14ac:dyDescent="0.25"/>
  <cols>
    <col min="1" max="1" width="7.140625" customWidth="1"/>
    <col min="2" max="6" width="14.42578125" customWidth="1"/>
    <col min="7" max="7" width="21.85546875" customWidth="1"/>
  </cols>
  <sheetData>
    <row r="1" spans="1:7" ht="18.75" x14ac:dyDescent="0.3">
      <c r="A1" s="597" t="s">
        <v>1775</v>
      </c>
      <c r="B1" s="597"/>
      <c r="C1" s="597"/>
      <c r="D1" s="597"/>
      <c r="E1" s="597"/>
      <c r="F1" s="597"/>
      <c r="G1" s="597"/>
    </row>
    <row r="2" spans="1:7" ht="21" x14ac:dyDescent="0.35">
      <c r="A2" s="643" t="s">
        <v>1841</v>
      </c>
      <c r="B2" s="643"/>
      <c r="C2" s="643"/>
      <c r="D2" s="643"/>
      <c r="E2" s="643"/>
      <c r="F2" s="643"/>
      <c r="G2" s="643"/>
    </row>
    <row r="3" spans="1:7" ht="15.75" x14ac:dyDescent="0.25">
      <c r="A3" s="598"/>
      <c r="B3" s="598"/>
      <c r="C3" s="598"/>
      <c r="D3" s="598"/>
      <c r="E3" s="598"/>
      <c r="F3" s="598"/>
      <c r="G3" s="598"/>
    </row>
    <row r="4" spans="1:7" ht="15.75" x14ac:dyDescent="0.25">
      <c r="A4" s="549"/>
      <c r="B4" s="549"/>
      <c r="G4" s="549"/>
    </row>
    <row r="5" spans="1:7" ht="15.75" x14ac:dyDescent="0.25">
      <c r="A5" s="536" t="s">
        <v>1778</v>
      </c>
      <c r="B5" s="549"/>
      <c r="C5" t="s">
        <v>1780</v>
      </c>
      <c r="G5" s="549"/>
    </row>
    <row r="6" spans="1:7" ht="15.75" x14ac:dyDescent="0.25">
      <c r="A6" s="536" t="s">
        <v>1779</v>
      </c>
      <c r="B6" s="549"/>
      <c r="C6" t="s">
        <v>1781</v>
      </c>
      <c r="G6" s="549"/>
    </row>
    <row r="8" spans="1:7" s="2" customFormat="1" ht="30" customHeight="1" thickBot="1" x14ac:dyDescent="0.3">
      <c r="A8" s="543" t="s">
        <v>1730</v>
      </c>
      <c r="B8" s="599" t="s">
        <v>1731</v>
      </c>
      <c r="C8" s="599"/>
      <c r="D8" s="599"/>
      <c r="E8" s="599"/>
      <c r="F8" s="599"/>
      <c r="G8" s="544" t="s">
        <v>1735</v>
      </c>
    </row>
    <row r="9" spans="1:7" s="2" customFormat="1" ht="20.25" customHeight="1" thickTop="1" x14ac:dyDescent="0.25">
      <c r="A9" s="533" t="str">
        <f>RAB!A7</f>
        <v>I.</v>
      </c>
      <c r="B9" s="537" t="str">
        <f>RAB!B7</f>
        <v>HARGA SATUAN PEKERJAAN PERSIAPAN</v>
      </c>
      <c r="C9" s="538"/>
      <c r="D9" s="538"/>
      <c r="E9" s="538"/>
      <c r="F9" s="539"/>
      <c r="G9" s="545">
        <f>'RAB Upah'!F23</f>
        <v>0</v>
      </c>
    </row>
    <row r="10" spans="1:7" s="2" customFormat="1" ht="20.25" customHeight="1" x14ac:dyDescent="0.25">
      <c r="A10" s="534" t="str">
        <f>RAB!A25</f>
        <v>II.</v>
      </c>
      <c r="B10" s="540" t="str">
        <f>RAB!B25</f>
        <v>HARGA SATUAN PEKERJAAN TANAH</v>
      </c>
      <c r="C10" s="541"/>
      <c r="D10" s="541"/>
      <c r="E10" s="541"/>
      <c r="F10" s="542"/>
      <c r="G10" s="546">
        <f>'RAB Upah'!F42</f>
        <v>0</v>
      </c>
    </row>
    <row r="11" spans="1:7" s="2" customFormat="1" ht="20.25" customHeight="1" x14ac:dyDescent="0.25">
      <c r="A11" s="534" t="str">
        <f>RAB!A44</f>
        <v>III.</v>
      </c>
      <c r="B11" s="540" t="str">
        <f>RAB!B44</f>
        <v>HARGA SATUAN PEKERJAAN PONDASI</v>
      </c>
      <c r="C11" s="541"/>
      <c r="D11" s="541"/>
      <c r="E11" s="541"/>
      <c r="F11" s="542"/>
      <c r="G11" s="546">
        <f>'RAB Upah'!F55</f>
        <v>0</v>
      </c>
    </row>
    <row r="12" spans="1:7" s="2" customFormat="1" ht="20.25" customHeight="1" x14ac:dyDescent="0.25">
      <c r="A12" s="534" t="str">
        <f>RAB!A57</f>
        <v>IV.</v>
      </c>
      <c r="B12" s="540" t="str">
        <f>RAB!B57</f>
        <v>HARGA SATUAN PEKERJAAN BETON</v>
      </c>
      <c r="C12" s="541"/>
      <c r="D12" s="541"/>
      <c r="E12" s="541"/>
      <c r="F12" s="542"/>
      <c r="G12" s="546">
        <f>'RAB Upah'!F172</f>
        <v>0</v>
      </c>
    </row>
    <row r="13" spans="1:7" s="2" customFormat="1" ht="20.25" customHeight="1" x14ac:dyDescent="0.25">
      <c r="A13" s="534" t="str">
        <f>RAB!A174</f>
        <v>V.</v>
      </c>
      <c r="B13" s="540" t="str">
        <f>RAB!B174</f>
        <v>HARGA SATUAN PEKERJAAN BESI DAN ALUMINIUM</v>
      </c>
      <c r="C13" s="541"/>
      <c r="D13" s="541"/>
      <c r="E13" s="541"/>
      <c r="F13" s="542"/>
      <c r="G13" s="546">
        <f>'RAB Upah'!F203</f>
        <v>0</v>
      </c>
    </row>
    <row r="14" spans="1:7" s="2" customFormat="1" ht="20.25" customHeight="1" x14ac:dyDescent="0.25">
      <c r="A14" s="534" t="str">
        <f>RAB!A205</f>
        <v>VI.</v>
      </c>
      <c r="B14" s="540" t="str">
        <f>RAB!B205</f>
        <v>HARGA SATUAN PEKERJAAN PASANGAN DINDING</v>
      </c>
      <c r="C14" s="541"/>
      <c r="D14" s="541"/>
      <c r="E14" s="541"/>
      <c r="F14" s="542"/>
      <c r="G14" s="546">
        <f>'RAB Upah'!F231</f>
        <v>0</v>
      </c>
    </row>
    <row r="15" spans="1:7" s="2" customFormat="1" ht="20.25" customHeight="1" x14ac:dyDescent="0.25">
      <c r="A15" s="534" t="str">
        <f>RAB!A233</f>
        <v>VII.</v>
      </c>
      <c r="B15" s="540" t="str">
        <f>RAB!B233</f>
        <v>HARGA SATUAN PEKERJAAN PLESTERAN</v>
      </c>
      <c r="C15" s="541"/>
      <c r="D15" s="541"/>
      <c r="E15" s="541"/>
      <c r="F15" s="542"/>
      <c r="G15" s="546">
        <f>'RAB Upah'!F261</f>
        <v>0</v>
      </c>
    </row>
    <row r="16" spans="1:7" s="2" customFormat="1" ht="20.25" customHeight="1" x14ac:dyDescent="0.25">
      <c r="A16" s="534" t="str">
        <f>RAB!A263</f>
        <v>VIII.</v>
      </c>
      <c r="B16" s="540" t="str">
        <f>RAB!B263</f>
        <v>HARGA SATUAN PEKERJAAN PENUTUP LANTAI DAN PENUTUP DINDING</v>
      </c>
      <c r="C16" s="541"/>
      <c r="D16" s="541"/>
      <c r="E16" s="541"/>
      <c r="F16" s="542"/>
      <c r="G16" s="546">
        <f>'RAB Upah'!F323</f>
        <v>0</v>
      </c>
    </row>
    <row r="17" spans="1:7" s="2" customFormat="1" ht="20.25" customHeight="1" x14ac:dyDescent="0.25">
      <c r="A17" s="534" t="str">
        <f>RAB!A325</f>
        <v>IX.</v>
      </c>
      <c r="B17" s="540" t="str">
        <f>RAB!B325</f>
        <v>SATUAN PEKERJAAN LANGIT-LANGIT (PLAFOND)</v>
      </c>
      <c r="C17" s="541"/>
      <c r="D17" s="541"/>
      <c r="E17" s="541"/>
      <c r="F17" s="542"/>
      <c r="G17" s="546">
        <f>'RAB Upah'!F341</f>
        <v>0</v>
      </c>
    </row>
    <row r="18" spans="1:7" s="2" customFormat="1" ht="20.25" customHeight="1" x14ac:dyDescent="0.25">
      <c r="A18" s="534" t="str">
        <f>RAB!A343</f>
        <v>X.</v>
      </c>
      <c r="B18" s="540" t="str">
        <f>RAB!B343</f>
        <v>HARGA SATUAN PEKERJAAN PENUTUP ATAP</v>
      </c>
      <c r="C18" s="541"/>
      <c r="D18" s="541"/>
      <c r="E18" s="541"/>
      <c r="F18" s="542"/>
      <c r="G18" s="546">
        <f>'RAB Upah'!F366</f>
        <v>0</v>
      </c>
    </row>
    <row r="19" spans="1:7" s="2" customFormat="1" ht="20.25" customHeight="1" x14ac:dyDescent="0.25">
      <c r="A19" s="534" t="str">
        <f>RAB!A368</f>
        <v>XI.</v>
      </c>
      <c r="B19" s="540" t="str">
        <f>RAB!B368</f>
        <v>HARGA SATUAN PEKERJAAN KAYU</v>
      </c>
      <c r="C19" s="541"/>
      <c r="D19" s="541"/>
      <c r="E19" s="541"/>
      <c r="F19" s="542"/>
      <c r="G19" s="546">
        <f>'RAB Upah'!F442</f>
        <v>0</v>
      </c>
    </row>
    <row r="20" spans="1:7" s="2" customFormat="1" ht="20.25" customHeight="1" x14ac:dyDescent="0.25">
      <c r="A20" s="534" t="str">
        <f>RAB!A444</f>
        <v>XII.</v>
      </c>
      <c r="B20" s="540" t="str">
        <f>RAB!B444</f>
        <v>HARGA SATUAN PEKERJAAN KUNCI DAN KACA</v>
      </c>
      <c r="C20" s="541"/>
      <c r="D20" s="541"/>
      <c r="E20" s="541"/>
      <c r="F20" s="542"/>
      <c r="G20" s="546">
        <f>'RAB Upah'!F467</f>
        <v>0</v>
      </c>
    </row>
    <row r="21" spans="1:7" s="2" customFormat="1" ht="20.25" customHeight="1" x14ac:dyDescent="0.25">
      <c r="A21" s="534" t="str">
        <f>RAB!A469</f>
        <v>XIII.</v>
      </c>
      <c r="B21" s="540" t="str">
        <f>RAB!B469</f>
        <v>HARGA SATUAN PEKERJAAN PENGECATAN</v>
      </c>
      <c r="C21" s="541"/>
      <c r="D21" s="541"/>
      <c r="E21" s="541"/>
      <c r="F21" s="542"/>
      <c r="G21" s="546">
        <f>'RAB Upah'!F493</f>
        <v>0</v>
      </c>
    </row>
    <row r="22" spans="1:7" s="2" customFormat="1" ht="20.25" customHeight="1" x14ac:dyDescent="0.25">
      <c r="A22" s="534" t="str">
        <f>RAB!A495</f>
        <v>XIV.</v>
      </c>
      <c r="B22" s="540" t="str">
        <f>RAB!B495</f>
        <v>HARGA SATUAN PEKERJAAN SANITASI DALAM GEDUNG</v>
      </c>
      <c r="C22" s="541"/>
      <c r="D22" s="541"/>
      <c r="E22" s="541"/>
      <c r="F22" s="542"/>
      <c r="G22" s="546">
        <f>'RAB Upah'!F523</f>
        <v>0</v>
      </c>
    </row>
    <row r="23" spans="1:7" s="2" customFormat="1" ht="20.25" customHeight="1" x14ac:dyDescent="0.25">
      <c r="A23" s="534" t="str">
        <f>RAB!A525</f>
        <v>XV.</v>
      </c>
      <c r="B23" s="540" t="str">
        <f>RAB!B525</f>
        <v>HARGA SATUAN PEKERJAAN LISTRIK</v>
      </c>
      <c r="C23" s="541"/>
      <c r="D23" s="541"/>
      <c r="E23" s="541"/>
      <c r="F23" s="542"/>
      <c r="G23" s="546">
        <f>'RAB Upah'!F528</f>
        <v>0</v>
      </c>
    </row>
    <row r="24" spans="1:7" s="2" customFormat="1" ht="20.25" customHeight="1" x14ac:dyDescent="0.25">
      <c r="A24" s="534" t="str">
        <f>RAB!A530</f>
        <v>XVI.</v>
      </c>
      <c r="B24" s="540" t="str">
        <f>RAB!B530</f>
        <v>HARGA SATUAN PEKERJAAN LANDSCAPE</v>
      </c>
      <c r="C24" s="541"/>
      <c r="D24" s="541"/>
      <c r="E24" s="541"/>
      <c r="F24" s="542"/>
      <c r="G24" s="546">
        <f>'RAB Upah'!F538</f>
        <v>0</v>
      </c>
    </row>
    <row r="25" spans="1:7" s="2" customFormat="1" ht="20.25" customHeight="1" x14ac:dyDescent="0.25">
      <c r="A25" s="534" t="str">
        <f>RAB!A540</f>
        <v>XVII.</v>
      </c>
      <c r="B25" s="540" t="str">
        <f>RAB!B540</f>
        <v>HARGA SATUAN PEKERJAAN ORNAMEN BATA DAN PARAS UTK PEK. STYLE BALI</v>
      </c>
      <c r="C25" s="541"/>
      <c r="D25" s="541"/>
      <c r="E25" s="541"/>
      <c r="F25" s="542"/>
      <c r="G25" s="546">
        <f>'RAB Upah'!F549</f>
        <v>0</v>
      </c>
    </row>
    <row r="26" spans="1:7" s="2" customFormat="1" ht="22.5" customHeight="1" x14ac:dyDescent="0.25">
      <c r="A26" s="600" t="s">
        <v>1771</v>
      </c>
      <c r="B26" s="600"/>
      <c r="C26" s="600"/>
      <c r="D26" s="600"/>
      <c r="E26" s="600"/>
      <c r="F26" s="600"/>
      <c r="G26" s="547">
        <f>SUM(G9:G25)</f>
        <v>0</v>
      </c>
    </row>
    <row r="27" spans="1:7" s="2" customFormat="1" ht="22.5" customHeight="1" x14ac:dyDescent="0.25">
      <c r="A27" s="600" t="s">
        <v>1772</v>
      </c>
      <c r="B27" s="600"/>
      <c r="C27" s="600"/>
      <c r="D27" s="600"/>
      <c r="E27" s="600"/>
      <c r="F27" s="600"/>
      <c r="G27" s="547">
        <f>0.11*G26</f>
        <v>0</v>
      </c>
    </row>
    <row r="28" spans="1:7" s="2" customFormat="1" ht="22.5" customHeight="1" x14ac:dyDescent="0.25">
      <c r="A28" s="601" t="s">
        <v>1773</v>
      </c>
      <c r="B28" s="601"/>
      <c r="C28" s="601"/>
      <c r="D28" s="601"/>
      <c r="E28" s="601"/>
      <c r="F28" s="601"/>
      <c r="G28" s="548">
        <f>SUM(G26:G27)</f>
        <v>0</v>
      </c>
    </row>
    <row r="29" spans="1:7" s="2" customFormat="1" ht="30" customHeight="1" x14ac:dyDescent="0.25">
      <c r="A29" s="595" t="s">
        <v>1774</v>
      </c>
      <c r="B29" s="596"/>
      <c r="C29" s="596"/>
      <c r="D29" s="596"/>
      <c r="E29" s="596"/>
      <c r="F29" s="596"/>
      <c r="G29" s="532">
        <f>ROUNDDOWN(G28/1000,0)*1000</f>
        <v>0</v>
      </c>
    </row>
  </sheetData>
  <mergeCells count="8">
    <mergeCell ref="A28:F28"/>
    <mergeCell ref="A29:F29"/>
    <mergeCell ref="A1:G1"/>
    <mergeCell ref="A2:G2"/>
    <mergeCell ref="A3:G3"/>
    <mergeCell ref="B8:F8"/>
    <mergeCell ref="A26:F26"/>
    <mergeCell ref="A27:F2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8FED8-3B0C-43C1-930B-C601445B5EDB}">
  <sheetPr>
    <tabColor theme="9"/>
  </sheetPr>
  <dimension ref="A5:F550"/>
  <sheetViews>
    <sheetView showGridLines="0" zoomScale="110" zoomScaleNormal="110" workbookViewId="0"/>
  </sheetViews>
  <sheetFormatPr defaultRowHeight="12.75" x14ac:dyDescent="0.25"/>
  <cols>
    <col min="1" max="1" width="8" style="500" bestFit="1" customWidth="1"/>
    <col min="2" max="2" width="40.140625" style="495" customWidth="1"/>
    <col min="3" max="3" width="11.42578125" style="495" customWidth="1"/>
    <col min="4" max="4" width="5.140625" style="495" customWidth="1"/>
    <col min="5" max="5" width="12.7109375" style="495" bestFit="1" customWidth="1"/>
    <col min="6" max="6" width="17.7109375" style="495" customWidth="1"/>
    <col min="7" max="7" width="12.7109375" style="495" bestFit="1" customWidth="1"/>
    <col min="8" max="16384" width="9.140625" style="495"/>
  </cols>
  <sheetData>
    <row r="5" spans="1:6" ht="18.75" customHeight="1" x14ac:dyDescent="0.25">
      <c r="A5" s="606" t="s">
        <v>1730</v>
      </c>
      <c r="B5" s="603" t="s">
        <v>1731</v>
      </c>
      <c r="C5" s="603" t="s">
        <v>1732</v>
      </c>
      <c r="D5" s="603"/>
      <c r="E5" s="513" t="s">
        <v>1733</v>
      </c>
      <c r="F5" s="514" t="s">
        <v>1735</v>
      </c>
    </row>
    <row r="6" spans="1:6" ht="18.75" customHeight="1" thickBot="1" x14ac:dyDescent="0.3">
      <c r="A6" s="607"/>
      <c r="B6" s="604"/>
      <c r="C6" s="604"/>
      <c r="D6" s="604"/>
      <c r="E6" s="515" t="s">
        <v>1734</v>
      </c>
      <c r="F6" s="516" t="s">
        <v>1734</v>
      </c>
    </row>
    <row r="7" spans="1:6" s="498" customFormat="1" ht="18.75" customHeight="1" thickTop="1" x14ac:dyDescent="0.25">
      <c r="A7" s="512" t="str">
        <f>'Rekap. Upah Pekerja'!A7</f>
        <v>I.</v>
      </c>
      <c r="B7" s="608" t="str">
        <f>'Rekap. Upah Pekerja'!B7</f>
        <v>HARGA SATUAN PEKERJAAN PERSIAPAN</v>
      </c>
      <c r="C7" s="608"/>
      <c r="D7" s="608"/>
      <c r="E7" s="608"/>
      <c r="F7" s="608"/>
    </row>
    <row r="8" spans="1:6" s="498" customFormat="1" ht="30" customHeight="1" x14ac:dyDescent="0.25">
      <c r="A8" s="504">
        <f>'Rekap. Upah Pekerja'!A8</f>
        <v>1</v>
      </c>
      <c r="B8" s="505" t="str">
        <f>'Rekap. Upah Pekerja'!B8</f>
        <v xml:space="preserve"> Pembuatan 1 m2 Pagar Sementara dari kayu tinggi 2 meter</v>
      </c>
      <c r="C8" s="518"/>
      <c r="D8" s="519" t="s">
        <v>58</v>
      </c>
      <c r="E8" s="506">
        <f>'Rekap. Analisa RAB'!C9</f>
        <v>478800</v>
      </c>
      <c r="F8" s="507">
        <f>C8*E8</f>
        <v>0</v>
      </c>
    </row>
    <row r="9" spans="1:6" s="498" customFormat="1" ht="30" customHeight="1" x14ac:dyDescent="0.25">
      <c r="A9" s="504">
        <f>'Rekap. Upah Pekerja'!A9</f>
        <v>2</v>
      </c>
      <c r="B9" s="505" t="str">
        <f>'Rekap. Upah Pekerja'!B9</f>
        <v xml:space="preserve"> Pembuatan 1 m2 Pagar Sementara dari seng gelombang tinggi 2 meter</v>
      </c>
      <c r="C9" s="518"/>
      <c r="D9" s="519" t="s">
        <v>58</v>
      </c>
      <c r="E9" s="506">
        <f>'Rekap. Analisa RAB'!C10</f>
        <v>534700</v>
      </c>
      <c r="F9" s="507">
        <f t="shared" ref="F9:F22" si="0">C9*E9</f>
        <v>0</v>
      </c>
    </row>
    <row r="10" spans="1:6" s="498" customFormat="1" ht="30" customHeight="1" x14ac:dyDescent="0.25">
      <c r="A10" s="504">
        <f>'Rekap. Upah Pekerja'!A10</f>
        <v>3</v>
      </c>
      <c r="B10" s="505" t="str">
        <f>'Rekap. Upah Pekerja'!B10</f>
        <v xml:space="preserve"> Pembuatan 1 m2 Pagar Sementara dari kawat duri  tinggi 1,8 meter</v>
      </c>
      <c r="C10" s="518"/>
      <c r="D10" s="519" t="s">
        <v>58</v>
      </c>
      <c r="E10" s="506">
        <f>'Rekap. Analisa RAB'!C11</f>
        <v>944400</v>
      </c>
      <c r="F10" s="507">
        <f t="shared" si="0"/>
        <v>0</v>
      </c>
    </row>
    <row r="11" spans="1:6" s="498" customFormat="1" ht="15" customHeight="1" x14ac:dyDescent="0.25">
      <c r="A11" s="504">
        <f>'Rekap. Upah Pekerja'!A11</f>
        <v>4</v>
      </c>
      <c r="B11" s="505" t="str">
        <f>'Rekap. Upah Pekerja'!B11</f>
        <v>Pengukuran dan pemasangan 1m1 bouwplank</v>
      </c>
      <c r="C11" s="518"/>
      <c r="D11" s="519" t="s">
        <v>14</v>
      </c>
      <c r="E11" s="506">
        <f>'Rekap. Analisa RAB'!C12</f>
        <v>36600</v>
      </c>
      <c r="F11" s="507">
        <f t="shared" si="0"/>
        <v>0</v>
      </c>
    </row>
    <row r="12" spans="1:6" s="498" customFormat="1" ht="30" customHeight="1" x14ac:dyDescent="0.25">
      <c r="A12" s="504">
        <f>'Rekap. Upah Pekerja'!A12</f>
        <v>5</v>
      </c>
      <c r="B12" s="505" t="str">
        <f>'Rekap. Upah Pekerja'!B12</f>
        <v>Pembuatan 1 m2 kantor sementara lantai plesteran</v>
      </c>
      <c r="C12" s="518"/>
      <c r="D12" s="519" t="s">
        <v>58</v>
      </c>
      <c r="E12" s="506">
        <f>'Rekap. Analisa RAB'!C13</f>
        <v>1817900</v>
      </c>
      <c r="F12" s="507">
        <f t="shared" si="0"/>
        <v>0</v>
      </c>
    </row>
    <row r="13" spans="1:6" s="498" customFormat="1" ht="15" customHeight="1" x14ac:dyDescent="0.25">
      <c r="A13" s="504">
        <f>'Rekap. Upah Pekerja'!A13</f>
        <v>6</v>
      </c>
      <c r="B13" s="505" t="str">
        <f>'Rekap. Upah Pekerja'!B13</f>
        <v>Pembuatan 1 m2 rumah jaga (konstruksi kayu)</v>
      </c>
      <c r="C13" s="518"/>
      <c r="D13" s="519" t="s">
        <v>58</v>
      </c>
      <c r="E13" s="506">
        <f>'Rekap. Analisa RAB'!C14</f>
        <v>1689300</v>
      </c>
      <c r="F13" s="507">
        <f t="shared" si="0"/>
        <v>0</v>
      </c>
    </row>
    <row r="14" spans="1:6" s="498" customFormat="1" ht="15" customHeight="1" x14ac:dyDescent="0.25">
      <c r="A14" s="504">
        <f>'Rekap. Upah Pekerja'!A14</f>
        <v>7</v>
      </c>
      <c r="B14" s="505" t="str">
        <f>'Rekap. Upah Pekerja'!B14</f>
        <v>Pembuatan 1 m2 gudang semen dan peralatan</v>
      </c>
      <c r="C14" s="518"/>
      <c r="D14" s="519" t="s">
        <v>58</v>
      </c>
      <c r="E14" s="506">
        <f>'Rekap. Analisa RAB'!C15</f>
        <v>1494500</v>
      </c>
      <c r="F14" s="507">
        <f t="shared" si="0"/>
        <v>0</v>
      </c>
    </row>
    <row r="15" spans="1:6" s="498" customFormat="1" ht="15" customHeight="1" x14ac:dyDescent="0.25">
      <c r="A15" s="504">
        <f>'Rekap. Upah Pekerja'!A15</f>
        <v>8</v>
      </c>
      <c r="B15" s="505" t="str">
        <f>'Rekap. Upah Pekerja'!B15</f>
        <v>Pembuatan 1 m2 bedeng pekerja</v>
      </c>
      <c r="C15" s="518"/>
      <c r="D15" s="519" t="s">
        <v>58</v>
      </c>
      <c r="E15" s="506">
        <f>'Rekap. Analisa RAB'!C16</f>
        <v>1502400</v>
      </c>
      <c r="F15" s="507">
        <f t="shared" si="0"/>
        <v>0</v>
      </c>
    </row>
    <row r="16" spans="1:6" s="498" customFormat="1" ht="15" customHeight="1" x14ac:dyDescent="0.25">
      <c r="A16" s="504">
        <f>'Rekap. Upah Pekerja'!A16</f>
        <v>9</v>
      </c>
      <c r="B16" s="505" t="str">
        <f>'Rekap. Upah Pekerja'!B16</f>
        <v>Pembersihan 1 m2 lapangan dan perataan</v>
      </c>
      <c r="C16" s="518"/>
      <c r="D16" s="519" t="s">
        <v>58</v>
      </c>
      <c r="E16" s="506">
        <f>'Rekap. Analisa RAB'!C17</f>
        <v>113940</v>
      </c>
      <c r="F16" s="507">
        <f t="shared" si="0"/>
        <v>0</v>
      </c>
    </row>
    <row r="17" spans="1:6" s="498" customFormat="1" ht="15" customHeight="1" x14ac:dyDescent="0.25">
      <c r="A17" s="504">
        <f>'Rekap. Upah Pekerja'!A17</f>
        <v>10</v>
      </c>
      <c r="B17" s="505" t="str">
        <f>'Rekap. Upah Pekerja'!B17</f>
        <v>Pembuatan 1 m2 steger/perancah dari bambu</v>
      </c>
      <c r="C17" s="518"/>
      <c r="D17" s="519" t="s">
        <v>58</v>
      </c>
      <c r="E17" s="506">
        <f>'Rekap. Analisa RAB'!C18</f>
        <v>409700</v>
      </c>
      <c r="F17" s="507">
        <f t="shared" si="0"/>
        <v>0</v>
      </c>
    </row>
    <row r="18" spans="1:6" s="498" customFormat="1" ht="30" customHeight="1" x14ac:dyDescent="0.25">
      <c r="A18" s="504">
        <f>'Rekap. Upah Pekerja'!A18</f>
        <v>11</v>
      </c>
      <c r="B18" s="505" t="str">
        <f>'Rekap. Upah Pekerja'!B18</f>
        <v>Pembuatan 1 buah kotak adukan ukuran 40cm x 50cm x 25cm</v>
      </c>
      <c r="C18" s="518"/>
      <c r="D18" s="519" t="s">
        <v>28</v>
      </c>
      <c r="E18" s="506">
        <f>'Rekap. Analisa RAB'!C19</f>
        <v>589000</v>
      </c>
      <c r="F18" s="507">
        <f t="shared" si="0"/>
        <v>0</v>
      </c>
    </row>
    <row r="19" spans="1:6" s="498" customFormat="1" ht="15" customHeight="1" x14ac:dyDescent="0.25">
      <c r="A19" s="504">
        <f>'Rekap. Upah Pekerja'!A19</f>
        <v>12</v>
      </c>
      <c r="B19" s="505" t="str">
        <f>'Rekap. Upah Pekerja'!B19</f>
        <v>Pembuatan 1 m2 jalan sementara</v>
      </c>
      <c r="C19" s="518"/>
      <c r="D19" s="519" t="s">
        <v>58</v>
      </c>
      <c r="E19" s="506">
        <f>'Rekap. Analisa RAB'!C20</f>
        <v>199400</v>
      </c>
      <c r="F19" s="507">
        <f t="shared" si="0"/>
        <v>0</v>
      </c>
    </row>
    <row r="20" spans="1:6" s="498" customFormat="1" ht="15" customHeight="1" x14ac:dyDescent="0.25">
      <c r="A20" s="504">
        <f>'Rekap. Upah Pekerja'!A20</f>
        <v>13</v>
      </c>
      <c r="B20" s="505" t="str">
        <f>'Rekap. Upah Pekerja'!B20</f>
        <v>Pembongkaran 1 m3 beton bertulang</v>
      </c>
      <c r="C20" s="518"/>
      <c r="D20" s="519" t="s">
        <v>52</v>
      </c>
      <c r="E20" s="506">
        <f>'Rekap. Analisa RAB'!C21</f>
        <v>1468800</v>
      </c>
      <c r="F20" s="507">
        <f t="shared" si="0"/>
        <v>0</v>
      </c>
    </row>
    <row r="21" spans="1:6" s="498" customFormat="1" ht="15" customHeight="1" x14ac:dyDescent="0.25">
      <c r="A21" s="504">
        <f>'Rekap. Upah Pekerja'!A21</f>
        <v>14</v>
      </c>
      <c r="B21" s="505" t="str">
        <f>'Rekap. Upah Pekerja'!B21</f>
        <v>Pembongkaran 1 m3 dinding tembok bata</v>
      </c>
      <c r="C21" s="518"/>
      <c r="D21" s="519" t="s">
        <v>52</v>
      </c>
      <c r="E21" s="506">
        <f>'Rekap. Analisa RAB'!C22</f>
        <v>734400</v>
      </c>
      <c r="F21" s="507">
        <f t="shared" si="0"/>
        <v>0</v>
      </c>
    </row>
    <row r="22" spans="1:6" s="498" customFormat="1" ht="30" customHeight="1" thickBot="1" x14ac:dyDescent="0.3">
      <c r="A22" s="504">
        <f>'Rekap. Upah Pekerja'!A22</f>
        <v>15</v>
      </c>
      <c r="B22" s="505" t="str">
        <f>'Rekap. Upah Pekerja'!B22</f>
        <v>Pemasangan 1 m2 pagar kawat jaring galvanis panjang 240 cm</v>
      </c>
      <c r="C22" s="518"/>
      <c r="D22" s="519" t="s">
        <v>52</v>
      </c>
      <c r="E22" s="506">
        <f>'Rekap. Analisa RAB'!C23</f>
        <v>26800</v>
      </c>
      <c r="F22" s="517">
        <f t="shared" si="0"/>
        <v>0</v>
      </c>
    </row>
    <row r="23" spans="1:6" s="498" customFormat="1" ht="21" customHeight="1" thickTop="1" thickBot="1" x14ac:dyDescent="0.3">
      <c r="A23" s="602" t="s">
        <v>1736</v>
      </c>
      <c r="B23" s="602"/>
      <c r="C23" s="602"/>
      <c r="D23" s="602"/>
      <c r="E23" s="602"/>
      <c r="F23" s="502">
        <f>SUM(F8:F22)</f>
        <v>0</v>
      </c>
    </row>
    <row r="24" spans="1:6" s="498" customFormat="1" ht="15" customHeight="1" thickTop="1" x14ac:dyDescent="0.25">
      <c r="A24" s="499"/>
      <c r="B24" s="496"/>
      <c r="C24" s="496"/>
      <c r="D24" s="496"/>
      <c r="E24" s="497"/>
    </row>
    <row r="25" spans="1:6" s="498" customFormat="1" ht="15" customHeight="1" x14ac:dyDescent="0.25">
      <c r="A25" s="503" t="str">
        <f>'Rekap. Upah Pekerja'!A24</f>
        <v>II.</v>
      </c>
      <c r="B25" s="605" t="str">
        <f>'Rekap. Upah Pekerja'!B24</f>
        <v>HARGA SATUAN PEKERJAAN TANAH</v>
      </c>
      <c r="C25" s="605"/>
      <c r="D25" s="605"/>
      <c r="E25" s="605"/>
      <c r="F25" s="605"/>
    </row>
    <row r="26" spans="1:6" s="498" customFormat="1" ht="15" customHeight="1" x14ac:dyDescent="0.25">
      <c r="A26" s="504">
        <f>'Rekap. Upah Pekerja'!A25</f>
        <v>1</v>
      </c>
      <c r="B26" s="505" t="str">
        <f>'Rekap. Upah Pekerja'!B25</f>
        <v>Penggalian 1 m3 tanah biasa sedalam 1 m</v>
      </c>
      <c r="C26" s="518"/>
      <c r="D26" s="519" t="s">
        <v>52</v>
      </c>
      <c r="E26" s="506">
        <f>'Rekap. Analisa RAB'!C26</f>
        <v>80800</v>
      </c>
      <c r="F26" s="507">
        <f t="shared" ref="F26:F41" si="1">C26*E26</f>
        <v>0</v>
      </c>
    </row>
    <row r="27" spans="1:6" s="498" customFormat="1" ht="15" customHeight="1" x14ac:dyDescent="0.25">
      <c r="A27" s="504">
        <f>'Rekap. Upah Pekerja'!A26</f>
        <v>2</v>
      </c>
      <c r="B27" s="505" t="str">
        <f>'Rekap. Upah Pekerja'!B26</f>
        <v>Penggalian 1 m3 tanah biasa sedalam 2 m</v>
      </c>
      <c r="C27" s="518"/>
      <c r="D27" s="519" t="s">
        <v>52</v>
      </c>
      <c r="E27" s="506">
        <f>'Rekap. Analisa RAB'!C27</f>
        <v>99200</v>
      </c>
      <c r="F27" s="507">
        <f t="shared" si="1"/>
        <v>0</v>
      </c>
    </row>
    <row r="28" spans="1:6" s="498" customFormat="1" ht="15" customHeight="1" x14ac:dyDescent="0.25">
      <c r="A28" s="504">
        <f>'Rekap. Upah Pekerja'!A27</f>
        <v>3</v>
      </c>
      <c r="B28" s="505" t="str">
        <f>'Rekap. Upah Pekerja'!B27</f>
        <v>Penggalian 1 m3 tanah biasa sedalam 3 m</v>
      </c>
      <c r="C28" s="518"/>
      <c r="D28" s="519" t="s">
        <v>52</v>
      </c>
      <c r="E28" s="506">
        <f>'Rekap. Analisa RAB'!C28</f>
        <v>117900</v>
      </c>
      <c r="F28" s="507">
        <f t="shared" si="1"/>
        <v>0</v>
      </c>
    </row>
    <row r="29" spans="1:6" s="498" customFormat="1" ht="15" customHeight="1" x14ac:dyDescent="0.25">
      <c r="A29" s="504">
        <f>'Rekap. Upah Pekerja'!A28</f>
        <v>4</v>
      </c>
      <c r="B29" s="505" t="str">
        <f>'Rekap. Upah Pekerja'!B28</f>
        <v>Menggali 1 m3 tanah keras sedalam 1 m</v>
      </c>
      <c r="C29" s="518"/>
      <c r="D29" s="519" t="s">
        <v>52</v>
      </c>
      <c r="E29" s="506">
        <f>'Rekap. Analisa RAB'!C29</f>
        <v>107500</v>
      </c>
      <c r="F29" s="507">
        <f t="shared" si="1"/>
        <v>0</v>
      </c>
    </row>
    <row r="30" spans="1:6" s="498" customFormat="1" ht="15" customHeight="1" x14ac:dyDescent="0.25">
      <c r="A30" s="504">
        <f>'Rekap. Upah Pekerja'!A29</f>
        <v>5</v>
      </c>
      <c r="B30" s="505" t="str">
        <f>'Rekap. Upah Pekerja'!B29</f>
        <v>Menggali 1 m3 tanah cadas sedalam 1 m</v>
      </c>
      <c r="C30" s="518"/>
      <c r="D30" s="519" t="s">
        <v>52</v>
      </c>
      <c r="E30" s="506">
        <f>'Rekap. Analisa RAB'!C30</f>
        <v>107500</v>
      </c>
      <c r="F30" s="507">
        <f t="shared" si="1"/>
        <v>0</v>
      </c>
    </row>
    <row r="31" spans="1:6" s="498" customFormat="1" ht="15" customHeight="1" x14ac:dyDescent="0.25">
      <c r="A31" s="504">
        <f>'Rekap. Upah Pekerja'!A30</f>
        <v>6</v>
      </c>
      <c r="B31" s="505" t="str">
        <f>'Rekap. Upah Pekerja'!B30</f>
        <v>Menggali 1 m3 tanah lumpur sedalam 1 m</v>
      </c>
      <c r="C31" s="518"/>
      <c r="D31" s="519" t="s">
        <v>52</v>
      </c>
      <c r="E31" s="506">
        <f>'Rekap. Analisa RAB'!C31</f>
        <v>130000</v>
      </c>
      <c r="F31" s="507">
        <f t="shared" si="1"/>
        <v>0</v>
      </c>
    </row>
    <row r="32" spans="1:6" s="498" customFormat="1" ht="30" customHeight="1" x14ac:dyDescent="0.25">
      <c r="A32" s="504">
        <f>'Rekap. Upah Pekerja'!A31</f>
        <v>7</v>
      </c>
      <c r="B32" s="505" t="str">
        <f>'Rekap. Upah Pekerja'!B31</f>
        <v>Pengerjaan stripping 1 m2 tebing setinggi 1 meter</v>
      </c>
      <c r="C32" s="518"/>
      <c r="D32" s="519" t="s">
        <v>58</v>
      </c>
      <c r="E32" s="506">
        <f>'Rekap. Analisa RAB'!C32</f>
        <v>5900</v>
      </c>
      <c r="F32" s="507">
        <f t="shared" si="1"/>
        <v>0</v>
      </c>
    </row>
    <row r="33" spans="1:6" s="498" customFormat="1" ht="15" customHeight="1" x14ac:dyDescent="0.25">
      <c r="A33" s="504">
        <f>'Rekap. Upah Pekerja'!A32</f>
        <v>8</v>
      </c>
      <c r="B33" s="505" t="str">
        <f>'Rekap. Upah Pekerja'!B32</f>
        <v>Pembuangan 1 m3 tanah sejauh 30 meter</v>
      </c>
      <c r="C33" s="518"/>
      <c r="D33" s="519" t="s">
        <v>52</v>
      </c>
      <c r="E33" s="506">
        <f>'Rekap. Analisa RAB'!C33</f>
        <v>35400</v>
      </c>
      <c r="F33" s="507">
        <f t="shared" si="1"/>
        <v>0</v>
      </c>
    </row>
    <row r="34" spans="1:6" s="498" customFormat="1" ht="15" customHeight="1" x14ac:dyDescent="0.25">
      <c r="A34" s="504">
        <f>'Rekap. Upah Pekerja'!A33</f>
        <v>9</v>
      </c>
      <c r="B34" s="505" t="str">
        <f>'Rekap. Upah Pekerja'!B33</f>
        <v>Pembuangan 1 m3 tanah sejauh 150 meter</v>
      </c>
      <c r="C34" s="518"/>
      <c r="D34" s="519" t="s">
        <v>52</v>
      </c>
      <c r="E34" s="506">
        <f>'Rekap. Analisa RAB'!C34</f>
        <v>60800</v>
      </c>
      <c r="F34" s="507">
        <f t="shared" si="1"/>
        <v>0</v>
      </c>
    </row>
    <row r="35" spans="1:6" s="498" customFormat="1" ht="15" customHeight="1" x14ac:dyDescent="0.25">
      <c r="A35" s="504">
        <f>'Rekap. Upah Pekerja'!A34</f>
        <v>10</v>
      </c>
      <c r="B35" s="505" t="str">
        <f>'Rekap. Upah Pekerja'!B34</f>
        <v>Pengurugan kembali 1 m3 galian tanah</v>
      </c>
      <c r="C35" s="518"/>
      <c r="D35" s="519" t="s">
        <v>52</v>
      </c>
      <c r="E35" s="506">
        <f>'Rekap. Analisa RAB'!C35</f>
        <v>58900</v>
      </c>
      <c r="F35" s="507">
        <f t="shared" si="1"/>
        <v>0</v>
      </c>
    </row>
    <row r="36" spans="1:6" s="498" customFormat="1" ht="15" customHeight="1" x14ac:dyDescent="0.25">
      <c r="A36" s="504">
        <f>'Rekap. Upah Pekerja'!A35</f>
        <v>11</v>
      </c>
      <c r="B36" s="505" t="str">
        <f>'Rekap. Upah Pekerja'!B35</f>
        <v>Pemadatan tanah 1 m3 tanah ( per 20 cm )</v>
      </c>
      <c r="C36" s="518"/>
      <c r="D36" s="519" t="s">
        <v>52</v>
      </c>
      <c r="E36" s="506">
        <f>'Rekap. Analisa RAB'!C36</f>
        <v>62700</v>
      </c>
      <c r="F36" s="507">
        <f t="shared" si="1"/>
        <v>0</v>
      </c>
    </row>
    <row r="37" spans="1:6" s="498" customFormat="1" ht="15" customHeight="1" x14ac:dyDescent="0.25">
      <c r="A37" s="504">
        <f>'Rekap. Upah Pekerja'!A36</f>
        <v>12</v>
      </c>
      <c r="B37" s="505" t="str">
        <f>'Rekap. Upah Pekerja'!B36</f>
        <v>Pengurugan 1 m3 dengan pasir urug</v>
      </c>
      <c r="C37" s="518"/>
      <c r="D37" s="519" t="s">
        <v>52</v>
      </c>
      <c r="E37" s="506">
        <f>'Rekap. Analisa RAB'!C37</f>
        <v>268200</v>
      </c>
      <c r="F37" s="507">
        <f t="shared" si="1"/>
        <v>0</v>
      </c>
    </row>
    <row r="38" spans="1:6" s="498" customFormat="1" ht="15" customHeight="1" x14ac:dyDescent="0.25">
      <c r="A38" s="504">
        <f>'Rekap. Upah Pekerja'!A37</f>
        <v>13</v>
      </c>
      <c r="B38" s="505" t="str">
        <f>'Rekap. Upah Pekerja'!B37</f>
        <v xml:space="preserve">Urugan Tanah </v>
      </c>
      <c r="C38" s="518"/>
      <c r="D38" s="519" t="s">
        <v>52</v>
      </c>
      <c r="E38" s="506">
        <f>'Rekap. Analisa RAB'!C38</f>
        <v>224700</v>
      </c>
      <c r="F38" s="507">
        <f t="shared" si="1"/>
        <v>0</v>
      </c>
    </row>
    <row r="39" spans="1:6" s="498" customFormat="1" ht="25.5" x14ac:dyDescent="0.25">
      <c r="A39" s="504">
        <f>'Rekap. Upah Pekerja'!A38</f>
        <v>14</v>
      </c>
      <c r="B39" s="505" t="str">
        <f>'Rekap. Upah Pekerja'!B38</f>
        <v>Pemasangan 1 m2 lapisan ijuk tebal 10 cm untuk bidang resapan</v>
      </c>
      <c r="C39" s="518"/>
      <c r="D39" s="519" t="s">
        <v>58</v>
      </c>
      <c r="E39" s="506">
        <f>'Rekap. Analisa RAB'!C39</f>
        <v>406500</v>
      </c>
      <c r="F39" s="507">
        <f t="shared" si="1"/>
        <v>0</v>
      </c>
    </row>
    <row r="40" spans="1:6" s="498" customFormat="1" ht="15" customHeight="1" x14ac:dyDescent="0.25">
      <c r="A40" s="504">
        <f>'Rekap. Upah Pekerja'!A39</f>
        <v>15</v>
      </c>
      <c r="B40" s="505" t="str">
        <f>'Rekap. Upah Pekerja'!B39</f>
        <v>Pengurugan 1 m3 sirtu padat</v>
      </c>
      <c r="C40" s="518"/>
      <c r="D40" s="519" t="s">
        <v>52</v>
      </c>
      <c r="E40" s="506">
        <f>'Rekap. Analisa RAB'!C40</f>
        <v>297800</v>
      </c>
      <c r="F40" s="507">
        <f t="shared" si="1"/>
        <v>0</v>
      </c>
    </row>
    <row r="41" spans="1:6" s="498" customFormat="1" ht="15" customHeight="1" thickBot="1" x14ac:dyDescent="0.3">
      <c r="A41" s="504">
        <f>'Rekap. Upah Pekerja'!A40</f>
        <v>16</v>
      </c>
      <c r="B41" s="505" t="str">
        <f>'Rekap. Upah Pekerja'!B40</f>
        <v>Pengurugan 1 m3 Lime stone</v>
      </c>
      <c r="C41" s="518"/>
      <c r="D41" s="519" t="s">
        <v>52</v>
      </c>
      <c r="E41" s="506">
        <f>'Rekap. Analisa RAB'!C41</f>
        <v>372900</v>
      </c>
      <c r="F41" s="517">
        <f t="shared" si="1"/>
        <v>0</v>
      </c>
    </row>
    <row r="42" spans="1:6" s="498" customFormat="1" ht="21" customHeight="1" thickTop="1" thickBot="1" x14ac:dyDescent="0.3">
      <c r="A42" s="602" t="s">
        <v>1737</v>
      </c>
      <c r="B42" s="602"/>
      <c r="C42" s="602"/>
      <c r="D42" s="602"/>
      <c r="E42" s="602"/>
      <c r="F42" s="502">
        <f>SUM(F26:F41)</f>
        <v>0</v>
      </c>
    </row>
    <row r="43" spans="1:6" s="498" customFormat="1" ht="15" customHeight="1" thickTop="1" x14ac:dyDescent="0.25">
      <c r="A43" s="499"/>
      <c r="B43" s="496"/>
      <c r="C43" s="496"/>
      <c r="D43" s="496"/>
      <c r="E43" s="497"/>
    </row>
    <row r="44" spans="1:6" s="498" customFormat="1" ht="15" customHeight="1" x14ac:dyDescent="0.25">
      <c r="A44" s="503" t="str">
        <f>'Rekap. Upah Pekerja'!A42</f>
        <v>III.</v>
      </c>
      <c r="B44" s="605" t="str">
        <f>'Rekap. Upah Pekerja'!B42</f>
        <v>HARGA SATUAN PEKERJAAN PONDASI</v>
      </c>
      <c r="C44" s="605"/>
      <c r="D44" s="605"/>
      <c r="E44" s="605"/>
      <c r="F44" s="605"/>
    </row>
    <row r="45" spans="1:6" s="498" customFormat="1" ht="25.5" x14ac:dyDescent="0.25">
      <c r="A45" s="504">
        <f>'Rekap. Upah Pekerja'!A43</f>
        <v>1</v>
      </c>
      <c r="B45" s="505" t="str">
        <f>'Rekap. Upah Pekerja'!B43</f>
        <v>Pemasangan 1 m3 pondasi batu belah/batu kali campuran 1SP : 3PP</v>
      </c>
      <c r="C45" s="518"/>
      <c r="D45" s="519" t="s">
        <v>52</v>
      </c>
      <c r="E45" s="506">
        <f>'Rekap. Analisa RAB'!C44</f>
        <v>1156800</v>
      </c>
      <c r="F45" s="507">
        <f t="shared" ref="F45:F54" si="2">C45*E45</f>
        <v>0</v>
      </c>
    </row>
    <row r="46" spans="1:6" s="498" customFormat="1" ht="25.5" x14ac:dyDescent="0.25">
      <c r="A46" s="504">
        <f>'Rekap. Upah Pekerja'!A44</f>
        <v>2</v>
      </c>
      <c r="B46" s="505" t="str">
        <f>'Rekap. Upah Pekerja'!B44</f>
        <v>Pemasangan 1 m3 pondasi batu belah/batu kali  campuran 1SP : 4PP</v>
      </c>
      <c r="C46" s="518"/>
      <c r="D46" s="519" t="s">
        <v>52</v>
      </c>
      <c r="E46" s="506">
        <f>'Rekap. Analisa RAB'!C45</f>
        <v>1093900</v>
      </c>
      <c r="F46" s="507">
        <f t="shared" si="2"/>
        <v>0</v>
      </c>
    </row>
    <row r="47" spans="1:6" s="498" customFormat="1" ht="25.5" x14ac:dyDescent="0.25">
      <c r="A47" s="504">
        <f>'Rekap. Upah Pekerja'!A45</f>
        <v>3</v>
      </c>
      <c r="B47" s="505" t="str">
        <f>'Rekap. Upah Pekerja'!B45</f>
        <v>Pemasangan 1 m3 pondasi batu belah/batu kali campuran 1SP : 5PP</v>
      </c>
      <c r="C47" s="518"/>
      <c r="D47" s="519" t="s">
        <v>52</v>
      </c>
      <c r="E47" s="506">
        <f>'Rekap. Analisa RAB'!C46</f>
        <v>1050300</v>
      </c>
      <c r="F47" s="507">
        <f t="shared" si="2"/>
        <v>0</v>
      </c>
    </row>
    <row r="48" spans="1:6" s="498" customFormat="1" ht="25.5" x14ac:dyDescent="0.25">
      <c r="A48" s="504">
        <f>'Rekap. Upah Pekerja'!A46</f>
        <v>4</v>
      </c>
      <c r="B48" s="505" t="str">
        <f>'Rekap. Upah Pekerja'!B46</f>
        <v>Pemasangan 1 m3 pondasi batu belah/batu kali campuran 1SP : 6PP</v>
      </c>
      <c r="C48" s="518"/>
      <c r="D48" s="519" t="s">
        <v>52</v>
      </c>
      <c r="E48" s="506">
        <f>'Rekap. Analisa RAB'!C47</f>
        <v>1019600</v>
      </c>
      <c r="F48" s="507">
        <f t="shared" si="2"/>
        <v>0</v>
      </c>
    </row>
    <row r="49" spans="1:6" s="498" customFormat="1" ht="25.5" x14ac:dyDescent="0.25">
      <c r="A49" s="504">
        <f>'Rekap. Upah Pekerja'!A47</f>
        <v>5</v>
      </c>
      <c r="B49" s="505" t="str">
        <f>'Rekap. Upah Pekerja'!B47</f>
        <v>Pemasangan 1 m3 pondasi batu kosong (anstamping)</v>
      </c>
      <c r="C49" s="518"/>
      <c r="D49" s="519" t="s">
        <v>52</v>
      </c>
      <c r="E49" s="506">
        <f>'Rekap. Analisa RAB'!C48</f>
        <v>623800</v>
      </c>
      <c r="F49" s="507">
        <f t="shared" si="2"/>
        <v>0</v>
      </c>
    </row>
    <row r="50" spans="1:6" s="498" customFormat="1" ht="25.5" x14ac:dyDescent="0.25">
      <c r="A50" s="504">
        <f>'Rekap. Upah Pekerja'!A48</f>
        <v>6</v>
      </c>
      <c r="B50" s="505" t="str">
        <f>'Rekap. Upah Pekerja'!B48</f>
        <v>Pemasangan 1 m3 pondasi siklop, 60% beton campuran 1SP : 2PB : 3Kr dan 40% batu belah</v>
      </c>
      <c r="C50" s="518"/>
      <c r="D50" s="519" t="s">
        <v>52</v>
      </c>
      <c r="E50" s="506">
        <f>'Rekap. Analisa RAB'!C49</f>
        <v>1132200</v>
      </c>
      <c r="F50" s="507">
        <f t="shared" si="2"/>
        <v>0</v>
      </c>
    </row>
    <row r="51" spans="1:6" s="498" customFormat="1" ht="25.5" x14ac:dyDescent="0.25">
      <c r="A51" s="504">
        <f>'Rekap. Upah Pekerja'!A49</f>
        <v>7</v>
      </c>
      <c r="B51" s="505" t="str">
        <f>'Rekap. Upah Pekerja'!B49</f>
        <v>Pemasangan 1 m3 pondasi sumuran, diameter 100 cm</v>
      </c>
      <c r="C51" s="518"/>
      <c r="D51" s="519" t="s">
        <v>52</v>
      </c>
      <c r="E51" s="506">
        <f>'Rekap. Analisa RAB'!C50</f>
        <v>1122900</v>
      </c>
      <c r="F51" s="507">
        <f t="shared" si="2"/>
        <v>0</v>
      </c>
    </row>
    <row r="52" spans="1:6" s="498" customFormat="1" ht="15" customHeight="1" x14ac:dyDescent="0.25">
      <c r="A52" s="504">
        <f>'Rekap. Upah Pekerja'!A50</f>
        <v>8</v>
      </c>
      <c r="B52" s="505" t="str">
        <f>'Rekap. Upah Pekerja'!B50</f>
        <v>1m1 Pondasi Bored Pile Diameter 30 cm</v>
      </c>
      <c r="C52" s="518"/>
      <c r="D52" s="519" t="s">
        <v>14</v>
      </c>
      <c r="E52" s="506">
        <f>'Rekap. Analisa RAB'!C51</f>
        <v>478600</v>
      </c>
      <c r="F52" s="507">
        <f t="shared" si="2"/>
        <v>0</v>
      </c>
    </row>
    <row r="53" spans="1:6" s="498" customFormat="1" ht="15" customHeight="1" x14ac:dyDescent="0.25">
      <c r="A53" s="504">
        <f>'Rekap. Upah Pekerja'!A51</f>
        <v>9</v>
      </c>
      <c r="B53" s="505" t="str">
        <f>'Rekap. Upah Pekerja'!B51</f>
        <v>Pemasangan 1 m3 tiang pancang 35 x 35 cm</v>
      </c>
      <c r="C53" s="518"/>
      <c r="D53" s="519" t="s">
        <v>52</v>
      </c>
      <c r="E53" s="506">
        <f>'Rekap. Analisa RAB'!C52</f>
        <v>872000</v>
      </c>
      <c r="F53" s="507">
        <f t="shared" si="2"/>
        <v>0</v>
      </c>
    </row>
    <row r="54" spans="1:6" s="498" customFormat="1" ht="15" customHeight="1" thickBot="1" x14ac:dyDescent="0.3">
      <c r="A54" s="504">
        <f>'Rekap. Upah Pekerja'!A52</f>
        <v>10</v>
      </c>
      <c r="B54" s="505" t="str">
        <f>'Rekap. Upah Pekerja'!B52</f>
        <v>Pemasangan 1 m3 tiang pancang 40 x 40 cm</v>
      </c>
      <c r="C54" s="518"/>
      <c r="D54" s="519" t="s">
        <v>52</v>
      </c>
      <c r="E54" s="506">
        <f>'Rekap. Analisa RAB'!C53</f>
        <v>1093800</v>
      </c>
      <c r="F54" s="517">
        <f t="shared" si="2"/>
        <v>0</v>
      </c>
    </row>
    <row r="55" spans="1:6" s="498" customFormat="1" ht="21" customHeight="1" thickTop="1" thickBot="1" x14ac:dyDescent="0.3">
      <c r="A55" s="602" t="s">
        <v>1738</v>
      </c>
      <c r="B55" s="602"/>
      <c r="C55" s="602"/>
      <c r="D55" s="602"/>
      <c r="E55" s="602"/>
      <c r="F55" s="502">
        <f>SUM(F45:F54)</f>
        <v>0</v>
      </c>
    </row>
    <row r="56" spans="1:6" s="498" customFormat="1" ht="15" customHeight="1" thickTop="1" x14ac:dyDescent="0.25">
      <c r="A56" s="499"/>
      <c r="B56" s="496"/>
      <c r="C56" s="496"/>
      <c r="D56" s="496"/>
      <c r="E56" s="497"/>
    </row>
    <row r="57" spans="1:6" s="498" customFormat="1" ht="15" customHeight="1" x14ac:dyDescent="0.25">
      <c r="A57" s="503" t="str">
        <f>'Rekap. Upah Pekerja'!A54</f>
        <v>IV.</v>
      </c>
      <c r="B57" s="605" t="str">
        <f>'Rekap. Upah Pekerja'!B54</f>
        <v>HARGA SATUAN PEKERJAAN BETON</v>
      </c>
      <c r="C57" s="605"/>
      <c r="D57" s="605"/>
      <c r="E57" s="605"/>
      <c r="F57" s="605"/>
    </row>
    <row r="58" spans="1:6" s="498" customFormat="1" ht="25.5" x14ac:dyDescent="0.25">
      <c r="A58" s="504">
        <f>'Rekap. Upah Pekerja'!A55</f>
        <v>1</v>
      </c>
      <c r="B58" s="505" t="str">
        <f>'Rekap. Upah Pekerja'!B55</f>
        <v>Membuat 1 m3 beton mutu f'c = 7,4 Mpa (K100), slump (12 ± 2) cm, w/c = 0.87</v>
      </c>
      <c r="C58" s="518"/>
      <c r="D58" s="519" t="s">
        <v>52</v>
      </c>
      <c r="E58" s="506">
        <f>'Rekap. Analisa RAB'!C56</f>
        <v>1093700</v>
      </c>
      <c r="F58" s="507">
        <f t="shared" ref="F58:F121" si="3">C58*E58</f>
        <v>0</v>
      </c>
    </row>
    <row r="59" spans="1:6" s="498" customFormat="1" ht="25.5" x14ac:dyDescent="0.25">
      <c r="A59" s="504">
        <f>'Rekap. Upah Pekerja'!A56</f>
        <v>2</v>
      </c>
      <c r="B59" s="505" t="str">
        <f>'Rekap. Upah Pekerja'!B56</f>
        <v>Membuat 1 m3 beton mutu f'c = 9,8 Mpa (K125), slump (12 ± 2) cm, w/c = 0.78</v>
      </c>
      <c r="C59" s="518"/>
      <c r="D59" s="519" t="s">
        <v>52</v>
      </c>
      <c r="E59" s="506">
        <f>'Rekap. Analisa RAB'!C57</f>
        <v>1143400</v>
      </c>
      <c r="F59" s="507">
        <f t="shared" si="3"/>
        <v>0</v>
      </c>
    </row>
    <row r="60" spans="1:6" s="498" customFormat="1" ht="25.5" x14ac:dyDescent="0.25">
      <c r="A60" s="504">
        <f>'Rekap. Upah Pekerja'!A57</f>
        <v>3</v>
      </c>
      <c r="B60" s="505" t="str">
        <f>'Rekap. Upah Pekerja'!B57</f>
        <v>Membuat 1 m3 beton mutu f'c = 12,2 Mpa (K150), slump (12 ± 2) cm, w/c = 0.72</v>
      </c>
      <c r="C60" s="518"/>
      <c r="D60" s="519" t="s">
        <v>52</v>
      </c>
      <c r="E60" s="506">
        <f>'Rekap. Analisa RAB'!C58</f>
        <v>1182000</v>
      </c>
      <c r="F60" s="507">
        <f t="shared" si="3"/>
        <v>0</v>
      </c>
    </row>
    <row r="61" spans="1:6" s="498" customFormat="1" ht="25.5" x14ac:dyDescent="0.25">
      <c r="A61" s="504">
        <f>'Rekap. Upah Pekerja'!A58</f>
        <v>4</v>
      </c>
      <c r="B61" s="505" t="str">
        <f>'Rekap. Upah Pekerja'!B58</f>
        <v>Membuat 1 m3 lantai kerja beton mutu f'c = 7,4 Mpa (K100), slump (3-6) cm, w/c = 0.87</v>
      </c>
      <c r="C61" s="518"/>
      <c r="D61" s="519" t="s">
        <v>52</v>
      </c>
      <c r="E61" s="506">
        <f>'Rekap. Analisa RAB'!C59</f>
        <v>1016800</v>
      </c>
      <c r="F61" s="507">
        <f t="shared" si="3"/>
        <v>0</v>
      </c>
    </row>
    <row r="62" spans="1:6" s="498" customFormat="1" ht="25.5" x14ac:dyDescent="0.25">
      <c r="A62" s="504">
        <f>'Rekap. Upah Pekerja'!A59</f>
        <v>5</v>
      </c>
      <c r="B62" s="505" t="str">
        <f>'Rekap. Upah Pekerja'!B59</f>
        <v>Membuat 1 m3 lantai kerja beton mutu f'c = 14,5 Mpa (K175), slump (12 ± 2) cm, w/c = 0.66</v>
      </c>
      <c r="C62" s="518"/>
      <c r="D62" s="519" t="s">
        <v>52</v>
      </c>
      <c r="E62" s="506">
        <f>'Rekap. Analisa RAB'!C60</f>
        <v>1228100</v>
      </c>
      <c r="F62" s="507">
        <f t="shared" si="3"/>
        <v>0</v>
      </c>
    </row>
    <row r="63" spans="1:6" s="498" customFormat="1" ht="25.5" x14ac:dyDescent="0.25">
      <c r="A63" s="504">
        <f>'Rekap. Upah Pekerja'!A60</f>
        <v>6</v>
      </c>
      <c r="B63" s="505" t="str">
        <f>'Rekap. Upah Pekerja'!B60</f>
        <v>Membuat 1 m3 lantai kerja beton mutu f'c = 16,9 Mpa (K200), slump (12 ± 2) cm, w/c = 0.61</v>
      </c>
      <c r="C63" s="518"/>
      <c r="D63" s="519" t="s">
        <v>52</v>
      </c>
      <c r="E63" s="506">
        <f>'Rekap. Analisa RAB'!C61</f>
        <v>1271300</v>
      </c>
      <c r="F63" s="507">
        <f t="shared" si="3"/>
        <v>0</v>
      </c>
    </row>
    <row r="64" spans="1:6" s="498" customFormat="1" ht="25.5" x14ac:dyDescent="0.25">
      <c r="A64" s="504">
        <f>'Rekap. Upah Pekerja'!A61</f>
        <v>7</v>
      </c>
      <c r="B64" s="505" t="str">
        <f>'Rekap. Upah Pekerja'!B61</f>
        <v>Membuat 1 m3 lantai kerja beton mutu f'c = 19,3 Mpa (K225), slump (12 ± 2) cm, w/c = 0.58</v>
      </c>
      <c r="C64" s="518"/>
      <c r="D64" s="519" t="s">
        <v>52</v>
      </c>
      <c r="E64" s="506">
        <f>'Rekap. Analisa RAB'!C62</f>
        <v>1304800</v>
      </c>
      <c r="F64" s="507">
        <f t="shared" si="3"/>
        <v>0</v>
      </c>
    </row>
    <row r="65" spans="1:6" s="498" customFormat="1" ht="25.5" x14ac:dyDescent="0.25">
      <c r="A65" s="504">
        <f>'Rekap. Upah Pekerja'!A62</f>
        <v>8</v>
      </c>
      <c r="B65" s="505" t="str">
        <f>'Rekap. Upah Pekerja'!B62</f>
        <v>Membuat 1 m3 lantai kerja beton mutu f'c = 21,7 Mpa (K250), slump (12 ± 2) cm, w/c = 0.56</v>
      </c>
      <c r="C65" s="518"/>
      <c r="D65" s="519" t="s">
        <v>52</v>
      </c>
      <c r="E65" s="506">
        <f>'Rekap. Analisa RAB'!C63</f>
        <v>1325500</v>
      </c>
      <c r="F65" s="507">
        <f t="shared" si="3"/>
        <v>0</v>
      </c>
    </row>
    <row r="66" spans="1:6" s="498" customFormat="1" ht="25.5" x14ac:dyDescent="0.25">
      <c r="A66" s="504">
        <f>'Rekap. Upah Pekerja'!A63</f>
        <v>9</v>
      </c>
      <c r="B66" s="505" t="str">
        <f>'Rekap. Upah Pekerja'!B63</f>
        <v>Membuat 1 m3 lantai kerja beton mutu f'c = 24,0 Mpa (K275), slump (12 ± 2) cm, w/c = 0.53</v>
      </c>
      <c r="C66" s="518"/>
      <c r="D66" s="519" t="s">
        <v>52</v>
      </c>
      <c r="E66" s="506">
        <f>'Rekap. Analisa RAB'!C64</f>
        <v>1361000</v>
      </c>
      <c r="F66" s="507">
        <f t="shared" si="3"/>
        <v>0</v>
      </c>
    </row>
    <row r="67" spans="1:6" s="498" customFormat="1" ht="25.5" x14ac:dyDescent="0.25">
      <c r="A67" s="504">
        <f>'Rekap. Upah Pekerja'!A64</f>
        <v>10</v>
      </c>
      <c r="B67" s="505" t="str">
        <f>'Rekap. Upah Pekerja'!B64</f>
        <v>Membuat 1 m3 lantai kerja beton mutu f'c = 26,4 Mpa (K300), slump (12 ± 2) cm, w/c = 0.52</v>
      </c>
      <c r="C67" s="518"/>
      <c r="D67" s="519" t="s">
        <v>52</v>
      </c>
      <c r="E67" s="506">
        <f>'Rekap. Analisa RAB'!C65</f>
        <v>1372000</v>
      </c>
      <c r="F67" s="507">
        <f t="shared" si="3"/>
        <v>0</v>
      </c>
    </row>
    <row r="68" spans="1:6" s="498" customFormat="1" ht="25.5" x14ac:dyDescent="0.25">
      <c r="A68" s="504">
        <f>'Rekap. Upah Pekerja'!A65</f>
        <v>11</v>
      </c>
      <c r="B68" s="505" t="str">
        <f>'Rekap. Upah Pekerja'!B65</f>
        <v>Membuat 1 m3 lantai kerja beton mutu f'c = 28,8 Mpa (K325), slump (12 ± 2) cm, w/c = 0.49</v>
      </c>
      <c r="C68" s="518"/>
      <c r="D68" s="519" t="s">
        <v>52</v>
      </c>
      <c r="E68" s="506">
        <f>'Rekap. Analisa RAB'!C66</f>
        <v>1473000</v>
      </c>
      <c r="F68" s="507">
        <f t="shared" si="3"/>
        <v>0</v>
      </c>
    </row>
    <row r="69" spans="1:6" s="498" customFormat="1" ht="25.5" x14ac:dyDescent="0.25">
      <c r="A69" s="504">
        <f>'Rekap. Upah Pekerja'!A66</f>
        <v>12</v>
      </c>
      <c r="B69" s="505" t="str">
        <f>'Rekap. Upah Pekerja'!B66</f>
        <v>Membuat 1 m3 lantai kerja beton mutu f'c = 31,2 Mpa (K350), slump (12 ± 2) cm, w/c = 0.48</v>
      </c>
      <c r="C69" s="518"/>
      <c r="D69" s="519" t="s">
        <v>52</v>
      </c>
      <c r="E69" s="506">
        <f>'Rekap. Analisa RAB'!C67</f>
        <v>1487400</v>
      </c>
      <c r="F69" s="507">
        <f t="shared" si="3"/>
        <v>0</v>
      </c>
    </row>
    <row r="70" spans="1:6" s="498" customFormat="1" ht="25.5" x14ac:dyDescent="0.25">
      <c r="A70" s="504">
        <f>'Rekap. Upah Pekerja'!A67</f>
        <v>13</v>
      </c>
      <c r="B70" s="505" t="str">
        <f>'Rekap. Upah Pekerja'!B67</f>
        <v>Membuat 1 m3 beton kedap air dengan strorox - 100</v>
      </c>
      <c r="C70" s="518"/>
      <c r="D70" s="519" t="s">
        <v>52</v>
      </c>
      <c r="E70" s="506">
        <f>'Rekap. Analisa RAB'!C68</f>
        <v>1423600</v>
      </c>
      <c r="F70" s="507">
        <f t="shared" si="3"/>
        <v>0</v>
      </c>
    </row>
    <row r="71" spans="1:6" s="498" customFormat="1" ht="25.5" x14ac:dyDescent="0.25">
      <c r="A71" s="504">
        <f>'Rekap. Upah Pekerja'!A68</f>
        <v>14</v>
      </c>
      <c r="B71" s="505" t="str">
        <f>'Rekap. Upah Pekerja'!B68</f>
        <v>Pembesian 10 kg dengan besi polos atau besi ulir</v>
      </c>
      <c r="C71" s="518"/>
      <c r="D71" s="519" t="s">
        <v>62</v>
      </c>
      <c r="E71" s="506">
        <f>'Rekap. Analisa RAB'!C69</f>
        <v>144300</v>
      </c>
      <c r="F71" s="507">
        <f t="shared" si="3"/>
        <v>0</v>
      </c>
    </row>
    <row r="72" spans="1:6" s="498" customFormat="1" ht="25.5" x14ac:dyDescent="0.25">
      <c r="A72" s="504">
        <f>'Rekap. Upah Pekerja'!A69</f>
        <v>15</v>
      </c>
      <c r="B72" s="505" t="str">
        <f>'Rekap. Upah Pekerja'!B69</f>
        <v>Pemasangan 10 kg kabel presstressed polos/strands</v>
      </c>
      <c r="C72" s="518"/>
      <c r="D72" s="519" t="s">
        <v>62</v>
      </c>
      <c r="E72" s="506">
        <f>'Rekap. Analisa RAB'!C70</f>
        <v>144100</v>
      </c>
      <c r="F72" s="507">
        <f t="shared" si="3"/>
        <v>0</v>
      </c>
    </row>
    <row r="73" spans="1:6" s="498" customFormat="1" ht="15" customHeight="1" x14ac:dyDescent="0.25">
      <c r="A73" s="504">
        <f>'Rekap. Upah Pekerja'!A70</f>
        <v>16</v>
      </c>
      <c r="B73" s="505" t="str">
        <f>'Rekap. Upah Pekerja'!B70</f>
        <v>Pemasangan 10 kg jaring kawat baja (wiremesh)</v>
      </c>
      <c r="C73" s="518"/>
      <c r="D73" s="519" t="s">
        <v>62</v>
      </c>
      <c r="E73" s="506">
        <f>'Rekap. Analisa RAB'!C71</f>
        <v>350700</v>
      </c>
      <c r="F73" s="507">
        <f t="shared" si="3"/>
        <v>0</v>
      </c>
    </row>
    <row r="74" spans="1:6" s="498" customFormat="1" ht="15" customHeight="1" x14ac:dyDescent="0.25">
      <c r="A74" s="504">
        <f>'Rekap. Upah Pekerja'!A71</f>
        <v>17</v>
      </c>
      <c r="B74" s="505" t="str">
        <f>'Rekap. Upah Pekerja'!B71</f>
        <v>Pemasangan 1 m2 bekisting untuk pondasi</v>
      </c>
      <c r="C74" s="518"/>
      <c r="D74" s="519" t="s">
        <v>58</v>
      </c>
      <c r="E74" s="506">
        <f>'Rekap. Analisa RAB'!C72</f>
        <v>270500</v>
      </c>
      <c r="F74" s="507">
        <f t="shared" si="3"/>
        <v>0</v>
      </c>
    </row>
    <row r="75" spans="1:6" s="498" customFormat="1" ht="15" customHeight="1" x14ac:dyDescent="0.25">
      <c r="A75" s="504">
        <f>'Rekap. Upah Pekerja'!A72</f>
        <v>18</v>
      </c>
      <c r="B75" s="505" t="str">
        <f>'Rekap. Upah Pekerja'!B72</f>
        <v>Pemasangan 1 m2 bekisting untuk sloof</v>
      </c>
      <c r="C75" s="518"/>
      <c r="D75" s="519" t="s">
        <v>58</v>
      </c>
      <c r="E75" s="506">
        <f>'Rekap. Analisa RAB'!C73</f>
        <v>291600</v>
      </c>
      <c r="F75" s="507">
        <f t="shared" si="3"/>
        <v>0</v>
      </c>
    </row>
    <row r="76" spans="1:6" s="498" customFormat="1" ht="15" customHeight="1" x14ac:dyDescent="0.25">
      <c r="A76" s="504">
        <f>'Rekap. Upah Pekerja'!A73</f>
        <v>19</v>
      </c>
      <c r="B76" s="505" t="str">
        <f>'Rekap. Upah Pekerja'!B73</f>
        <v>Pemasangan 1 m2 bekisting untuk kolom</v>
      </c>
      <c r="C76" s="518"/>
      <c r="D76" s="519" t="s">
        <v>58</v>
      </c>
      <c r="E76" s="506">
        <f>'Rekap. Analisa RAB'!C74</f>
        <v>500100</v>
      </c>
      <c r="F76" s="507">
        <f t="shared" si="3"/>
        <v>0</v>
      </c>
    </row>
    <row r="77" spans="1:6" s="498" customFormat="1" ht="15" customHeight="1" x14ac:dyDescent="0.25">
      <c r="A77" s="504">
        <f>'Rekap. Upah Pekerja'!A74</f>
        <v>20</v>
      </c>
      <c r="B77" s="505" t="str">
        <f>'Rekap. Upah Pekerja'!B74</f>
        <v>Pemasangan 1 m2 bekisting untuk balok</v>
      </c>
      <c r="C77" s="518"/>
      <c r="D77" s="519" t="s">
        <v>58</v>
      </c>
      <c r="E77" s="506">
        <f>'Rekap. Analisa RAB'!C75</f>
        <v>513800</v>
      </c>
      <c r="F77" s="507">
        <f t="shared" si="3"/>
        <v>0</v>
      </c>
    </row>
    <row r="78" spans="1:6" s="498" customFormat="1" ht="15" customHeight="1" x14ac:dyDescent="0.25">
      <c r="A78" s="504">
        <f>'Rekap. Upah Pekerja'!A75</f>
        <v>21</v>
      </c>
      <c r="B78" s="505" t="str">
        <f>'Rekap. Upah Pekerja'!B75</f>
        <v>Pemasangan 1 m2 bekisting untuk lantai</v>
      </c>
      <c r="C78" s="518"/>
      <c r="D78" s="519" t="s">
        <v>58</v>
      </c>
      <c r="E78" s="506">
        <f>'Rekap. Analisa RAB'!C76</f>
        <v>649100</v>
      </c>
      <c r="F78" s="507">
        <f t="shared" si="3"/>
        <v>0</v>
      </c>
    </row>
    <row r="79" spans="1:6" s="498" customFormat="1" ht="15" customHeight="1" x14ac:dyDescent="0.25">
      <c r="A79" s="504">
        <f>'Rekap. Upah Pekerja'!A76</f>
        <v>22</v>
      </c>
      <c r="B79" s="505" t="str">
        <f>'Rekap. Upah Pekerja'!B76</f>
        <v>Pemasangan 1 m2 bekisting untuk dinding</v>
      </c>
      <c r="C79" s="518"/>
      <c r="D79" s="519" t="s">
        <v>58</v>
      </c>
      <c r="E79" s="506">
        <f>'Rekap. Analisa RAB'!C77</f>
        <v>539600</v>
      </c>
      <c r="F79" s="507">
        <f t="shared" si="3"/>
        <v>0</v>
      </c>
    </row>
    <row r="80" spans="1:6" s="498" customFormat="1" ht="15" customHeight="1" x14ac:dyDescent="0.25">
      <c r="A80" s="504">
        <f>'Rekap. Upah Pekerja'!A77</f>
        <v>23</v>
      </c>
      <c r="B80" s="505" t="str">
        <f>'Rekap. Upah Pekerja'!B77</f>
        <v>Pemasangan 1 m2 bekisting untuk tangga</v>
      </c>
      <c r="C80" s="518"/>
      <c r="D80" s="519" t="s">
        <v>58</v>
      </c>
      <c r="E80" s="506">
        <f>'Rekap. Analisa RAB'!C78</f>
        <v>456700</v>
      </c>
      <c r="F80" s="507">
        <f t="shared" si="3"/>
        <v>0</v>
      </c>
    </row>
    <row r="81" spans="1:6" s="498" customFormat="1" ht="15" customHeight="1" x14ac:dyDescent="0.25">
      <c r="A81" s="504" t="str">
        <f>'Rekap. Upah Pekerja'!A78</f>
        <v>24.1</v>
      </c>
      <c r="B81" s="505" t="str">
        <f>'Rekap. Upah Pekerja'!B78</f>
        <v xml:space="preserve">Pas. Beton Cor 1 : 3 : 5 </v>
      </c>
      <c r="C81" s="518"/>
      <c r="D81" s="519" t="s">
        <v>52</v>
      </c>
      <c r="E81" s="506">
        <f>'Rekap. Analisa RAB'!C79</f>
        <v>1025900</v>
      </c>
      <c r="F81" s="507">
        <f t="shared" si="3"/>
        <v>0</v>
      </c>
    </row>
    <row r="82" spans="1:6" s="498" customFormat="1" ht="15" customHeight="1" x14ac:dyDescent="0.25">
      <c r="A82" s="504" t="str">
        <f>'Rekap. Upah Pekerja'!A79</f>
        <v>24.2</v>
      </c>
      <c r="B82" s="505" t="str">
        <f>'Rekap. Upah Pekerja'!B79</f>
        <v xml:space="preserve">Beton bertulang cor 1 : 2 : 3 </v>
      </c>
      <c r="C82" s="518"/>
      <c r="D82" s="519" t="s">
        <v>52</v>
      </c>
      <c r="E82" s="506">
        <f>'Rekap. Analisa RAB'!C80</f>
        <v>1048600</v>
      </c>
      <c r="F82" s="507">
        <f t="shared" si="3"/>
        <v>0</v>
      </c>
    </row>
    <row r="83" spans="1:6" s="498" customFormat="1" ht="15" customHeight="1" x14ac:dyDescent="0.25">
      <c r="A83" s="504">
        <f>'Rekap. Upah Pekerja'!A80</f>
        <v>25</v>
      </c>
      <c r="B83" s="505" t="str">
        <f>'Rekap. Upah Pekerja'!B80</f>
        <v>Pas. Beton bertulang 1 : 1.5: 2.5</v>
      </c>
      <c r="C83" s="518"/>
      <c r="D83" s="519" t="s">
        <v>52</v>
      </c>
      <c r="E83" s="506">
        <f>'Rekap. Analisa RAB'!C81</f>
        <v>1321900</v>
      </c>
      <c r="F83" s="507">
        <f t="shared" si="3"/>
        <v>0</v>
      </c>
    </row>
    <row r="84" spans="1:6" s="498" customFormat="1" ht="25.5" x14ac:dyDescent="0.25">
      <c r="A84" s="504">
        <f>'Rekap. Upah Pekerja'!A81</f>
        <v>26</v>
      </c>
      <c r="B84" s="505" t="str">
        <f>'Rekap. Upah Pekerja'!B81</f>
        <v>Membuat 1 m1 kolom praktis beton bertulang (11x11) cm</v>
      </c>
      <c r="C84" s="518"/>
      <c r="D84" s="519" t="s">
        <v>14</v>
      </c>
      <c r="E84" s="506">
        <f>'Rekap. Analisa RAB'!C82</f>
        <v>102600</v>
      </c>
      <c r="F84" s="507">
        <f t="shared" si="3"/>
        <v>0</v>
      </c>
    </row>
    <row r="85" spans="1:6" s="498" customFormat="1" ht="25.5" x14ac:dyDescent="0.25">
      <c r="A85" s="504">
        <f>'Rekap. Upah Pekerja'!A82</f>
        <v>27</v>
      </c>
      <c r="B85" s="505" t="str">
        <f>'Rekap. Upah Pekerja'!B82</f>
        <v>Membuat 1 m1 ring balok beton bertulang (10 x 15) cm</v>
      </c>
      <c r="C85" s="518"/>
      <c r="D85" s="519" t="s">
        <v>14</v>
      </c>
      <c r="E85" s="506">
        <f>'Rekap. Analisa RAB'!C83</f>
        <v>122600</v>
      </c>
      <c r="F85" s="507">
        <f t="shared" si="3"/>
        <v>0</v>
      </c>
    </row>
    <row r="86" spans="1:6" s="498" customFormat="1" ht="25.5" x14ac:dyDescent="0.25">
      <c r="A86" s="504">
        <f>'Rekap. Upah Pekerja'!A83</f>
        <v>28</v>
      </c>
      <c r="B86" s="505" t="str">
        <f>'Rekap. Upah Pekerja'!B83</f>
        <v>Membuat 1 m2 Perancah / Steger (menggunakan Buruh)</v>
      </c>
      <c r="C86" s="518"/>
      <c r="D86" s="519" t="s">
        <v>58</v>
      </c>
      <c r="E86" s="506">
        <f>'Rekap. Analisa RAB'!C84</f>
        <v>138000</v>
      </c>
      <c r="F86" s="507">
        <f t="shared" si="3"/>
        <v>0</v>
      </c>
    </row>
    <row r="87" spans="1:6" s="498" customFormat="1" ht="15" customHeight="1" x14ac:dyDescent="0.25">
      <c r="A87" s="504">
        <f>'Rekap. Upah Pekerja'!A84</f>
        <v>29</v>
      </c>
      <c r="B87" s="505" t="str">
        <f>'Rekap. Upah Pekerja'!B84</f>
        <v>1 m3 cor Beton Basement k 300</v>
      </c>
      <c r="C87" s="518"/>
      <c r="D87" s="519" t="s">
        <v>52</v>
      </c>
      <c r="E87" s="506">
        <f>'Rekap. Analisa RAB'!C85</f>
        <v>3263800</v>
      </c>
      <c r="F87" s="507">
        <f t="shared" si="3"/>
        <v>0</v>
      </c>
    </row>
    <row r="88" spans="1:6" s="498" customFormat="1" ht="15" customHeight="1" x14ac:dyDescent="0.25">
      <c r="A88" s="508">
        <f>'Rekap. Upah Pekerja'!A85</f>
        <v>30</v>
      </c>
      <c r="B88" s="509" t="str">
        <f>'Rekap. Upah Pekerja'!B85</f>
        <v>1 m3 cor Beton Pondasi k 100- 350 fe 125</v>
      </c>
      <c r="C88" s="520"/>
      <c r="D88" s="521"/>
      <c r="E88" s="510"/>
      <c r="F88" s="511"/>
    </row>
    <row r="89" spans="1:6" s="498" customFormat="1" ht="15" customHeight="1" x14ac:dyDescent="0.25">
      <c r="A89" s="504" t="str">
        <f>'Rekap. Upah Pekerja'!A86</f>
        <v>30.1</v>
      </c>
      <c r="B89" s="505" t="str">
        <f>'Rekap. Upah Pekerja'!B86</f>
        <v>Harga Satuan Pekerjaan Beton (k 100) Fe 125</v>
      </c>
      <c r="C89" s="518"/>
      <c r="D89" s="519" t="s">
        <v>52</v>
      </c>
      <c r="E89" s="506">
        <f>'Rekap. Analisa RAB'!C87</f>
        <v>3821200</v>
      </c>
      <c r="F89" s="507">
        <f t="shared" si="3"/>
        <v>0</v>
      </c>
    </row>
    <row r="90" spans="1:6" s="498" customFormat="1" ht="15" customHeight="1" x14ac:dyDescent="0.25">
      <c r="A90" s="504" t="str">
        <f>'Rekap. Upah Pekerja'!A87</f>
        <v>30.2</v>
      </c>
      <c r="B90" s="505" t="str">
        <f>'Rekap. Upah Pekerja'!B87</f>
        <v>Harga satuan pekerjaan Beton ( K 125 )  FE  125</v>
      </c>
      <c r="C90" s="518"/>
      <c r="D90" s="519" t="s">
        <v>52</v>
      </c>
      <c r="E90" s="506">
        <f>'Rekap. Analisa RAB'!C88</f>
        <v>3870900</v>
      </c>
      <c r="F90" s="507">
        <f t="shared" si="3"/>
        <v>0</v>
      </c>
    </row>
    <row r="91" spans="1:6" s="498" customFormat="1" ht="15" customHeight="1" x14ac:dyDescent="0.25">
      <c r="A91" s="504" t="str">
        <f>'Rekap. Upah Pekerja'!A88</f>
        <v>30.3</v>
      </c>
      <c r="B91" s="505" t="str">
        <f>'Rekap. Upah Pekerja'!B88</f>
        <v>Harga Satuan Pekerjaan Beton ( K 150 )  FE  125</v>
      </c>
      <c r="C91" s="518"/>
      <c r="D91" s="519" t="s">
        <v>52</v>
      </c>
      <c r="E91" s="506">
        <f>'Rekap. Analisa RAB'!C89</f>
        <v>3909500</v>
      </c>
      <c r="F91" s="507">
        <f t="shared" si="3"/>
        <v>0</v>
      </c>
    </row>
    <row r="92" spans="1:6" s="498" customFormat="1" ht="15" customHeight="1" x14ac:dyDescent="0.25">
      <c r="A92" s="504" t="str">
        <f>'Rekap. Upah Pekerja'!A89</f>
        <v>30.4</v>
      </c>
      <c r="B92" s="505" t="str">
        <f>'Rekap. Upah Pekerja'!B89</f>
        <v>Harga Satuan Pekerjaan Beton ( K 175 )  FE  125</v>
      </c>
      <c r="C92" s="518"/>
      <c r="D92" s="519" t="s">
        <v>52</v>
      </c>
      <c r="E92" s="506">
        <f>'Rekap. Analisa RAB'!C90</f>
        <v>3955600</v>
      </c>
      <c r="F92" s="507">
        <f t="shared" si="3"/>
        <v>0</v>
      </c>
    </row>
    <row r="93" spans="1:6" s="498" customFormat="1" ht="15" customHeight="1" x14ac:dyDescent="0.25">
      <c r="A93" s="504" t="str">
        <f>'Rekap. Upah Pekerja'!A90</f>
        <v>30.5</v>
      </c>
      <c r="B93" s="505" t="str">
        <f>'Rekap. Upah Pekerja'!B90</f>
        <v>Harga Satuan Pekerjaan Beton ( K 200 )  FE  125</v>
      </c>
      <c r="C93" s="518"/>
      <c r="D93" s="519" t="s">
        <v>52</v>
      </c>
      <c r="E93" s="506">
        <f>'Rekap. Analisa RAB'!C91</f>
        <v>3998800</v>
      </c>
      <c r="F93" s="507">
        <f t="shared" si="3"/>
        <v>0</v>
      </c>
    </row>
    <row r="94" spans="1:6" s="498" customFormat="1" ht="15" customHeight="1" x14ac:dyDescent="0.25">
      <c r="A94" s="504" t="str">
        <f>'Rekap. Upah Pekerja'!A91</f>
        <v>30.6</v>
      </c>
      <c r="B94" s="505" t="str">
        <f>'Rekap. Upah Pekerja'!B91</f>
        <v>Harga Satuan Pekerjaan Beton ( K 225 )  FE  125</v>
      </c>
      <c r="C94" s="518"/>
      <c r="D94" s="519" t="s">
        <v>52</v>
      </c>
      <c r="E94" s="506">
        <f>'Rekap. Analisa RAB'!C92</f>
        <v>4032300</v>
      </c>
      <c r="F94" s="507">
        <f t="shared" si="3"/>
        <v>0</v>
      </c>
    </row>
    <row r="95" spans="1:6" s="498" customFormat="1" ht="15" customHeight="1" x14ac:dyDescent="0.25">
      <c r="A95" s="504" t="str">
        <f>'Rekap. Upah Pekerja'!A92</f>
        <v>30.7</v>
      </c>
      <c r="B95" s="505" t="str">
        <f>'Rekap. Upah Pekerja'!B92</f>
        <v>Harga Satuan Pekerjaan Beton ( K 250 )  FE  125</v>
      </c>
      <c r="C95" s="518"/>
      <c r="D95" s="519" t="s">
        <v>52</v>
      </c>
      <c r="E95" s="506">
        <f>'Rekap. Analisa RAB'!C93</f>
        <v>4053000</v>
      </c>
      <c r="F95" s="507">
        <f t="shared" si="3"/>
        <v>0</v>
      </c>
    </row>
    <row r="96" spans="1:6" s="498" customFormat="1" ht="15" customHeight="1" x14ac:dyDescent="0.25">
      <c r="A96" s="504" t="str">
        <f>'Rekap. Upah Pekerja'!A93</f>
        <v>30.8</v>
      </c>
      <c r="B96" s="505" t="str">
        <f>'Rekap. Upah Pekerja'!B93</f>
        <v>Harga Satuan Pekerjaan Beton ( K 275 )  FE  125</v>
      </c>
      <c r="C96" s="518"/>
      <c r="D96" s="519" t="s">
        <v>52</v>
      </c>
      <c r="E96" s="506">
        <f>'Rekap. Analisa RAB'!C94</f>
        <v>4088500</v>
      </c>
      <c r="F96" s="507">
        <f t="shared" si="3"/>
        <v>0</v>
      </c>
    </row>
    <row r="97" spans="1:6" s="498" customFormat="1" ht="15" customHeight="1" x14ac:dyDescent="0.25">
      <c r="A97" s="504" t="str">
        <f>'Rekap. Upah Pekerja'!A94</f>
        <v>30.9</v>
      </c>
      <c r="B97" s="505" t="str">
        <f>'Rekap. Upah Pekerja'!B94</f>
        <v>Harga Satuan Pekerjaan Beton ( K 300 )  FE  125</v>
      </c>
      <c r="C97" s="518"/>
      <c r="D97" s="519" t="s">
        <v>52</v>
      </c>
      <c r="E97" s="506">
        <f>'Rekap. Analisa RAB'!C95</f>
        <v>4099500</v>
      </c>
      <c r="F97" s="507">
        <f t="shared" si="3"/>
        <v>0</v>
      </c>
    </row>
    <row r="98" spans="1:6" s="498" customFormat="1" ht="15" customHeight="1" x14ac:dyDescent="0.25">
      <c r="A98" s="504" t="str">
        <f>'Rekap. Upah Pekerja'!A95</f>
        <v>30.10</v>
      </c>
      <c r="B98" s="505" t="str">
        <f>'Rekap. Upah Pekerja'!B95</f>
        <v>Harga Satuan Pekerjaan Beton ( K 325 )  FE  125</v>
      </c>
      <c r="C98" s="518"/>
      <c r="D98" s="519" t="s">
        <v>52</v>
      </c>
      <c r="E98" s="506">
        <f>'Rekap. Analisa RAB'!C96</f>
        <v>4200500</v>
      </c>
      <c r="F98" s="507">
        <f t="shared" si="3"/>
        <v>0</v>
      </c>
    </row>
    <row r="99" spans="1:6" s="498" customFormat="1" ht="15" customHeight="1" x14ac:dyDescent="0.25">
      <c r="A99" s="504" t="str">
        <f>'Rekap. Upah Pekerja'!A96</f>
        <v>30.11</v>
      </c>
      <c r="B99" s="505" t="str">
        <f>'Rekap. Upah Pekerja'!B96</f>
        <v>Harga Satuan Pekerjaan Beton ( K 350)  FE 125</v>
      </c>
      <c r="C99" s="518"/>
      <c r="D99" s="519" t="s">
        <v>52</v>
      </c>
      <c r="E99" s="506">
        <f>'Rekap. Analisa RAB'!C97</f>
        <v>4214900</v>
      </c>
      <c r="F99" s="507">
        <f t="shared" si="3"/>
        <v>0</v>
      </c>
    </row>
    <row r="100" spans="1:6" s="498" customFormat="1" ht="15" customHeight="1" x14ac:dyDescent="0.25">
      <c r="A100" s="508">
        <f>'Rekap. Upah Pekerja'!A97</f>
        <v>31</v>
      </c>
      <c r="B100" s="509" t="str">
        <f>'Rekap. Upah Pekerja'!B97</f>
        <v>1 m3 cor Beton Dinding k 100-350 fe 150</v>
      </c>
      <c r="C100" s="520"/>
      <c r="D100" s="521"/>
      <c r="E100" s="510"/>
      <c r="F100" s="511"/>
    </row>
    <row r="101" spans="1:6" s="498" customFormat="1" ht="15" customHeight="1" x14ac:dyDescent="0.25">
      <c r="A101" s="504" t="str">
        <f>'Rekap. Upah Pekerja'!A98</f>
        <v>31.1</v>
      </c>
      <c r="B101" s="505" t="str">
        <f>'Rekap. Upah Pekerja'!B98</f>
        <v>Harga Satuan Pekerjaan Beton (k 100) Fe 150</v>
      </c>
      <c r="C101" s="518"/>
      <c r="D101" s="519" t="s">
        <v>52</v>
      </c>
      <c r="E101" s="506">
        <f>'Rekap. Analisa RAB'!C99</f>
        <v>7060500</v>
      </c>
      <c r="F101" s="507">
        <f t="shared" si="3"/>
        <v>0</v>
      </c>
    </row>
    <row r="102" spans="1:6" s="498" customFormat="1" ht="15" customHeight="1" x14ac:dyDescent="0.25">
      <c r="A102" s="504" t="str">
        <f>'Rekap. Upah Pekerja'!A99</f>
        <v>31.2</v>
      </c>
      <c r="B102" s="505" t="str">
        <f>'Rekap. Upah Pekerja'!B99</f>
        <v>Harga satuan pekerjaan Beton ( K 125 )  FE  150</v>
      </c>
      <c r="C102" s="518"/>
      <c r="D102" s="519" t="s">
        <v>52</v>
      </c>
      <c r="E102" s="506">
        <f>'Rekap. Analisa RAB'!C100</f>
        <v>7110200</v>
      </c>
      <c r="F102" s="507">
        <f t="shared" si="3"/>
        <v>0</v>
      </c>
    </row>
    <row r="103" spans="1:6" s="498" customFormat="1" ht="15" customHeight="1" x14ac:dyDescent="0.25">
      <c r="A103" s="504" t="str">
        <f>'Rekap. Upah Pekerja'!A100</f>
        <v>31.3</v>
      </c>
      <c r="B103" s="505" t="str">
        <f>'Rekap. Upah Pekerja'!B100</f>
        <v>Harga satuan pekerjaan Beton ( K 150 )  FE  150</v>
      </c>
      <c r="C103" s="518"/>
      <c r="D103" s="519" t="s">
        <v>52</v>
      </c>
      <c r="E103" s="506">
        <f>'Rekap. Analisa RAB'!C101</f>
        <v>7148800</v>
      </c>
      <c r="F103" s="507">
        <f t="shared" si="3"/>
        <v>0</v>
      </c>
    </row>
    <row r="104" spans="1:6" s="498" customFormat="1" ht="15" customHeight="1" x14ac:dyDescent="0.25">
      <c r="A104" s="504" t="str">
        <f>'Rekap. Upah Pekerja'!A101</f>
        <v>31.4</v>
      </c>
      <c r="B104" s="505" t="str">
        <f>'Rekap. Upah Pekerja'!B101</f>
        <v>Harga Satuan Pekerjaan Beton ( K 175 )  FE  150</v>
      </c>
      <c r="C104" s="518"/>
      <c r="D104" s="519" t="s">
        <v>52</v>
      </c>
      <c r="E104" s="506">
        <f>'Rekap. Analisa RAB'!C102</f>
        <v>7194900</v>
      </c>
      <c r="F104" s="507">
        <f t="shared" si="3"/>
        <v>0</v>
      </c>
    </row>
    <row r="105" spans="1:6" s="498" customFormat="1" ht="15" customHeight="1" x14ac:dyDescent="0.25">
      <c r="A105" s="504" t="str">
        <f>'Rekap. Upah Pekerja'!A102</f>
        <v>31.5</v>
      </c>
      <c r="B105" s="505" t="str">
        <f>'Rekap. Upah Pekerja'!B102</f>
        <v>Harga Satuan Pekerjaan Beton ( K 200 )  FE  150</v>
      </c>
      <c r="C105" s="518"/>
      <c r="D105" s="519" t="s">
        <v>52</v>
      </c>
      <c r="E105" s="506">
        <f>'Rekap. Analisa RAB'!C103</f>
        <v>7238100</v>
      </c>
      <c r="F105" s="507">
        <f t="shared" si="3"/>
        <v>0</v>
      </c>
    </row>
    <row r="106" spans="1:6" s="498" customFormat="1" ht="15" customHeight="1" x14ac:dyDescent="0.25">
      <c r="A106" s="504" t="str">
        <f>'Rekap. Upah Pekerja'!A103</f>
        <v>31.6</v>
      </c>
      <c r="B106" s="505" t="str">
        <f>'Rekap. Upah Pekerja'!B103</f>
        <v>Harga Satuan Pekerjaan Beton ( K 225 )  FE  150</v>
      </c>
      <c r="C106" s="518"/>
      <c r="D106" s="519" t="s">
        <v>52</v>
      </c>
      <c r="E106" s="506">
        <f>'Rekap. Analisa RAB'!C104</f>
        <v>7271600</v>
      </c>
      <c r="F106" s="507">
        <f t="shared" si="3"/>
        <v>0</v>
      </c>
    </row>
    <row r="107" spans="1:6" s="498" customFormat="1" ht="15" customHeight="1" x14ac:dyDescent="0.25">
      <c r="A107" s="504" t="str">
        <f>'Rekap. Upah Pekerja'!A104</f>
        <v>31.7</v>
      </c>
      <c r="B107" s="505" t="str">
        <f>'Rekap. Upah Pekerja'!B104</f>
        <v>Harga Satuan Pekerjaan Beton ( K 250 )  FE  150</v>
      </c>
      <c r="C107" s="518"/>
      <c r="D107" s="519" t="s">
        <v>52</v>
      </c>
      <c r="E107" s="506">
        <f>'Rekap. Analisa RAB'!C105</f>
        <v>7292300</v>
      </c>
      <c r="F107" s="507">
        <f t="shared" si="3"/>
        <v>0</v>
      </c>
    </row>
    <row r="108" spans="1:6" s="498" customFormat="1" ht="15" customHeight="1" x14ac:dyDescent="0.25">
      <c r="A108" s="504" t="str">
        <f>'Rekap. Upah Pekerja'!A105</f>
        <v>31.8</v>
      </c>
      <c r="B108" s="505" t="str">
        <f>'Rekap. Upah Pekerja'!B105</f>
        <v>Harga Satuan Pekerjaan Beton ( K 275 )  FE  150</v>
      </c>
      <c r="C108" s="518"/>
      <c r="D108" s="519" t="s">
        <v>52</v>
      </c>
      <c r="E108" s="506">
        <f>'Rekap. Analisa RAB'!C106</f>
        <v>7327800</v>
      </c>
      <c r="F108" s="507">
        <f t="shared" si="3"/>
        <v>0</v>
      </c>
    </row>
    <row r="109" spans="1:6" s="498" customFormat="1" ht="15" customHeight="1" x14ac:dyDescent="0.25">
      <c r="A109" s="504" t="str">
        <f>'Rekap. Upah Pekerja'!A106</f>
        <v>31.9</v>
      </c>
      <c r="B109" s="505" t="str">
        <f>'Rekap. Upah Pekerja'!B106</f>
        <v>Harga Satuan Pekerjaan Beton ( K 300 )  FE  150</v>
      </c>
      <c r="C109" s="518"/>
      <c r="D109" s="519" t="s">
        <v>52</v>
      </c>
      <c r="E109" s="506">
        <f>'Rekap. Analisa RAB'!C107</f>
        <v>7338800</v>
      </c>
      <c r="F109" s="507">
        <f t="shared" si="3"/>
        <v>0</v>
      </c>
    </row>
    <row r="110" spans="1:6" s="498" customFormat="1" ht="15" customHeight="1" x14ac:dyDescent="0.25">
      <c r="A110" s="504" t="str">
        <f>'Rekap. Upah Pekerja'!A107</f>
        <v>31.10</v>
      </c>
      <c r="B110" s="505" t="str">
        <f>'Rekap. Upah Pekerja'!B107</f>
        <v>Harga Satuan Pekerjaan Beton ( K 325 )  FE  150</v>
      </c>
      <c r="C110" s="518"/>
      <c r="D110" s="519" t="s">
        <v>52</v>
      </c>
      <c r="E110" s="506">
        <f>'Rekap. Analisa RAB'!C108</f>
        <v>7439800</v>
      </c>
      <c r="F110" s="507">
        <f t="shared" si="3"/>
        <v>0</v>
      </c>
    </row>
    <row r="111" spans="1:6" s="498" customFormat="1" ht="15" customHeight="1" x14ac:dyDescent="0.25">
      <c r="A111" s="504" t="str">
        <f>'Rekap. Upah Pekerja'!A108</f>
        <v>31.11</v>
      </c>
      <c r="B111" s="505" t="str">
        <f>'Rekap. Upah Pekerja'!B108</f>
        <v>Harga Satuan Pekerjaan Beton ( K 350)  FE 150</v>
      </c>
      <c r="C111" s="518"/>
      <c r="D111" s="519" t="s">
        <v>52</v>
      </c>
      <c r="E111" s="506">
        <f>'Rekap. Analisa RAB'!C109</f>
        <v>7454200</v>
      </c>
      <c r="F111" s="507">
        <f t="shared" si="3"/>
        <v>0</v>
      </c>
    </row>
    <row r="112" spans="1:6" s="498" customFormat="1" ht="15" customHeight="1" x14ac:dyDescent="0.25">
      <c r="A112" s="508">
        <f>'Rekap. Upah Pekerja'!A109</f>
        <v>32</v>
      </c>
      <c r="B112" s="509" t="str">
        <f>'Rekap. Upah Pekerja'!B109</f>
        <v>1 m3 cor Beton Sloof k 100 - 350  fe 150</v>
      </c>
      <c r="C112" s="520"/>
      <c r="D112" s="521"/>
      <c r="E112" s="510"/>
      <c r="F112" s="511"/>
    </row>
    <row r="113" spans="1:6" s="498" customFormat="1" ht="15" customHeight="1" x14ac:dyDescent="0.25">
      <c r="A113" s="504" t="str">
        <f>'Rekap. Upah Pekerja'!A110</f>
        <v>32.1</v>
      </c>
      <c r="B113" s="505" t="str">
        <f>'Rekap. Upah Pekerja'!B110</f>
        <v>Harga Satuan Pekerjaan Beton (k 100) Fe 150</v>
      </c>
      <c r="C113" s="518"/>
      <c r="D113" s="519" t="s">
        <v>52</v>
      </c>
      <c r="E113" s="506">
        <f>'Rekap. Analisa RAB'!C111</f>
        <v>4493300</v>
      </c>
      <c r="F113" s="507">
        <f t="shared" si="3"/>
        <v>0</v>
      </c>
    </row>
    <row r="114" spans="1:6" s="498" customFormat="1" ht="15" customHeight="1" x14ac:dyDescent="0.25">
      <c r="A114" s="504" t="str">
        <f>'Rekap. Upah Pekerja'!A111</f>
        <v>32.2</v>
      </c>
      <c r="B114" s="505" t="str">
        <f>'Rekap. Upah Pekerja'!B111</f>
        <v>Harga satuan pekerjaan Beton ( K 125 )  FE  150</v>
      </c>
      <c r="C114" s="518"/>
      <c r="D114" s="519" t="s">
        <v>52</v>
      </c>
      <c r="E114" s="506">
        <f>'Rekap. Analisa RAB'!C112</f>
        <v>4543000</v>
      </c>
      <c r="F114" s="507">
        <f t="shared" si="3"/>
        <v>0</v>
      </c>
    </row>
    <row r="115" spans="1:6" s="498" customFormat="1" ht="15" customHeight="1" x14ac:dyDescent="0.25">
      <c r="A115" s="504" t="str">
        <f>'Rekap. Upah Pekerja'!A112</f>
        <v>32.3</v>
      </c>
      <c r="B115" s="505" t="str">
        <f>'Rekap. Upah Pekerja'!B112</f>
        <v>Harga satuan pekerjaan Beton ( K 150 )  FE  150</v>
      </c>
      <c r="C115" s="518"/>
      <c r="D115" s="519" t="s">
        <v>52</v>
      </c>
      <c r="E115" s="506">
        <f>'Rekap. Analisa RAB'!C113</f>
        <v>4581600</v>
      </c>
      <c r="F115" s="507">
        <f t="shared" si="3"/>
        <v>0</v>
      </c>
    </row>
    <row r="116" spans="1:6" s="498" customFormat="1" ht="15" customHeight="1" x14ac:dyDescent="0.25">
      <c r="A116" s="504" t="str">
        <f>'Rekap. Upah Pekerja'!A113</f>
        <v>32.4</v>
      </c>
      <c r="B116" s="505" t="str">
        <f>'Rekap. Upah Pekerja'!B113</f>
        <v>Harga Satuan Pekerjaan Beton ( K 175 )  FE  150</v>
      </c>
      <c r="C116" s="518"/>
      <c r="D116" s="519" t="s">
        <v>52</v>
      </c>
      <c r="E116" s="506">
        <f>'Rekap. Analisa RAB'!C114</f>
        <v>4627700</v>
      </c>
      <c r="F116" s="507">
        <f t="shared" si="3"/>
        <v>0</v>
      </c>
    </row>
    <row r="117" spans="1:6" s="498" customFormat="1" ht="15" customHeight="1" x14ac:dyDescent="0.25">
      <c r="A117" s="504" t="str">
        <f>'Rekap. Upah Pekerja'!A114</f>
        <v>32.5</v>
      </c>
      <c r="B117" s="505" t="str">
        <f>'Rekap. Upah Pekerja'!B114</f>
        <v>Harga Satuan Pekerjaan Beton ( K 200 )  FE  150</v>
      </c>
      <c r="C117" s="518"/>
      <c r="D117" s="519" t="s">
        <v>52</v>
      </c>
      <c r="E117" s="506">
        <f>'Rekap. Analisa RAB'!C115</f>
        <v>4670900</v>
      </c>
      <c r="F117" s="507">
        <f t="shared" si="3"/>
        <v>0</v>
      </c>
    </row>
    <row r="118" spans="1:6" s="498" customFormat="1" ht="15" customHeight="1" x14ac:dyDescent="0.25">
      <c r="A118" s="504" t="str">
        <f>'Rekap. Upah Pekerja'!A115</f>
        <v>32.6</v>
      </c>
      <c r="B118" s="505" t="str">
        <f>'Rekap. Upah Pekerja'!B115</f>
        <v>Harga Satuan Pekerjaan Beton ( K 225 )  FE  150</v>
      </c>
      <c r="C118" s="518"/>
      <c r="D118" s="519" t="s">
        <v>52</v>
      </c>
      <c r="E118" s="506">
        <f>'Rekap. Analisa RAB'!C116</f>
        <v>4704400</v>
      </c>
      <c r="F118" s="507">
        <f t="shared" si="3"/>
        <v>0</v>
      </c>
    </row>
    <row r="119" spans="1:6" s="498" customFormat="1" ht="15" customHeight="1" x14ac:dyDescent="0.25">
      <c r="A119" s="504" t="str">
        <f>'Rekap. Upah Pekerja'!A116</f>
        <v>32.7</v>
      </c>
      <c r="B119" s="505" t="str">
        <f>'Rekap. Upah Pekerja'!B116</f>
        <v>Harga Satuan Pekerjaan Beton ( K 250 )  FE  150</v>
      </c>
      <c r="C119" s="518"/>
      <c r="D119" s="519" t="s">
        <v>52</v>
      </c>
      <c r="E119" s="506">
        <f>'Rekap. Analisa RAB'!C117</f>
        <v>4725100</v>
      </c>
      <c r="F119" s="507">
        <f t="shared" si="3"/>
        <v>0</v>
      </c>
    </row>
    <row r="120" spans="1:6" s="498" customFormat="1" ht="15" customHeight="1" x14ac:dyDescent="0.25">
      <c r="A120" s="504" t="str">
        <f>'Rekap. Upah Pekerja'!A117</f>
        <v>32.8</v>
      </c>
      <c r="B120" s="505" t="str">
        <f>'Rekap. Upah Pekerja'!B117</f>
        <v>Harga Satuan Pekerjaan Beton ( K 275 )  FE  150</v>
      </c>
      <c r="C120" s="518"/>
      <c r="D120" s="519" t="s">
        <v>52</v>
      </c>
      <c r="E120" s="506">
        <f>'Rekap. Analisa RAB'!C118</f>
        <v>4760600</v>
      </c>
      <c r="F120" s="507">
        <f t="shared" si="3"/>
        <v>0</v>
      </c>
    </row>
    <row r="121" spans="1:6" s="498" customFormat="1" ht="15" customHeight="1" x14ac:dyDescent="0.25">
      <c r="A121" s="504" t="str">
        <f>'Rekap. Upah Pekerja'!A118</f>
        <v>32.9</v>
      </c>
      <c r="B121" s="505" t="str">
        <f>'Rekap. Upah Pekerja'!B118</f>
        <v>Harga Satuan Pekerjaan Beton ( K 300 )  FE  150</v>
      </c>
      <c r="C121" s="518"/>
      <c r="D121" s="519" t="s">
        <v>52</v>
      </c>
      <c r="E121" s="506">
        <f>'Rekap. Analisa RAB'!C119</f>
        <v>4771600</v>
      </c>
      <c r="F121" s="507">
        <f t="shared" si="3"/>
        <v>0</v>
      </c>
    </row>
    <row r="122" spans="1:6" s="498" customFormat="1" ht="15" customHeight="1" x14ac:dyDescent="0.25">
      <c r="A122" s="504" t="str">
        <f>'Rekap. Upah Pekerja'!A119</f>
        <v>32.10</v>
      </c>
      <c r="B122" s="505" t="str">
        <f>'Rekap. Upah Pekerja'!B119</f>
        <v>Harga Satuan Pekerjaan Beton ( K 325 )  FE  150</v>
      </c>
      <c r="C122" s="518"/>
      <c r="D122" s="519" t="s">
        <v>52</v>
      </c>
      <c r="E122" s="506">
        <f>'Rekap. Analisa RAB'!C120</f>
        <v>4872600</v>
      </c>
      <c r="F122" s="507">
        <f t="shared" ref="F122:F171" si="4">C122*E122</f>
        <v>0</v>
      </c>
    </row>
    <row r="123" spans="1:6" s="498" customFormat="1" ht="15" customHeight="1" x14ac:dyDescent="0.25">
      <c r="A123" s="504" t="str">
        <f>'Rekap. Upah Pekerja'!A120</f>
        <v>32.11</v>
      </c>
      <c r="B123" s="505" t="str">
        <f>'Rekap. Upah Pekerja'!B120</f>
        <v>Harga Satuan Pekerjaan Beton ( K 350)  FE 150</v>
      </c>
      <c r="C123" s="518"/>
      <c r="D123" s="519" t="s">
        <v>52</v>
      </c>
      <c r="E123" s="506">
        <f>'Rekap. Analisa RAB'!C121</f>
        <v>4887000</v>
      </c>
      <c r="F123" s="507">
        <f t="shared" si="4"/>
        <v>0</v>
      </c>
    </row>
    <row r="124" spans="1:6" s="498" customFormat="1" ht="15" customHeight="1" x14ac:dyDescent="0.25">
      <c r="A124" s="508">
        <f>'Rekap. Upah Pekerja'!A121</f>
        <v>33</v>
      </c>
      <c r="B124" s="509" t="str">
        <f>'Rekap. Upah Pekerja'!B121</f>
        <v>1 m3 cor Beton Lantai k 100 - 350 fe 110</v>
      </c>
      <c r="C124" s="520"/>
      <c r="D124" s="521"/>
      <c r="E124" s="510"/>
      <c r="F124" s="511"/>
    </row>
    <row r="125" spans="1:6" s="498" customFormat="1" ht="15" customHeight="1" x14ac:dyDescent="0.25">
      <c r="A125" s="504" t="str">
        <f>'Rekap. Upah Pekerja'!A122</f>
        <v>33.1</v>
      </c>
      <c r="B125" s="505" t="str">
        <f>'Rekap. Upah Pekerja'!B122</f>
        <v>Harga Satuan Pekerjaan (D+E) (k 100) Fe 110</v>
      </c>
      <c r="C125" s="518"/>
      <c r="D125" s="519" t="s">
        <v>52</v>
      </c>
      <c r="E125" s="506">
        <f>'Rekap. Analisa RAB'!C123</f>
        <v>7119500</v>
      </c>
      <c r="F125" s="507">
        <f t="shared" si="4"/>
        <v>0</v>
      </c>
    </row>
    <row r="126" spans="1:6" s="498" customFormat="1" ht="15" customHeight="1" x14ac:dyDescent="0.25">
      <c r="A126" s="504" t="str">
        <f>'Rekap. Upah Pekerja'!A123</f>
        <v>33.2</v>
      </c>
      <c r="B126" s="505" t="str">
        <f>'Rekap. Upah Pekerja'!B123</f>
        <v>Harga satuan pekerjaan Beton ( K 125 )  FE  110</v>
      </c>
      <c r="C126" s="518"/>
      <c r="D126" s="519" t="s">
        <v>52</v>
      </c>
      <c r="E126" s="506">
        <f>'Rekap. Analisa RAB'!C124</f>
        <v>7169200</v>
      </c>
      <c r="F126" s="507">
        <f t="shared" si="4"/>
        <v>0</v>
      </c>
    </row>
    <row r="127" spans="1:6" s="498" customFormat="1" ht="15" customHeight="1" x14ac:dyDescent="0.25">
      <c r="A127" s="504" t="str">
        <f>'Rekap. Upah Pekerja'!A124</f>
        <v>33.3</v>
      </c>
      <c r="B127" s="505" t="str">
        <f>'Rekap. Upah Pekerja'!B124</f>
        <v>Harga satuan pekerjaan Beton ( K 150 )  FE  110</v>
      </c>
      <c r="C127" s="518"/>
      <c r="D127" s="519" t="s">
        <v>52</v>
      </c>
      <c r="E127" s="506">
        <f>'Rekap. Analisa RAB'!C125</f>
        <v>7207800</v>
      </c>
      <c r="F127" s="507">
        <f t="shared" si="4"/>
        <v>0</v>
      </c>
    </row>
    <row r="128" spans="1:6" s="498" customFormat="1" ht="15" customHeight="1" x14ac:dyDescent="0.25">
      <c r="A128" s="504" t="str">
        <f>'Rekap. Upah Pekerja'!A125</f>
        <v>33.4</v>
      </c>
      <c r="B128" s="505" t="str">
        <f>'Rekap. Upah Pekerja'!B125</f>
        <v>Harga Satuan Pekerjaan Beton ( K 175 )  FE  110</v>
      </c>
      <c r="C128" s="518"/>
      <c r="D128" s="519" t="s">
        <v>52</v>
      </c>
      <c r="E128" s="506">
        <f>'Rekap. Analisa RAB'!C126</f>
        <v>7253900</v>
      </c>
      <c r="F128" s="507">
        <f t="shared" si="4"/>
        <v>0</v>
      </c>
    </row>
    <row r="129" spans="1:6" s="498" customFormat="1" ht="15" customHeight="1" x14ac:dyDescent="0.25">
      <c r="A129" s="504" t="str">
        <f>'Rekap. Upah Pekerja'!A126</f>
        <v>33.5</v>
      </c>
      <c r="B129" s="505" t="str">
        <f>'Rekap. Upah Pekerja'!B126</f>
        <v>Harga Satuan Pekerjaan Beton ( K 200 )  FE  110</v>
      </c>
      <c r="C129" s="518"/>
      <c r="D129" s="519" t="s">
        <v>52</v>
      </c>
      <c r="E129" s="506">
        <f>'Rekap. Analisa RAB'!C127</f>
        <v>7297100</v>
      </c>
      <c r="F129" s="507">
        <f t="shared" si="4"/>
        <v>0</v>
      </c>
    </row>
    <row r="130" spans="1:6" s="498" customFormat="1" ht="15" customHeight="1" x14ac:dyDescent="0.25">
      <c r="A130" s="504" t="str">
        <f>'Rekap. Upah Pekerja'!A127</f>
        <v>33.6</v>
      </c>
      <c r="B130" s="505" t="str">
        <f>'Rekap. Upah Pekerja'!B127</f>
        <v>Harga Satuan Pekerjaan Beton ( K 225 )  FE  110</v>
      </c>
      <c r="C130" s="518"/>
      <c r="D130" s="519" t="s">
        <v>52</v>
      </c>
      <c r="E130" s="506">
        <f>'Rekap. Analisa RAB'!C128</f>
        <v>7330600</v>
      </c>
      <c r="F130" s="507">
        <f t="shared" si="4"/>
        <v>0</v>
      </c>
    </row>
    <row r="131" spans="1:6" s="498" customFormat="1" ht="15" customHeight="1" x14ac:dyDescent="0.25">
      <c r="A131" s="504" t="str">
        <f>'Rekap. Upah Pekerja'!A128</f>
        <v>33.7</v>
      </c>
      <c r="B131" s="505" t="str">
        <f>'Rekap. Upah Pekerja'!B128</f>
        <v>Harga Satuan Pekerjaan Beton ( K 250 )  FE  110</v>
      </c>
      <c r="C131" s="518"/>
      <c r="D131" s="519" t="s">
        <v>52</v>
      </c>
      <c r="E131" s="506">
        <f>'Rekap. Analisa RAB'!C129</f>
        <v>7351300</v>
      </c>
      <c r="F131" s="507">
        <f t="shared" si="4"/>
        <v>0</v>
      </c>
    </row>
    <row r="132" spans="1:6" s="498" customFormat="1" ht="15" customHeight="1" x14ac:dyDescent="0.25">
      <c r="A132" s="504" t="str">
        <f>'Rekap. Upah Pekerja'!A129</f>
        <v>33.8</v>
      </c>
      <c r="B132" s="505" t="str">
        <f>'Rekap. Upah Pekerja'!B129</f>
        <v>Harga Satuan Pekerjaan Beton ( K 275 )  FE  110</v>
      </c>
      <c r="C132" s="518"/>
      <c r="D132" s="519" t="s">
        <v>52</v>
      </c>
      <c r="E132" s="506">
        <f>'Rekap. Analisa RAB'!C130</f>
        <v>7386800</v>
      </c>
      <c r="F132" s="507">
        <f t="shared" si="4"/>
        <v>0</v>
      </c>
    </row>
    <row r="133" spans="1:6" s="498" customFormat="1" ht="15" customHeight="1" x14ac:dyDescent="0.25">
      <c r="A133" s="504" t="str">
        <f>'Rekap. Upah Pekerja'!A130</f>
        <v>33.9</v>
      </c>
      <c r="B133" s="505" t="str">
        <f>'Rekap. Upah Pekerja'!B130</f>
        <v>Harga Satuan Pekerjaan Beton ( K 300 )  FE  110</v>
      </c>
      <c r="C133" s="518"/>
      <c r="D133" s="519" t="s">
        <v>52</v>
      </c>
      <c r="E133" s="506">
        <f>'Rekap. Analisa RAB'!C131</f>
        <v>7397800</v>
      </c>
      <c r="F133" s="507">
        <f t="shared" si="4"/>
        <v>0</v>
      </c>
    </row>
    <row r="134" spans="1:6" s="498" customFormat="1" ht="15" customHeight="1" x14ac:dyDescent="0.25">
      <c r="A134" s="504" t="str">
        <f>'Rekap. Upah Pekerja'!A131</f>
        <v>33.10</v>
      </c>
      <c r="B134" s="505" t="str">
        <f>'Rekap. Upah Pekerja'!B131</f>
        <v>Harga Satuan Pekerjaan Beton ( K 325 )  FE  110</v>
      </c>
      <c r="C134" s="518"/>
      <c r="D134" s="519" t="s">
        <v>52</v>
      </c>
      <c r="E134" s="506">
        <f>'Rekap. Analisa RAB'!C132</f>
        <v>7498800</v>
      </c>
      <c r="F134" s="507">
        <f t="shared" si="4"/>
        <v>0</v>
      </c>
    </row>
    <row r="135" spans="1:6" s="498" customFormat="1" ht="15" customHeight="1" x14ac:dyDescent="0.25">
      <c r="A135" s="504" t="str">
        <f>'Rekap. Upah Pekerja'!A132</f>
        <v>33.11</v>
      </c>
      <c r="B135" s="505" t="str">
        <f>'Rekap. Upah Pekerja'!B132</f>
        <v>Harga Satuan Pekerjaan Beton ( K 350)  FE 110</v>
      </c>
      <c r="C135" s="518"/>
      <c r="D135" s="519" t="s">
        <v>52</v>
      </c>
      <c r="E135" s="506">
        <f>'Rekap. Analisa RAB'!C133</f>
        <v>7513200</v>
      </c>
      <c r="F135" s="507">
        <f t="shared" si="4"/>
        <v>0</v>
      </c>
    </row>
    <row r="136" spans="1:6" s="498" customFormat="1" ht="15" customHeight="1" x14ac:dyDescent="0.25">
      <c r="A136" s="508">
        <f>'Rekap. Upah Pekerja'!A133</f>
        <v>34</v>
      </c>
      <c r="B136" s="509" t="str">
        <f>'Rekap. Upah Pekerja'!B133</f>
        <v>1 m3 cor Beton Kolom k 100- 350 fe 175</v>
      </c>
      <c r="C136" s="520"/>
      <c r="D136" s="521"/>
      <c r="E136" s="510"/>
      <c r="F136" s="511"/>
    </row>
    <row r="137" spans="1:6" s="498" customFormat="1" ht="15" customHeight="1" x14ac:dyDescent="0.25">
      <c r="A137" s="504" t="str">
        <f>'Rekap. Upah Pekerja'!A134</f>
        <v>34.1</v>
      </c>
      <c r="B137" s="505" t="str">
        <f>'Rekap. Upah Pekerja'!B134</f>
        <v>Harga Satuan Pekerjaan (D+E) (k 100) Fe 175</v>
      </c>
      <c r="C137" s="518"/>
      <c r="D137" s="519" t="s">
        <v>52</v>
      </c>
      <c r="E137" s="506">
        <f>'Rekap. Analisa RAB'!C135</f>
        <v>8019700</v>
      </c>
      <c r="F137" s="507">
        <f t="shared" si="4"/>
        <v>0</v>
      </c>
    </row>
    <row r="138" spans="1:6" s="498" customFormat="1" ht="15" customHeight="1" x14ac:dyDescent="0.25">
      <c r="A138" s="504" t="str">
        <f>'Rekap. Upah Pekerja'!A135</f>
        <v>34.2</v>
      </c>
      <c r="B138" s="505" t="str">
        <f>'Rekap. Upah Pekerja'!B135</f>
        <v>Harga satuan pekerjaan Beton ( K 125 )  FE  175</v>
      </c>
      <c r="C138" s="518"/>
      <c r="D138" s="519" t="s">
        <v>52</v>
      </c>
      <c r="E138" s="506">
        <f>'Rekap. Analisa RAB'!C136</f>
        <v>8069400</v>
      </c>
      <c r="F138" s="507">
        <f t="shared" si="4"/>
        <v>0</v>
      </c>
    </row>
    <row r="139" spans="1:6" s="498" customFormat="1" ht="15" customHeight="1" x14ac:dyDescent="0.25">
      <c r="A139" s="504" t="str">
        <f>'Rekap. Upah Pekerja'!A136</f>
        <v>34.3</v>
      </c>
      <c r="B139" s="505" t="str">
        <f>'Rekap. Upah Pekerja'!B136</f>
        <v>Harga satuan pekerjaan Beton ( K 150 )  FE  175</v>
      </c>
      <c r="C139" s="518"/>
      <c r="D139" s="519" t="s">
        <v>52</v>
      </c>
      <c r="E139" s="506">
        <f>'Rekap. Analisa RAB'!C137</f>
        <v>8108000</v>
      </c>
      <c r="F139" s="507">
        <f t="shared" si="4"/>
        <v>0</v>
      </c>
    </row>
    <row r="140" spans="1:6" s="498" customFormat="1" ht="15" customHeight="1" x14ac:dyDescent="0.25">
      <c r="A140" s="504" t="str">
        <f>'Rekap. Upah Pekerja'!A137</f>
        <v>34.4</v>
      </c>
      <c r="B140" s="505" t="str">
        <f>'Rekap. Upah Pekerja'!B137</f>
        <v>Harga Satuan Pekerjaan Beton ( K 175 )  FE  175</v>
      </c>
      <c r="C140" s="518"/>
      <c r="D140" s="519" t="s">
        <v>52</v>
      </c>
      <c r="E140" s="506">
        <f>'Rekap. Analisa RAB'!C138</f>
        <v>8154100</v>
      </c>
      <c r="F140" s="507">
        <f t="shared" si="4"/>
        <v>0</v>
      </c>
    </row>
    <row r="141" spans="1:6" s="498" customFormat="1" ht="15" customHeight="1" x14ac:dyDescent="0.25">
      <c r="A141" s="504" t="str">
        <f>'Rekap. Upah Pekerja'!A138</f>
        <v>34.5</v>
      </c>
      <c r="B141" s="505" t="str">
        <f>'Rekap. Upah Pekerja'!B138</f>
        <v>Harga Satuan Pekerjaan Beton ( K 200 )  FE  175</v>
      </c>
      <c r="C141" s="518"/>
      <c r="D141" s="519" t="s">
        <v>52</v>
      </c>
      <c r="E141" s="506">
        <f>'Rekap. Analisa RAB'!C139</f>
        <v>8197300</v>
      </c>
      <c r="F141" s="507">
        <f t="shared" si="4"/>
        <v>0</v>
      </c>
    </row>
    <row r="142" spans="1:6" s="498" customFormat="1" ht="15" customHeight="1" x14ac:dyDescent="0.25">
      <c r="A142" s="504" t="str">
        <f>'Rekap. Upah Pekerja'!A139</f>
        <v>34.6</v>
      </c>
      <c r="B142" s="505" t="str">
        <f>'Rekap. Upah Pekerja'!B139</f>
        <v>Harga Satuan Pekerjaan Beton ( K 225 )  FE  175</v>
      </c>
      <c r="C142" s="518"/>
      <c r="D142" s="519" t="s">
        <v>52</v>
      </c>
      <c r="E142" s="506">
        <f>'Rekap. Analisa RAB'!C140</f>
        <v>8230800</v>
      </c>
      <c r="F142" s="507">
        <f t="shared" si="4"/>
        <v>0</v>
      </c>
    </row>
    <row r="143" spans="1:6" s="498" customFormat="1" ht="15" customHeight="1" x14ac:dyDescent="0.25">
      <c r="A143" s="504" t="str">
        <f>'Rekap. Upah Pekerja'!A140</f>
        <v>34.7</v>
      </c>
      <c r="B143" s="505" t="str">
        <f>'Rekap. Upah Pekerja'!B140</f>
        <v>Harga Satuan Pekerjaan Beton ( K 250 )  FE  175</v>
      </c>
      <c r="C143" s="518"/>
      <c r="D143" s="519" t="s">
        <v>52</v>
      </c>
      <c r="E143" s="506">
        <f>'Rekap. Analisa RAB'!C141</f>
        <v>8251500</v>
      </c>
      <c r="F143" s="507">
        <f t="shared" si="4"/>
        <v>0</v>
      </c>
    </row>
    <row r="144" spans="1:6" s="498" customFormat="1" ht="15" customHeight="1" x14ac:dyDescent="0.25">
      <c r="A144" s="504" t="str">
        <f>'Rekap. Upah Pekerja'!A141</f>
        <v>34.8</v>
      </c>
      <c r="B144" s="505" t="str">
        <f>'Rekap. Upah Pekerja'!B141</f>
        <v>Harga Satuan Pekerjaan Beton ( K 275 )  FE  175</v>
      </c>
      <c r="C144" s="518"/>
      <c r="D144" s="519" t="s">
        <v>52</v>
      </c>
      <c r="E144" s="506">
        <f>'Rekap. Analisa RAB'!C142</f>
        <v>8287000</v>
      </c>
      <c r="F144" s="507">
        <f t="shared" si="4"/>
        <v>0</v>
      </c>
    </row>
    <row r="145" spans="1:6" s="498" customFormat="1" ht="15" customHeight="1" x14ac:dyDescent="0.25">
      <c r="A145" s="504" t="str">
        <f>'Rekap. Upah Pekerja'!A142</f>
        <v>34.9</v>
      </c>
      <c r="B145" s="505" t="str">
        <f>'Rekap. Upah Pekerja'!B142</f>
        <v>Harga Satuan Pekerjaan Beton ( K 300 )  FE  175</v>
      </c>
      <c r="C145" s="518"/>
      <c r="D145" s="519" t="s">
        <v>52</v>
      </c>
      <c r="E145" s="506">
        <f>'Rekap. Analisa RAB'!C143</f>
        <v>8298000</v>
      </c>
      <c r="F145" s="507">
        <f t="shared" si="4"/>
        <v>0</v>
      </c>
    </row>
    <row r="146" spans="1:6" s="498" customFormat="1" ht="15" customHeight="1" x14ac:dyDescent="0.25">
      <c r="A146" s="504" t="str">
        <f>'Rekap. Upah Pekerja'!A143</f>
        <v>34.10</v>
      </c>
      <c r="B146" s="505" t="str">
        <f>'Rekap. Upah Pekerja'!B143</f>
        <v>Harga Satuan Pekerjaan Beton ( K 325 )  FE  175</v>
      </c>
      <c r="C146" s="518"/>
      <c r="D146" s="519" t="s">
        <v>52</v>
      </c>
      <c r="E146" s="506">
        <f>'Rekap. Analisa RAB'!C144</f>
        <v>8399000</v>
      </c>
      <c r="F146" s="507">
        <f t="shared" si="4"/>
        <v>0</v>
      </c>
    </row>
    <row r="147" spans="1:6" s="498" customFormat="1" ht="15" customHeight="1" x14ac:dyDescent="0.25">
      <c r="A147" s="504" t="str">
        <f>'Rekap. Upah Pekerja'!A144</f>
        <v>34.11</v>
      </c>
      <c r="B147" s="505" t="str">
        <f>'Rekap. Upah Pekerja'!B144</f>
        <v>Harga Satuan Pekerjaan Beton ( K 350)  FE 175</v>
      </c>
      <c r="C147" s="518"/>
      <c r="D147" s="519" t="s">
        <v>52</v>
      </c>
      <c r="E147" s="506">
        <f>'Rekap. Analisa RAB'!C145</f>
        <v>8413400</v>
      </c>
      <c r="F147" s="507">
        <f t="shared" si="4"/>
        <v>0</v>
      </c>
    </row>
    <row r="148" spans="1:6" s="498" customFormat="1" ht="15" customHeight="1" x14ac:dyDescent="0.25">
      <c r="A148" s="508">
        <f>'Rekap. Upah Pekerja'!A145</f>
        <v>35</v>
      </c>
      <c r="B148" s="509" t="str">
        <f>'Rekap. Upah Pekerja'!B145</f>
        <v>1 m3 cor Beton Balok k 100-350 fe 200</v>
      </c>
      <c r="C148" s="520"/>
      <c r="D148" s="521"/>
      <c r="E148" s="510"/>
      <c r="F148" s="511"/>
    </row>
    <row r="149" spans="1:6" s="498" customFormat="1" ht="15" customHeight="1" x14ac:dyDescent="0.25">
      <c r="A149" s="504" t="str">
        <f>'Rekap. Upah Pekerja'!A146</f>
        <v>35.1</v>
      </c>
      <c r="B149" s="505" t="str">
        <f>'Rekap. Upah Pekerja'!B146</f>
        <v>Harga Satuan Pekerjaan (D+E) (k 100) Fe 200</v>
      </c>
      <c r="C149" s="518"/>
      <c r="D149" s="519" t="s">
        <v>52</v>
      </c>
      <c r="E149" s="506">
        <f>'Rekap. Analisa RAB'!C147</f>
        <v>7526400</v>
      </c>
      <c r="F149" s="507">
        <f t="shared" si="4"/>
        <v>0</v>
      </c>
    </row>
    <row r="150" spans="1:6" s="498" customFormat="1" ht="15" customHeight="1" x14ac:dyDescent="0.25">
      <c r="A150" s="504" t="str">
        <f>'Rekap. Upah Pekerja'!A147</f>
        <v>35.2</v>
      </c>
      <c r="B150" s="505" t="str">
        <f>'Rekap. Upah Pekerja'!B147</f>
        <v>Harga satuan pekerjaan Beton ( K 125 )  FE  200</v>
      </c>
      <c r="C150" s="518"/>
      <c r="D150" s="519" t="s">
        <v>52</v>
      </c>
      <c r="E150" s="506">
        <f>'Rekap. Analisa RAB'!C148</f>
        <v>7576100</v>
      </c>
      <c r="F150" s="507">
        <f t="shared" si="4"/>
        <v>0</v>
      </c>
    </row>
    <row r="151" spans="1:6" s="498" customFormat="1" ht="15" customHeight="1" x14ac:dyDescent="0.25">
      <c r="A151" s="504" t="str">
        <f>'Rekap. Upah Pekerja'!A148</f>
        <v>35.3</v>
      </c>
      <c r="B151" s="505" t="str">
        <f>'Rekap. Upah Pekerja'!B148</f>
        <v>Harga satuan pekerjaan Beton ( K 150 )  FE  200</v>
      </c>
      <c r="C151" s="518"/>
      <c r="D151" s="519" t="s">
        <v>52</v>
      </c>
      <c r="E151" s="506">
        <f>'Rekap. Analisa RAB'!C149</f>
        <v>7614700</v>
      </c>
      <c r="F151" s="507">
        <f t="shared" si="4"/>
        <v>0</v>
      </c>
    </row>
    <row r="152" spans="1:6" s="498" customFormat="1" ht="15" customHeight="1" x14ac:dyDescent="0.25">
      <c r="A152" s="504" t="str">
        <f>'Rekap. Upah Pekerja'!A149</f>
        <v>35.4</v>
      </c>
      <c r="B152" s="505" t="str">
        <f>'Rekap. Upah Pekerja'!B149</f>
        <v>Harga Satuan Pekerjaan Beton ( K 175 )  FE  200</v>
      </c>
      <c r="C152" s="518"/>
      <c r="D152" s="519" t="s">
        <v>52</v>
      </c>
      <c r="E152" s="506">
        <f>'Rekap. Analisa RAB'!C150</f>
        <v>7660800</v>
      </c>
      <c r="F152" s="507">
        <f t="shared" si="4"/>
        <v>0</v>
      </c>
    </row>
    <row r="153" spans="1:6" s="498" customFormat="1" ht="15" customHeight="1" x14ac:dyDescent="0.25">
      <c r="A153" s="504" t="str">
        <f>'Rekap. Upah Pekerja'!A150</f>
        <v>35.5</v>
      </c>
      <c r="B153" s="505" t="str">
        <f>'Rekap. Upah Pekerja'!B150</f>
        <v>Harga Satuan Pekerjaan Beton ( K 200 )  FE  200</v>
      </c>
      <c r="C153" s="518"/>
      <c r="D153" s="519" t="s">
        <v>52</v>
      </c>
      <c r="E153" s="506">
        <f>'Rekap. Analisa RAB'!C151</f>
        <v>7704000</v>
      </c>
      <c r="F153" s="507">
        <f t="shared" si="4"/>
        <v>0</v>
      </c>
    </row>
    <row r="154" spans="1:6" s="498" customFormat="1" ht="15" customHeight="1" x14ac:dyDescent="0.25">
      <c r="A154" s="504" t="str">
        <f>'Rekap. Upah Pekerja'!A151</f>
        <v>35.6</v>
      </c>
      <c r="B154" s="505" t="str">
        <f>'Rekap. Upah Pekerja'!B151</f>
        <v>Harga Satuan Pekerjaan Beton ( K 225 )  FE  200</v>
      </c>
      <c r="C154" s="518"/>
      <c r="D154" s="519" t="s">
        <v>52</v>
      </c>
      <c r="E154" s="506">
        <f>'Rekap. Analisa RAB'!C152</f>
        <v>7737500</v>
      </c>
      <c r="F154" s="507">
        <f t="shared" si="4"/>
        <v>0</v>
      </c>
    </row>
    <row r="155" spans="1:6" s="498" customFormat="1" ht="15" customHeight="1" x14ac:dyDescent="0.25">
      <c r="A155" s="504" t="str">
        <f>'Rekap. Upah Pekerja'!A152</f>
        <v>35.7</v>
      </c>
      <c r="B155" s="505" t="str">
        <f>'Rekap. Upah Pekerja'!B152</f>
        <v>Harga Satuan Pekerjaan Beton ( K 250 )  FE  200</v>
      </c>
      <c r="C155" s="518"/>
      <c r="D155" s="519" t="s">
        <v>52</v>
      </c>
      <c r="E155" s="506">
        <f>'Rekap. Analisa RAB'!C153</f>
        <v>7758200</v>
      </c>
      <c r="F155" s="507">
        <f t="shared" si="4"/>
        <v>0</v>
      </c>
    </row>
    <row r="156" spans="1:6" s="498" customFormat="1" ht="15" customHeight="1" x14ac:dyDescent="0.25">
      <c r="A156" s="504" t="str">
        <f>'Rekap. Upah Pekerja'!A153</f>
        <v>35.8</v>
      </c>
      <c r="B156" s="505" t="str">
        <f>'Rekap. Upah Pekerja'!B153</f>
        <v>Harga Satuan Pekerjaan Beton ( K 275 )  FE  200</v>
      </c>
      <c r="C156" s="518"/>
      <c r="D156" s="519" t="s">
        <v>52</v>
      </c>
      <c r="E156" s="506">
        <f>'Rekap. Analisa RAB'!C154</f>
        <v>7793700</v>
      </c>
      <c r="F156" s="507">
        <f t="shared" si="4"/>
        <v>0</v>
      </c>
    </row>
    <row r="157" spans="1:6" s="498" customFormat="1" ht="15" customHeight="1" x14ac:dyDescent="0.25">
      <c r="A157" s="504" t="str">
        <f>'Rekap. Upah Pekerja'!A154</f>
        <v>35.9</v>
      </c>
      <c r="B157" s="505" t="str">
        <f>'Rekap. Upah Pekerja'!B154</f>
        <v>Harga Satuan Pekerjaan Beton ( K 300 )  FE  200</v>
      </c>
      <c r="C157" s="518"/>
      <c r="D157" s="519" t="s">
        <v>52</v>
      </c>
      <c r="E157" s="506">
        <f>'Rekap. Analisa RAB'!C155</f>
        <v>7804700</v>
      </c>
      <c r="F157" s="507">
        <f t="shared" si="4"/>
        <v>0</v>
      </c>
    </row>
    <row r="158" spans="1:6" s="498" customFormat="1" ht="15" customHeight="1" x14ac:dyDescent="0.25">
      <c r="A158" s="504" t="str">
        <f>'Rekap. Upah Pekerja'!A155</f>
        <v>35.10</v>
      </c>
      <c r="B158" s="505" t="str">
        <f>'Rekap. Upah Pekerja'!B155</f>
        <v>Harga Satuan Pekerjaan Beton ( K 325 )  FE  200</v>
      </c>
      <c r="C158" s="518"/>
      <c r="D158" s="519" t="s">
        <v>52</v>
      </c>
      <c r="E158" s="506">
        <f>'Rekap. Analisa RAB'!C156</f>
        <v>7905700</v>
      </c>
      <c r="F158" s="507">
        <f t="shared" si="4"/>
        <v>0</v>
      </c>
    </row>
    <row r="159" spans="1:6" s="498" customFormat="1" ht="15" customHeight="1" x14ac:dyDescent="0.25">
      <c r="A159" s="504" t="str">
        <f>'Rekap. Upah Pekerja'!A156</f>
        <v>35.11</v>
      </c>
      <c r="B159" s="505" t="str">
        <f>'Rekap. Upah Pekerja'!B156</f>
        <v>Harga Satuan Pekerjaan Beton ( K 350)  FE 200</v>
      </c>
      <c r="C159" s="518"/>
      <c r="D159" s="519" t="s">
        <v>52</v>
      </c>
      <c r="E159" s="506">
        <f>'Rekap. Analisa RAB'!C157</f>
        <v>7920100</v>
      </c>
      <c r="F159" s="507">
        <f t="shared" si="4"/>
        <v>0</v>
      </c>
    </row>
    <row r="160" spans="1:6" s="498" customFormat="1" ht="15" customHeight="1" x14ac:dyDescent="0.25">
      <c r="A160" s="508">
        <f>'Rekap. Upah Pekerja'!A157</f>
        <v>36</v>
      </c>
      <c r="B160" s="509" t="str">
        <f>'Rekap. Upah Pekerja'!B157</f>
        <v>1 m3 cor Beton Tangga k 100-350 fe 110</v>
      </c>
      <c r="C160" s="520"/>
      <c r="D160" s="521"/>
      <c r="E160" s="510"/>
      <c r="F160" s="511"/>
    </row>
    <row r="161" spans="1:6" s="498" customFormat="1" ht="15" customHeight="1" x14ac:dyDescent="0.25">
      <c r="A161" s="504" t="str">
        <f>'Rekap. Upah Pekerja'!A158</f>
        <v>36.1</v>
      </c>
      <c r="B161" s="505" t="str">
        <f>'Rekap. Upah Pekerja'!B158</f>
        <v>Harga Satuan Pekerjaan (D+E) (k 100) Fe 110</v>
      </c>
      <c r="C161" s="518"/>
      <c r="D161" s="519" t="s">
        <v>52</v>
      </c>
      <c r="E161" s="506">
        <f>'Rekap. Analisa RAB'!C159</f>
        <v>5500600</v>
      </c>
      <c r="F161" s="507">
        <f t="shared" si="4"/>
        <v>0</v>
      </c>
    </row>
    <row r="162" spans="1:6" s="498" customFormat="1" ht="15" customHeight="1" x14ac:dyDescent="0.25">
      <c r="A162" s="504" t="str">
        <f>'Rekap. Upah Pekerja'!A159</f>
        <v>36.2</v>
      </c>
      <c r="B162" s="505" t="str">
        <f>'Rekap. Upah Pekerja'!B159</f>
        <v>Harga satuan pekerjaan Beton ( K 125 )  FE  110</v>
      </c>
      <c r="C162" s="518"/>
      <c r="D162" s="519" t="s">
        <v>52</v>
      </c>
      <c r="E162" s="506">
        <f>'Rekap. Analisa RAB'!C160</f>
        <v>5550300</v>
      </c>
      <c r="F162" s="507">
        <f t="shared" si="4"/>
        <v>0</v>
      </c>
    </row>
    <row r="163" spans="1:6" s="498" customFormat="1" ht="15" customHeight="1" x14ac:dyDescent="0.25">
      <c r="A163" s="504" t="str">
        <f>'Rekap. Upah Pekerja'!A160</f>
        <v>36.3</v>
      </c>
      <c r="B163" s="505" t="str">
        <f>'Rekap. Upah Pekerja'!B160</f>
        <v>Harga satuan pekerjaan Beton ( K 150 )  FE  110</v>
      </c>
      <c r="C163" s="518"/>
      <c r="D163" s="519" t="s">
        <v>52</v>
      </c>
      <c r="E163" s="506">
        <f>'Rekap. Analisa RAB'!C161</f>
        <v>5588900</v>
      </c>
      <c r="F163" s="507">
        <f t="shared" si="4"/>
        <v>0</v>
      </c>
    </row>
    <row r="164" spans="1:6" s="498" customFormat="1" ht="15" customHeight="1" x14ac:dyDescent="0.25">
      <c r="A164" s="504" t="str">
        <f>'Rekap. Upah Pekerja'!A161</f>
        <v>36.4</v>
      </c>
      <c r="B164" s="505" t="str">
        <f>'Rekap. Upah Pekerja'!B161</f>
        <v>Harga Satuan Pekerjaan Beton ( K 175 )  FE  110</v>
      </c>
      <c r="C164" s="518"/>
      <c r="D164" s="519" t="s">
        <v>52</v>
      </c>
      <c r="E164" s="506">
        <f>'Rekap. Analisa RAB'!C162</f>
        <v>5635000</v>
      </c>
      <c r="F164" s="507">
        <f t="shared" si="4"/>
        <v>0</v>
      </c>
    </row>
    <row r="165" spans="1:6" s="498" customFormat="1" ht="15" customHeight="1" x14ac:dyDescent="0.25">
      <c r="A165" s="504" t="str">
        <f>'Rekap. Upah Pekerja'!A162</f>
        <v>36.5</v>
      </c>
      <c r="B165" s="505" t="str">
        <f>'Rekap. Upah Pekerja'!B162</f>
        <v>Harga Satuan Pekerjaan Beton ( K 200 )  FE  110</v>
      </c>
      <c r="C165" s="518"/>
      <c r="D165" s="519" t="s">
        <v>52</v>
      </c>
      <c r="E165" s="506">
        <f>'Rekap. Analisa RAB'!C163</f>
        <v>5678200</v>
      </c>
      <c r="F165" s="507">
        <f t="shared" si="4"/>
        <v>0</v>
      </c>
    </row>
    <row r="166" spans="1:6" s="498" customFormat="1" ht="15" customHeight="1" x14ac:dyDescent="0.25">
      <c r="A166" s="504" t="str">
        <f>'Rekap. Upah Pekerja'!A163</f>
        <v>36.6</v>
      </c>
      <c r="B166" s="505" t="str">
        <f>'Rekap. Upah Pekerja'!B163</f>
        <v>Harga Satuan Pekerjaan Beton ( K 225 )  FE  110</v>
      </c>
      <c r="C166" s="518"/>
      <c r="D166" s="519" t="s">
        <v>52</v>
      </c>
      <c r="E166" s="506">
        <f>'Rekap. Analisa RAB'!C164</f>
        <v>5711700</v>
      </c>
      <c r="F166" s="507">
        <f t="shared" si="4"/>
        <v>0</v>
      </c>
    </row>
    <row r="167" spans="1:6" s="498" customFormat="1" ht="15" customHeight="1" x14ac:dyDescent="0.25">
      <c r="A167" s="504" t="str">
        <f>'Rekap. Upah Pekerja'!A164</f>
        <v>36.7</v>
      </c>
      <c r="B167" s="505" t="str">
        <f>'Rekap. Upah Pekerja'!B164</f>
        <v>Harga Satuan Pekerjaan Beton ( K 250 )  FE  110</v>
      </c>
      <c r="C167" s="518"/>
      <c r="D167" s="519" t="s">
        <v>52</v>
      </c>
      <c r="E167" s="506">
        <f>'Rekap. Analisa RAB'!C165</f>
        <v>5732400</v>
      </c>
      <c r="F167" s="507">
        <f t="shared" si="4"/>
        <v>0</v>
      </c>
    </row>
    <row r="168" spans="1:6" s="498" customFormat="1" ht="15" customHeight="1" x14ac:dyDescent="0.25">
      <c r="A168" s="504" t="str">
        <f>'Rekap. Upah Pekerja'!A165</f>
        <v>36.8</v>
      </c>
      <c r="B168" s="505" t="str">
        <f>'Rekap. Upah Pekerja'!B165</f>
        <v>Harga Satuan Pekerjaan Beton ( K 275 )  FE  110</v>
      </c>
      <c r="C168" s="518"/>
      <c r="D168" s="519" t="s">
        <v>52</v>
      </c>
      <c r="E168" s="506">
        <f>'Rekap. Analisa RAB'!C166</f>
        <v>5767900</v>
      </c>
      <c r="F168" s="507">
        <f t="shared" si="4"/>
        <v>0</v>
      </c>
    </row>
    <row r="169" spans="1:6" s="498" customFormat="1" ht="15" customHeight="1" x14ac:dyDescent="0.25">
      <c r="A169" s="504" t="str">
        <f>'Rekap. Upah Pekerja'!A166</f>
        <v>36.9</v>
      </c>
      <c r="B169" s="505" t="str">
        <f>'Rekap. Upah Pekerja'!B166</f>
        <v>Harga Satuan Pekerjaan Beton ( K 300 )  FE  110</v>
      </c>
      <c r="C169" s="518"/>
      <c r="D169" s="519" t="s">
        <v>52</v>
      </c>
      <c r="E169" s="506">
        <f>'Rekap. Analisa RAB'!C167</f>
        <v>5778900</v>
      </c>
      <c r="F169" s="507">
        <f t="shared" si="4"/>
        <v>0</v>
      </c>
    </row>
    <row r="170" spans="1:6" s="498" customFormat="1" ht="15" customHeight="1" x14ac:dyDescent="0.25">
      <c r="A170" s="504" t="str">
        <f>'Rekap. Upah Pekerja'!A167</f>
        <v>36.10</v>
      </c>
      <c r="B170" s="505" t="str">
        <f>'Rekap. Upah Pekerja'!B167</f>
        <v>Harga Satuan Pekerjaan Beton ( K 325 )  FE  110</v>
      </c>
      <c r="C170" s="518"/>
      <c r="D170" s="519" t="s">
        <v>52</v>
      </c>
      <c r="E170" s="506">
        <f>'Rekap. Analisa RAB'!C168</f>
        <v>5879900</v>
      </c>
      <c r="F170" s="507">
        <f t="shared" si="4"/>
        <v>0</v>
      </c>
    </row>
    <row r="171" spans="1:6" s="498" customFormat="1" ht="15" customHeight="1" thickBot="1" x14ac:dyDescent="0.3">
      <c r="A171" s="504" t="str">
        <f>'Rekap. Upah Pekerja'!A168</f>
        <v>36.11</v>
      </c>
      <c r="B171" s="505" t="str">
        <f>'Rekap. Upah Pekerja'!B168</f>
        <v>Harga Satuan Pekerjaan Beton ( K 350)  FE 110</v>
      </c>
      <c r="C171" s="518"/>
      <c r="D171" s="519" t="s">
        <v>52</v>
      </c>
      <c r="E171" s="506">
        <f>'Rekap. Analisa RAB'!C169</f>
        <v>5894300</v>
      </c>
      <c r="F171" s="517">
        <f t="shared" si="4"/>
        <v>0</v>
      </c>
    </row>
    <row r="172" spans="1:6" s="498" customFormat="1" ht="21" customHeight="1" thickTop="1" thickBot="1" x14ac:dyDescent="0.3">
      <c r="A172" s="602" t="s">
        <v>1739</v>
      </c>
      <c r="B172" s="602"/>
      <c r="C172" s="602"/>
      <c r="D172" s="602"/>
      <c r="E172" s="602"/>
      <c r="F172" s="502">
        <f>SUM(F58:F171)</f>
        <v>0</v>
      </c>
    </row>
    <row r="173" spans="1:6" s="498" customFormat="1" ht="15" customHeight="1" thickTop="1" x14ac:dyDescent="0.25">
      <c r="A173" s="499"/>
      <c r="B173" s="496"/>
      <c r="C173" s="496"/>
      <c r="D173" s="496"/>
      <c r="E173" s="497"/>
    </row>
    <row r="174" spans="1:6" s="498" customFormat="1" ht="15" customHeight="1" x14ac:dyDescent="0.25">
      <c r="A174" s="503" t="str">
        <f>'Rekap. Upah Pekerja'!A170</f>
        <v>V.</v>
      </c>
      <c r="B174" s="605" t="str">
        <f>'Rekap. Upah Pekerja'!B170</f>
        <v>HARGA SATUAN PEKERJAAN BESI DAN ALUMINIUM</v>
      </c>
      <c r="C174" s="605"/>
      <c r="D174" s="605"/>
      <c r="E174" s="605"/>
      <c r="F174" s="605"/>
    </row>
    <row r="175" spans="1:6" s="498" customFormat="1" ht="15" customHeight="1" x14ac:dyDescent="0.25">
      <c r="A175" s="504">
        <f>'Rekap. Upah Pekerja'!A171</f>
        <v>1</v>
      </c>
      <c r="B175" s="505" t="str">
        <f>'Rekap. Upah Pekerja'!B171</f>
        <v>Pemasangan 1 kg besi profil</v>
      </c>
      <c r="C175" s="518"/>
      <c r="D175" s="519" t="s">
        <v>62</v>
      </c>
      <c r="E175" s="506">
        <f>'Rekap. Analisa RAB'!C172</f>
        <v>51400</v>
      </c>
      <c r="F175" s="507">
        <f t="shared" ref="F175:F202" si="5">C175*E175</f>
        <v>0</v>
      </c>
    </row>
    <row r="176" spans="1:6" s="498" customFormat="1" ht="25.5" x14ac:dyDescent="0.25">
      <c r="A176" s="504" t="str">
        <f>'Rekap. Upah Pekerja'!A172</f>
        <v>2.1.</v>
      </c>
      <c r="B176" s="505" t="str">
        <f>'Rekap. Upah Pekerja'!B172</f>
        <v>Pemasangan 1 kg rangka kuda-kuda IWF 250 dengan cat menie</v>
      </c>
      <c r="C176" s="518"/>
      <c r="D176" s="519" t="s">
        <v>62</v>
      </c>
      <c r="E176" s="506">
        <f>'Rekap. Analisa RAB'!C173</f>
        <v>41800</v>
      </c>
      <c r="F176" s="507">
        <f t="shared" si="5"/>
        <v>0</v>
      </c>
    </row>
    <row r="177" spans="1:6" s="498" customFormat="1" ht="25.5" x14ac:dyDescent="0.25">
      <c r="A177" s="504" t="str">
        <f>'Rekap. Upah Pekerja'!A173</f>
        <v>2.2.</v>
      </c>
      <c r="B177" s="505" t="str">
        <f>'Rekap. Upah Pekerja'!B173</f>
        <v>Pemasangan 1 kg rangka kuda-kuda IWF 200 dengan cat menie</v>
      </c>
      <c r="C177" s="518"/>
      <c r="D177" s="519" t="s">
        <v>62</v>
      </c>
      <c r="E177" s="506">
        <f>'Rekap. Analisa RAB'!C174</f>
        <v>40500</v>
      </c>
      <c r="F177" s="507">
        <f t="shared" si="5"/>
        <v>0</v>
      </c>
    </row>
    <row r="178" spans="1:6" s="498" customFormat="1" ht="25.5" x14ac:dyDescent="0.25">
      <c r="A178" s="504" t="str">
        <f>'Rekap. Upah Pekerja'!A174</f>
        <v>2.3.</v>
      </c>
      <c r="B178" s="505" t="str">
        <f>'Rekap. Upah Pekerja'!B174</f>
        <v>Pemasangan 1 kg rangka kuda-kuda IWF 150 dengan cat menie</v>
      </c>
      <c r="C178" s="518"/>
      <c r="D178" s="519" t="s">
        <v>62</v>
      </c>
      <c r="E178" s="506">
        <f>'Rekap. Analisa RAB'!C175</f>
        <v>39300</v>
      </c>
      <c r="F178" s="507">
        <f t="shared" si="5"/>
        <v>0</v>
      </c>
    </row>
    <row r="179" spans="1:6" s="498" customFormat="1" ht="25.5" x14ac:dyDescent="0.25">
      <c r="A179" s="504" t="str">
        <f>'Rekap. Upah Pekerja'!A175</f>
        <v>2.4.</v>
      </c>
      <c r="B179" s="505" t="str">
        <f>'Rekap. Upah Pekerja'!B175</f>
        <v>Pemasangan 1 kg rangka kuda-kuda IWF 150 dengan cat menie</v>
      </c>
      <c r="C179" s="518"/>
      <c r="D179" s="519" t="s">
        <v>62</v>
      </c>
      <c r="E179" s="506">
        <f>'Rekap. Analisa RAB'!C176</f>
        <v>38700</v>
      </c>
      <c r="F179" s="507">
        <f t="shared" si="5"/>
        <v>0</v>
      </c>
    </row>
    <row r="180" spans="1:6" s="498" customFormat="1" ht="15" customHeight="1" x14ac:dyDescent="0.25">
      <c r="A180" s="504">
        <f>'Rekap. Upah Pekerja'!A176</f>
        <v>3</v>
      </c>
      <c r="B180" s="505" t="str">
        <f>'Rekap. Upah Pekerja'!B176</f>
        <v>Pengerjaan 100 kg pekerjaan perakitan</v>
      </c>
      <c r="C180" s="518"/>
      <c r="D180" s="519" t="s">
        <v>62</v>
      </c>
      <c r="E180" s="506">
        <f>'Rekap. Analisa RAB'!C177</f>
        <v>97500</v>
      </c>
      <c r="F180" s="507">
        <f t="shared" si="5"/>
        <v>0</v>
      </c>
    </row>
    <row r="181" spans="1:6" s="498" customFormat="1" ht="25.5" x14ac:dyDescent="0.25">
      <c r="A181" s="504">
        <f>'Rekap. Upah Pekerja'!A177</f>
        <v>4</v>
      </c>
      <c r="B181" s="505" t="str">
        <f>'Rekap. Upah Pekerja'!B177</f>
        <v>Pembuatan 1 m2 pintu besi plat baja tebal 2 mm rangkap,rangka baja siku</v>
      </c>
      <c r="C181" s="518"/>
      <c r="D181" s="519" t="s">
        <v>58</v>
      </c>
      <c r="E181" s="506">
        <f>'Rekap. Analisa RAB'!C178</f>
        <v>3644000</v>
      </c>
      <c r="F181" s="507">
        <f t="shared" si="5"/>
        <v>0</v>
      </c>
    </row>
    <row r="182" spans="1:6" s="498" customFormat="1" ht="15" customHeight="1" x14ac:dyDescent="0.25">
      <c r="A182" s="504">
        <f>'Rekap. Upah Pekerja'!A178</f>
        <v>5</v>
      </c>
      <c r="B182" s="505" t="str">
        <f>'Rekap. Upah Pekerja'!B178</f>
        <v>Pengerjaan 10 cm pengelasan dengan las listrik</v>
      </c>
      <c r="C182" s="518"/>
      <c r="D182" s="519" t="s">
        <v>544</v>
      </c>
      <c r="E182" s="506">
        <f>'Rekap. Analisa RAB'!C179</f>
        <v>43100</v>
      </c>
      <c r="F182" s="507">
        <f t="shared" si="5"/>
        <v>0</v>
      </c>
    </row>
    <row r="183" spans="1:6" s="498" customFormat="1" ht="25.5" x14ac:dyDescent="0.25">
      <c r="A183" s="504">
        <f>'Rekap. Upah Pekerja'!A179</f>
        <v>6</v>
      </c>
      <c r="B183" s="505" t="str">
        <f>'Rekap. Upah Pekerja'!B179</f>
        <v>Pembuatan 1 m2 rangka jendela besi scuare tube (25 x 5) cm</v>
      </c>
      <c r="C183" s="518"/>
      <c r="D183" s="519" t="s">
        <v>58</v>
      </c>
      <c r="E183" s="506">
        <f>'Rekap. Analisa RAB'!C180</f>
        <v>565200</v>
      </c>
      <c r="F183" s="507">
        <f t="shared" si="5"/>
        <v>0</v>
      </c>
    </row>
    <row r="184" spans="1:6" s="498" customFormat="1" ht="25.5" x14ac:dyDescent="0.25">
      <c r="A184" s="504">
        <f>'Rekap. Upah Pekerja'!A180</f>
        <v>7</v>
      </c>
      <c r="B184" s="505" t="str">
        <f>'Rekap. Upah Pekerja'!B180</f>
        <v>Pemasangan 1 m2 pintu rolling door besi/ pintu harmonika</v>
      </c>
      <c r="C184" s="518"/>
      <c r="D184" s="519" t="s">
        <v>58</v>
      </c>
      <c r="E184" s="506">
        <f>'Rekap. Analisa RAB'!C181</f>
        <v>1566700</v>
      </c>
      <c r="F184" s="507">
        <f t="shared" si="5"/>
        <v>0</v>
      </c>
    </row>
    <row r="185" spans="1:6" s="498" customFormat="1" ht="15" customHeight="1" x14ac:dyDescent="0.25">
      <c r="A185" s="504">
        <f>'Rekap. Upah Pekerja'!A181</f>
        <v>8</v>
      </c>
      <c r="B185" s="505" t="str">
        <f>'Rekap. Upah Pekerja'!B181</f>
        <v>Pemasangan 1 m2 pintu rolling door aluminium</v>
      </c>
      <c r="C185" s="518"/>
      <c r="D185" s="519" t="s">
        <v>58</v>
      </c>
      <c r="E185" s="506">
        <f>'Rekap. Analisa RAB'!C182</f>
        <v>990400</v>
      </c>
      <c r="F185" s="507">
        <f t="shared" si="5"/>
        <v>0</v>
      </c>
    </row>
    <row r="186" spans="1:6" s="498" customFormat="1" ht="15" customHeight="1" x14ac:dyDescent="0.25">
      <c r="A186" s="504">
        <f>'Rekap. Upah Pekerja'!A182</f>
        <v>9</v>
      </c>
      <c r="B186" s="505" t="str">
        <f>'Rekap. Upah Pekerja'!B182</f>
        <v>Pemasangan 1 m2 sunscreen alluminium</v>
      </c>
      <c r="C186" s="518"/>
      <c r="D186" s="519" t="s">
        <v>58</v>
      </c>
      <c r="E186" s="506">
        <f>'Rekap. Analisa RAB'!C183</f>
        <v>257500</v>
      </c>
      <c r="F186" s="507">
        <f t="shared" si="5"/>
        <v>0</v>
      </c>
    </row>
    <row r="187" spans="1:6" s="498" customFormat="1" ht="25.5" x14ac:dyDescent="0.25">
      <c r="A187" s="504" t="str">
        <f>'Rekap. Upah Pekerja'!A183</f>
        <v>10.1</v>
      </c>
      <c r="B187" s="505" t="str">
        <f>'Rekap. Upah Pekerja'!B183</f>
        <v>Pemasangan 1 m kusen alluminium fropil aluminium 4"</v>
      </c>
      <c r="C187" s="518"/>
      <c r="D187" s="519" t="s">
        <v>14</v>
      </c>
      <c r="E187" s="506">
        <f>'Rekap. Analisa RAB'!C184</f>
        <v>158900</v>
      </c>
      <c r="F187" s="507">
        <f t="shared" si="5"/>
        <v>0</v>
      </c>
    </row>
    <row r="188" spans="1:6" s="498" customFormat="1" ht="25.5" x14ac:dyDescent="0.25">
      <c r="A188" s="504" t="str">
        <f>'Rekap. Upah Pekerja'!A184</f>
        <v>10.2</v>
      </c>
      <c r="B188" s="505" t="str">
        <f>'Rekap. Upah Pekerja'!B184</f>
        <v>Pemasangan 1 m kusen alluminium fropil aluminium 3"</v>
      </c>
      <c r="C188" s="518"/>
      <c r="D188" s="519" t="s">
        <v>14</v>
      </c>
      <c r="E188" s="506">
        <f>'Rekap. Analisa RAB'!C185</f>
        <v>134700</v>
      </c>
      <c r="F188" s="507">
        <f t="shared" si="5"/>
        <v>0</v>
      </c>
    </row>
    <row r="189" spans="1:6" s="498" customFormat="1" ht="25.5" x14ac:dyDescent="0.25">
      <c r="A189" s="504">
        <f>'Rekap. Upah Pekerja'!A185</f>
        <v>11</v>
      </c>
      <c r="B189" s="505" t="str">
        <f>'Rekap. Upah Pekerja'!B185</f>
        <v xml:space="preserve">Pemasangan 1 m² pintu alluminium strip lebar 8 cm </v>
      </c>
      <c r="C189" s="518"/>
      <c r="D189" s="519" t="s">
        <v>58</v>
      </c>
      <c r="E189" s="506">
        <f>'Rekap. Analisa RAB'!C186</f>
        <v>476500</v>
      </c>
      <c r="F189" s="507">
        <f t="shared" si="5"/>
        <v>0</v>
      </c>
    </row>
    <row r="190" spans="1:6" s="498" customFormat="1" ht="25.5" x14ac:dyDescent="0.25">
      <c r="A190" s="504">
        <f>'Rekap. Upah Pekerja'!A186</f>
        <v>12</v>
      </c>
      <c r="B190" s="505" t="str">
        <f>'Rekap. Upah Pekerja'!B186</f>
        <v>Pemasangan 1 m² pintu kaca rangka alluminium 2'. 0,75 mm</v>
      </c>
      <c r="C190" s="518"/>
      <c r="D190" s="519" t="s">
        <v>58</v>
      </c>
      <c r="E190" s="506">
        <f>'Rekap. Analisa RAB'!C187</f>
        <v>2203700</v>
      </c>
      <c r="F190" s="507">
        <f t="shared" si="5"/>
        <v>0</v>
      </c>
    </row>
    <row r="191" spans="1:6" s="498" customFormat="1" ht="25.5" x14ac:dyDescent="0.25">
      <c r="A191" s="504">
        <f>'Rekap. Upah Pekerja'!A187</f>
        <v>13</v>
      </c>
      <c r="B191" s="505" t="str">
        <f>'Rekap. Upah Pekerja'!B187</f>
        <v>Pemasangan 1 m² venetions blinds dan vertical blinds</v>
      </c>
      <c r="C191" s="518"/>
      <c r="D191" s="519" t="s">
        <v>58</v>
      </c>
      <c r="E191" s="506">
        <f>'Rekap. Analisa RAB'!C188</f>
        <v>176400</v>
      </c>
      <c r="F191" s="507">
        <f t="shared" si="5"/>
        <v>0</v>
      </c>
    </row>
    <row r="192" spans="1:6" s="498" customFormat="1" ht="15" customHeight="1" x14ac:dyDescent="0.25">
      <c r="A192" s="504">
        <f>'Rekap. Upah Pekerja'!A188</f>
        <v>14</v>
      </c>
      <c r="B192" s="505" t="str">
        <f>'Rekap. Upah Pekerja'!B188</f>
        <v>Pemasangan 1 m² terali besi strip (2x3) mm</v>
      </c>
      <c r="C192" s="518"/>
      <c r="D192" s="519" t="s">
        <v>58</v>
      </c>
      <c r="E192" s="506">
        <f>'Rekap. Analisa RAB'!C189</f>
        <v>941800</v>
      </c>
      <c r="F192" s="507">
        <f t="shared" si="5"/>
        <v>0</v>
      </c>
    </row>
    <row r="193" spans="1:6" s="498" customFormat="1" ht="15" customHeight="1" x14ac:dyDescent="0.25">
      <c r="A193" s="504">
        <f>'Rekap. Upah Pekerja'!A189</f>
        <v>15</v>
      </c>
      <c r="B193" s="505" t="str">
        <f>'Rekap. Upah Pekerja'!B189</f>
        <v>Pemasangan 1 m² kawat nyamuk</v>
      </c>
      <c r="C193" s="518"/>
      <c r="D193" s="519" t="s">
        <v>58</v>
      </c>
      <c r="E193" s="506">
        <f>'Rekap. Analisa RAB'!C190</f>
        <v>279000</v>
      </c>
      <c r="F193" s="507">
        <f t="shared" si="5"/>
        <v>0</v>
      </c>
    </row>
    <row r="194" spans="1:6" s="498" customFormat="1" ht="15" customHeight="1" x14ac:dyDescent="0.25">
      <c r="A194" s="504">
        <f>'Rekap. Upah Pekerja'!A190</f>
        <v>16</v>
      </c>
      <c r="B194" s="505" t="str">
        <f>'Rekap. Upah Pekerja'!B190</f>
        <v>Pemasangan 1 m² jendela nako &amp; tralis</v>
      </c>
      <c r="C194" s="518"/>
      <c r="D194" s="519" t="s">
        <v>58</v>
      </c>
      <c r="E194" s="506">
        <f>'Rekap. Analisa RAB'!C191</f>
        <v>930400</v>
      </c>
      <c r="F194" s="507">
        <f t="shared" si="5"/>
        <v>0</v>
      </c>
    </row>
    <row r="195" spans="1:6" s="498" customFormat="1" ht="25.5" x14ac:dyDescent="0.25">
      <c r="A195" s="504">
        <f>'Rekap. Upah Pekerja'!A191</f>
        <v>17</v>
      </c>
      <c r="B195" s="505" t="str">
        <f>'Rekap. Upah Pekerja'!B191</f>
        <v>Pemasangan 1 m1 talang datar ,seng BJLS 28 lebar 90</v>
      </c>
      <c r="C195" s="518"/>
      <c r="D195" s="519" t="s">
        <v>14</v>
      </c>
      <c r="E195" s="506">
        <f>'Rekap. Analisa RAB'!C192</f>
        <v>345900</v>
      </c>
      <c r="F195" s="507">
        <f t="shared" si="5"/>
        <v>0</v>
      </c>
    </row>
    <row r="196" spans="1:6" s="498" customFormat="1" ht="25.5" x14ac:dyDescent="0.25">
      <c r="A196" s="504">
        <f>'Rekap. Upah Pekerja'!A192</f>
        <v>18</v>
      </c>
      <c r="B196" s="505" t="str">
        <f>'Rekap. Upah Pekerja'!B192</f>
        <v>Pemasangan 1 m talang 1/2 lingkaran dia. 15 cm, Seng BJLS 20</v>
      </c>
      <c r="C196" s="518"/>
      <c r="D196" s="519" t="s">
        <v>14</v>
      </c>
      <c r="E196" s="506">
        <f>'Rekap. Analisa RAB'!C193</f>
        <v>166200</v>
      </c>
      <c r="F196" s="507">
        <f t="shared" si="5"/>
        <v>0</v>
      </c>
    </row>
    <row r="197" spans="1:6" s="498" customFormat="1" ht="15" customHeight="1" x14ac:dyDescent="0.25">
      <c r="A197" s="504">
        <f>'Rekap. Upah Pekerja'!A193</f>
        <v>19</v>
      </c>
      <c r="B197" s="505" t="str">
        <f>'Rekap. Upah Pekerja'!B193</f>
        <v>Pemasangan 1 m1 Pasang Talang Karet</v>
      </c>
      <c r="C197" s="518"/>
      <c r="D197" s="519" t="s">
        <v>14</v>
      </c>
      <c r="E197" s="506">
        <f>'Rekap. Analisa RAB'!C194</f>
        <v>221400</v>
      </c>
      <c r="F197" s="507">
        <f t="shared" si="5"/>
        <v>0</v>
      </c>
    </row>
    <row r="198" spans="1:6" s="498" customFormat="1" ht="25.5" x14ac:dyDescent="0.25">
      <c r="A198" s="504">
        <f>'Rekap. Upah Pekerja'!A194</f>
        <v>20</v>
      </c>
      <c r="B198" s="505" t="str">
        <f>'Rekap. Upah Pekerja'!B194</f>
        <v>Pemasangan 1 m² rangka besi hollow 1x40.40.2 mm, modul 60x120 cm dinding partisi</v>
      </c>
      <c r="C198" s="518"/>
      <c r="D198" s="519" t="s">
        <v>58</v>
      </c>
      <c r="E198" s="506">
        <f>'Rekap. Analisa RAB'!C195</f>
        <v>157700</v>
      </c>
      <c r="F198" s="507">
        <f t="shared" si="5"/>
        <v>0</v>
      </c>
    </row>
    <row r="199" spans="1:6" s="498" customFormat="1" ht="25.5" x14ac:dyDescent="0.25">
      <c r="A199" s="504">
        <f>'Rekap. Upah Pekerja'!A195</f>
        <v>21</v>
      </c>
      <c r="B199" s="505" t="str">
        <f>'Rekap. Upah Pekerja'!B195</f>
        <v>Pemasangan 1 m² rangka kap baja C   utk penutup genteng metal</v>
      </c>
      <c r="C199" s="518"/>
      <c r="D199" s="519" t="s">
        <v>58</v>
      </c>
      <c r="E199" s="506">
        <f>'Rekap. Analisa RAB'!C196</f>
        <v>215200</v>
      </c>
      <c r="F199" s="507">
        <f t="shared" si="5"/>
        <v>0</v>
      </c>
    </row>
    <row r="200" spans="1:6" s="498" customFormat="1" ht="25.5" x14ac:dyDescent="0.25">
      <c r="A200" s="504">
        <f>'Rekap. Upah Pekerja'!A196</f>
        <v>22</v>
      </c>
      <c r="B200" s="505" t="str">
        <f>'Rekap. Upah Pekerja'!B196</f>
        <v>Pemasangan 1 m² rangka kap baja C  utk penutup genteng tanah</v>
      </c>
      <c r="C200" s="518"/>
      <c r="D200" s="519" t="s">
        <v>58</v>
      </c>
      <c r="E200" s="506">
        <f>'Rekap. Analisa RAB'!C197</f>
        <v>215200</v>
      </c>
      <c r="F200" s="507">
        <f t="shared" si="5"/>
        <v>0</v>
      </c>
    </row>
    <row r="201" spans="1:6" s="498" customFormat="1" ht="25.5" x14ac:dyDescent="0.25">
      <c r="A201" s="504">
        <f>'Rekap. Upah Pekerja'!A197</f>
        <v>23</v>
      </c>
      <c r="B201" s="505" t="str">
        <f>'Rekap. Upah Pekerja'!B197</f>
        <v>Pemasangan 1 m² rangka kap baja   UK  utk penutup genteng tanah</v>
      </c>
      <c r="C201" s="518"/>
      <c r="D201" s="519" t="s">
        <v>58</v>
      </c>
      <c r="E201" s="506">
        <f>'Rekap. Analisa RAB'!C198</f>
        <v>309900</v>
      </c>
      <c r="F201" s="507">
        <f t="shared" si="5"/>
        <v>0</v>
      </c>
    </row>
    <row r="202" spans="1:6" s="498" customFormat="1" ht="26.25" thickBot="1" x14ac:dyDescent="0.3">
      <c r="A202" s="504">
        <f>'Rekap. Upah Pekerja'!A198</f>
        <v>24</v>
      </c>
      <c r="B202" s="505" t="str">
        <f>'Rekap. Upah Pekerja'!B198</f>
        <v>Pemasangan 1 m² rangka kap baja   UK  utk penutup genteng metal</v>
      </c>
      <c r="C202" s="518"/>
      <c r="D202" s="519" t="s">
        <v>58</v>
      </c>
      <c r="E202" s="506">
        <f>'Rekap. Analisa RAB'!C199</f>
        <v>309900</v>
      </c>
      <c r="F202" s="517">
        <f t="shared" si="5"/>
        <v>0</v>
      </c>
    </row>
    <row r="203" spans="1:6" s="498" customFormat="1" ht="21" customHeight="1" thickTop="1" thickBot="1" x14ac:dyDescent="0.3">
      <c r="A203" s="602" t="s">
        <v>1740</v>
      </c>
      <c r="B203" s="602"/>
      <c r="C203" s="602"/>
      <c r="D203" s="602"/>
      <c r="E203" s="602"/>
      <c r="F203" s="502">
        <f>SUM(F175:F202)</f>
        <v>0</v>
      </c>
    </row>
    <row r="204" spans="1:6" s="498" customFormat="1" ht="15" customHeight="1" thickTop="1" x14ac:dyDescent="0.25">
      <c r="A204" s="499"/>
      <c r="B204" s="496"/>
      <c r="C204" s="496"/>
      <c r="D204" s="496"/>
      <c r="E204" s="497"/>
    </row>
    <row r="205" spans="1:6" s="498" customFormat="1" ht="15" customHeight="1" x14ac:dyDescent="0.25">
      <c r="A205" s="503" t="str">
        <f>'Rekap. Upah Pekerja'!A200</f>
        <v>VI.</v>
      </c>
      <c r="B205" s="605" t="str">
        <f>'Rekap. Upah Pekerja'!B200</f>
        <v>HARGA SATUAN PEKERJAAN PASANGAN DINDING</v>
      </c>
      <c r="C205" s="605"/>
      <c r="D205" s="605"/>
      <c r="E205" s="605"/>
      <c r="F205" s="605"/>
    </row>
    <row r="206" spans="1:6" s="498" customFormat="1" ht="25.5" x14ac:dyDescent="0.25">
      <c r="A206" s="504">
        <f>'Rekap. Upah Pekerja'!A201</f>
        <v>1</v>
      </c>
      <c r="B206" s="505" t="str">
        <f>'Rekap. Upah Pekerja'!B201</f>
        <v>Pemasangan 1 m² dinding bata merah (5x11x12) cm tebal 1 bata campuran 1 SP : 2 PP</v>
      </c>
      <c r="C206" s="518"/>
      <c r="D206" s="519" t="s">
        <v>58</v>
      </c>
      <c r="E206" s="506">
        <f>'Rekap. Analisa RAB'!C202</f>
        <v>749900</v>
      </c>
      <c r="F206" s="507">
        <f t="shared" ref="F206:F230" si="6">C206*E206</f>
        <v>0</v>
      </c>
    </row>
    <row r="207" spans="1:6" s="498" customFormat="1" ht="25.5" x14ac:dyDescent="0.25">
      <c r="A207" s="504">
        <f>'Rekap. Upah Pekerja'!A202</f>
        <v>2</v>
      </c>
      <c r="B207" s="505" t="str">
        <f>'Rekap. Upah Pekerja'!B202</f>
        <v>Pemasangan 1 m² dinding bata merah (5x11x12) cm tebal 1 bata campuran 1 SP : 3 PP</v>
      </c>
      <c r="C207" s="518"/>
      <c r="D207" s="519" t="s">
        <v>58</v>
      </c>
      <c r="E207" s="506">
        <f>'Rekap. Analisa RAB'!C203</f>
        <v>737400</v>
      </c>
      <c r="F207" s="507">
        <f t="shared" si="6"/>
        <v>0</v>
      </c>
    </row>
    <row r="208" spans="1:6" s="498" customFormat="1" ht="25.5" x14ac:dyDescent="0.25">
      <c r="A208" s="504">
        <f>'Rekap. Upah Pekerja'!A203</f>
        <v>3</v>
      </c>
      <c r="B208" s="505" t="str">
        <f>'Rekap. Upah Pekerja'!B203</f>
        <v>Pemasangan 1 m² dinding bata merah (5x11x12) cm tebal 1 bata campuran 1 SP : 4 PP</v>
      </c>
      <c r="C208" s="518"/>
      <c r="D208" s="519" t="s">
        <v>58</v>
      </c>
      <c r="E208" s="506">
        <f>'Rekap. Analisa RAB'!C204</f>
        <v>726100</v>
      </c>
      <c r="F208" s="507">
        <f t="shared" si="6"/>
        <v>0</v>
      </c>
    </row>
    <row r="209" spans="1:6" s="498" customFormat="1" ht="25.5" x14ac:dyDescent="0.25">
      <c r="A209" s="504">
        <f>'Rekap. Upah Pekerja'!A204</f>
        <v>4</v>
      </c>
      <c r="B209" s="505" t="str">
        <f>'Rekap. Upah Pekerja'!B204</f>
        <v>Pemasangan 1 m² dinding bata merah (5x11x12) cm tebal 1 bata campuran 1 SP : 5 PP</v>
      </c>
      <c r="C209" s="518"/>
      <c r="D209" s="519" t="s">
        <v>58</v>
      </c>
      <c r="E209" s="506">
        <f>'Rekap. Analisa RAB'!C205</f>
        <v>720400</v>
      </c>
      <c r="F209" s="507">
        <f t="shared" si="6"/>
        <v>0</v>
      </c>
    </row>
    <row r="210" spans="1:6" s="498" customFormat="1" ht="25.5" x14ac:dyDescent="0.25">
      <c r="A210" s="504">
        <f>'Rekap. Upah Pekerja'!A205</f>
        <v>5</v>
      </c>
      <c r="B210" s="505" t="str">
        <f>'Rekap. Upah Pekerja'!B205</f>
        <v>Pemasangan 1 m² dinding bata merah (5x11x12) cm tebal 1 bata campuran 1 SP : 6 PP</v>
      </c>
      <c r="C210" s="518"/>
      <c r="D210" s="519" t="s">
        <v>58</v>
      </c>
      <c r="E210" s="506">
        <f>'Rekap. Analisa RAB'!C206</f>
        <v>718500</v>
      </c>
      <c r="F210" s="507">
        <f t="shared" si="6"/>
        <v>0</v>
      </c>
    </row>
    <row r="211" spans="1:6" s="498" customFormat="1" ht="38.25" x14ac:dyDescent="0.25">
      <c r="A211" s="504">
        <f>'Rekap. Upah Pekerja'!A206</f>
        <v>6</v>
      </c>
      <c r="B211" s="505" t="str">
        <f>'Rekap. Upah Pekerja'!B206</f>
        <v>Pemasangan 1 m² dinding bata merah (5x11x12) cm tebal 1 bata campuran 1 SP : 3KP : 10 PP</v>
      </c>
      <c r="C211" s="518"/>
      <c r="D211" s="519" t="s">
        <v>58</v>
      </c>
      <c r="E211" s="506">
        <f>'Rekap. Analisa RAB'!C207</f>
        <v>699500</v>
      </c>
      <c r="F211" s="507">
        <f t="shared" si="6"/>
        <v>0</v>
      </c>
    </row>
    <row r="212" spans="1:6" s="498" customFormat="1" ht="25.5" x14ac:dyDescent="0.25">
      <c r="A212" s="504">
        <f>'Rekap. Upah Pekerja'!A207</f>
        <v>7</v>
      </c>
      <c r="B212" s="505" t="str">
        <f>'Rekap. Upah Pekerja'!B207</f>
        <v>Pemasangan 1 m² dinding bata merah (5x11x12) cm tebal ½ bata campuran 1 SP : 2 PP</v>
      </c>
      <c r="C212" s="518"/>
      <c r="D212" s="519" t="s">
        <v>58</v>
      </c>
      <c r="E212" s="506">
        <f>'Rekap. Analisa RAB'!C208</f>
        <v>374000</v>
      </c>
      <c r="F212" s="507">
        <f t="shared" si="6"/>
        <v>0</v>
      </c>
    </row>
    <row r="213" spans="1:6" s="498" customFormat="1" ht="25.5" x14ac:dyDescent="0.25">
      <c r="A213" s="504">
        <f>'Rekap. Upah Pekerja'!A208</f>
        <v>8</v>
      </c>
      <c r="B213" s="505" t="str">
        <f>'Rekap. Upah Pekerja'!B208</f>
        <v>Pemasangan 1 m² dinding bata merah (5x11x12) cm tebal ½ bata campuran 1 SP : 3 PP</v>
      </c>
      <c r="C213" s="518"/>
      <c r="D213" s="519" t="s">
        <v>58</v>
      </c>
      <c r="E213" s="506">
        <f>'Rekap. Analisa RAB'!C209</f>
        <v>374700</v>
      </c>
      <c r="F213" s="507">
        <f t="shared" si="6"/>
        <v>0</v>
      </c>
    </row>
    <row r="214" spans="1:6" s="498" customFormat="1" ht="25.5" x14ac:dyDescent="0.25">
      <c r="A214" s="504">
        <f>'Rekap. Upah Pekerja'!A209</f>
        <v>9</v>
      </c>
      <c r="B214" s="505" t="str">
        <f>'Rekap. Upah Pekerja'!B209</f>
        <v>Pemasangan 1 m² dinding bata merah (5x11x12) cm tebal ½ bata campuran 1 SP : 4 PP</v>
      </c>
      <c r="C214" s="518"/>
      <c r="D214" s="519" t="s">
        <v>58</v>
      </c>
      <c r="E214" s="506">
        <f>'Rekap. Analisa RAB'!C210</f>
        <v>369500</v>
      </c>
      <c r="F214" s="507">
        <f t="shared" si="6"/>
        <v>0</v>
      </c>
    </row>
    <row r="215" spans="1:6" s="498" customFormat="1" ht="25.5" x14ac:dyDescent="0.25">
      <c r="A215" s="504">
        <f>'Rekap. Upah Pekerja'!A210</f>
        <v>10</v>
      </c>
      <c r="B215" s="505" t="str">
        <f>'Rekap. Upah Pekerja'!B210</f>
        <v>Pemasangan 1 m² dinding bata merah (5x11x12) cm tebal ½ bata campuran 1 SP : 5 PP</v>
      </c>
      <c r="C215" s="518"/>
      <c r="D215" s="519" t="s">
        <v>58</v>
      </c>
      <c r="E215" s="506">
        <f>'Rekap. Analisa RAB'!C211</f>
        <v>365800</v>
      </c>
      <c r="F215" s="507">
        <f t="shared" si="6"/>
        <v>0</v>
      </c>
    </row>
    <row r="216" spans="1:6" s="498" customFormat="1" ht="25.5" x14ac:dyDescent="0.25">
      <c r="A216" s="504">
        <f>'Rekap. Upah Pekerja'!A211</f>
        <v>11</v>
      </c>
      <c r="B216" s="505" t="str">
        <f>'Rekap. Upah Pekerja'!B211</f>
        <v>Pemasangan 1 m² dinding bata merah (5x11x12) cm tebal ½ bata campuran 1 SP : 6 PP</v>
      </c>
      <c r="C216" s="518"/>
      <c r="D216" s="519" t="s">
        <v>58</v>
      </c>
      <c r="E216" s="506">
        <f>'Rekap. Analisa RAB'!C212</f>
        <v>363800</v>
      </c>
      <c r="F216" s="507">
        <f t="shared" si="6"/>
        <v>0</v>
      </c>
    </row>
    <row r="217" spans="1:6" s="498" customFormat="1" ht="25.5" x14ac:dyDescent="0.25">
      <c r="A217" s="504">
        <f>'Rekap. Upah Pekerja'!A212</f>
        <v>12</v>
      </c>
      <c r="B217" s="505" t="str">
        <f>'Rekap. Upah Pekerja'!B212</f>
        <v>Pemasangan 1 m² dinding bata merah (5x11x12) cm tebal ½ batu campuran 1 SP : 8 PP</v>
      </c>
      <c r="C217" s="518"/>
      <c r="D217" s="519" t="s">
        <v>58</v>
      </c>
      <c r="E217" s="506">
        <f>'Rekap. Analisa RAB'!C213</f>
        <v>341500</v>
      </c>
      <c r="F217" s="507">
        <f t="shared" si="6"/>
        <v>0</v>
      </c>
    </row>
    <row r="218" spans="1:6" s="498" customFormat="1" ht="25.5" x14ac:dyDescent="0.25">
      <c r="A218" s="504">
        <f>'Rekap. Upah Pekerja'!A213</f>
        <v>13</v>
      </c>
      <c r="B218" s="505" t="str">
        <f>'Rekap. Upah Pekerja'!B213</f>
        <v>Pemasangan 1 m² dinding bata merah (5x11x12) cm tebal ½ bata campuran 1 SM : 1 KP : 1 PP</v>
      </c>
      <c r="C218" s="518"/>
      <c r="D218" s="519" t="s">
        <v>58</v>
      </c>
      <c r="E218" s="506">
        <f>'Rekap. Analisa RAB'!C214</f>
        <v>336700</v>
      </c>
      <c r="F218" s="507">
        <f t="shared" si="6"/>
        <v>0</v>
      </c>
    </row>
    <row r="219" spans="1:6" s="498" customFormat="1" ht="25.5" x14ac:dyDescent="0.25">
      <c r="A219" s="504">
        <f>'Rekap. Upah Pekerja'!A214</f>
        <v>14</v>
      </c>
      <c r="B219" s="505" t="str">
        <f>'Rekap. Upah Pekerja'!B214</f>
        <v>Pemasangan 1 m² dinding bata merah (5x11x12) cm tebal ½ batu campuran 1 SM : 1 KP : 2 PP</v>
      </c>
      <c r="C219" s="518"/>
      <c r="D219" s="519" t="s">
        <v>58</v>
      </c>
      <c r="E219" s="506">
        <f>'Rekap. Analisa RAB'!C215</f>
        <v>338800</v>
      </c>
      <c r="F219" s="507">
        <f t="shared" si="6"/>
        <v>0</v>
      </c>
    </row>
    <row r="220" spans="1:6" s="498" customFormat="1" ht="25.5" x14ac:dyDescent="0.25">
      <c r="A220" s="504">
        <f>'Rekap. Upah Pekerja'!A215</f>
        <v>15</v>
      </c>
      <c r="B220" s="505" t="str">
        <f>'Rekap. Upah Pekerja'!B215</f>
        <v>Pemasangan 1 m² dinding conblock HB20 campuran 1 SP : 3 PP</v>
      </c>
      <c r="C220" s="518"/>
      <c r="D220" s="519" t="s">
        <v>58</v>
      </c>
      <c r="E220" s="506">
        <f>'Rekap. Analisa RAB'!C216</f>
        <v>700400</v>
      </c>
      <c r="F220" s="507">
        <f t="shared" si="6"/>
        <v>0</v>
      </c>
    </row>
    <row r="221" spans="1:6" s="498" customFormat="1" ht="25.5" x14ac:dyDescent="0.25">
      <c r="A221" s="504">
        <f>'Rekap. Upah Pekerja'!A216</f>
        <v>16</v>
      </c>
      <c r="B221" s="505" t="str">
        <f>'Rekap. Upah Pekerja'!B216</f>
        <v>Pemasangan 1 m² dinding conblock HB20 campuran 1 SP : 4 PP</v>
      </c>
      <c r="C221" s="518"/>
      <c r="D221" s="519" t="s">
        <v>58</v>
      </c>
      <c r="E221" s="506">
        <f>'Rekap. Analisa RAB'!C217</f>
        <v>700200</v>
      </c>
      <c r="F221" s="507">
        <f t="shared" si="6"/>
        <v>0</v>
      </c>
    </row>
    <row r="222" spans="1:6" s="498" customFormat="1" ht="25.5" x14ac:dyDescent="0.25">
      <c r="A222" s="504">
        <f>'Rekap. Upah Pekerja'!A217</f>
        <v>17</v>
      </c>
      <c r="B222" s="505" t="str">
        <f>'Rekap. Upah Pekerja'!B217</f>
        <v>Pemasangan 1 m² dinding conblock HB15 campuran 1 SP : 3 PP</v>
      </c>
      <c r="C222" s="518"/>
      <c r="D222" s="519" t="s">
        <v>58</v>
      </c>
      <c r="E222" s="506">
        <f>'Rekap. Analisa RAB'!C218</f>
        <v>567500</v>
      </c>
      <c r="F222" s="507">
        <f t="shared" si="6"/>
        <v>0</v>
      </c>
    </row>
    <row r="223" spans="1:6" s="498" customFormat="1" ht="25.5" x14ac:dyDescent="0.25">
      <c r="A223" s="504">
        <f>'Rekap. Upah Pekerja'!A218</f>
        <v>18</v>
      </c>
      <c r="B223" s="505" t="str">
        <f>'Rekap. Upah Pekerja'!B218</f>
        <v>Pemasangan 1 m² dinding conblock HB15 campuran 1 SP : 4 PP</v>
      </c>
      <c r="C223" s="518"/>
      <c r="D223" s="519" t="s">
        <v>58</v>
      </c>
      <c r="E223" s="506">
        <f>'Rekap. Analisa RAB'!C219</f>
        <v>567100</v>
      </c>
      <c r="F223" s="507">
        <f t="shared" si="6"/>
        <v>0</v>
      </c>
    </row>
    <row r="224" spans="1:6" s="498" customFormat="1" ht="25.5" x14ac:dyDescent="0.25">
      <c r="A224" s="504">
        <f>'Rekap. Upah Pekerja'!A219</f>
        <v>19</v>
      </c>
      <c r="B224" s="505" t="str">
        <f>'Rekap. Upah Pekerja'!B219</f>
        <v>Pemasangan 1 m² dinding conblock HB10 campuran 1 SP : 3 PP</v>
      </c>
      <c r="C224" s="518"/>
      <c r="D224" s="519" t="s">
        <v>58</v>
      </c>
      <c r="E224" s="506">
        <f>'Rekap. Analisa RAB'!C220</f>
        <v>435000</v>
      </c>
      <c r="F224" s="507">
        <f t="shared" si="6"/>
        <v>0</v>
      </c>
    </row>
    <row r="225" spans="1:6" s="498" customFormat="1" ht="25.5" x14ac:dyDescent="0.25">
      <c r="A225" s="504">
        <f>'Rekap. Upah Pekerja'!A220</f>
        <v>20</v>
      </c>
      <c r="B225" s="505" t="str">
        <f>'Rekap. Upah Pekerja'!B220</f>
        <v>Pemasangan 1 m² dinding conblock HB10 campuran 1 SP : 4 PP</v>
      </c>
      <c r="C225" s="518"/>
      <c r="D225" s="519" t="s">
        <v>58</v>
      </c>
      <c r="E225" s="506">
        <f>'Rekap. Analisa RAB'!C221</f>
        <v>435400</v>
      </c>
      <c r="F225" s="507">
        <f t="shared" si="6"/>
        <v>0</v>
      </c>
    </row>
    <row r="226" spans="1:6" s="498" customFormat="1" ht="25.5" x14ac:dyDescent="0.25">
      <c r="A226" s="504" t="str">
        <f>'Rekap. Upah Pekerja'!A221</f>
        <v>21.1</v>
      </c>
      <c r="B226" s="505" t="str">
        <f>'Rekap. Upah Pekerja'!B221</f>
        <v>Pemasangan 1 m² dinding Batako buntu 1 SP : 4 PP</v>
      </c>
      <c r="C226" s="518"/>
      <c r="D226" s="519" t="s">
        <v>58</v>
      </c>
      <c r="E226" s="506">
        <f>'Rekap. Analisa RAB'!C222</f>
        <v>594900</v>
      </c>
      <c r="F226" s="507">
        <f t="shared" si="6"/>
        <v>0</v>
      </c>
    </row>
    <row r="227" spans="1:6" s="498" customFormat="1" ht="25.5" x14ac:dyDescent="0.25">
      <c r="A227" s="504" t="str">
        <f>'Rekap. Upah Pekerja'!A222</f>
        <v>21.2</v>
      </c>
      <c r="B227" s="505" t="str">
        <f>'Rekap. Upah Pekerja'!B222</f>
        <v>Pemasangan 1 m² dinding batako berlubang 1 SP : 4 PP</v>
      </c>
      <c r="C227" s="518"/>
      <c r="D227" s="519" t="s">
        <v>58</v>
      </c>
      <c r="E227" s="506">
        <f>'Rekap. Analisa RAB'!C223</f>
        <v>589500</v>
      </c>
      <c r="F227" s="507">
        <f t="shared" si="6"/>
        <v>0</v>
      </c>
    </row>
    <row r="228" spans="1:6" s="498" customFormat="1" ht="25.5" x14ac:dyDescent="0.25">
      <c r="A228" s="504">
        <f>'Rekap. Upah Pekerja'!A223</f>
        <v>22</v>
      </c>
      <c r="B228" s="505" t="str">
        <f>'Rekap. Upah Pekerja'!B223</f>
        <v>Pemasangan 1 m² dinding kerawang (rooster bata) 12x11x24 campuran 1 SP : 3 PP</v>
      </c>
      <c r="C228" s="518"/>
      <c r="D228" s="519" t="s">
        <v>58</v>
      </c>
      <c r="E228" s="506">
        <f>'Rekap. Analisa RAB'!C224</f>
        <v>1052600</v>
      </c>
      <c r="F228" s="507">
        <f t="shared" si="6"/>
        <v>0</v>
      </c>
    </row>
    <row r="229" spans="1:6" s="498" customFormat="1" ht="25.5" x14ac:dyDescent="0.25">
      <c r="A229" s="504">
        <f>'Rekap. Upah Pekerja'!A224</f>
        <v>23</v>
      </c>
      <c r="B229" s="505" t="str">
        <f>'Rekap. Upah Pekerja'!B224</f>
        <v>Pemasangan 1 m² dinding kerawang (rooster) 12x11x24 campuran 1 SP : 4 PP</v>
      </c>
      <c r="C229" s="518"/>
      <c r="D229" s="519" t="s">
        <v>58</v>
      </c>
      <c r="E229" s="506">
        <f>'Rekap. Analisa RAB'!C225</f>
        <v>1050400</v>
      </c>
      <c r="F229" s="507">
        <f t="shared" si="6"/>
        <v>0</v>
      </c>
    </row>
    <row r="230" spans="1:6" s="498" customFormat="1" ht="39" thickBot="1" x14ac:dyDescent="0.3">
      <c r="A230" s="504">
        <f>'Rekap. Upah Pekerja'!A225</f>
        <v>24</v>
      </c>
      <c r="B230" s="505" t="str">
        <f>'Rekap. Upah Pekerja'!B225</f>
        <v>Pemasangan 1 m² dinding bata berongga ekspose (roster kerawang pc) campuran 1 SP : 3 PP</v>
      </c>
      <c r="C230" s="518"/>
      <c r="D230" s="519" t="s">
        <v>58</v>
      </c>
      <c r="E230" s="506">
        <f>'Rekap. Analisa RAB'!C226</f>
        <v>1133100</v>
      </c>
      <c r="F230" s="517">
        <f t="shared" si="6"/>
        <v>0</v>
      </c>
    </row>
    <row r="231" spans="1:6" s="498" customFormat="1" ht="21" customHeight="1" thickTop="1" thickBot="1" x14ac:dyDescent="0.3">
      <c r="A231" s="602" t="s">
        <v>1741</v>
      </c>
      <c r="B231" s="602"/>
      <c r="C231" s="602"/>
      <c r="D231" s="602"/>
      <c r="E231" s="602"/>
      <c r="F231" s="502">
        <f>SUM(F206:F230)</f>
        <v>0</v>
      </c>
    </row>
    <row r="232" spans="1:6" s="498" customFormat="1" ht="15" customHeight="1" thickTop="1" x14ac:dyDescent="0.25">
      <c r="A232" s="499"/>
      <c r="B232" s="496"/>
      <c r="C232" s="496"/>
      <c r="D232" s="496"/>
      <c r="E232" s="497"/>
    </row>
    <row r="233" spans="1:6" s="498" customFormat="1" ht="15" customHeight="1" x14ac:dyDescent="0.25">
      <c r="A233" s="503" t="str">
        <f>'Rekap. Upah Pekerja'!A227</f>
        <v>VII.</v>
      </c>
      <c r="B233" s="605" t="str">
        <f>'Rekap. Upah Pekerja'!B227</f>
        <v>HARGA SATUAN PEKERJAAN PLESTERAN</v>
      </c>
      <c r="C233" s="605"/>
      <c r="D233" s="605"/>
      <c r="E233" s="605"/>
      <c r="F233" s="605"/>
    </row>
    <row r="234" spans="1:6" s="498" customFormat="1" ht="25.5" x14ac:dyDescent="0.25">
      <c r="A234" s="504">
        <f>'Rekap. Upah Pekerja'!A228</f>
        <v>1</v>
      </c>
      <c r="B234" s="505" t="str">
        <f>'Rekap. Upah Pekerja'!B228</f>
        <v>Pemasangan 1 m² plesteran 1 SP : 1 PP tebal 15 mm</v>
      </c>
      <c r="C234" s="518"/>
      <c r="D234" s="519" t="s">
        <v>58</v>
      </c>
      <c r="E234" s="506">
        <f>'Rekap. Analisa RAB'!C229</f>
        <v>85200</v>
      </c>
      <c r="F234" s="507">
        <f t="shared" ref="F234:F260" si="7">C234*E234</f>
        <v>0</v>
      </c>
    </row>
    <row r="235" spans="1:6" s="498" customFormat="1" ht="25.5" x14ac:dyDescent="0.25">
      <c r="A235" s="504">
        <f>'Rekap. Upah Pekerja'!A229</f>
        <v>2</v>
      </c>
      <c r="B235" s="505" t="str">
        <f>'Rekap. Upah Pekerja'!B229</f>
        <v>Pemasangan 1 m² plesteran 1 SP : 2 PP tebal 15 mm</v>
      </c>
      <c r="C235" s="518"/>
      <c r="D235" s="519" t="s">
        <v>58</v>
      </c>
      <c r="E235" s="506">
        <f>'Rekap. Analisa RAB'!C230</f>
        <v>76500</v>
      </c>
      <c r="F235" s="507">
        <f t="shared" si="7"/>
        <v>0</v>
      </c>
    </row>
    <row r="236" spans="1:6" s="498" customFormat="1" ht="25.5" x14ac:dyDescent="0.25">
      <c r="A236" s="504">
        <f>'Rekap. Upah Pekerja'!A230</f>
        <v>3</v>
      </c>
      <c r="B236" s="505" t="str">
        <f>'Rekap. Upah Pekerja'!B230</f>
        <v>Pemasangan 1 m² plesteran 1 SP : 3 PP tebal 15 mm</v>
      </c>
      <c r="C236" s="518"/>
      <c r="D236" s="519" t="s">
        <v>58</v>
      </c>
      <c r="E236" s="506">
        <f>'Rekap. Analisa RAB'!C231</f>
        <v>72800</v>
      </c>
      <c r="F236" s="507">
        <f t="shared" si="7"/>
        <v>0</v>
      </c>
    </row>
    <row r="237" spans="1:6" s="498" customFormat="1" ht="25.5" x14ac:dyDescent="0.25">
      <c r="A237" s="504">
        <f>'Rekap. Upah Pekerja'!A231</f>
        <v>4</v>
      </c>
      <c r="B237" s="505" t="str">
        <f>'Rekap. Upah Pekerja'!B231</f>
        <v>Pemasangan 1 m² plesteran 1 SP : 4 PP tebal 15 mm</v>
      </c>
      <c r="C237" s="518"/>
      <c r="D237" s="519" t="s">
        <v>58</v>
      </c>
      <c r="E237" s="506">
        <f>'Rekap. Analisa RAB'!C232</f>
        <v>64200</v>
      </c>
      <c r="F237" s="507">
        <f t="shared" si="7"/>
        <v>0</v>
      </c>
    </row>
    <row r="238" spans="1:6" s="498" customFormat="1" ht="25.5" x14ac:dyDescent="0.25">
      <c r="A238" s="504">
        <f>'Rekap. Upah Pekerja'!A232</f>
        <v>5</v>
      </c>
      <c r="B238" s="505" t="str">
        <f>'Rekap. Upah Pekerja'!B232</f>
        <v>Pemasangan 1 m² plesteran 1 SP : 5 PP tebal 15 mm</v>
      </c>
      <c r="C238" s="518"/>
      <c r="D238" s="519" t="s">
        <v>58</v>
      </c>
      <c r="E238" s="506">
        <f>'Rekap. Analisa RAB'!C233</f>
        <v>68800</v>
      </c>
      <c r="F238" s="507">
        <f t="shared" si="7"/>
        <v>0</v>
      </c>
    </row>
    <row r="239" spans="1:6" s="498" customFormat="1" ht="25.5" x14ac:dyDescent="0.25">
      <c r="A239" s="504">
        <f>'Rekap. Upah Pekerja'!A233</f>
        <v>6</v>
      </c>
      <c r="B239" s="505" t="str">
        <f>'Rekap. Upah Pekerja'!B233</f>
        <v>Pemasangan 1 m² plesteran 1 SP : 6 PP tebal 15 mm</v>
      </c>
      <c r="C239" s="518"/>
      <c r="D239" s="519" t="s">
        <v>58</v>
      </c>
      <c r="E239" s="506">
        <f>'Rekap. Analisa RAB'!C234</f>
        <v>67600</v>
      </c>
      <c r="F239" s="507">
        <f t="shared" si="7"/>
        <v>0</v>
      </c>
    </row>
    <row r="240" spans="1:6" s="498" customFormat="1" ht="25.5" x14ac:dyDescent="0.25">
      <c r="A240" s="504">
        <f>'Rekap. Upah Pekerja'!A234</f>
        <v>7</v>
      </c>
      <c r="B240" s="505" t="str">
        <f>'Rekap. Upah Pekerja'!B234</f>
        <v>Pemasangan 1 m² plesteran 1 SP : 7 PP tebal 15 mm</v>
      </c>
      <c r="C240" s="518"/>
      <c r="D240" s="519" t="s">
        <v>58</v>
      </c>
      <c r="E240" s="506">
        <f>'Rekap. Analisa RAB'!C235</f>
        <v>59900</v>
      </c>
      <c r="F240" s="507">
        <f t="shared" si="7"/>
        <v>0</v>
      </c>
    </row>
    <row r="241" spans="1:6" s="498" customFormat="1" ht="25.5" x14ac:dyDescent="0.25">
      <c r="A241" s="504">
        <f>'Rekap. Upah Pekerja'!A235</f>
        <v>8</v>
      </c>
      <c r="B241" s="505" t="str">
        <f>'Rekap. Upah Pekerja'!B235</f>
        <v>Pemasangan 1 m² plesteran 1 SP : 8 PP tebal 15 mm</v>
      </c>
      <c r="C241" s="518"/>
      <c r="D241" s="519" t="s">
        <v>58</v>
      </c>
      <c r="E241" s="506">
        <f>'Rekap. Analisa RAB'!C236</f>
        <v>64100</v>
      </c>
      <c r="F241" s="507">
        <f t="shared" si="7"/>
        <v>0</v>
      </c>
    </row>
    <row r="242" spans="1:6" s="498" customFormat="1" ht="25.5" x14ac:dyDescent="0.25">
      <c r="A242" s="504">
        <f>'Rekap. Upah Pekerja'!A236</f>
        <v>9</v>
      </c>
      <c r="B242" s="505" t="str">
        <f>'Rekap. Upah Pekerja'!B236</f>
        <v>Pemasangan 1 m² plesteran 1 SP : ½ KP : 3 PP tebal 15 mm</v>
      </c>
      <c r="C242" s="518"/>
      <c r="D242" s="519" t="s">
        <v>58</v>
      </c>
      <c r="E242" s="506">
        <f>'Rekap. Analisa RAB'!C237</f>
        <v>66000</v>
      </c>
      <c r="F242" s="507">
        <f t="shared" si="7"/>
        <v>0</v>
      </c>
    </row>
    <row r="243" spans="1:6" s="498" customFormat="1" ht="25.5" x14ac:dyDescent="0.25">
      <c r="A243" s="504">
        <f>'Rekap. Upah Pekerja'!A237</f>
        <v>10</v>
      </c>
      <c r="B243" s="505" t="str">
        <f>'Rekap. Upah Pekerja'!B237</f>
        <v>Pemasangan 1 m² plesteran 1 SP : 2 KP : 8 PP tebal 15 mm</v>
      </c>
      <c r="C243" s="518"/>
      <c r="D243" s="519" t="s">
        <v>58</v>
      </c>
      <c r="E243" s="506">
        <f>'Rekap. Analisa RAB'!C238</f>
        <v>61000</v>
      </c>
      <c r="F243" s="507">
        <f t="shared" si="7"/>
        <v>0</v>
      </c>
    </row>
    <row r="244" spans="1:6" s="498" customFormat="1" ht="25.5" x14ac:dyDescent="0.25">
      <c r="A244" s="504">
        <f>'Rekap. Upah Pekerja'!A238</f>
        <v>11</v>
      </c>
      <c r="B244" s="505" t="str">
        <f>'Rekap. Upah Pekerja'!B238</f>
        <v>Pemasangan 1 m² plesteran 1 SM : 1 KP : 1 PP tebal 15 mm</v>
      </c>
      <c r="C244" s="518"/>
      <c r="D244" s="519" t="s">
        <v>58</v>
      </c>
      <c r="E244" s="506">
        <f>'Rekap. Analisa RAB'!C239</f>
        <v>60500</v>
      </c>
      <c r="F244" s="507">
        <f t="shared" si="7"/>
        <v>0</v>
      </c>
    </row>
    <row r="245" spans="1:6" s="498" customFormat="1" ht="25.5" x14ac:dyDescent="0.25">
      <c r="A245" s="504">
        <f>'Rekap. Upah Pekerja'!A239</f>
        <v>12</v>
      </c>
      <c r="B245" s="505" t="str">
        <f>'Rekap. Upah Pekerja'!B239</f>
        <v>Pemasangan 1 m² plesteran 1 SM : 1 KP : 2 PP tebal 15 mm</v>
      </c>
      <c r="C245" s="518"/>
      <c r="D245" s="519" t="s">
        <v>58</v>
      </c>
      <c r="E245" s="506">
        <f>'Rekap. Analisa RAB'!C240</f>
        <v>60200</v>
      </c>
      <c r="F245" s="507">
        <f t="shared" si="7"/>
        <v>0</v>
      </c>
    </row>
    <row r="246" spans="1:6" s="498" customFormat="1" ht="25.5" x14ac:dyDescent="0.25">
      <c r="A246" s="504">
        <f>'Rekap. Upah Pekerja'!A240</f>
        <v>13</v>
      </c>
      <c r="B246" s="505" t="str">
        <f>'Rekap. Upah Pekerja'!B240</f>
        <v>Pemasangan 1 m² plesteran 1 SP : 1 PP tebal 20 mm</v>
      </c>
      <c r="C246" s="518"/>
      <c r="D246" s="519" t="s">
        <v>58</v>
      </c>
      <c r="E246" s="506">
        <f>'Rekap. Analisa RAB'!C241</f>
        <v>102400</v>
      </c>
      <c r="F246" s="507">
        <f t="shared" si="7"/>
        <v>0</v>
      </c>
    </row>
    <row r="247" spans="1:6" s="498" customFormat="1" ht="25.5" x14ac:dyDescent="0.25">
      <c r="A247" s="504">
        <f>'Rekap. Upah Pekerja'!A241</f>
        <v>14</v>
      </c>
      <c r="B247" s="505" t="str">
        <f>'Rekap. Upah Pekerja'!B241</f>
        <v>Pemasangan 1 m² plesteran 1 SP : 3 PP tebal 20 mm</v>
      </c>
      <c r="C247" s="518"/>
      <c r="D247" s="519" t="s">
        <v>58</v>
      </c>
      <c r="E247" s="506">
        <f>'Rekap. Analisa RAB'!C242</f>
        <v>81700</v>
      </c>
      <c r="F247" s="507">
        <f t="shared" si="7"/>
        <v>0</v>
      </c>
    </row>
    <row r="248" spans="1:6" s="498" customFormat="1" ht="25.5" x14ac:dyDescent="0.25">
      <c r="A248" s="504">
        <f>'Rekap. Upah Pekerja'!A242</f>
        <v>15</v>
      </c>
      <c r="B248" s="505" t="str">
        <f>'Rekap. Upah Pekerja'!B242</f>
        <v>Pemasangan 1 m² plesteran 1 SP : 4 PP tebal 20 mm</v>
      </c>
      <c r="C248" s="518"/>
      <c r="D248" s="519" t="s">
        <v>58</v>
      </c>
      <c r="E248" s="506">
        <f>'Rekap. Analisa RAB'!C243</f>
        <v>93900</v>
      </c>
      <c r="F248" s="507">
        <f t="shared" si="7"/>
        <v>0</v>
      </c>
    </row>
    <row r="249" spans="1:6" s="498" customFormat="1" ht="25.5" x14ac:dyDescent="0.25">
      <c r="A249" s="504">
        <f>'Rekap. Upah Pekerja'!A243</f>
        <v>16</v>
      </c>
      <c r="B249" s="505" t="str">
        <f>'Rekap. Upah Pekerja'!B243</f>
        <v>Pemasangan 1 m² plesteran 1 SP : 5 PP tebal 20 mm</v>
      </c>
      <c r="C249" s="518"/>
      <c r="D249" s="519" t="s">
        <v>58</v>
      </c>
      <c r="E249" s="506">
        <f>'Rekap. Analisa RAB'!C244</f>
        <v>92000</v>
      </c>
      <c r="F249" s="507">
        <f t="shared" si="7"/>
        <v>0</v>
      </c>
    </row>
    <row r="250" spans="1:6" s="498" customFormat="1" ht="25.5" x14ac:dyDescent="0.25">
      <c r="A250" s="504">
        <f>'Rekap. Upah Pekerja'!A244</f>
        <v>17</v>
      </c>
      <c r="B250" s="505" t="str">
        <f>'Rekap. Upah Pekerja'!B244</f>
        <v>Pemasangan 1 m² plesteran 1 SP : 6 PP tebal 20 mm</v>
      </c>
      <c r="C250" s="518"/>
      <c r="D250" s="519" t="s">
        <v>58</v>
      </c>
      <c r="E250" s="506">
        <f>'Rekap. Analisa RAB'!C245</f>
        <v>90400</v>
      </c>
      <c r="F250" s="507">
        <f t="shared" si="7"/>
        <v>0</v>
      </c>
    </row>
    <row r="251" spans="1:6" s="498" customFormat="1" ht="25.5" x14ac:dyDescent="0.25">
      <c r="A251" s="504">
        <f>'Rekap. Upah Pekerja'!A245</f>
        <v>18</v>
      </c>
      <c r="B251" s="505" t="str">
        <f>'Rekap. Upah Pekerja'!B245</f>
        <v>Pemasangan 1 m² plesteran 1 SM : 1 KP : 2 PP tebal 20 mm</v>
      </c>
      <c r="C251" s="518"/>
      <c r="D251" s="519" t="s">
        <v>58</v>
      </c>
      <c r="E251" s="506">
        <f>'Rekap. Analisa RAB'!C246</f>
        <v>77500</v>
      </c>
      <c r="F251" s="507">
        <f t="shared" si="7"/>
        <v>0</v>
      </c>
    </row>
    <row r="252" spans="1:6" s="498" customFormat="1" ht="15" customHeight="1" x14ac:dyDescent="0.25">
      <c r="A252" s="504">
        <f>'Rekap. Upah Pekerja'!A246</f>
        <v>19</v>
      </c>
      <c r="B252" s="505" t="str">
        <f>'Rekap. Upah Pekerja'!B246</f>
        <v>Pemasangan 1 m² Plesteran beton 1 pc : 2 ps</v>
      </c>
      <c r="C252" s="518"/>
      <c r="D252" s="519" t="s">
        <v>58</v>
      </c>
      <c r="E252" s="506">
        <f>'Rekap. Analisa RAB'!C247</f>
        <v>76500</v>
      </c>
      <c r="F252" s="507">
        <f t="shared" si="7"/>
        <v>0</v>
      </c>
    </row>
    <row r="253" spans="1:6" s="498" customFormat="1" ht="25.5" x14ac:dyDescent="0.25">
      <c r="A253" s="504">
        <f>'Rekap. Upah Pekerja'!A247</f>
        <v>20</v>
      </c>
      <c r="B253" s="505" t="str">
        <f>'Rekap. Upah Pekerja'!B247</f>
        <v>Pemasangan 1 m1 plesteran skoning 1 SP : 3 PP lebar 10 mm</v>
      </c>
      <c r="C253" s="518"/>
      <c r="D253" s="519" t="s">
        <v>14</v>
      </c>
      <c r="E253" s="506">
        <f>'Rekap. Analisa RAB'!C248</f>
        <v>66600</v>
      </c>
      <c r="F253" s="507">
        <f t="shared" si="7"/>
        <v>0</v>
      </c>
    </row>
    <row r="254" spans="1:6" s="498" customFormat="1" ht="25.5" x14ac:dyDescent="0.25">
      <c r="A254" s="504">
        <f>'Rekap. Upah Pekerja'!A248</f>
        <v>21</v>
      </c>
      <c r="B254" s="505" t="str">
        <f>'Rekap. Upah Pekerja'!B248</f>
        <v>Pemasangan 1 m² plesteran granit 1 SP : 2 Granit tebal 1 cm</v>
      </c>
      <c r="C254" s="518"/>
      <c r="D254" s="519" t="s">
        <v>58</v>
      </c>
      <c r="E254" s="506">
        <f>'Rekap. Analisa RAB'!C249</f>
        <v>97600</v>
      </c>
      <c r="F254" s="507">
        <f t="shared" si="7"/>
        <v>0</v>
      </c>
    </row>
    <row r="255" spans="1:6" s="498" customFormat="1" ht="25.5" x14ac:dyDescent="0.25">
      <c r="A255" s="504">
        <f>'Rekap. Upah Pekerja'!A249</f>
        <v>22</v>
      </c>
      <c r="B255" s="505" t="str">
        <f>'Rekap. Upah Pekerja'!B249</f>
        <v>Pemasangan 1 m² plesteran traso 1 SP : 2 Traso tebal 1 cm</v>
      </c>
      <c r="C255" s="518"/>
      <c r="D255" s="519" t="s">
        <v>58</v>
      </c>
      <c r="E255" s="506">
        <f>'Rekap. Analisa RAB'!C250</f>
        <v>97600</v>
      </c>
      <c r="F255" s="507">
        <f t="shared" si="7"/>
        <v>0</v>
      </c>
    </row>
    <row r="256" spans="1:6" s="498" customFormat="1" ht="15" customHeight="1" x14ac:dyDescent="0.25">
      <c r="A256" s="504">
        <f>'Rekap. Upah Pekerja'!A250</f>
        <v>23</v>
      </c>
      <c r="B256" s="505" t="str">
        <f>'Rekap. Upah Pekerja'!B250</f>
        <v>Pemasangan 1 m² Acian dengan Mill / ngelabur</v>
      </c>
      <c r="C256" s="518"/>
      <c r="D256" s="519" t="s">
        <v>58</v>
      </c>
      <c r="E256" s="506">
        <f>'Rekap. Analisa RAB'!C251</f>
        <v>22900</v>
      </c>
      <c r="F256" s="507">
        <f t="shared" si="7"/>
        <v>0</v>
      </c>
    </row>
    <row r="257" spans="1:6" s="498" customFormat="1" ht="25.5" x14ac:dyDescent="0.25">
      <c r="A257" s="504">
        <f>'Rekap. Upah Pekerja'!A251</f>
        <v>24</v>
      </c>
      <c r="B257" s="505" t="str">
        <f>'Rekap. Upah Pekerja'!B251</f>
        <v>Pemasangan 1 m² finishing siar pasangan bata merah</v>
      </c>
      <c r="C257" s="518"/>
      <c r="D257" s="519" t="s">
        <v>58</v>
      </c>
      <c r="E257" s="506">
        <f>'Rekap. Analisa RAB'!C252</f>
        <v>32300</v>
      </c>
      <c r="F257" s="507">
        <f t="shared" si="7"/>
        <v>0</v>
      </c>
    </row>
    <row r="258" spans="1:6" s="498" customFormat="1" ht="25.5" x14ac:dyDescent="0.25">
      <c r="A258" s="504">
        <f>'Rekap. Upah Pekerja'!A252</f>
        <v>25</v>
      </c>
      <c r="B258" s="505" t="str">
        <f>'Rekap. Upah Pekerja'!B252</f>
        <v>Pemasangan 1 m² finishing siar pasangan conblock ekspose</v>
      </c>
      <c r="C258" s="518"/>
      <c r="D258" s="519" t="s">
        <v>58</v>
      </c>
      <c r="E258" s="506">
        <f>'Rekap. Analisa RAB'!C253</f>
        <v>15400</v>
      </c>
      <c r="F258" s="507">
        <f t="shared" si="7"/>
        <v>0</v>
      </c>
    </row>
    <row r="259" spans="1:6" s="498" customFormat="1" ht="25.5" x14ac:dyDescent="0.25">
      <c r="A259" s="504">
        <f>'Rekap. Upah Pekerja'!A253</f>
        <v>26</v>
      </c>
      <c r="B259" s="505" t="str">
        <f>'Rekap. Upah Pekerja'!B253</f>
        <v>Pemasangan 1 m² finishing siar pasangan batu kali , campuran 1 SP : 2 PP</v>
      </c>
      <c r="C259" s="518"/>
      <c r="D259" s="519" t="s">
        <v>58</v>
      </c>
      <c r="E259" s="506">
        <f>'Rekap. Analisa RAB'!C254</f>
        <v>67400</v>
      </c>
      <c r="F259" s="507">
        <f t="shared" si="7"/>
        <v>0</v>
      </c>
    </row>
    <row r="260" spans="1:6" s="498" customFormat="1" ht="15" customHeight="1" thickBot="1" x14ac:dyDescent="0.3">
      <c r="A260" s="504">
        <f>'Rekap. Upah Pekerja'!A254</f>
        <v>27</v>
      </c>
      <c r="B260" s="505" t="str">
        <f>'Rekap. Upah Pekerja'!B254</f>
        <v>Pemasangan 1 m² acian dengan semen</v>
      </c>
      <c r="C260" s="518"/>
      <c r="D260" s="519" t="s">
        <v>58</v>
      </c>
      <c r="E260" s="506">
        <f>'Rekap. Analisa RAB'!C255</f>
        <v>41200</v>
      </c>
      <c r="F260" s="517">
        <f t="shared" si="7"/>
        <v>0</v>
      </c>
    </row>
    <row r="261" spans="1:6" s="498" customFormat="1" ht="21" customHeight="1" thickTop="1" thickBot="1" x14ac:dyDescent="0.3">
      <c r="A261" s="602" t="s">
        <v>1742</v>
      </c>
      <c r="B261" s="602"/>
      <c r="C261" s="602"/>
      <c r="D261" s="602"/>
      <c r="E261" s="602"/>
      <c r="F261" s="502">
        <f>SUM(F234:F260)</f>
        <v>0</v>
      </c>
    </row>
    <row r="262" spans="1:6" s="498" customFormat="1" ht="15" customHeight="1" thickTop="1" x14ac:dyDescent="0.25">
      <c r="A262" s="499"/>
      <c r="B262" s="496"/>
      <c r="C262" s="496"/>
      <c r="D262" s="496"/>
      <c r="E262" s="497"/>
    </row>
    <row r="263" spans="1:6" s="498" customFormat="1" ht="15" customHeight="1" x14ac:dyDescent="0.25">
      <c r="A263" s="503" t="str">
        <f>'Rekap. Upah Pekerja'!A256</f>
        <v>VIII.</v>
      </c>
      <c r="B263" s="605" t="str">
        <f>'Rekap. Upah Pekerja'!B256</f>
        <v>HARGA SATUAN PEKERJAAN PENUTUP LANTAI DAN PENUTUP DINDING</v>
      </c>
      <c r="C263" s="605"/>
      <c r="D263" s="605"/>
      <c r="E263" s="605"/>
      <c r="F263" s="605"/>
    </row>
    <row r="264" spans="1:6" s="498" customFormat="1" ht="25.5" x14ac:dyDescent="0.25">
      <c r="A264" s="504">
        <f>'Rekap. Upah Pekerja'!A257</f>
        <v>1</v>
      </c>
      <c r="B264" s="505" t="str">
        <f>'Rekap. Upah Pekerja'!B257</f>
        <v>Pemasangan 1 m² lantai ubin PC abu-abu ukuran 40 cmx 40 cm</v>
      </c>
      <c r="C264" s="518"/>
      <c r="D264" s="519" t="s">
        <v>58</v>
      </c>
      <c r="E264" s="506">
        <f>'Rekap. Analisa RAB'!C258</f>
        <v>184000</v>
      </c>
      <c r="F264" s="507">
        <f t="shared" ref="F264:F322" si="8">C264*E264</f>
        <v>0</v>
      </c>
    </row>
    <row r="265" spans="1:6" s="498" customFormat="1" ht="25.5" x14ac:dyDescent="0.25">
      <c r="A265" s="504">
        <f>'Rekap. Upah Pekerja'!A258</f>
        <v>2</v>
      </c>
      <c r="B265" s="505" t="str">
        <f>'Rekap. Upah Pekerja'!B258</f>
        <v>Pemasangan 1 m² lantai ubin PC abu-abu ukuran 30 cmx 30 cm</v>
      </c>
      <c r="C265" s="518"/>
      <c r="D265" s="519" t="s">
        <v>58</v>
      </c>
      <c r="E265" s="506">
        <f>'Rekap. Analisa RAB'!C259</f>
        <v>185100</v>
      </c>
      <c r="F265" s="507">
        <f t="shared" si="8"/>
        <v>0</v>
      </c>
    </row>
    <row r="266" spans="1:6" s="498" customFormat="1" ht="25.5" x14ac:dyDescent="0.25">
      <c r="A266" s="504">
        <f>'Rekap. Upah Pekerja'!A259</f>
        <v>3</v>
      </c>
      <c r="B266" s="505" t="str">
        <f>'Rekap. Upah Pekerja'!B259</f>
        <v>Pemasangan 1 m² lantai ubin PC abu-abu ukuran 20 cmx 20 cm</v>
      </c>
      <c r="C266" s="518"/>
      <c r="D266" s="519" t="s">
        <v>58</v>
      </c>
      <c r="E266" s="506">
        <f>'Rekap. Analisa RAB'!C260</f>
        <v>246500</v>
      </c>
      <c r="F266" s="507">
        <f t="shared" si="8"/>
        <v>0</v>
      </c>
    </row>
    <row r="267" spans="1:6" s="498" customFormat="1" ht="25.5" x14ac:dyDescent="0.25">
      <c r="A267" s="504">
        <f>'Rekap. Upah Pekerja'!A260</f>
        <v>4</v>
      </c>
      <c r="B267" s="505" t="str">
        <f>'Rekap. Upah Pekerja'!B260</f>
        <v>Pemasangan 1 m² lantai ubin warna ukuran 40 cmx 40 cm</v>
      </c>
      <c r="C267" s="518"/>
      <c r="D267" s="519" t="s">
        <v>58</v>
      </c>
      <c r="E267" s="506">
        <f>'Rekap. Analisa RAB'!C261</f>
        <v>203200</v>
      </c>
      <c r="F267" s="507">
        <f t="shared" si="8"/>
        <v>0</v>
      </c>
    </row>
    <row r="268" spans="1:6" s="498" customFormat="1" ht="25.5" x14ac:dyDescent="0.25">
      <c r="A268" s="504">
        <f>'Rekap. Upah Pekerja'!A261</f>
        <v>5</v>
      </c>
      <c r="B268" s="505" t="str">
        <f>'Rekap. Upah Pekerja'!B261</f>
        <v>Pemasangan 1 m² lantai ubin warna ukuran 30 cmx 30 cm</v>
      </c>
      <c r="C268" s="518"/>
      <c r="D268" s="519" t="s">
        <v>58</v>
      </c>
      <c r="E268" s="506">
        <f>'Rekap. Analisa RAB'!C262</f>
        <v>209000</v>
      </c>
      <c r="F268" s="507">
        <f t="shared" si="8"/>
        <v>0</v>
      </c>
    </row>
    <row r="269" spans="1:6" s="498" customFormat="1" ht="25.5" x14ac:dyDescent="0.25">
      <c r="A269" s="504">
        <f>'Rekap. Upah Pekerja'!A262</f>
        <v>6</v>
      </c>
      <c r="B269" s="505" t="str">
        <f>'Rekap. Upah Pekerja'!B262</f>
        <v>Pemasangan 1 m² lantai ubin warna ukuran 20 cmx 20 cm</v>
      </c>
      <c r="C269" s="518"/>
      <c r="D269" s="519" t="s">
        <v>58</v>
      </c>
      <c r="E269" s="506">
        <f>'Rekap. Analisa RAB'!C263</f>
        <v>270100</v>
      </c>
      <c r="F269" s="507">
        <f t="shared" si="8"/>
        <v>0</v>
      </c>
    </row>
    <row r="270" spans="1:6" s="498" customFormat="1" ht="25.5" x14ac:dyDescent="0.25">
      <c r="A270" s="504">
        <f>'Rekap. Upah Pekerja'!A263</f>
        <v>7</v>
      </c>
      <c r="B270" s="505" t="str">
        <f>'Rekap. Upah Pekerja'!B263</f>
        <v>Pemasangan 1 m² lantai ubin teraso ukuran 40 cmx 40 cm</v>
      </c>
      <c r="C270" s="518"/>
      <c r="D270" s="519" t="s">
        <v>58</v>
      </c>
      <c r="E270" s="506">
        <f>'Rekap. Analisa RAB'!C264</f>
        <v>172300</v>
      </c>
      <c r="F270" s="507">
        <f t="shared" si="8"/>
        <v>0</v>
      </c>
    </row>
    <row r="271" spans="1:6" s="498" customFormat="1" ht="25.5" x14ac:dyDescent="0.25">
      <c r="A271" s="504">
        <f>'Rekap. Upah Pekerja'!A264</f>
        <v>8</v>
      </c>
      <c r="B271" s="505" t="str">
        <f>'Rekap. Upah Pekerja'!B264</f>
        <v>Pemasangan 1 m² lantai ubin teraso ukuran 30 cmx 30 cm</v>
      </c>
      <c r="C271" s="518"/>
      <c r="D271" s="519" t="s">
        <v>58</v>
      </c>
      <c r="E271" s="506">
        <f>'Rekap. Analisa RAB'!C265</f>
        <v>178000</v>
      </c>
      <c r="F271" s="507">
        <f t="shared" si="8"/>
        <v>0</v>
      </c>
    </row>
    <row r="272" spans="1:6" s="498" customFormat="1" ht="25.5" x14ac:dyDescent="0.25">
      <c r="A272" s="504">
        <f>'Rekap. Upah Pekerja'!A265</f>
        <v>9</v>
      </c>
      <c r="B272" s="505" t="str">
        <f>'Rekap. Upah Pekerja'!B265</f>
        <v>Pemasangan 1 m² lantai ubin granit ukuran 40 cmx 40 cm</v>
      </c>
      <c r="C272" s="518"/>
      <c r="D272" s="519" t="s">
        <v>58</v>
      </c>
      <c r="E272" s="506">
        <f>'Rekap. Analisa RAB'!C266</f>
        <v>749200</v>
      </c>
      <c r="F272" s="507">
        <f t="shared" si="8"/>
        <v>0</v>
      </c>
    </row>
    <row r="273" spans="1:6" s="498" customFormat="1" ht="25.5" x14ac:dyDescent="0.25">
      <c r="A273" s="504">
        <f>'Rekap. Upah Pekerja'!A266</f>
        <v>10</v>
      </c>
      <c r="B273" s="505" t="str">
        <f>'Rekap. Upah Pekerja'!B266</f>
        <v>Pemasangan 1 m² lantai ubin granit ukuran 30 cmx 30 cm</v>
      </c>
      <c r="C273" s="518"/>
      <c r="D273" s="519" t="s">
        <v>58</v>
      </c>
      <c r="E273" s="506">
        <f>'Rekap. Analisa RAB'!C267</f>
        <v>754400</v>
      </c>
      <c r="F273" s="507">
        <f t="shared" si="8"/>
        <v>0</v>
      </c>
    </row>
    <row r="274" spans="1:6" s="498" customFormat="1" ht="25.5" x14ac:dyDescent="0.25">
      <c r="A274" s="504">
        <f>'Rekap. Upah Pekerja'!A267</f>
        <v>11</v>
      </c>
      <c r="B274" s="505" t="str">
        <f>'Rekap. Upah Pekerja'!B267</f>
        <v>Pemasangan 1 m² lantai ubin teralux marmer ukuran 60 cmx 60 cm</v>
      </c>
      <c r="C274" s="518"/>
      <c r="D274" s="519" t="s">
        <v>58</v>
      </c>
      <c r="E274" s="506">
        <f>'Rekap. Analisa RAB'!C268</f>
        <v>169100</v>
      </c>
      <c r="F274" s="507">
        <f t="shared" si="8"/>
        <v>0</v>
      </c>
    </row>
    <row r="275" spans="1:6" s="498" customFormat="1" ht="25.5" x14ac:dyDescent="0.25">
      <c r="A275" s="504">
        <f>'Rekap. Upah Pekerja'!A268</f>
        <v>12</v>
      </c>
      <c r="B275" s="505" t="str">
        <f>'Rekap. Upah Pekerja'!B268</f>
        <v>Pemasangan 1 m² lantai ubin teralux marmer ukuran 40 cmx 40 cm</v>
      </c>
      <c r="C275" s="518"/>
      <c r="D275" s="519" t="s">
        <v>58</v>
      </c>
      <c r="E275" s="506">
        <f>'Rekap. Analisa RAB'!C269</f>
        <v>168200</v>
      </c>
      <c r="F275" s="507">
        <f t="shared" si="8"/>
        <v>0</v>
      </c>
    </row>
    <row r="276" spans="1:6" s="498" customFormat="1" ht="25.5" x14ac:dyDescent="0.25">
      <c r="A276" s="504">
        <f>'Rekap. Upah Pekerja'!A269</f>
        <v>13</v>
      </c>
      <c r="B276" s="505" t="str">
        <f>'Rekap. Upah Pekerja'!B269</f>
        <v>Pemasangan 1 m² lantai ubin teralux marmer ukuran 30 cmx 30 cm</v>
      </c>
      <c r="C276" s="518"/>
      <c r="D276" s="519" t="s">
        <v>58</v>
      </c>
      <c r="E276" s="506">
        <f>'Rekap. Analisa RAB'!C270</f>
        <v>173300</v>
      </c>
      <c r="F276" s="507">
        <f t="shared" si="8"/>
        <v>0</v>
      </c>
    </row>
    <row r="277" spans="1:6" s="498" customFormat="1" ht="25.5" x14ac:dyDescent="0.25">
      <c r="A277" s="504">
        <f>'Rekap. Upah Pekerja'!A270</f>
        <v>14</v>
      </c>
      <c r="B277" s="505" t="str">
        <f>'Rekap. Upah Pekerja'!B270</f>
        <v>Pemasangan 1 m1 plint ubin PC abu-abu ukuran 15 cmx 20 cm</v>
      </c>
      <c r="C277" s="518"/>
      <c r="D277" s="519" t="s">
        <v>14</v>
      </c>
      <c r="E277" s="506">
        <f>'Rekap. Analisa RAB'!C271</f>
        <v>41000</v>
      </c>
      <c r="F277" s="507">
        <f t="shared" si="8"/>
        <v>0</v>
      </c>
    </row>
    <row r="278" spans="1:6" s="498" customFormat="1" ht="25.5" x14ac:dyDescent="0.25">
      <c r="A278" s="504">
        <f>'Rekap. Upah Pekerja'!A271</f>
        <v>15</v>
      </c>
      <c r="B278" s="505" t="str">
        <f>'Rekap. Upah Pekerja'!B271</f>
        <v>Pemasangan 1 m1 plint ubin PC abu-abu ukuran 10 cmx 30 cm</v>
      </c>
      <c r="C278" s="518"/>
      <c r="D278" s="519" t="s">
        <v>14</v>
      </c>
      <c r="E278" s="506">
        <f>'Rekap. Analisa RAB'!C272</f>
        <v>35200</v>
      </c>
      <c r="F278" s="507">
        <f t="shared" si="8"/>
        <v>0</v>
      </c>
    </row>
    <row r="279" spans="1:6" s="498" customFormat="1" ht="25.5" x14ac:dyDescent="0.25">
      <c r="A279" s="504">
        <f>'Rekap. Upah Pekerja'!A272</f>
        <v>16</v>
      </c>
      <c r="B279" s="505" t="str">
        <f>'Rekap. Upah Pekerja'!B272</f>
        <v>Pemasangan 1 m1 plint ubin PC abu-abu ukuran 10 cmx 40 cm</v>
      </c>
      <c r="C279" s="518"/>
      <c r="D279" s="519" t="s">
        <v>14</v>
      </c>
      <c r="E279" s="506">
        <f>'Rekap. Analisa RAB'!C273</f>
        <v>35200</v>
      </c>
      <c r="F279" s="507">
        <f t="shared" si="8"/>
        <v>0</v>
      </c>
    </row>
    <row r="280" spans="1:6" s="498" customFormat="1" ht="25.5" x14ac:dyDescent="0.25">
      <c r="A280" s="504">
        <f>'Rekap. Upah Pekerja'!A273</f>
        <v>17</v>
      </c>
      <c r="B280" s="505" t="str">
        <f>'Rekap. Upah Pekerja'!B273</f>
        <v>Pemasangan 1 m1 plint ubin warna ukuran 10 cmx 20 cm</v>
      </c>
      <c r="C280" s="518"/>
      <c r="D280" s="519" t="s">
        <v>14</v>
      </c>
      <c r="E280" s="506">
        <f>'Rekap. Analisa RAB'!C274</f>
        <v>31300</v>
      </c>
      <c r="F280" s="507">
        <f t="shared" si="8"/>
        <v>0</v>
      </c>
    </row>
    <row r="281" spans="1:6" s="498" customFormat="1" ht="25.5" x14ac:dyDescent="0.25">
      <c r="A281" s="504">
        <f>'Rekap. Upah Pekerja'!A274</f>
        <v>18</v>
      </c>
      <c r="B281" s="505" t="str">
        <f>'Rekap. Upah Pekerja'!B274</f>
        <v>Pemasangan 1 m1 plint ubin warna ukuran 10 cmx 30 cm</v>
      </c>
      <c r="C281" s="518"/>
      <c r="D281" s="519" t="s">
        <v>14</v>
      </c>
      <c r="E281" s="506">
        <f>'Rekap. Analisa RAB'!C275</f>
        <v>26000</v>
      </c>
      <c r="F281" s="507">
        <f t="shared" si="8"/>
        <v>0</v>
      </c>
    </row>
    <row r="282" spans="1:6" s="498" customFormat="1" ht="25.5" x14ac:dyDescent="0.25">
      <c r="A282" s="504">
        <f>'Rekap. Upah Pekerja'!A275</f>
        <v>19</v>
      </c>
      <c r="B282" s="505" t="str">
        <f>'Rekap. Upah Pekerja'!B275</f>
        <v>Pemasangan 1 m1 plint ubin warna ukuran 10 cmx 40 cm</v>
      </c>
      <c r="C282" s="518"/>
      <c r="D282" s="519" t="s">
        <v>14</v>
      </c>
      <c r="E282" s="506">
        <f>'Rekap. Analisa RAB'!C276</f>
        <v>36400</v>
      </c>
      <c r="F282" s="507">
        <f t="shared" si="8"/>
        <v>0</v>
      </c>
    </row>
    <row r="283" spans="1:6" s="498" customFormat="1" ht="25.5" x14ac:dyDescent="0.25">
      <c r="A283" s="504">
        <f>'Rekap. Upah Pekerja'!A276</f>
        <v>20</v>
      </c>
      <c r="B283" s="505" t="str">
        <f>'Rekap. Upah Pekerja'!B276</f>
        <v>Pemasangan 1 m1 plint ubin teraso ukuran 10 cmx 30 cm</v>
      </c>
      <c r="C283" s="518"/>
      <c r="D283" s="519" t="s">
        <v>14</v>
      </c>
      <c r="E283" s="506">
        <f>'Rekap. Analisa RAB'!C277</f>
        <v>33300</v>
      </c>
      <c r="F283" s="507">
        <f t="shared" si="8"/>
        <v>0</v>
      </c>
    </row>
    <row r="284" spans="1:6" s="498" customFormat="1" ht="25.5" x14ac:dyDescent="0.25">
      <c r="A284" s="504">
        <f>'Rekap. Upah Pekerja'!A277</f>
        <v>21</v>
      </c>
      <c r="B284" s="505" t="str">
        <f>'Rekap. Upah Pekerja'!B277</f>
        <v>Pemasangan 1 m1 plint ubin teraso ukuran 10 cmx 40 cm</v>
      </c>
      <c r="C284" s="518"/>
      <c r="D284" s="519" t="s">
        <v>14</v>
      </c>
      <c r="E284" s="506">
        <f>'Rekap. Analisa RAB'!C278</f>
        <v>33400</v>
      </c>
      <c r="F284" s="507">
        <f t="shared" si="8"/>
        <v>0</v>
      </c>
    </row>
    <row r="285" spans="1:6" s="498" customFormat="1" ht="25.5" x14ac:dyDescent="0.25">
      <c r="A285" s="504">
        <f>'Rekap. Upah Pekerja'!A278</f>
        <v>22</v>
      </c>
      <c r="B285" s="505" t="str">
        <f>'Rekap. Upah Pekerja'!B278</f>
        <v>Pemasangan 1 m1 plint ubin granit ukuran 10 cmx 40 cm</v>
      </c>
      <c r="C285" s="518"/>
      <c r="D285" s="519" t="s">
        <v>14</v>
      </c>
      <c r="E285" s="506">
        <f>'Rekap. Analisa RAB'!C279</f>
        <v>66900</v>
      </c>
      <c r="F285" s="507">
        <f t="shared" si="8"/>
        <v>0</v>
      </c>
    </row>
    <row r="286" spans="1:6" s="498" customFormat="1" ht="25.5" x14ac:dyDescent="0.25">
      <c r="A286" s="504">
        <f>'Rekap. Upah Pekerja'!A279</f>
        <v>23</v>
      </c>
      <c r="B286" s="505" t="str">
        <f>'Rekap. Upah Pekerja'!B279</f>
        <v>Pemasangan 1 m1 plint ubin granit ukuran 10 cmx 30 cm</v>
      </c>
      <c r="C286" s="518"/>
      <c r="D286" s="519" t="s">
        <v>14</v>
      </c>
      <c r="E286" s="506">
        <f>'Rekap. Analisa RAB'!C280</f>
        <v>26300</v>
      </c>
      <c r="F286" s="507">
        <f t="shared" si="8"/>
        <v>0</v>
      </c>
    </row>
    <row r="287" spans="1:6" s="498" customFormat="1" ht="25.5" x14ac:dyDescent="0.25">
      <c r="A287" s="504">
        <f>'Rekap. Upah Pekerja'!A280</f>
        <v>24</v>
      </c>
      <c r="B287" s="505" t="str">
        <f>'Rekap. Upah Pekerja'!B280</f>
        <v>Pemasangan 1 m1 plint ubin teralux kerang ukuran 10 cmx 40 cm</v>
      </c>
      <c r="C287" s="518"/>
      <c r="D287" s="519" t="s">
        <v>14</v>
      </c>
      <c r="E287" s="506">
        <f>'Rekap. Analisa RAB'!C281</f>
        <v>33300</v>
      </c>
      <c r="F287" s="507">
        <f t="shared" si="8"/>
        <v>0</v>
      </c>
    </row>
    <row r="288" spans="1:6" s="498" customFormat="1" ht="25.5" x14ac:dyDescent="0.25">
      <c r="A288" s="504">
        <f>'Rekap. Upah Pekerja'!A281</f>
        <v>25</v>
      </c>
      <c r="B288" s="505" t="str">
        <f>'Rekap. Upah Pekerja'!B281</f>
        <v>Pemasangan 1 m1 plint ubin teralux kerang ukuran 10 cmx 30 cm</v>
      </c>
      <c r="C288" s="518"/>
      <c r="D288" s="519" t="s">
        <v>14</v>
      </c>
      <c r="E288" s="506">
        <f>'Rekap. Analisa RAB'!C282</f>
        <v>33300</v>
      </c>
      <c r="F288" s="507">
        <f t="shared" si="8"/>
        <v>0</v>
      </c>
    </row>
    <row r="289" spans="1:6" s="498" customFormat="1" ht="25.5" x14ac:dyDescent="0.25">
      <c r="A289" s="504">
        <f>'Rekap. Upah Pekerja'!A282</f>
        <v>26</v>
      </c>
      <c r="B289" s="505" t="str">
        <f>'Rekap. Upah Pekerja'!B282</f>
        <v>Pemasangan 1 m1 plint ubin teralux marmer ukuran 10 cmx 60 cm</v>
      </c>
      <c r="C289" s="518"/>
      <c r="D289" s="519" t="s">
        <v>14</v>
      </c>
      <c r="E289" s="506">
        <f>'Rekap. Analisa RAB'!C283</f>
        <v>33100</v>
      </c>
      <c r="F289" s="507">
        <f t="shared" si="8"/>
        <v>0</v>
      </c>
    </row>
    <row r="290" spans="1:6" s="498" customFormat="1" ht="25.5" x14ac:dyDescent="0.25">
      <c r="A290" s="504">
        <f>'Rekap. Upah Pekerja'!A283</f>
        <v>27</v>
      </c>
      <c r="B290" s="505" t="str">
        <f>'Rekap. Upah Pekerja'!B283</f>
        <v>Pemasangan 1 m1 plint ubin teralux marmer ukuran 10 cmx 40 cm</v>
      </c>
      <c r="C290" s="518"/>
      <c r="D290" s="519" t="s">
        <v>14</v>
      </c>
      <c r="E290" s="506">
        <f>'Rekap. Analisa RAB'!C284</f>
        <v>33400</v>
      </c>
      <c r="F290" s="507">
        <f t="shared" si="8"/>
        <v>0</v>
      </c>
    </row>
    <row r="291" spans="1:6" s="498" customFormat="1" ht="25.5" x14ac:dyDescent="0.25">
      <c r="A291" s="504">
        <f>'Rekap. Upah Pekerja'!A284</f>
        <v>28</v>
      </c>
      <c r="B291" s="505" t="str">
        <f>'Rekap. Upah Pekerja'!B284</f>
        <v>Pemasangan 1 m1 plint ubin teralux marmer ukuran 10 cmx 30 cm</v>
      </c>
      <c r="C291" s="518"/>
      <c r="D291" s="519" t="s">
        <v>14</v>
      </c>
      <c r="E291" s="506">
        <f>'Rekap. Analisa RAB'!C285</f>
        <v>33300</v>
      </c>
      <c r="F291" s="507">
        <f t="shared" si="8"/>
        <v>0</v>
      </c>
    </row>
    <row r="292" spans="1:6" s="498" customFormat="1" ht="25.5" x14ac:dyDescent="0.25">
      <c r="A292" s="504">
        <f>'Rekap. Upah Pekerja'!A285</f>
        <v>29</v>
      </c>
      <c r="B292" s="505" t="str">
        <f>'Rekap. Upah Pekerja'!B285</f>
        <v>Pemasangan 1 m² lantai teraso cor di tempat, tebal 3 cm</v>
      </c>
      <c r="C292" s="518"/>
      <c r="D292" s="519" t="s">
        <v>58</v>
      </c>
      <c r="E292" s="506">
        <f>'Rekap. Analisa RAB'!C286</f>
        <v>68800</v>
      </c>
      <c r="F292" s="507">
        <f t="shared" si="8"/>
        <v>0</v>
      </c>
    </row>
    <row r="293" spans="1:6" s="498" customFormat="1" ht="25.5" x14ac:dyDescent="0.25">
      <c r="A293" s="504">
        <f>'Rekap. Upah Pekerja'!A286</f>
        <v>30</v>
      </c>
      <c r="B293" s="505" t="str">
        <f>'Rekap. Upah Pekerja'!B286</f>
        <v>Pemasangan 1 m² lantai keramik artistik 10 cm x 20 cm</v>
      </c>
      <c r="C293" s="518"/>
      <c r="D293" s="519" t="s">
        <v>58</v>
      </c>
      <c r="E293" s="506">
        <f>'Rekap. Analisa RAB'!C287</f>
        <v>406000</v>
      </c>
      <c r="F293" s="507">
        <f t="shared" si="8"/>
        <v>0</v>
      </c>
    </row>
    <row r="294" spans="1:6" s="498" customFormat="1" ht="25.5" x14ac:dyDescent="0.25">
      <c r="A294" s="504">
        <f>'Rekap. Upah Pekerja'!A287</f>
        <v>31</v>
      </c>
      <c r="B294" s="505" t="str">
        <f>'Rekap. Upah Pekerja'!B287</f>
        <v>Pemasangan 1 m² lantai keramik artistik 10 cm x 10 cm atau 5cm x 20 cm</v>
      </c>
      <c r="C294" s="518"/>
      <c r="D294" s="519" t="s">
        <v>58</v>
      </c>
      <c r="E294" s="506">
        <f>'Rekap. Analisa RAB'!C288</f>
        <v>413100</v>
      </c>
      <c r="F294" s="507">
        <f t="shared" si="8"/>
        <v>0</v>
      </c>
    </row>
    <row r="295" spans="1:6" s="498" customFormat="1" ht="25.5" x14ac:dyDescent="0.25">
      <c r="A295" s="504">
        <f>'Rekap. Upah Pekerja'!A288</f>
        <v>32</v>
      </c>
      <c r="B295" s="505" t="str">
        <f>'Rekap. Upah Pekerja'!B288</f>
        <v>Pemasangan 1 m² lantai keramik ukuran 33 cm x 33 cm</v>
      </c>
      <c r="C295" s="518"/>
      <c r="D295" s="519" t="s">
        <v>58</v>
      </c>
      <c r="E295" s="506">
        <f>'Rekap. Analisa RAB'!C289</f>
        <v>253100</v>
      </c>
      <c r="F295" s="507">
        <f t="shared" si="8"/>
        <v>0</v>
      </c>
    </row>
    <row r="296" spans="1:6" s="498" customFormat="1" ht="25.5" x14ac:dyDescent="0.25">
      <c r="A296" s="504" t="str">
        <f>'Rekap. Upah Pekerja'!A289</f>
        <v>33.1</v>
      </c>
      <c r="B296" s="505" t="str">
        <f>'Rekap. Upah Pekerja'!B289</f>
        <v xml:space="preserve">Pemasangan 1 m² lantai keramik ukuran 40 cm x 40 cm </v>
      </c>
      <c r="C296" s="518"/>
      <c r="D296" s="519" t="s">
        <v>58</v>
      </c>
      <c r="E296" s="506">
        <f>'Rekap. Analisa RAB'!C290</f>
        <v>217700</v>
      </c>
      <c r="F296" s="507">
        <f t="shared" si="8"/>
        <v>0</v>
      </c>
    </row>
    <row r="297" spans="1:6" s="498" customFormat="1" ht="25.5" x14ac:dyDescent="0.25">
      <c r="A297" s="504" t="str">
        <f>'Rekap. Upah Pekerja'!A290</f>
        <v>33.2</v>
      </c>
      <c r="B297" s="505" t="str">
        <f>'Rekap. Upah Pekerja'!B290</f>
        <v>Pemasangan 1 m² lantai keramik ukuran 40 cm x 40 cm anti slip</v>
      </c>
      <c r="C297" s="518"/>
      <c r="D297" s="519" t="s">
        <v>58</v>
      </c>
      <c r="E297" s="506">
        <f>'Rekap. Analisa RAB'!C291</f>
        <v>223700</v>
      </c>
      <c r="F297" s="507">
        <f t="shared" si="8"/>
        <v>0</v>
      </c>
    </row>
    <row r="298" spans="1:6" s="498" customFormat="1" ht="25.5" x14ac:dyDescent="0.25">
      <c r="A298" s="504" t="str">
        <f>'Rekap. Upah Pekerja'!A291</f>
        <v>34.1</v>
      </c>
      <c r="B298" s="505" t="str">
        <f>'Rekap. Upah Pekerja'!B291</f>
        <v xml:space="preserve">Pemasangan 1 m² lantai keramik ukuran 20 cm x 20 cm </v>
      </c>
      <c r="C298" s="518"/>
      <c r="D298" s="519" t="s">
        <v>58</v>
      </c>
      <c r="E298" s="506">
        <f>'Rekap. Analisa RAB'!C292</f>
        <v>238300</v>
      </c>
      <c r="F298" s="507">
        <f t="shared" si="8"/>
        <v>0</v>
      </c>
    </row>
    <row r="299" spans="1:6" s="498" customFormat="1" ht="25.5" x14ac:dyDescent="0.25">
      <c r="A299" s="504" t="str">
        <f>'Rekap. Upah Pekerja'!A292</f>
        <v>34.2</v>
      </c>
      <c r="B299" s="505" t="str">
        <f>'Rekap. Upah Pekerja'!B292</f>
        <v>Pemasangan 1 m² lantai keramik ukuran 20 cm x 20 cm anti slip</v>
      </c>
      <c r="C299" s="518"/>
      <c r="D299" s="519" t="s">
        <v>58</v>
      </c>
      <c r="E299" s="506">
        <f>'Rekap. Analisa RAB'!C293</f>
        <v>243700</v>
      </c>
      <c r="F299" s="507">
        <f t="shared" si="8"/>
        <v>0</v>
      </c>
    </row>
    <row r="300" spans="1:6" s="498" customFormat="1" ht="25.5" x14ac:dyDescent="0.25">
      <c r="A300" s="504">
        <f>'Rekap. Upah Pekerja'!A293</f>
        <v>35</v>
      </c>
      <c r="B300" s="505" t="str">
        <f>'Rekap. Upah Pekerja'!B293</f>
        <v xml:space="preserve">Pemasangan 1 m² lantai keramik ukuran 10 cm x 40 cm untuk variasi /border </v>
      </c>
      <c r="C300" s="518"/>
      <c r="D300" s="519" t="s">
        <v>58</v>
      </c>
      <c r="E300" s="506">
        <f>'Rekap. Analisa RAB'!C294</f>
        <v>382600</v>
      </c>
      <c r="F300" s="507">
        <f t="shared" si="8"/>
        <v>0</v>
      </c>
    </row>
    <row r="301" spans="1:6" s="498" customFormat="1" ht="25.5" x14ac:dyDescent="0.25">
      <c r="A301" s="504" t="str">
        <f>'Rekap. Upah Pekerja'!A294</f>
        <v>36.1</v>
      </c>
      <c r="B301" s="505" t="str">
        <f>'Rekap. Upah Pekerja'!B294</f>
        <v>Pemasangan 1 m² lantai keramik ukuran 30 cm x 30 cm</v>
      </c>
      <c r="C301" s="518"/>
      <c r="D301" s="519" t="s">
        <v>58</v>
      </c>
      <c r="E301" s="506">
        <f>'Rekap. Analisa RAB'!C295</f>
        <v>259300</v>
      </c>
      <c r="F301" s="507">
        <f t="shared" si="8"/>
        <v>0</v>
      </c>
    </row>
    <row r="302" spans="1:6" s="498" customFormat="1" ht="25.5" x14ac:dyDescent="0.25">
      <c r="A302" s="504" t="str">
        <f>'Rekap. Upah Pekerja'!A295</f>
        <v>36.2</v>
      </c>
      <c r="B302" s="505" t="str">
        <f>'Rekap. Upah Pekerja'!B295</f>
        <v>Pemasangan 1 m² lantai keramik ukuran 30 cm x 30 cm Anti Slip</v>
      </c>
      <c r="C302" s="518"/>
      <c r="D302" s="519" t="s">
        <v>58</v>
      </c>
      <c r="E302" s="506">
        <f>'Rekap. Analisa RAB'!C296</f>
        <v>247000</v>
      </c>
      <c r="F302" s="507">
        <f t="shared" si="8"/>
        <v>0</v>
      </c>
    </row>
    <row r="303" spans="1:6" s="498" customFormat="1" ht="25.5" x14ac:dyDescent="0.25">
      <c r="A303" s="504" t="str">
        <f>'Rekap. Upah Pekerja'!A296</f>
        <v>37.1</v>
      </c>
      <c r="B303" s="505" t="str">
        <f>'Rekap. Upah Pekerja'!B296</f>
        <v>Pemasangan 1 m1 plint keramik ukuran 10 cm x 30 cm</v>
      </c>
      <c r="C303" s="518"/>
      <c r="D303" s="519" t="s">
        <v>14</v>
      </c>
      <c r="E303" s="506">
        <f>'Rekap. Analisa RAB'!C297</f>
        <v>27600</v>
      </c>
      <c r="F303" s="507">
        <f t="shared" si="8"/>
        <v>0</v>
      </c>
    </row>
    <row r="304" spans="1:6" s="498" customFormat="1" ht="25.5" x14ac:dyDescent="0.25">
      <c r="A304" s="504" t="str">
        <f>'Rekap. Upah Pekerja'!A297</f>
        <v>37.2</v>
      </c>
      <c r="B304" s="505" t="str">
        <f>'Rekap. Upah Pekerja'!B297</f>
        <v xml:space="preserve">Pemasangan 1 m1 plint keramik ukuran 10 cm x 20 cm </v>
      </c>
      <c r="C304" s="518"/>
      <c r="D304" s="519" t="s">
        <v>14</v>
      </c>
      <c r="E304" s="506">
        <f>'Rekap. Analisa RAB'!C298</f>
        <v>22800</v>
      </c>
      <c r="F304" s="507">
        <f t="shared" si="8"/>
        <v>0</v>
      </c>
    </row>
    <row r="305" spans="1:6" s="498" customFormat="1" ht="25.5" x14ac:dyDescent="0.25">
      <c r="A305" s="504">
        <f>'Rekap. Upah Pekerja'!A298</f>
        <v>38</v>
      </c>
      <c r="B305" s="505" t="str">
        <f>'Rekap. Upah Pekerja'!B298</f>
        <v xml:space="preserve">Pemasangan 1 m1 plint kayu ukuran 2 cm x 10 cm </v>
      </c>
      <c r="C305" s="518"/>
      <c r="D305" s="519" t="s">
        <v>14</v>
      </c>
      <c r="E305" s="506">
        <f>'Rekap. Analisa RAB'!C299</f>
        <v>159300</v>
      </c>
      <c r="F305" s="507">
        <f t="shared" si="8"/>
        <v>0</v>
      </c>
    </row>
    <row r="306" spans="1:6" s="498" customFormat="1" ht="25.5" x14ac:dyDescent="0.25">
      <c r="A306" s="504">
        <f>'Rekap. Upah Pekerja'!A299</f>
        <v>39</v>
      </c>
      <c r="B306" s="505" t="str">
        <f>'Rekap. Upah Pekerja'!B299</f>
        <v xml:space="preserve">Pemasangan 1 m1 plint keramik ukuran 5 cm x 20 cm </v>
      </c>
      <c r="C306" s="518"/>
      <c r="D306" s="519" t="s">
        <v>14</v>
      </c>
      <c r="E306" s="506">
        <f>'Rekap. Analisa RAB'!C300</f>
        <v>30100</v>
      </c>
      <c r="F306" s="507">
        <f t="shared" si="8"/>
        <v>0</v>
      </c>
    </row>
    <row r="307" spans="1:6" s="498" customFormat="1" ht="25.5" x14ac:dyDescent="0.25">
      <c r="A307" s="504">
        <f>'Rekap. Upah Pekerja'!A300</f>
        <v>40</v>
      </c>
      <c r="B307" s="505" t="str">
        <f>'Rekap. Upah Pekerja'!B300</f>
        <v xml:space="preserve">Pemasangan 1 m² lantai marmer ukuran 100 cm x 100 cm </v>
      </c>
      <c r="C307" s="518"/>
      <c r="D307" s="519" t="s">
        <v>58</v>
      </c>
      <c r="E307" s="506">
        <f>'Rekap. Analisa RAB'!C301</f>
        <v>396000</v>
      </c>
      <c r="F307" s="507">
        <f t="shared" si="8"/>
        <v>0</v>
      </c>
    </row>
    <row r="308" spans="1:6" s="498" customFormat="1" ht="15" customHeight="1" x14ac:dyDescent="0.25">
      <c r="A308" s="504">
        <f>'Rekap. Upah Pekerja'!A301</f>
        <v>41</v>
      </c>
      <c r="B308" s="505" t="str">
        <f>'Rekap. Upah Pekerja'!B301</f>
        <v xml:space="preserve">Pemasangan 1 m² lantai karpet </v>
      </c>
      <c r="C308" s="518"/>
      <c r="D308" s="519" t="s">
        <v>58</v>
      </c>
      <c r="E308" s="506">
        <f>'Rekap. Analisa RAB'!C302</f>
        <v>392700</v>
      </c>
      <c r="F308" s="507">
        <f t="shared" si="8"/>
        <v>0</v>
      </c>
    </row>
    <row r="309" spans="1:6" s="498" customFormat="1" ht="15" customHeight="1" x14ac:dyDescent="0.25">
      <c r="A309" s="504">
        <f>'Rekap. Upah Pekerja'!A302</f>
        <v>42</v>
      </c>
      <c r="B309" s="505" t="str">
        <f>'Rekap. Upah Pekerja'!B302</f>
        <v xml:space="preserve">Pemasangan 1 m² lantai parquet kayu </v>
      </c>
      <c r="C309" s="518"/>
      <c r="D309" s="519" t="s">
        <v>58</v>
      </c>
      <c r="E309" s="506">
        <f>'Rekap. Analisa RAB'!C303</f>
        <v>208900</v>
      </c>
      <c r="F309" s="507">
        <f t="shared" si="8"/>
        <v>0</v>
      </c>
    </row>
    <row r="310" spans="1:6" s="498" customFormat="1" ht="15" customHeight="1" x14ac:dyDescent="0.25">
      <c r="A310" s="504">
        <f>'Rekap. Upah Pekerja'!A303</f>
        <v>43</v>
      </c>
      <c r="B310" s="505" t="str">
        <f>'Rekap. Upah Pekerja'!B303</f>
        <v xml:space="preserve">Pemasangan 1 m² lantai kayu gymfloor </v>
      </c>
      <c r="C310" s="518"/>
      <c r="D310" s="519" t="s">
        <v>58</v>
      </c>
      <c r="E310" s="506">
        <f>'Rekap. Analisa RAB'!C304</f>
        <v>208900</v>
      </c>
      <c r="F310" s="507">
        <f t="shared" si="8"/>
        <v>0</v>
      </c>
    </row>
    <row r="311" spans="1:6" s="498" customFormat="1" ht="25.5" x14ac:dyDescent="0.25">
      <c r="A311" s="504">
        <f>'Rekap. Upah Pekerja'!A304</f>
        <v>44</v>
      </c>
      <c r="B311" s="505" t="str">
        <f>'Rekap. Upah Pekerja'!B304</f>
        <v>Pemasangan 1 m² dinding porselin 11 cm x 11 cm</v>
      </c>
      <c r="C311" s="518"/>
      <c r="D311" s="519" t="s">
        <v>58</v>
      </c>
      <c r="E311" s="506">
        <f>'Rekap. Analisa RAB'!C305</f>
        <v>301200</v>
      </c>
      <c r="F311" s="507">
        <f t="shared" si="8"/>
        <v>0</v>
      </c>
    </row>
    <row r="312" spans="1:6" s="498" customFormat="1" ht="25.5" x14ac:dyDescent="0.25">
      <c r="A312" s="504">
        <f>'Rekap. Upah Pekerja'!A305</f>
        <v>45</v>
      </c>
      <c r="B312" s="505" t="str">
        <f>'Rekap. Upah Pekerja'!B305</f>
        <v>Pemasangan 1 m² dinding porselin 10 cm x 20 cm</v>
      </c>
      <c r="C312" s="518"/>
      <c r="D312" s="519" t="s">
        <v>58</v>
      </c>
      <c r="E312" s="506">
        <f>'Rekap. Analisa RAB'!C306</f>
        <v>304700</v>
      </c>
      <c r="F312" s="507">
        <f t="shared" si="8"/>
        <v>0</v>
      </c>
    </row>
    <row r="313" spans="1:6" s="498" customFormat="1" ht="25.5" x14ac:dyDescent="0.25">
      <c r="A313" s="504">
        <f>'Rekap. Upah Pekerja'!A306</f>
        <v>46</v>
      </c>
      <c r="B313" s="505" t="str">
        <f>'Rekap. Upah Pekerja'!B306</f>
        <v>Pemasangan 1 m² dinding porselin 20 cm x 20 cm</v>
      </c>
      <c r="C313" s="518"/>
      <c r="D313" s="519" t="s">
        <v>58</v>
      </c>
      <c r="E313" s="506">
        <f>'Rekap. Analisa RAB'!C307</f>
        <v>292000</v>
      </c>
      <c r="F313" s="507">
        <f t="shared" si="8"/>
        <v>0</v>
      </c>
    </row>
    <row r="314" spans="1:6" s="498" customFormat="1" ht="25.5" x14ac:dyDescent="0.25">
      <c r="A314" s="504">
        <f>'Rekap. Upah Pekerja'!A307</f>
        <v>47</v>
      </c>
      <c r="B314" s="505" t="str">
        <f>'Rekap. Upah Pekerja'!B307</f>
        <v>Pemasangan 1 m² dinding keramik artistik 10 cm x 20 cm</v>
      </c>
      <c r="C314" s="518"/>
      <c r="D314" s="519" t="s">
        <v>58</v>
      </c>
      <c r="E314" s="506">
        <f>'Rekap. Analisa RAB'!C308</f>
        <v>425700</v>
      </c>
      <c r="F314" s="507">
        <f t="shared" si="8"/>
        <v>0</v>
      </c>
    </row>
    <row r="315" spans="1:6" s="498" customFormat="1" ht="25.5" x14ac:dyDescent="0.25">
      <c r="A315" s="504">
        <f>'Rekap. Upah Pekerja'!A308</f>
        <v>48</v>
      </c>
      <c r="B315" s="505" t="str">
        <f>'Rekap. Upah Pekerja'!B308</f>
        <v>Pemasangan 1 m² dinding keramik artistik 5 cm x 20 cm</v>
      </c>
      <c r="C315" s="518"/>
      <c r="D315" s="519" t="s">
        <v>58</v>
      </c>
      <c r="E315" s="506">
        <f>'Rekap. Analisa RAB'!C309</f>
        <v>428000</v>
      </c>
      <c r="F315" s="507">
        <f t="shared" si="8"/>
        <v>0</v>
      </c>
    </row>
    <row r="316" spans="1:6" s="498" customFormat="1" ht="25.5" x14ac:dyDescent="0.25">
      <c r="A316" s="504">
        <f>'Rekap. Upah Pekerja'!A309</f>
        <v>49</v>
      </c>
      <c r="B316" s="505" t="str">
        <f>'Rekap. Upah Pekerja'!B309</f>
        <v>Pemasangan 1 m² dinding keramik 10 cm x 20 cm</v>
      </c>
      <c r="C316" s="518"/>
      <c r="D316" s="519" t="s">
        <v>58</v>
      </c>
      <c r="E316" s="506">
        <f>'Rekap. Analisa RAB'!C310</f>
        <v>425700</v>
      </c>
      <c r="F316" s="507">
        <f t="shared" si="8"/>
        <v>0</v>
      </c>
    </row>
    <row r="317" spans="1:6" s="498" customFormat="1" ht="25.5" x14ac:dyDescent="0.25">
      <c r="A317" s="504">
        <f>'Rekap. Upah Pekerja'!A310</f>
        <v>50</v>
      </c>
      <c r="B317" s="505" t="str">
        <f>'Rekap. Upah Pekerja'!B310</f>
        <v>Pemasangan 1 m² dinding keramik 20 cm x 20 cm</v>
      </c>
      <c r="C317" s="518"/>
      <c r="D317" s="519" t="s">
        <v>58</v>
      </c>
      <c r="E317" s="506">
        <f>'Rekap. Analisa RAB'!C311</f>
        <v>288500</v>
      </c>
      <c r="F317" s="507">
        <f t="shared" si="8"/>
        <v>0</v>
      </c>
    </row>
    <row r="318" spans="1:6" s="498" customFormat="1" ht="25.5" x14ac:dyDescent="0.25">
      <c r="A318" s="504">
        <f>'Rekap. Upah Pekerja'!A311</f>
        <v>51</v>
      </c>
      <c r="B318" s="505" t="str">
        <f>'Rekap. Upah Pekerja'!B311</f>
        <v>Pemasangan 1 m² dinding marmer 100 cm x 100 cm</v>
      </c>
      <c r="C318" s="518"/>
      <c r="D318" s="519" t="s">
        <v>58</v>
      </c>
      <c r="E318" s="506">
        <f>'Rekap. Analisa RAB'!C312</f>
        <v>506200</v>
      </c>
      <c r="F318" s="507">
        <f t="shared" si="8"/>
        <v>0</v>
      </c>
    </row>
    <row r="319" spans="1:6" s="498" customFormat="1" ht="15" customHeight="1" x14ac:dyDescent="0.25">
      <c r="A319" s="504">
        <f>'Rekap. Upah Pekerja'!A312</f>
        <v>52</v>
      </c>
      <c r="B319" s="505" t="str">
        <f>'Rekap. Upah Pekerja'!B312</f>
        <v xml:space="preserve">Pemasangan 1 m² dinding bata pelapis </v>
      </c>
      <c r="C319" s="518"/>
      <c r="D319" s="519" t="s">
        <v>58</v>
      </c>
      <c r="E319" s="506">
        <f>'Rekap. Analisa RAB'!C313</f>
        <v>510000</v>
      </c>
      <c r="F319" s="507">
        <f t="shared" si="8"/>
        <v>0</v>
      </c>
    </row>
    <row r="320" spans="1:6" s="498" customFormat="1" ht="25.5" x14ac:dyDescent="0.25">
      <c r="A320" s="504">
        <f>'Rekap. Upah Pekerja'!A313</f>
        <v>53</v>
      </c>
      <c r="B320" s="505" t="str">
        <f>'Rekap. Upah Pekerja'!B313</f>
        <v xml:space="preserve">Pemasangan 1 m² dinding batu paras sarwagenep </v>
      </c>
      <c r="C320" s="518"/>
      <c r="D320" s="519" t="s">
        <v>58</v>
      </c>
      <c r="E320" s="506">
        <f>'Rekap. Analisa RAB'!C314</f>
        <v>179500</v>
      </c>
      <c r="F320" s="507">
        <f t="shared" si="8"/>
        <v>0</v>
      </c>
    </row>
    <row r="321" spans="1:6" s="498" customFormat="1" ht="15" customHeight="1" x14ac:dyDescent="0.25">
      <c r="A321" s="504">
        <f>'Rekap. Upah Pekerja'!A314</f>
        <v>54</v>
      </c>
      <c r="B321" s="505" t="str">
        <f>'Rekap. Upah Pekerja'!B314</f>
        <v xml:space="preserve">Pemasangan 1 m² dinding batu tempel hitam </v>
      </c>
      <c r="C321" s="518"/>
      <c r="D321" s="519" t="s">
        <v>58</v>
      </c>
      <c r="E321" s="506">
        <f>'Rekap. Analisa RAB'!C315</f>
        <v>480100</v>
      </c>
      <c r="F321" s="507">
        <f t="shared" si="8"/>
        <v>0</v>
      </c>
    </row>
    <row r="322" spans="1:6" s="498" customFormat="1" ht="15" customHeight="1" thickBot="1" x14ac:dyDescent="0.3">
      <c r="A322" s="504">
        <f>'Rekap. Upah Pekerja'!A315</f>
        <v>55</v>
      </c>
      <c r="B322" s="505" t="str">
        <f>'Rekap. Upah Pekerja'!B315</f>
        <v>Pemasangan 1 m² dindig batu bali green</v>
      </c>
      <c r="C322" s="518"/>
      <c r="D322" s="519" t="s">
        <v>58</v>
      </c>
      <c r="E322" s="506">
        <f>'Rekap. Analisa RAB'!C316</f>
        <v>285200</v>
      </c>
      <c r="F322" s="517">
        <f t="shared" si="8"/>
        <v>0</v>
      </c>
    </row>
    <row r="323" spans="1:6" s="498" customFormat="1" ht="21" customHeight="1" thickTop="1" thickBot="1" x14ac:dyDescent="0.3">
      <c r="A323" s="602" t="s">
        <v>1743</v>
      </c>
      <c r="B323" s="602"/>
      <c r="C323" s="602"/>
      <c r="D323" s="602"/>
      <c r="E323" s="602"/>
      <c r="F323" s="502">
        <f>SUM(F264:F322)</f>
        <v>0</v>
      </c>
    </row>
    <row r="324" spans="1:6" s="498" customFormat="1" ht="15" customHeight="1" thickTop="1" x14ac:dyDescent="0.25">
      <c r="A324" s="499"/>
      <c r="B324" s="496"/>
      <c r="C324" s="496"/>
      <c r="D324" s="496"/>
      <c r="E324" s="497"/>
    </row>
    <row r="325" spans="1:6" s="498" customFormat="1" ht="15" customHeight="1" x14ac:dyDescent="0.25">
      <c r="A325" s="503" t="str">
        <f>'Rekap. Upah Pekerja'!A317</f>
        <v>IX.</v>
      </c>
      <c r="B325" s="605" t="str">
        <f>'Rekap. Upah Pekerja'!B317</f>
        <v>SATUAN PEKERJAAN LANGIT-LANGIT (PLAFOND)</v>
      </c>
      <c r="C325" s="605"/>
      <c r="D325" s="605"/>
      <c r="E325" s="605"/>
      <c r="F325" s="605"/>
    </row>
    <row r="326" spans="1:6" s="498" customFormat="1" ht="25.5" x14ac:dyDescent="0.25">
      <c r="A326" s="504">
        <f>'Rekap. Upah Pekerja'!A318</f>
        <v>1</v>
      </c>
      <c r="B326" s="505" t="str">
        <f>'Rekap. Upah Pekerja'!B318</f>
        <v>Pemasangan 1 m² langit-langit asbes 1 x 1 m/3.2 ( tanpa rangka ) semen tebal 4 mm, 5 mm, 6 mm</v>
      </c>
      <c r="C326" s="518"/>
      <c r="D326" s="519" t="s">
        <v>58</v>
      </c>
      <c r="E326" s="506">
        <f>'Rekap. Analisa RAB'!C319</f>
        <v>62200</v>
      </c>
      <c r="F326" s="507">
        <f t="shared" ref="F326:F340" si="9">C326*E326</f>
        <v>0</v>
      </c>
    </row>
    <row r="327" spans="1:6" s="498" customFormat="1" ht="15" customHeight="1" x14ac:dyDescent="0.25">
      <c r="A327" s="504">
        <f>'Rekap. Upah Pekerja'!A319</f>
        <v>2</v>
      </c>
      <c r="B327" s="505" t="str">
        <f>'Rekap. Upah Pekerja'!B319</f>
        <v>Pemasangan 1 m² rangka langit-langit 50 x 1 m</v>
      </c>
      <c r="C327" s="518"/>
      <c r="D327" s="519" t="s">
        <v>58</v>
      </c>
      <c r="E327" s="506">
        <f>'Rekap. Analisa RAB'!C320</f>
        <v>140100</v>
      </c>
      <c r="F327" s="507">
        <f t="shared" si="9"/>
        <v>0</v>
      </c>
    </row>
    <row r="328" spans="1:6" s="498" customFormat="1" ht="25.5" x14ac:dyDescent="0.25">
      <c r="A328" s="504">
        <f>'Rekap. Upah Pekerja'!A320</f>
        <v>3</v>
      </c>
      <c r="B328" s="505" t="str">
        <f>'Rekap. Upah Pekerja'!B320</f>
        <v>Pemasangan 1 m² langit-langit akustik ukuran 60 x 120cm</v>
      </c>
      <c r="C328" s="518"/>
      <c r="D328" s="519" t="s">
        <v>58</v>
      </c>
      <c r="E328" s="506">
        <f>'Rekap. Analisa RAB'!C321</f>
        <v>118600</v>
      </c>
      <c r="F328" s="507">
        <f t="shared" si="9"/>
        <v>0</v>
      </c>
    </row>
    <row r="329" spans="1:6" s="498" customFormat="1" ht="25.5" x14ac:dyDescent="0.25">
      <c r="A329" s="504">
        <f>'Rekap. Upah Pekerja'!A321</f>
        <v>4</v>
      </c>
      <c r="B329" s="505" t="str">
        <f>'Rekap. Upah Pekerja'!B321</f>
        <v xml:space="preserve">Pemasangan 1 m² langit-langit plywood 30x60 cm/4mm tanpa rangka </v>
      </c>
      <c r="C329" s="518"/>
      <c r="D329" s="519" t="s">
        <v>58</v>
      </c>
      <c r="E329" s="506">
        <f>'Rekap. Analisa RAB'!C322</f>
        <v>66100</v>
      </c>
      <c r="F329" s="507">
        <f t="shared" si="9"/>
        <v>0</v>
      </c>
    </row>
    <row r="330" spans="1:6" s="498" customFormat="1" ht="25.5" x14ac:dyDescent="0.25">
      <c r="A330" s="504">
        <f>'Rekap. Upah Pekerja'!A322</f>
        <v>5</v>
      </c>
      <c r="B330" s="505" t="str">
        <f>'Rekap. Upah Pekerja'!B322</f>
        <v xml:space="preserve">Pemasangan 1 m² langit-langit plywood 30x60 cm/4mm + rangka </v>
      </c>
      <c r="C330" s="518"/>
      <c r="D330" s="519" t="s">
        <v>58</v>
      </c>
      <c r="E330" s="506">
        <f>'Rekap. Analisa RAB'!C323</f>
        <v>206500</v>
      </c>
      <c r="F330" s="507">
        <f t="shared" si="9"/>
        <v>0</v>
      </c>
    </row>
    <row r="331" spans="1:6" s="498" customFormat="1" ht="15" customHeight="1" x14ac:dyDescent="0.25">
      <c r="A331" s="504">
        <f>'Rekap. Upah Pekerja'!A323</f>
        <v>6</v>
      </c>
      <c r="B331" s="505" t="str">
        <f>'Rekap. Upah Pekerja'!B323</f>
        <v xml:space="preserve">Pemasangan 1 m² langit-langit asbes + rangka </v>
      </c>
      <c r="C331" s="518"/>
      <c r="D331" s="519" t="s">
        <v>58</v>
      </c>
      <c r="E331" s="506">
        <f>'Rekap. Analisa RAB'!C324</f>
        <v>145700</v>
      </c>
      <c r="F331" s="507">
        <f t="shared" si="9"/>
        <v>0</v>
      </c>
    </row>
    <row r="332" spans="1:6" s="498" customFormat="1" ht="38.25" x14ac:dyDescent="0.25">
      <c r="A332" s="504">
        <f>'Rekap. Upah Pekerja'!A324</f>
        <v>7</v>
      </c>
      <c r="B332" s="505" t="str">
        <f>'Rekap. Upah Pekerja'!B324</f>
        <v>Pemasangan 1 m² langit-langit gypsum board ukuran (120 x 240 x 9 )mm, tebal 9 mm tanpa rangka</v>
      </c>
      <c r="C332" s="518"/>
      <c r="D332" s="519" t="s">
        <v>58</v>
      </c>
      <c r="E332" s="506">
        <f>'Rekap. Analisa RAB'!C325</f>
        <v>55800</v>
      </c>
      <c r="F332" s="507">
        <f t="shared" si="9"/>
        <v>0</v>
      </c>
    </row>
    <row r="333" spans="1:6" s="498" customFormat="1" ht="25.5" x14ac:dyDescent="0.25">
      <c r="A333" s="504">
        <f>'Rekap. Upah Pekerja'!A325</f>
        <v>8</v>
      </c>
      <c r="B333" s="505" t="str">
        <f>'Rekap. Upah Pekerja'!B325</f>
        <v>Pemasangan 1 m² langit-langit  klasiboard 1x1m + rangka</v>
      </c>
      <c r="C333" s="518"/>
      <c r="D333" s="519" t="s">
        <v>58</v>
      </c>
      <c r="E333" s="506">
        <f>'Rekap. Analisa RAB'!C326</f>
        <v>194300</v>
      </c>
      <c r="F333" s="507">
        <f t="shared" si="9"/>
        <v>0</v>
      </c>
    </row>
    <row r="334" spans="1:6" s="498" customFormat="1" ht="25.5" x14ac:dyDescent="0.25">
      <c r="A334" s="504">
        <f>'Rekap. Upah Pekerja'!A326</f>
        <v>9</v>
      </c>
      <c r="B334" s="505" t="str">
        <f>'Rekap. Upah Pekerja'!B326</f>
        <v>Pemasangan 1 m² langit-langit lambrisering  kayu , tebal 9 mm</v>
      </c>
      <c r="C334" s="518"/>
      <c r="D334" s="519" t="s">
        <v>58</v>
      </c>
      <c r="E334" s="506">
        <f>'Rekap. Analisa RAB'!C327</f>
        <v>314100</v>
      </c>
      <c r="F334" s="507">
        <f t="shared" si="9"/>
        <v>0</v>
      </c>
    </row>
    <row r="335" spans="1:6" s="498" customFormat="1" ht="25.5" x14ac:dyDescent="0.25">
      <c r="A335" s="504">
        <f>'Rekap. Upah Pekerja'!A327</f>
        <v>10</v>
      </c>
      <c r="B335" s="505" t="str">
        <f>'Rekap. Upah Pekerja'!B327</f>
        <v>Pas. 1 m² langit-langit rangka besi hollow 1 x 40.40.2mm, modul 60 x 60 cm</v>
      </c>
      <c r="C335" s="518"/>
      <c r="D335" s="519" t="s">
        <v>58</v>
      </c>
      <c r="E335" s="506">
        <f>'Rekap. Analisa RAB'!C328</f>
        <v>133900</v>
      </c>
      <c r="F335" s="507">
        <f t="shared" si="9"/>
        <v>0</v>
      </c>
    </row>
    <row r="336" spans="1:6" s="498" customFormat="1" ht="25.5" x14ac:dyDescent="0.25">
      <c r="A336" s="504">
        <f>'Rekap. Upah Pekerja'!A328</f>
        <v>11</v>
      </c>
      <c r="B336" s="505" t="str">
        <f>'Rekap. Upah Pekerja'!B328</f>
        <v>Pemasangan 1 m² langit-langit akustik ukuran (60 x 120) cm, berikut rangka alluminium</v>
      </c>
      <c r="C336" s="518"/>
      <c r="D336" s="519" t="s">
        <v>58</v>
      </c>
      <c r="E336" s="506">
        <f>'Rekap. Analisa RAB'!C329</f>
        <v>193800</v>
      </c>
      <c r="F336" s="507">
        <f t="shared" si="9"/>
        <v>0</v>
      </c>
    </row>
    <row r="337" spans="1:6" s="498" customFormat="1" ht="15" customHeight="1" x14ac:dyDescent="0.25">
      <c r="A337" s="504" t="str">
        <f>'Rekap. Upah Pekerja'!A329</f>
        <v>12.1</v>
      </c>
      <c r="B337" s="505" t="str">
        <f>'Rekap. Upah Pekerja'!B329</f>
        <v>Pemasangan 1 m1 list langit-langit kayu profil</v>
      </c>
      <c r="C337" s="518"/>
      <c r="D337" s="519" t="s">
        <v>14</v>
      </c>
      <c r="E337" s="506">
        <f>'Rekap. Analisa RAB'!C330</f>
        <v>28600</v>
      </c>
      <c r="F337" s="507">
        <f t="shared" si="9"/>
        <v>0</v>
      </c>
    </row>
    <row r="338" spans="1:6" s="498" customFormat="1" ht="15" customHeight="1" x14ac:dyDescent="0.25">
      <c r="A338" s="504" t="str">
        <f>'Rekap. Upah Pekerja'!A330</f>
        <v>12.2</v>
      </c>
      <c r="B338" s="505" t="str">
        <f>'Rekap. Upah Pekerja'!B330</f>
        <v>Pemasangan 1 m1 list langit-langit list gypsum</v>
      </c>
      <c r="C338" s="518"/>
      <c r="D338" s="519" t="s">
        <v>14</v>
      </c>
      <c r="E338" s="506">
        <f>'Rekap. Analisa RAB'!C331</f>
        <v>25100</v>
      </c>
      <c r="F338" s="507">
        <f t="shared" si="9"/>
        <v>0</v>
      </c>
    </row>
    <row r="339" spans="1:6" s="498" customFormat="1" ht="25.5" x14ac:dyDescent="0.25">
      <c r="A339" s="504">
        <f>'Rekap. Upah Pekerja'!A331</f>
        <v>13</v>
      </c>
      <c r="B339" s="505" t="str">
        <f>'Rekap. Upah Pekerja'!B331</f>
        <v>Pemasangan 1 m2 Langit - Langit Gedeg kulit + Rangka</v>
      </c>
      <c r="C339" s="518"/>
      <c r="D339" s="519" t="s">
        <v>58</v>
      </c>
      <c r="E339" s="506">
        <f>'Rekap. Analisa RAB'!C332</f>
        <v>671500</v>
      </c>
      <c r="F339" s="507">
        <f t="shared" si="9"/>
        <v>0</v>
      </c>
    </row>
    <row r="340" spans="1:6" s="498" customFormat="1" ht="15" customHeight="1" thickBot="1" x14ac:dyDescent="0.3">
      <c r="A340" s="504">
        <f>'Rekap. Upah Pekerja'!A332</f>
        <v>14</v>
      </c>
      <c r="B340" s="505" t="str">
        <f>'Rekap. Upah Pekerja'!B332</f>
        <v>Pemasangan 1 m2 Plafond Kalsiboard 4.5 mm</v>
      </c>
      <c r="C340" s="518"/>
      <c r="D340" s="519" t="s">
        <v>58</v>
      </c>
      <c r="E340" s="506">
        <f>'Rekap. Analisa RAB'!C333</f>
        <v>61700</v>
      </c>
      <c r="F340" s="517">
        <f t="shared" si="9"/>
        <v>0</v>
      </c>
    </row>
    <row r="341" spans="1:6" s="498" customFormat="1" ht="21" customHeight="1" thickTop="1" thickBot="1" x14ac:dyDescent="0.3">
      <c r="A341" s="602" t="s">
        <v>1744</v>
      </c>
      <c r="B341" s="602"/>
      <c r="C341" s="602"/>
      <c r="D341" s="602"/>
      <c r="E341" s="602"/>
      <c r="F341" s="502">
        <f>SUM(F326:F340)</f>
        <v>0</v>
      </c>
    </row>
    <row r="342" spans="1:6" s="498" customFormat="1" ht="15" customHeight="1" thickTop="1" x14ac:dyDescent="0.25">
      <c r="A342" s="499"/>
      <c r="B342" s="496"/>
      <c r="C342" s="496"/>
      <c r="D342" s="496"/>
      <c r="E342" s="497"/>
    </row>
    <row r="343" spans="1:6" s="498" customFormat="1" ht="15" customHeight="1" x14ac:dyDescent="0.25">
      <c r="A343" s="503" t="str">
        <f>'Rekap. Upah Pekerja'!A334</f>
        <v>X.</v>
      </c>
      <c r="B343" s="605" t="str">
        <f>'Rekap. Upah Pekerja'!B334</f>
        <v>HARGA SATUAN PEKERJAAN PENUTUP ATAP</v>
      </c>
      <c r="C343" s="605"/>
      <c r="D343" s="605"/>
      <c r="E343" s="605"/>
      <c r="F343" s="605"/>
    </row>
    <row r="344" spans="1:6" s="498" customFormat="1" ht="15" customHeight="1" x14ac:dyDescent="0.25">
      <c r="A344" s="504">
        <f>'Rekap. Upah Pekerja'!A335</f>
        <v>1</v>
      </c>
      <c r="B344" s="505" t="str">
        <f>'Rekap. Upah Pekerja'!B335</f>
        <v>Pemasangan 1 m² atap genteng press mini</v>
      </c>
      <c r="C344" s="518"/>
      <c r="D344" s="519" t="s">
        <v>58</v>
      </c>
      <c r="E344" s="506">
        <f>'Rekap. Analisa RAB'!C336</f>
        <v>88600</v>
      </c>
      <c r="F344" s="507">
        <f t="shared" ref="F344:F365" si="10">C344*E344</f>
        <v>0</v>
      </c>
    </row>
    <row r="345" spans="1:6" s="498" customFormat="1" ht="25.5" x14ac:dyDescent="0.25">
      <c r="A345" s="504">
        <f>'Rekap. Upah Pekerja'!A336</f>
        <v>2</v>
      </c>
      <c r="B345" s="505" t="str">
        <f>'Rekap. Upah Pekerja'!B336</f>
        <v>Pemasangan 1 m² atap genteng kodok glazuur isi 25</v>
      </c>
      <c r="C345" s="518"/>
      <c r="D345" s="519" t="s">
        <v>58</v>
      </c>
      <c r="E345" s="506">
        <f>'Rekap. Analisa RAB'!C337</f>
        <v>256100</v>
      </c>
      <c r="F345" s="507">
        <f t="shared" si="10"/>
        <v>0</v>
      </c>
    </row>
    <row r="346" spans="1:6" s="498" customFormat="1" ht="15" customHeight="1" x14ac:dyDescent="0.25">
      <c r="A346" s="504">
        <f>'Rekap. Upah Pekerja'!A337</f>
        <v>3</v>
      </c>
      <c r="B346" s="505" t="str">
        <f>'Rekap. Upah Pekerja'!B337</f>
        <v>Pemasangan 1 m² atap genteng pelentong kecil</v>
      </c>
      <c r="C346" s="518"/>
      <c r="D346" s="519" t="s">
        <v>58</v>
      </c>
      <c r="E346" s="506">
        <f>'Rekap. Analisa RAB'!C338</f>
        <v>117000</v>
      </c>
      <c r="F346" s="507">
        <f t="shared" si="10"/>
        <v>0</v>
      </c>
    </row>
    <row r="347" spans="1:6" s="498" customFormat="1" ht="15" customHeight="1" x14ac:dyDescent="0.25">
      <c r="A347" s="504">
        <f>'Rekap. Upah Pekerja'!A338</f>
        <v>4</v>
      </c>
      <c r="B347" s="505" t="str">
        <f>'Rekap. Upah Pekerja'!B338</f>
        <v xml:space="preserve">Pemasangan 1 m1 bubungan genteng pelentong </v>
      </c>
      <c r="C347" s="518"/>
      <c r="D347" s="519" t="s">
        <v>14</v>
      </c>
      <c r="E347" s="506">
        <f>'Rekap. Analisa RAB'!C339</f>
        <v>125400</v>
      </c>
      <c r="F347" s="507">
        <f t="shared" si="10"/>
        <v>0</v>
      </c>
    </row>
    <row r="348" spans="1:6" s="498" customFormat="1" ht="15" customHeight="1" x14ac:dyDescent="0.25">
      <c r="A348" s="504">
        <f>'Rekap. Upah Pekerja'!A339</f>
        <v>5</v>
      </c>
      <c r="B348" s="505" t="str">
        <f>'Rekap. Upah Pekerja'!B339</f>
        <v xml:space="preserve">Pemasangan 1 m1 bubung genteng kodok </v>
      </c>
      <c r="C348" s="518"/>
      <c r="D348" s="519" t="s">
        <v>14</v>
      </c>
      <c r="E348" s="506">
        <f>'Rekap. Analisa RAB'!C340</f>
        <v>209100</v>
      </c>
      <c r="F348" s="507">
        <f t="shared" si="10"/>
        <v>0</v>
      </c>
    </row>
    <row r="349" spans="1:6" s="498" customFormat="1" ht="15" customHeight="1" x14ac:dyDescent="0.25">
      <c r="A349" s="504">
        <f>'Rekap. Upah Pekerja'!A340</f>
        <v>6</v>
      </c>
      <c r="B349" s="505" t="str">
        <f>'Rekap. Upah Pekerja'!B340</f>
        <v>Pemasangan 1 m1 bubungan  genteng pres mini</v>
      </c>
      <c r="C349" s="518"/>
      <c r="D349" s="519" t="s">
        <v>14</v>
      </c>
      <c r="E349" s="506">
        <f>'Rekap. Analisa RAB'!C341</f>
        <v>83800</v>
      </c>
      <c r="F349" s="507">
        <f t="shared" si="10"/>
        <v>0</v>
      </c>
    </row>
    <row r="350" spans="1:6" s="498" customFormat="1" ht="15" customHeight="1" x14ac:dyDescent="0.25">
      <c r="A350" s="504">
        <f>'Rekap. Upah Pekerja'!A341</f>
        <v>7</v>
      </c>
      <c r="B350" s="505" t="str">
        <f>'Rekap. Upah Pekerja'!B341</f>
        <v xml:space="preserve">Pemasangan 1 m² roof light fibreglass 90 x 180 </v>
      </c>
      <c r="C350" s="518"/>
      <c r="D350" s="519" t="s">
        <v>58</v>
      </c>
      <c r="E350" s="506">
        <f>'Rekap. Analisa RAB'!C342</f>
        <v>51900</v>
      </c>
      <c r="F350" s="507">
        <f t="shared" si="10"/>
        <v>0</v>
      </c>
    </row>
    <row r="351" spans="1:6" s="498" customFormat="1" ht="25.5" x14ac:dyDescent="0.25">
      <c r="A351" s="504">
        <f>'Rekap. Upah Pekerja'!A342</f>
        <v>8</v>
      </c>
      <c r="B351" s="505" t="str">
        <f>'Rekap. Upah Pekerja'!B342</f>
        <v>Pemasangan 1 m² atap asbes gelombang 0,8 m  x 1,8 m x 4 mm</v>
      </c>
      <c r="C351" s="518"/>
      <c r="D351" s="519" t="s">
        <v>58</v>
      </c>
      <c r="E351" s="506">
        <f>'Rekap. Analisa RAB'!C343</f>
        <v>58300</v>
      </c>
      <c r="F351" s="507">
        <f t="shared" si="10"/>
        <v>0</v>
      </c>
    </row>
    <row r="352" spans="1:6" s="498" customFormat="1" ht="15" customHeight="1" x14ac:dyDescent="0.25">
      <c r="A352" s="504">
        <f>'Rekap. Upah Pekerja'!A343</f>
        <v>9</v>
      </c>
      <c r="B352" s="505" t="str">
        <f>'Rekap. Upah Pekerja'!B343</f>
        <v xml:space="preserve">Pemasangan 1 m1 bubung steel gelombang </v>
      </c>
      <c r="C352" s="518"/>
      <c r="D352" s="519" t="s">
        <v>14</v>
      </c>
      <c r="E352" s="506">
        <f>'Rekap. Analisa RAB'!C344</f>
        <v>63500</v>
      </c>
      <c r="F352" s="507">
        <f t="shared" si="10"/>
        <v>0</v>
      </c>
    </row>
    <row r="353" spans="1:6" s="498" customFormat="1" ht="15" customHeight="1" x14ac:dyDescent="0.25">
      <c r="A353" s="504">
        <f>'Rekap. Upah Pekerja'!A344</f>
        <v>10</v>
      </c>
      <c r="B353" s="505" t="str">
        <f>'Rekap. Upah Pekerja'!B344</f>
        <v>Pemasangan 1 m1 nok paten</v>
      </c>
      <c r="C353" s="518"/>
      <c r="D353" s="519" t="s">
        <v>14</v>
      </c>
      <c r="E353" s="506">
        <f>'Rekap. Analisa RAB'!C345</f>
        <v>113200</v>
      </c>
      <c r="F353" s="507">
        <f t="shared" si="10"/>
        <v>0</v>
      </c>
    </row>
    <row r="354" spans="1:6" s="498" customFormat="1" ht="15" customHeight="1" x14ac:dyDescent="0.25">
      <c r="A354" s="504">
        <f>'Rekap. Upah Pekerja'!A345</f>
        <v>11</v>
      </c>
      <c r="B354" s="505" t="str">
        <f>'Rekap. Upah Pekerja'!B345</f>
        <v>Pemasangan 1 m1 nok genteng metal berpasir</v>
      </c>
      <c r="C354" s="518"/>
      <c r="D354" s="519" t="s">
        <v>14</v>
      </c>
      <c r="E354" s="506">
        <f>'Rekap. Analisa RAB'!C346</f>
        <v>139600</v>
      </c>
      <c r="F354" s="507">
        <f t="shared" si="10"/>
        <v>0</v>
      </c>
    </row>
    <row r="355" spans="1:6" s="498" customFormat="1" ht="15" customHeight="1" x14ac:dyDescent="0.25">
      <c r="A355" s="504">
        <f>'Rekap. Upah Pekerja'!A346</f>
        <v>12</v>
      </c>
      <c r="B355" s="505" t="str">
        <f>'Rekap. Upah Pekerja'!B346</f>
        <v>Pemasangan 1 m² atap sirap kayu</v>
      </c>
      <c r="C355" s="518"/>
      <c r="D355" s="519" t="s">
        <v>58</v>
      </c>
      <c r="E355" s="506">
        <f>'Rekap. Analisa RAB'!C347</f>
        <v>315700</v>
      </c>
      <c r="F355" s="507">
        <f t="shared" si="10"/>
        <v>0</v>
      </c>
    </row>
    <row r="356" spans="1:6" s="498" customFormat="1" ht="15" customHeight="1" x14ac:dyDescent="0.25">
      <c r="A356" s="504">
        <f>'Rekap. Upah Pekerja'!A347</f>
        <v>13</v>
      </c>
      <c r="B356" s="505" t="str">
        <f>'Rekap. Upah Pekerja'!B347</f>
        <v>Pemasangan 1 m1 nok genteng beton</v>
      </c>
      <c r="C356" s="518"/>
      <c r="D356" s="519" t="s">
        <v>14</v>
      </c>
      <c r="E356" s="506">
        <f>'Rekap. Analisa RAB'!C348</f>
        <v>574900</v>
      </c>
      <c r="F356" s="507">
        <f t="shared" si="10"/>
        <v>0</v>
      </c>
    </row>
    <row r="357" spans="1:6" s="498" customFormat="1" ht="15" customHeight="1" x14ac:dyDescent="0.25">
      <c r="A357" s="504">
        <f>'Rekap. Upah Pekerja'!A348</f>
        <v>14</v>
      </c>
      <c r="B357" s="505" t="str">
        <f>'Rekap. Upah Pekerja'!B348</f>
        <v>Pemasangan 1 m1 nok atap sirap</v>
      </c>
      <c r="C357" s="518"/>
      <c r="D357" s="519" t="s">
        <v>14</v>
      </c>
      <c r="E357" s="506">
        <f>'Rekap. Analisa RAB'!C349</f>
        <v>149300</v>
      </c>
      <c r="F357" s="507">
        <f t="shared" si="10"/>
        <v>0</v>
      </c>
    </row>
    <row r="358" spans="1:6" s="498" customFormat="1" ht="15" customHeight="1" x14ac:dyDescent="0.25">
      <c r="A358" s="504">
        <f>'Rekap. Upah Pekerja'!A349</f>
        <v>15</v>
      </c>
      <c r="B358" s="505" t="str">
        <f>'Rekap. Upah Pekerja'!B349</f>
        <v xml:space="preserve">Pemasangan 1 m2  genteng metal </v>
      </c>
      <c r="C358" s="518"/>
      <c r="D358" s="519" t="s">
        <v>58</v>
      </c>
      <c r="E358" s="506">
        <f>'Rekap. Analisa RAB'!C350</f>
        <v>214600</v>
      </c>
      <c r="F358" s="507">
        <f t="shared" si="10"/>
        <v>0</v>
      </c>
    </row>
    <row r="359" spans="1:6" s="498" customFormat="1" ht="15" customHeight="1" x14ac:dyDescent="0.25">
      <c r="A359" s="504">
        <f>'Rekap. Upah Pekerja'!A350</f>
        <v>16</v>
      </c>
      <c r="B359" s="505" t="str">
        <f>'Rekap. Upah Pekerja'!B350</f>
        <v>Pemasangan 1 m2  genteng beton</v>
      </c>
      <c r="C359" s="518"/>
      <c r="D359" s="519" t="s">
        <v>58</v>
      </c>
      <c r="E359" s="506">
        <f>'Rekap. Analisa RAB'!C351</f>
        <v>214200</v>
      </c>
      <c r="F359" s="507">
        <f t="shared" si="10"/>
        <v>0</v>
      </c>
    </row>
    <row r="360" spans="1:6" s="498" customFormat="1" ht="15" customHeight="1" x14ac:dyDescent="0.25">
      <c r="A360" s="504">
        <f>'Rekap. Upah Pekerja'!A351</f>
        <v>17</v>
      </c>
      <c r="B360" s="505" t="str">
        <f>'Rekap. Upah Pekerja'!B351</f>
        <v>Pemasangan 1 m2  bubungan genteng beton</v>
      </c>
      <c r="C360" s="518"/>
      <c r="D360" s="519" t="s">
        <v>58</v>
      </c>
      <c r="E360" s="506">
        <f>'Rekap. Analisa RAB'!C352</f>
        <v>531600</v>
      </c>
      <c r="F360" s="507">
        <f t="shared" si="10"/>
        <v>0</v>
      </c>
    </row>
    <row r="361" spans="1:6" s="498" customFormat="1" ht="15" customHeight="1" x14ac:dyDescent="0.25">
      <c r="A361" s="504">
        <f>'Rekap. Upah Pekerja'!A352</f>
        <v>18</v>
      </c>
      <c r="B361" s="505" t="str">
        <f>'Rekap. Upah Pekerja'!B352</f>
        <v>Pemasangan 1 m1 atap seng gelombang</v>
      </c>
      <c r="C361" s="518"/>
      <c r="D361" s="519" t="s">
        <v>14</v>
      </c>
      <c r="E361" s="506">
        <f>'Rekap. Analisa RAB'!C353</f>
        <v>87700</v>
      </c>
      <c r="F361" s="507">
        <f t="shared" si="10"/>
        <v>0</v>
      </c>
    </row>
    <row r="362" spans="1:6" s="498" customFormat="1" ht="15" customHeight="1" x14ac:dyDescent="0.25">
      <c r="A362" s="504">
        <f>'Rekap. Upah Pekerja'!A353</f>
        <v>19</v>
      </c>
      <c r="B362" s="505" t="str">
        <f>'Rekap. Upah Pekerja'!B353</f>
        <v xml:space="preserve">Pemasangan 1 m1 nok atap seng </v>
      </c>
      <c r="C362" s="518"/>
      <c r="D362" s="519" t="s">
        <v>14</v>
      </c>
      <c r="E362" s="506">
        <f>'Rekap. Analisa RAB'!C354</f>
        <v>53100</v>
      </c>
      <c r="F362" s="507">
        <f t="shared" si="10"/>
        <v>0</v>
      </c>
    </row>
    <row r="363" spans="1:6" s="498" customFormat="1" ht="25.5" x14ac:dyDescent="0.25">
      <c r="A363" s="504">
        <f>'Rekap. Upah Pekerja'!A354</f>
        <v>20</v>
      </c>
      <c r="B363" s="505" t="str">
        <f>'Rekap. Upah Pekerja'!B354</f>
        <v xml:space="preserve">Pemasangan 1 m1 atap aluminium/spandek 3mm </v>
      </c>
      <c r="C363" s="518"/>
      <c r="D363" s="519" t="s">
        <v>14</v>
      </c>
      <c r="E363" s="506">
        <f>'Rekap. Analisa RAB'!C355</f>
        <v>204400</v>
      </c>
      <c r="F363" s="507">
        <f t="shared" si="10"/>
        <v>0</v>
      </c>
    </row>
    <row r="364" spans="1:6" s="498" customFormat="1" ht="15" customHeight="1" x14ac:dyDescent="0.25">
      <c r="A364" s="504">
        <f>'Rekap. Upah Pekerja'!A355</f>
        <v>21</v>
      </c>
      <c r="B364" s="505" t="str">
        <f>'Rekap. Upah Pekerja'!B355</f>
        <v xml:space="preserve">Pemasangan 1 m1 nok aluminium </v>
      </c>
      <c r="C364" s="518"/>
      <c r="D364" s="519" t="s">
        <v>14</v>
      </c>
      <c r="E364" s="506">
        <f>'Rekap. Analisa RAB'!C356</f>
        <v>267700</v>
      </c>
      <c r="F364" s="507">
        <f t="shared" si="10"/>
        <v>0</v>
      </c>
    </row>
    <row r="365" spans="1:6" s="498" customFormat="1" ht="15" customHeight="1" thickBot="1" x14ac:dyDescent="0.3">
      <c r="A365" s="504">
        <f>'Rekap. Upah Pekerja'!A356</f>
        <v>22</v>
      </c>
      <c r="B365" s="505" t="str">
        <f>'Rekap. Upah Pekerja'!B356</f>
        <v xml:space="preserve">Pemasangan 1 m² aluminium foil </v>
      </c>
      <c r="C365" s="518"/>
      <c r="D365" s="519" t="s">
        <v>58</v>
      </c>
      <c r="E365" s="506">
        <f>'Rekap. Analisa RAB'!C357</f>
        <v>54500</v>
      </c>
      <c r="F365" s="517">
        <f t="shared" si="10"/>
        <v>0</v>
      </c>
    </row>
    <row r="366" spans="1:6" s="498" customFormat="1" ht="21" customHeight="1" thickTop="1" thickBot="1" x14ac:dyDescent="0.3">
      <c r="A366" s="602" t="s">
        <v>1745</v>
      </c>
      <c r="B366" s="602"/>
      <c r="C366" s="602"/>
      <c r="D366" s="602"/>
      <c r="E366" s="602"/>
      <c r="F366" s="502">
        <f>SUM(F344:F365)</f>
        <v>0</v>
      </c>
    </row>
    <row r="367" spans="1:6" s="498" customFormat="1" ht="15" customHeight="1" thickTop="1" x14ac:dyDescent="0.25">
      <c r="A367" s="499"/>
      <c r="B367" s="496"/>
      <c r="C367" s="496"/>
      <c r="D367" s="496"/>
      <c r="E367" s="497"/>
    </row>
    <row r="368" spans="1:6" s="498" customFormat="1" ht="15" customHeight="1" x14ac:dyDescent="0.25">
      <c r="A368" s="503" t="str">
        <f>'Rekap. Upah Pekerja'!A358</f>
        <v>XI.</v>
      </c>
      <c r="B368" s="605" t="str">
        <f>'Rekap. Upah Pekerja'!B358</f>
        <v>HARGA SATUAN PEKERJAAN KAYU</v>
      </c>
      <c r="C368" s="605"/>
      <c r="D368" s="605"/>
      <c r="E368" s="605"/>
      <c r="F368" s="605"/>
    </row>
    <row r="369" spans="1:6" s="498" customFormat="1" ht="25.5" x14ac:dyDescent="0.25">
      <c r="A369" s="504">
        <f>'Rekap. Upah Pekerja'!A359</f>
        <v>1</v>
      </c>
      <c r="B369" s="505" t="str">
        <f>'Rekap. Upah Pekerja'!B359</f>
        <v>Pembuatan dan pemasangan 1 m³ kusen pintu dan kusen jendela , kayu klas I.</v>
      </c>
      <c r="C369" s="518"/>
      <c r="D369" s="519" t="s">
        <v>52</v>
      </c>
      <c r="E369" s="506">
        <f>'Rekap. Analisa RAB'!C360</f>
        <v>18842500</v>
      </c>
      <c r="F369" s="507">
        <f t="shared" ref="F369:F432" si="11">C369*E369</f>
        <v>0</v>
      </c>
    </row>
    <row r="370" spans="1:6" s="498" customFormat="1" ht="25.5" x14ac:dyDescent="0.25">
      <c r="A370" s="504">
        <f>'Rekap. Upah Pekerja'!A360</f>
        <v>2</v>
      </c>
      <c r="B370" s="505" t="str">
        <f>'Rekap. Upah Pekerja'!B360</f>
        <v>Pembuatan dan pemasangan 1 m³ kusen pintu dan kusen jendela , kayu klas II</v>
      </c>
      <c r="C370" s="518"/>
      <c r="D370" s="519" t="s">
        <v>52</v>
      </c>
      <c r="E370" s="506">
        <f>'Rekap. Analisa RAB'!C361</f>
        <v>15190500</v>
      </c>
      <c r="F370" s="507">
        <f t="shared" si="11"/>
        <v>0</v>
      </c>
    </row>
    <row r="371" spans="1:6" s="498" customFormat="1" ht="25.5" x14ac:dyDescent="0.25">
      <c r="A371" s="504">
        <f>'Rekap. Upah Pekerja'!A361</f>
        <v>3</v>
      </c>
      <c r="B371" s="505" t="str">
        <f>'Rekap. Upah Pekerja'!B361</f>
        <v>Pembuatan dan pemasangan 1 m² pintu klamp standard , kayu klas II</v>
      </c>
      <c r="C371" s="518"/>
      <c r="D371" s="519" t="s">
        <v>58</v>
      </c>
      <c r="E371" s="506">
        <f>'Rekap. Analisa RAB'!C362</f>
        <v>976300</v>
      </c>
      <c r="F371" s="507">
        <f t="shared" si="11"/>
        <v>0</v>
      </c>
    </row>
    <row r="372" spans="1:6" s="498" customFormat="1" ht="15" customHeight="1" x14ac:dyDescent="0.25">
      <c r="A372" s="504">
        <f>'Rekap. Upah Pekerja'!A362</f>
        <v>4</v>
      </c>
      <c r="B372" s="505" t="str">
        <f>'Rekap. Upah Pekerja'!B362</f>
        <v>Pembuatan pekerjaan raam kayu kamper</v>
      </c>
      <c r="C372" s="518"/>
      <c r="D372" s="519" t="s">
        <v>1837</v>
      </c>
      <c r="E372" s="506">
        <f>'Rekap. Analisa RAB'!C363</f>
        <v>661600</v>
      </c>
      <c r="F372" s="507">
        <f t="shared" si="11"/>
        <v>0</v>
      </c>
    </row>
    <row r="373" spans="1:6" s="498" customFormat="1" ht="25.5" x14ac:dyDescent="0.25">
      <c r="A373" s="504">
        <f>'Rekap. Upah Pekerja'!A363</f>
        <v>5</v>
      </c>
      <c r="B373" s="505" t="str">
        <f>'Rekap. Upah Pekerja'!B363</f>
        <v>1 m2 Pekerjaan Jaro bubut diameter 3 cm Kamper</v>
      </c>
      <c r="C373" s="518"/>
      <c r="D373" s="519" t="s">
        <v>58</v>
      </c>
      <c r="E373" s="506">
        <f>'Rekap. Analisa RAB'!C364</f>
        <v>412100</v>
      </c>
      <c r="F373" s="507">
        <f t="shared" si="11"/>
        <v>0</v>
      </c>
    </row>
    <row r="374" spans="1:6" s="498" customFormat="1" ht="25.5" x14ac:dyDescent="0.25">
      <c r="A374" s="504">
        <f>'Rekap. Upah Pekerja'!A364</f>
        <v>6</v>
      </c>
      <c r="B374" s="505" t="str">
        <f>'Rekap. Upah Pekerja'!B364</f>
        <v xml:space="preserve">Pembuatan dan pemasangan 1 m² daun pintu panel, kayu klas I atau kelas II </v>
      </c>
      <c r="C374" s="518"/>
      <c r="D374" s="519" t="s">
        <v>58</v>
      </c>
      <c r="E374" s="506">
        <f>'Rekap. Analisa RAB'!C365</f>
        <v>1637600</v>
      </c>
      <c r="F374" s="507">
        <f t="shared" si="11"/>
        <v>0</v>
      </c>
    </row>
    <row r="375" spans="1:6" s="498" customFormat="1" ht="25.5" x14ac:dyDescent="0.25">
      <c r="A375" s="504">
        <f>'Rekap. Upah Pekerja'!A365</f>
        <v>7</v>
      </c>
      <c r="B375" s="505" t="str">
        <f>'Rekap. Upah Pekerja'!B365</f>
        <v>Pembuatan dan pemasangan 1 m² pintu dan jendela kaca, kayu klas I atau klas II</v>
      </c>
      <c r="C375" s="518"/>
      <c r="D375" s="519" t="s">
        <v>58</v>
      </c>
      <c r="E375" s="506">
        <f>'Rekap. Analisa RAB'!C366</f>
        <v>1040200</v>
      </c>
      <c r="F375" s="507">
        <f t="shared" si="11"/>
        <v>0</v>
      </c>
    </row>
    <row r="376" spans="1:6" s="498" customFormat="1" ht="38.25" x14ac:dyDescent="0.25">
      <c r="A376" s="504">
        <f>'Rekap. Upah Pekerja'!A366</f>
        <v>8</v>
      </c>
      <c r="B376" s="505" t="str">
        <f>'Rekap. Upah Pekerja'!B366</f>
        <v>Pembuatan dan pemasangan 1 m² pintu plywood lapisan aluminium rangka kayu klas I atau klas 2</v>
      </c>
      <c r="C376" s="518"/>
      <c r="D376" s="519" t="s">
        <v>58</v>
      </c>
      <c r="E376" s="506">
        <f>'Rekap. Analisa RAB'!C367</f>
        <v>760300</v>
      </c>
      <c r="F376" s="507">
        <f t="shared" si="11"/>
        <v>0</v>
      </c>
    </row>
    <row r="377" spans="1:6" s="498" customFormat="1" ht="25.5" x14ac:dyDescent="0.25">
      <c r="A377" s="504">
        <f>'Rekap. Upah Pekerja'!A367</f>
        <v>9</v>
      </c>
      <c r="B377" s="505" t="str">
        <f>'Rekap. Upah Pekerja'!B367</f>
        <v>Pembuatan 1 m² daun pintu teakwood rangkap , rangka kayu klas I atau klas 2</v>
      </c>
      <c r="C377" s="518"/>
      <c r="D377" s="519" t="s">
        <v>58</v>
      </c>
      <c r="E377" s="506">
        <f>'Rekap. Analisa RAB'!C368</f>
        <v>930600</v>
      </c>
      <c r="F377" s="507">
        <f t="shared" si="11"/>
        <v>0</v>
      </c>
    </row>
    <row r="378" spans="1:6" s="498" customFormat="1" ht="25.5" x14ac:dyDescent="0.25">
      <c r="A378" s="504">
        <f>'Rekap. Upah Pekerja'!A368</f>
        <v>10</v>
      </c>
      <c r="B378" s="505" t="str">
        <f>'Rekap. Upah Pekerja'!B368</f>
        <v>Pembuatan 1 m² daun pintu plywood rangkap , rangka expose kayu klas I atau II</v>
      </c>
      <c r="C378" s="518"/>
      <c r="D378" s="519" t="s">
        <v>58</v>
      </c>
      <c r="E378" s="506">
        <f>'Rekap. Analisa RAB'!C369</f>
        <v>898600</v>
      </c>
      <c r="F378" s="507">
        <f t="shared" si="11"/>
        <v>0</v>
      </c>
    </row>
    <row r="379" spans="1:6" s="498" customFormat="1" ht="15" customHeight="1" x14ac:dyDescent="0.25">
      <c r="A379" s="504">
        <f>'Rekap. Upah Pekerja'!A369</f>
        <v>10</v>
      </c>
      <c r="B379" s="505" t="str">
        <f>'Rekap. Upah Pekerja'!B369</f>
        <v>Pemasangan 1 m² jalusi kusen , kayu klas  II</v>
      </c>
      <c r="C379" s="518"/>
      <c r="D379" s="519" t="s">
        <v>58</v>
      </c>
      <c r="E379" s="506">
        <f>'Rekap. Analisa RAB'!C370</f>
        <v>1395000</v>
      </c>
      <c r="F379" s="507">
        <f t="shared" si="11"/>
        <v>0</v>
      </c>
    </row>
    <row r="380" spans="1:6" s="498" customFormat="1" ht="25.5" x14ac:dyDescent="0.25">
      <c r="A380" s="504">
        <f>'Rekap. Upah Pekerja'!A370</f>
        <v>11</v>
      </c>
      <c r="B380" s="505" t="str">
        <f>'Rekap. Upah Pekerja'!B370</f>
        <v>Pemasangan 1 m² teakwood rangkap, rangka expose kayu klas I atau klas 2</v>
      </c>
      <c r="C380" s="518"/>
      <c r="D380" s="519" t="s">
        <v>58</v>
      </c>
      <c r="E380" s="506">
        <f>'Rekap. Analisa RAB'!C371</f>
        <v>966200</v>
      </c>
      <c r="F380" s="507">
        <f t="shared" si="11"/>
        <v>0</v>
      </c>
    </row>
    <row r="381" spans="1:6" s="498" customFormat="1" ht="25.5" x14ac:dyDescent="0.25">
      <c r="A381" s="504">
        <f>'Rekap. Upah Pekerja'!A371</f>
        <v>12</v>
      </c>
      <c r="B381" s="505" t="str">
        <f>'Rekap. Upah Pekerja'!B371</f>
        <v>Pemasangan 1 m² teakwood rangkap lapis formika , rangka expose kayu klas II</v>
      </c>
      <c r="C381" s="518"/>
      <c r="D381" s="519" t="s">
        <v>58</v>
      </c>
      <c r="E381" s="506">
        <f>'Rekap. Analisa RAB'!C372</f>
        <v>900400</v>
      </c>
      <c r="F381" s="507">
        <f t="shared" si="11"/>
        <v>0</v>
      </c>
    </row>
    <row r="382" spans="1:6" s="498" customFormat="1" ht="25.5" x14ac:dyDescent="0.25">
      <c r="A382" s="504" t="str">
        <f>'Rekap. Upah Pekerja'!A372</f>
        <v>13.1</v>
      </c>
      <c r="B382" s="505" t="str">
        <f>'Rekap. Upah Pekerja'!B372</f>
        <v>Pemasangan 1 m³ konstruksi kuda-kuda konvensional, kayu klas I</v>
      </c>
      <c r="C382" s="518"/>
      <c r="D382" s="519" t="s">
        <v>52</v>
      </c>
      <c r="E382" s="506">
        <f>'Rekap. Analisa RAB'!C373</f>
        <v>17675300</v>
      </c>
      <c r="F382" s="507">
        <f t="shared" si="11"/>
        <v>0</v>
      </c>
    </row>
    <row r="383" spans="1:6" s="498" customFormat="1" ht="25.5" x14ac:dyDescent="0.25">
      <c r="A383" s="504" t="str">
        <f>'Rekap. Upah Pekerja'!A373</f>
        <v>13.2</v>
      </c>
      <c r="B383" s="505" t="str">
        <f>'Rekap. Upah Pekerja'!B373</f>
        <v>Pemasangan 1 m³ konstruksi kuda-kuda konvensional, kayu klas II</v>
      </c>
      <c r="C383" s="518"/>
      <c r="D383" s="519" t="s">
        <v>52</v>
      </c>
      <c r="E383" s="506">
        <f>'Rekap. Analisa RAB'!C374</f>
        <v>13517300</v>
      </c>
      <c r="F383" s="507">
        <f t="shared" si="11"/>
        <v>0</v>
      </c>
    </row>
    <row r="384" spans="1:6" s="498" customFormat="1" ht="25.5" x14ac:dyDescent="0.25">
      <c r="A384" s="504" t="str">
        <f>'Rekap. Upah Pekerja'!A374</f>
        <v>13.3</v>
      </c>
      <c r="B384" s="505" t="str">
        <f>'Rekap. Upah Pekerja'!B374</f>
        <v>Pemasangan 1 m³ konstruksi kuda-kuda konvensional, kayu klas III</v>
      </c>
      <c r="C384" s="518"/>
      <c r="D384" s="519" t="s">
        <v>52</v>
      </c>
      <c r="E384" s="506">
        <f>'Rekap. Analisa RAB'!C375</f>
        <v>10725500</v>
      </c>
      <c r="F384" s="507">
        <f t="shared" si="11"/>
        <v>0</v>
      </c>
    </row>
    <row r="385" spans="1:6" s="498" customFormat="1" ht="25.5" x14ac:dyDescent="0.25">
      <c r="A385" s="504" t="str">
        <f>'Rekap. Upah Pekerja'!A375</f>
        <v>14.1</v>
      </c>
      <c r="B385" s="505" t="str">
        <f>'Rekap. Upah Pekerja'!B375</f>
        <v>Pemasangan 1 m³ konstruksi kuda-kuda expose, kayu klas I</v>
      </c>
      <c r="C385" s="518"/>
      <c r="D385" s="519" t="s">
        <v>52</v>
      </c>
      <c r="E385" s="506">
        <f>'Rekap. Analisa RAB'!C376</f>
        <v>20423400</v>
      </c>
      <c r="F385" s="507">
        <f t="shared" si="11"/>
        <v>0</v>
      </c>
    </row>
    <row r="386" spans="1:6" s="498" customFormat="1" ht="25.5" x14ac:dyDescent="0.25">
      <c r="A386" s="504" t="str">
        <f>'Rekap. Upah Pekerja'!A376</f>
        <v>14.2</v>
      </c>
      <c r="B386" s="505" t="str">
        <f>'Rekap. Upah Pekerja'!B376</f>
        <v>Pemasangan 1 m³ konstruksi kuda-kuda expose, kayu klas II</v>
      </c>
      <c r="C386" s="518"/>
      <c r="D386" s="519" t="s">
        <v>52</v>
      </c>
      <c r="E386" s="506">
        <f>'Rekap. Analisa RAB'!C377</f>
        <v>15887400</v>
      </c>
      <c r="F386" s="507">
        <f t="shared" si="11"/>
        <v>0</v>
      </c>
    </row>
    <row r="387" spans="1:6" s="498" customFormat="1" ht="25.5" x14ac:dyDescent="0.25">
      <c r="A387" s="504" t="str">
        <f>'Rekap. Upah Pekerja'!A377</f>
        <v>14.3</v>
      </c>
      <c r="B387" s="505" t="str">
        <f>'Rekap. Upah Pekerja'!B377</f>
        <v>Pemasangan 1 m³ konstruksi kuda-kuda expose, kayu klas III</v>
      </c>
      <c r="C387" s="518"/>
      <c r="D387" s="519" t="s">
        <v>52</v>
      </c>
      <c r="E387" s="506">
        <f>'Rekap. Analisa RAB'!C378</f>
        <v>12841800</v>
      </c>
      <c r="F387" s="507">
        <f t="shared" si="11"/>
        <v>0</v>
      </c>
    </row>
    <row r="388" spans="1:6" s="498" customFormat="1" ht="25.5" x14ac:dyDescent="0.25">
      <c r="A388" s="504">
        <f>'Rekap. Upah Pekerja'!A378</f>
        <v>15</v>
      </c>
      <c r="B388" s="505" t="str">
        <f>'Rekap. Upah Pekerja'!B378</f>
        <v>Pemasangan 1 m2 Reng / rangka atap genteng keramik kayu klas 2</v>
      </c>
      <c r="C388" s="518"/>
      <c r="D388" s="519" t="s">
        <v>58</v>
      </c>
      <c r="E388" s="506">
        <f>'Rekap. Analisa RAB'!C379</f>
        <v>608700</v>
      </c>
      <c r="F388" s="507">
        <f t="shared" si="11"/>
        <v>0</v>
      </c>
    </row>
    <row r="389" spans="1:6" s="498" customFormat="1" ht="25.5" x14ac:dyDescent="0.25">
      <c r="A389" s="504">
        <f>'Rekap. Upah Pekerja'!A379</f>
        <v>16</v>
      </c>
      <c r="B389" s="505" t="str">
        <f>'Rekap. Upah Pekerja'!B379</f>
        <v>Pemasangan 1 m²  pasang usuk kamfer + reng  kayu  kamper utk genteng beton</v>
      </c>
      <c r="C389" s="518"/>
      <c r="D389" s="519" t="s">
        <v>58</v>
      </c>
      <c r="E389" s="506">
        <f>'Rekap. Analisa RAB'!C380</f>
        <v>1069400</v>
      </c>
      <c r="F389" s="507">
        <f t="shared" si="11"/>
        <v>0</v>
      </c>
    </row>
    <row r="390" spans="1:6" s="498" customFormat="1" ht="25.5" x14ac:dyDescent="0.25">
      <c r="A390" s="504">
        <f>'Rekap. Upah Pekerja'!A380</f>
        <v>17</v>
      </c>
      <c r="B390" s="505" t="str">
        <f>'Rekap. Upah Pekerja'!B380</f>
        <v>Pemasangan 1 m²  pasang usuk kruing + reng  kayu  kamper utk genteng beton</v>
      </c>
      <c r="C390" s="518"/>
      <c r="D390" s="519" t="s">
        <v>58</v>
      </c>
      <c r="E390" s="506">
        <f>'Rekap. Analisa RAB'!C381</f>
        <v>1015500</v>
      </c>
      <c r="F390" s="507">
        <f t="shared" si="11"/>
        <v>0</v>
      </c>
    </row>
    <row r="391" spans="1:6" s="498" customFormat="1" ht="15" customHeight="1" x14ac:dyDescent="0.25">
      <c r="A391" s="504">
        <f>'Rekap. Upah Pekerja'!A381</f>
        <v>18</v>
      </c>
      <c r="B391" s="505" t="str">
        <f>'Rekap. Upah Pekerja'!B381</f>
        <v>Pemasangan 1 m²  pasang usuk kamfer</v>
      </c>
      <c r="C391" s="518"/>
      <c r="D391" s="519" t="s">
        <v>58</v>
      </c>
      <c r="E391" s="506">
        <f>'Rekap. Analisa RAB'!C382</f>
        <v>183800</v>
      </c>
      <c r="F391" s="507">
        <f t="shared" si="11"/>
        <v>0</v>
      </c>
    </row>
    <row r="392" spans="1:6" s="498" customFormat="1" ht="15" customHeight="1" x14ac:dyDescent="0.25">
      <c r="A392" s="504">
        <f>'Rekap. Upah Pekerja'!A382</f>
        <v>19</v>
      </c>
      <c r="B392" s="505" t="str">
        <f>'Rekap. Upah Pekerja'!B382</f>
        <v>Pemasangan 1 m²  pasang usuk  kayu  kruing</v>
      </c>
      <c r="C392" s="518"/>
      <c r="D392" s="519" t="s">
        <v>58</v>
      </c>
      <c r="E392" s="506">
        <f>'Rekap. Analisa RAB'!C383</f>
        <v>129800</v>
      </c>
      <c r="F392" s="507">
        <f t="shared" si="11"/>
        <v>0</v>
      </c>
    </row>
    <row r="393" spans="1:6" s="498" customFormat="1" ht="15" customHeight="1" x14ac:dyDescent="0.25">
      <c r="A393" s="504">
        <f>'Rekap. Upah Pekerja'!A383</f>
        <v>20</v>
      </c>
      <c r="B393" s="505" t="str">
        <f>'Rekap. Upah Pekerja'!B383</f>
        <v>Pemasangan 1 m²  pasang reng kayu kamfer</v>
      </c>
      <c r="C393" s="518"/>
      <c r="D393" s="519" t="s">
        <v>58</v>
      </c>
      <c r="E393" s="506">
        <f>'Rekap. Analisa RAB'!C384</f>
        <v>55900</v>
      </c>
      <c r="F393" s="507">
        <f t="shared" si="11"/>
        <v>0</v>
      </c>
    </row>
    <row r="394" spans="1:6" s="498" customFormat="1" ht="25.5" x14ac:dyDescent="0.25">
      <c r="A394" s="504" t="str">
        <f>'Rekap. Upah Pekerja'!A384</f>
        <v>21.1</v>
      </c>
      <c r="B394" s="505" t="str">
        <f>'Rekap. Upah Pekerja'!B384</f>
        <v>Pemasangan 1 m²  usuk ekspose kayu kamfer + reng (teakwood)</v>
      </c>
      <c r="C394" s="518"/>
      <c r="D394" s="519" t="s">
        <v>58</v>
      </c>
      <c r="E394" s="506">
        <f>'Rekap. Analisa RAB'!C385</f>
        <v>248900</v>
      </c>
      <c r="F394" s="507">
        <f t="shared" si="11"/>
        <v>0</v>
      </c>
    </row>
    <row r="395" spans="1:6" s="498" customFormat="1" ht="25.5" x14ac:dyDescent="0.25">
      <c r="A395" s="504" t="str">
        <f>'Rekap. Upah Pekerja'!A385</f>
        <v>21.2</v>
      </c>
      <c r="B395" s="505" t="str">
        <f>'Rekap. Upah Pekerja'!B385</f>
        <v>Pemasangan 1 m²  usuk ekspose kayu kamfer + reng (gedeg kulit)</v>
      </c>
      <c r="C395" s="518"/>
      <c r="D395" s="519" t="s">
        <v>58</v>
      </c>
      <c r="E395" s="506">
        <f>'Rekap. Analisa RAB'!C386</f>
        <v>244100</v>
      </c>
      <c r="F395" s="507">
        <f t="shared" si="11"/>
        <v>0</v>
      </c>
    </row>
    <row r="396" spans="1:6" s="498" customFormat="1" ht="15" customHeight="1" x14ac:dyDescent="0.25">
      <c r="A396" s="504">
        <f>'Rekap. Upah Pekerja'!A386</f>
        <v>22</v>
      </c>
      <c r="B396" s="505" t="str">
        <f>'Rekap. Upah Pekerja'!B386</f>
        <v>Pemasangan 1 m² rangka atap sirap kayu klas II</v>
      </c>
      <c r="C396" s="518"/>
      <c r="D396" s="519" t="s">
        <v>58</v>
      </c>
      <c r="E396" s="506">
        <f>'Rekap. Analisa RAB'!C387</f>
        <v>170700</v>
      </c>
      <c r="F396" s="507">
        <f t="shared" si="11"/>
        <v>0</v>
      </c>
    </row>
    <row r="397" spans="1:6" s="498" customFormat="1" ht="25.5" x14ac:dyDescent="0.25">
      <c r="A397" s="504">
        <f>'Rekap. Upah Pekerja'!A387</f>
        <v>23</v>
      </c>
      <c r="B397" s="505" t="str">
        <f>'Rekap. Upah Pekerja'!B387</f>
        <v>Pemasangan 1 m² rangka langit-langit (50x100) cm, kayu klas II atau III</v>
      </c>
      <c r="C397" s="518"/>
      <c r="D397" s="519" t="s">
        <v>58</v>
      </c>
      <c r="E397" s="506">
        <f>'Rekap. Analisa RAB'!C388</f>
        <v>143400</v>
      </c>
      <c r="F397" s="507">
        <f t="shared" si="11"/>
        <v>0</v>
      </c>
    </row>
    <row r="398" spans="1:6" s="498" customFormat="1" ht="25.5" x14ac:dyDescent="0.25">
      <c r="A398" s="504">
        <f>'Rekap. Upah Pekerja'!A388</f>
        <v>24</v>
      </c>
      <c r="B398" s="505" t="str">
        <f>'Rekap. Upah Pekerja'!B388</f>
        <v>Pemasangan 1 m² rangka langit-langit (60x60) cm, kayu klas II atau III</v>
      </c>
      <c r="C398" s="518"/>
      <c r="D398" s="519" t="s">
        <v>58</v>
      </c>
      <c r="E398" s="506">
        <f>'Rekap. Analisa RAB'!C389</f>
        <v>142500</v>
      </c>
      <c r="F398" s="507">
        <f t="shared" si="11"/>
        <v>0</v>
      </c>
    </row>
    <row r="399" spans="1:6" s="498" customFormat="1" ht="15" customHeight="1" x14ac:dyDescent="0.25">
      <c r="A399" s="504" t="str">
        <f>'Rekap. Upah Pekerja'!A389</f>
        <v>25.1</v>
      </c>
      <c r="B399" s="505" t="str">
        <f>'Rekap. Upah Pekerja'!B389</f>
        <v>Pemasangan 1 m² list plank ukuran 3 x 20  cm</v>
      </c>
      <c r="C399" s="518"/>
      <c r="D399" s="519" t="s">
        <v>58</v>
      </c>
      <c r="E399" s="506">
        <f>'Rekap. Analisa RAB'!C390</f>
        <v>200900</v>
      </c>
      <c r="F399" s="507">
        <f t="shared" si="11"/>
        <v>0</v>
      </c>
    </row>
    <row r="400" spans="1:6" s="498" customFormat="1" ht="15" customHeight="1" x14ac:dyDescent="0.25">
      <c r="A400" s="504" t="str">
        <f>'Rekap. Upah Pekerja'!A390</f>
        <v>25.2</v>
      </c>
      <c r="B400" s="505" t="str">
        <f>'Rekap. Upah Pekerja'!B390</f>
        <v>Pemasangan 1 m² list plank ukuran 3 x 30  cm</v>
      </c>
      <c r="C400" s="518"/>
      <c r="D400" s="519" t="s">
        <v>58</v>
      </c>
      <c r="E400" s="506">
        <f>'Rekap. Analisa RAB'!C391</f>
        <v>203900</v>
      </c>
      <c r="F400" s="507">
        <f t="shared" si="11"/>
        <v>0</v>
      </c>
    </row>
    <row r="401" spans="1:6" s="498" customFormat="1" ht="25.5" x14ac:dyDescent="0.25">
      <c r="A401" s="504">
        <f>'Rekap. Upah Pekerja'!A391</f>
        <v>26</v>
      </c>
      <c r="B401" s="505" t="str">
        <f>'Rekap. Upah Pekerja'!B391</f>
        <v>Pemasangan 1 m² list plank double ukuran 2 x(2x30) cm , kayu kamper</v>
      </c>
      <c r="C401" s="518"/>
      <c r="D401" s="519" t="s">
        <v>58</v>
      </c>
      <c r="E401" s="506">
        <f>'Rekap. Analisa RAB'!C392</f>
        <v>263700</v>
      </c>
      <c r="F401" s="507">
        <f t="shared" si="11"/>
        <v>0</v>
      </c>
    </row>
    <row r="402" spans="1:6" s="498" customFormat="1" ht="25.5" x14ac:dyDescent="0.25">
      <c r="A402" s="504">
        <f>'Rekap. Upah Pekerja'!A392</f>
        <v>27</v>
      </c>
      <c r="B402" s="505" t="str">
        <f>'Rekap. Upah Pekerja'!B392</f>
        <v>Pemasangan 1 m1 Listplank 2 x 25 conwood teksture /plain</v>
      </c>
      <c r="C402" s="518"/>
      <c r="D402" s="519" t="s">
        <v>14</v>
      </c>
      <c r="E402" s="506">
        <f>'Rekap. Analisa RAB'!C393</f>
        <v>111500</v>
      </c>
      <c r="F402" s="507">
        <f t="shared" si="11"/>
        <v>0</v>
      </c>
    </row>
    <row r="403" spans="1:6" s="498" customFormat="1" ht="25.5" x14ac:dyDescent="0.25">
      <c r="A403" s="504">
        <f>'Rekap. Upah Pekerja'!A393</f>
        <v>28</v>
      </c>
      <c r="B403" s="505" t="str">
        <f>'Rekap. Upah Pekerja'!B393</f>
        <v>Pemasangan 1 m² list palnk 2 x 25 (2in1) double conwood teksture/plain</v>
      </c>
      <c r="C403" s="518"/>
      <c r="D403" s="519" t="s">
        <v>58</v>
      </c>
      <c r="E403" s="506">
        <f>'Rekap. Analisa RAB'!C394</f>
        <v>181900</v>
      </c>
      <c r="F403" s="507">
        <f t="shared" si="11"/>
        <v>0</v>
      </c>
    </row>
    <row r="404" spans="1:6" s="498" customFormat="1" ht="25.5" x14ac:dyDescent="0.25">
      <c r="A404" s="504">
        <f>'Rekap. Upah Pekerja'!A394</f>
        <v>29</v>
      </c>
      <c r="B404" s="505" t="str">
        <f>'Rekap. Upah Pekerja'!B394</f>
        <v>Pemasangan 1 m² dinding pemisah teakwood rangkap , kayu kruing</v>
      </c>
      <c r="C404" s="518"/>
      <c r="D404" s="519" t="s">
        <v>58</v>
      </c>
      <c r="E404" s="506">
        <f>'Rekap. Analisa RAB'!C395</f>
        <v>634400</v>
      </c>
      <c r="F404" s="507">
        <f t="shared" si="11"/>
        <v>0</v>
      </c>
    </row>
    <row r="405" spans="1:6" s="498" customFormat="1" ht="25.5" x14ac:dyDescent="0.25">
      <c r="A405" s="504">
        <f>'Rekap. Upah Pekerja'!A395</f>
        <v>30</v>
      </c>
      <c r="B405" s="505" t="str">
        <f>'Rekap. Upah Pekerja'!B395</f>
        <v>Pemasangan 1 m² dinding pemisah plywood rangkap , kayu kruing</v>
      </c>
      <c r="C405" s="518"/>
      <c r="D405" s="519" t="s">
        <v>58</v>
      </c>
      <c r="E405" s="506">
        <f>'Rekap. Analisa RAB'!C396</f>
        <v>499200</v>
      </c>
      <c r="F405" s="507">
        <f t="shared" si="11"/>
        <v>0</v>
      </c>
    </row>
    <row r="406" spans="1:6" s="498" customFormat="1" ht="25.5" x14ac:dyDescent="0.25">
      <c r="A406" s="504">
        <f>'Rekap. Upah Pekerja'!A396</f>
        <v>31</v>
      </c>
      <c r="B406" s="505" t="str">
        <f>'Rekap. Upah Pekerja'!B396</f>
        <v>Pemasangan 1 m² dinding lambrisering dari papan kayu kelas I atau kelas 2</v>
      </c>
      <c r="C406" s="518"/>
      <c r="D406" s="519" t="s">
        <v>58</v>
      </c>
      <c r="E406" s="506">
        <f>'Rekap. Analisa RAB'!C397</f>
        <v>414300</v>
      </c>
      <c r="F406" s="507">
        <f t="shared" si="11"/>
        <v>0</v>
      </c>
    </row>
    <row r="407" spans="1:6" s="498" customFormat="1" ht="25.5" x14ac:dyDescent="0.25">
      <c r="A407" s="504">
        <f>'Rekap. Upah Pekerja'!A397</f>
        <v>32</v>
      </c>
      <c r="B407" s="505" t="str">
        <f>'Rekap. Upah Pekerja'!B397</f>
        <v>Pemasangan 1 m² dinding lambrisering dari plywood ukuran (120 x 240) cm</v>
      </c>
      <c r="C407" s="518"/>
      <c r="D407" s="519" t="s">
        <v>58</v>
      </c>
      <c r="E407" s="506">
        <f>'Rekap. Analisa RAB'!C398</f>
        <v>86000</v>
      </c>
      <c r="F407" s="507">
        <f t="shared" si="11"/>
        <v>0</v>
      </c>
    </row>
    <row r="408" spans="1:6" s="498" customFormat="1" ht="25.5" x14ac:dyDescent="0.25">
      <c r="A408" s="504">
        <f>'Rekap. Upah Pekerja'!A398</f>
        <v>33</v>
      </c>
      <c r="B408" s="505" t="str">
        <f>'Rekap. Upah Pekerja'!B398</f>
        <v>Pemasangan 1 m² dinding bilik ,rangka kayu III atau IV</v>
      </c>
      <c r="C408" s="518"/>
      <c r="D408" s="519" t="s">
        <v>58</v>
      </c>
      <c r="E408" s="506">
        <f>'Rekap. Analisa RAB'!C399</f>
        <v>36000</v>
      </c>
      <c r="F408" s="507">
        <f t="shared" si="11"/>
        <v>0</v>
      </c>
    </row>
    <row r="409" spans="1:6" s="498" customFormat="1" ht="25.5" x14ac:dyDescent="0.25">
      <c r="A409" s="504">
        <f>'Rekap. Upah Pekerja'!A399</f>
        <v>34</v>
      </c>
      <c r="B409" s="505" t="str">
        <f>'Rekap. Upah Pekerja'!B399</f>
        <v>Pemasangan 1 m² Rangka Dinding Pemisah Teakwood Rangkap, Rangka Holo</v>
      </c>
      <c r="C409" s="518"/>
      <c r="D409" s="519" t="s">
        <v>58</v>
      </c>
      <c r="E409" s="506">
        <f>'Rekap. Analisa RAB'!C400</f>
        <v>240500</v>
      </c>
      <c r="F409" s="507">
        <f t="shared" si="11"/>
        <v>0</v>
      </c>
    </row>
    <row r="410" spans="1:6" s="498" customFormat="1" ht="25.5" x14ac:dyDescent="0.25">
      <c r="A410" s="504">
        <f>'Rekap. Upah Pekerja'!A400</f>
        <v>35</v>
      </c>
      <c r="B410" s="505" t="str">
        <f>'Rekap. Upah Pekerja'!B400</f>
        <v>Pemasangan 1 m² Rangka Dinding Pemisah Plywood Rangkap, Rangka Holo</v>
      </c>
      <c r="C410" s="518"/>
      <c r="D410" s="519" t="s">
        <v>58</v>
      </c>
      <c r="E410" s="506">
        <f>'Rekap. Analisa RAB'!C401</f>
        <v>187800</v>
      </c>
      <c r="F410" s="507">
        <f t="shared" si="11"/>
        <v>0</v>
      </c>
    </row>
    <row r="411" spans="1:6" s="498" customFormat="1" ht="15" customHeight="1" x14ac:dyDescent="0.25">
      <c r="A411" s="504">
        <f>'Rekap. Upah Pekerja'!A401</f>
        <v>36</v>
      </c>
      <c r="B411" s="505" t="str">
        <f>'Rekap. Upah Pekerja'!B401</f>
        <v>Membuat 1 BT Saka Jati 11x11 cm</v>
      </c>
      <c r="C411" s="518"/>
      <c r="D411" s="519" t="s">
        <v>37</v>
      </c>
      <c r="E411" s="506">
        <f>'Rekap. Analisa RAB'!C402</f>
        <v>1159700</v>
      </c>
      <c r="F411" s="507">
        <f t="shared" si="11"/>
        <v>0</v>
      </c>
    </row>
    <row r="412" spans="1:6" s="498" customFormat="1" ht="15" customHeight="1" x14ac:dyDescent="0.25">
      <c r="A412" s="504">
        <f>'Rekap. Upah Pekerja'!A402</f>
        <v>37</v>
      </c>
      <c r="B412" s="505" t="str">
        <f>'Rekap. Upah Pekerja'!B402</f>
        <v>Membuat 1 BT Canggawang Jati 5/18</v>
      </c>
      <c r="C412" s="518"/>
      <c r="D412" s="519" t="s">
        <v>37</v>
      </c>
      <c r="E412" s="506">
        <f>'Rekap. Analisa RAB'!C403</f>
        <v>457200</v>
      </c>
      <c r="F412" s="507">
        <f t="shared" si="11"/>
        <v>0</v>
      </c>
    </row>
    <row r="413" spans="1:6" s="498" customFormat="1" ht="15" customHeight="1" x14ac:dyDescent="0.25">
      <c r="A413" s="504">
        <f>'Rekap. Upah Pekerja'!A403</f>
        <v>38</v>
      </c>
      <c r="B413" s="505" t="str">
        <f>'Rekap. Upah Pekerja'!B403</f>
        <v xml:space="preserve"> Membuat 1 m1 Lambang Mayang 11/12 kayu jati</v>
      </c>
      <c r="C413" s="518"/>
      <c r="D413" s="519" t="s">
        <v>14</v>
      </c>
      <c r="E413" s="506">
        <f>'Rekap. Analisa RAB'!C404</f>
        <v>1498300</v>
      </c>
      <c r="F413" s="507">
        <f t="shared" si="11"/>
        <v>0</v>
      </c>
    </row>
    <row r="414" spans="1:6" s="498" customFormat="1" ht="25.5" x14ac:dyDescent="0.25">
      <c r="A414" s="504">
        <f>'Rekap. Upah Pekerja'!A404</f>
        <v>39</v>
      </c>
      <c r="B414" s="505" t="str">
        <f>'Rekap. Upah Pekerja'!B404</f>
        <v>Pas. m1 Kayu kamper Diatas Lambang Mayeng 6/12</v>
      </c>
      <c r="C414" s="518"/>
      <c r="D414" s="519" t="s">
        <v>14</v>
      </c>
      <c r="E414" s="506">
        <f>'Rekap. Analisa RAB'!C405</f>
        <v>93800</v>
      </c>
      <c r="F414" s="507">
        <f t="shared" si="11"/>
        <v>0</v>
      </c>
    </row>
    <row r="415" spans="1:6" s="498" customFormat="1" ht="15" customHeight="1" x14ac:dyDescent="0.25">
      <c r="A415" s="504">
        <f>'Rekap. Upah Pekerja'!A405</f>
        <v>40</v>
      </c>
      <c r="B415" s="505" t="str">
        <f>'Rekap. Upah Pekerja'!B405</f>
        <v>Membuat 1 Bh Bintang Aring (60x60 cm )</v>
      </c>
      <c r="C415" s="518"/>
      <c r="D415" s="519" t="s">
        <v>28</v>
      </c>
      <c r="E415" s="506">
        <f>'Rekap. Analisa RAB'!C406</f>
        <v>848100</v>
      </c>
      <c r="F415" s="507">
        <f t="shared" si="11"/>
        <v>0</v>
      </c>
    </row>
    <row r="416" spans="1:6" s="498" customFormat="1" ht="15" customHeight="1" x14ac:dyDescent="0.25">
      <c r="A416" s="504">
        <f>'Rekap. Upah Pekerja'!A406</f>
        <v>41</v>
      </c>
      <c r="B416" s="505" t="str">
        <f>'Rekap. Upah Pekerja'!B406</f>
        <v>Membuat 1 BT Saka Tugeh Jati 7x7cm</v>
      </c>
      <c r="C416" s="518"/>
      <c r="D416" s="519" t="s">
        <v>37</v>
      </c>
      <c r="E416" s="506">
        <f>'Rekap. Analisa RAB'!C407</f>
        <v>368300</v>
      </c>
      <c r="F416" s="507">
        <f t="shared" si="11"/>
        <v>0</v>
      </c>
    </row>
    <row r="417" spans="1:6" s="498" customFormat="1" ht="15" customHeight="1" x14ac:dyDescent="0.25">
      <c r="A417" s="504">
        <f>'Rekap. Upah Pekerja'!A407</f>
        <v>42</v>
      </c>
      <c r="B417" s="505" t="str">
        <f>'Rekap. Upah Pekerja'!B407</f>
        <v xml:space="preserve">Membuat 1 Bh Sendi Tugeh Jati </v>
      </c>
      <c r="C417" s="518"/>
      <c r="D417" s="519" t="s">
        <v>28</v>
      </c>
      <c r="E417" s="506">
        <f>'Rekap. Analisa RAB'!C408</f>
        <v>242400</v>
      </c>
      <c r="F417" s="507">
        <f t="shared" si="11"/>
        <v>0</v>
      </c>
    </row>
    <row r="418" spans="1:6" s="498" customFormat="1" ht="15" customHeight="1" x14ac:dyDescent="0.25">
      <c r="A418" s="504">
        <f>'Rekap. Upah Pekerja'!A408</f>
        <v>43</v>
      </c>
      <c r="B418" s="505" t="str">
        <f>'Rekap. Upah Pekerja'!B408</f>
        <v>Pas. m1 ring-Ring Kamfer 2/12</v>
      </c>
      <c r="C418" s="518"/>
      <c r="D418" s="519" t="s">
        <v>14</v>
      </c>
      <c r="E418" s="506">
        <f>'Rekap. Analisa RAB'!C409</f>
        <v>94900</v>
      </c>
      <c r="F418" s="507">
        <f t="shared" si="11"/>
        <v>0</v>
      </c>
    </row>
    <row r="419" spans="1:6" s="498" customFormat="1" ht="15" customHeight="1" x14ac:dyDescent="0.25">
      <c r="A419" s="504">
        <f>'Rekap. Upah Pekerja'!A409</f>
        <v>44</v>
      </c>
      <c r="B419" s="505" t="str">
        <f>'Rekap. Upah Pekerja'!B409</f>
        <v xml:space="preserve">Pas. m2 Reng Kamfer </v>
      </c>
      <c r="C419" s="518"/>
      <c r="D419" s="519" t="s">
        <v>58</v>
      </c>
      <c r="E419" s="506">
        <f>'Rekap. Analisa RAB'!C410</f>
        <v>131500</v>
      </c>
      <c r="F419" s="507">
        <f t="shared" si="11"/>
        <v>0</v>
      </c>
    </row>
    <row r="420" spans="1:6" s="498" customFormat="1" ht="15" customHeight="1" x14ac:dyDescent="0.25">
      <c r="A420" s="504">
        <f>'Rekap. Upah Pekerja'!A410</f>
        <v>45</v>
      </c>
      <c r="B420" s="505" t="str">
        <f>'Rekap. Upah Pekerja'!B410</f>
        <v>Pas. m1 Gigin Barong Kamfer 3/9</v>
      </c>
      <c r="C420" s="518"/>
      <c r="D420" s="519" t="s">
        <v>14</v>
      </c>
      <c r="E420" s="506">
        <f>'Rekap. Analisa RAB'!C411</f>
        <v>97400</v>
      </c>
      <c r="F420" s="507">
        <f t="shared" si="11"/>
        <v>0</v>
      </c>
    </row>
    <row r="421" spans="1:6" s="498" customFormat="1" ht="15" customHeight="1" x14ac:dyDescent="0.25">
      <c r="A421" s="504">
        <f>'Rekap. Upah Pekerja'!A411</f>
        <v>46</v>
      </c>
      <c r="B421" s="505" t="str">
        <f>'Rekap. Upah Pekerja'!B411</f>
        <v>Pas. m1 Kamfer Dililit Tali Ijuk 3/9</v>
      </c>
      <c r="C421" s="518"/>
      <c r="D421" s="519" t="s">
        <v>14</v>
      </c>
      <c r="E421" s="506">
        <f>'Rekap. Analisa RAB'!C412</f>
        <v>141500</v>
      </c>
      <c r="F421" s="507">
        <f t="shared" si="11"/>
        <v>0</v>
      </c>
    </row>
    <row r="422" spans="1:6" s="498" customFormat="1" ht="15" customHeight="1" x14ac:dyDescent="0.25">
      <c r="A422" s="504">
        <f>'Rekap. Upah Pekerja'!A412</f>
        <v>47</v>
      </c>
      <c r="B422" s="505" t="str">
        <f>'Rekap. Upah Pekerja'!B412</f>
        <v>Pas. m1 Pemade/Pemucu Diketam Kamfer  6/12</v>
      </c>
      <c r="C422" s="518"/>
      <c r="D422" s="519" t="s">
        <v>14</v>
      </c>
      <c r="E422" s="506">
        <f>'Rekap. Analisa RAB'!C413</f>
        <v>182800</v>
      </c>
      <c r="F422" s="507">
        <f t="shared" si="11"/>
        <v>0</v>
      </c>
    </row>
    <row r="423" spans="1:6" s="498" customFormat="1" ht="15" customHeight="1" x14ac:dyDescent="0.25">
      <c r="A423" s="504">
        <f>'Rekap. Upah Pekerja'!A413</f>
        <v>48</v>
      </c>
      <c r="B423" s="505" t="str">
        <f>'Rekap. Upah Pekerja'!B413</f>
        <v>Pas. m2 Usuk/Gerantang Expose Kamfer  5/7</v>
      </c>
      <c r="C423" s="518"/>
      <c r="D423" s="519" t="s">
        <v>58</v>
      </c>
      <c r="E423" s="506">
        <f>'Rekap. Analisa RAB'!C414</f>
        <v>1326500</v>
      </c>
      <c r="F423" s="507">
        <f t="shared" si="11"/>
        <v>0</v>
      </c>
    </row>
    <row r="424" spans="1:6" s="498" customFormat="1" ht="15" customHeight="1" x14ac:dyDescent="0.25">
      <c r="A424" s="504">
        <f>'Rekap. Upah Pekerja'!A414</f>
        <v>49</v>
      </c>
      <c r="B424" s="505" t="str">
        <f>'Rekap. Upah Pekerja'!B414</f>
        <v>Pas. m2 Usuk Maling Kamfer  5/7</v>
      </c>
      <c r="C424" s="518"/>
      <c r="D424" s="519" t="s">
        <v>58</v>
      </c>
      <c r="E424" s="506">
        <f>'Rekap. Analisa RAB'!C415</f>
        <v>143300</v>
      </c>
      <c r="F424" s="507">
        <f t="shared" si="11"/>
        <v>0</v>
      </c>
    </row>
    <row r="425" spans="1:6" s="498" customFormat="1" ht="15" customHeight="1" x14ac:dyDescent="0.25">
      <c r="A425" s="504">
        <f>'Rekap. Upah Pekerja'!A415</f>
        <v>50</v>
      </c>
      <c r="B425" s="505" t="str">
        <f>'Rekap. Upah Pekerja'!B415</f>
        <v xml:space="preserve">Pas. m1 Tatab Kamfer  </v>
      </c>
      <c r="C425" s="518"/>
      <c r="D425" s="519" t="s">
        <v>14</v>
      </c>
      <c r="E425" s="506">
        <f>'Rekap. Analisa RAB'!C416</f>
        <v>169600</v>
      </c>
      <c r="F425" s="507">
        <f t="shared" si="11"/>
        <v>0</v>
      </c>
    </row>
    <row r="426" spans="1:6" s="498" customFormat="1" ht="15" customHeight="1" x14ac:dyDescent="0.25">
      <c r="A426" s="504">
        <f>'Rekap. Upah Pekerja'!A416</f>
        <v>51</v>
      </c>
      <c r="B426" s="505" t="str">
        <f>'Rekap. Upah Pekerja'!B416</f>
        <v>Pas. m1 Bingkai Praba Kayu Jati</v>
      </c>
      <c r="C426" s="518"/>
      <c r="D426" s="519" t="s">
        <v>14</v>
      </c>
      <c r="E426" s="506">
        <f>'Rekap. Analisa RAB'!C417</f>
        <v>216600</v>
      </c>
      <c r="F426" s="507">
        <f t="shared" si="11"/>
        <v>0</v>
      </c>
    </row>
    <row r="427" spans="1:6" s="498" customFormat="1" ht="15" customHeight="1" x14ac:dyDescent="0.25">
      <c r="A427" s="504">
        <f>'Rekap. Upah Pekerja'!A417</f>
        <v>52</v>
      </c>
      <c r="B427" s="505" t="str">
        <f>'Rekap. Upah Pekerja'!B417</f>
        <v>Pekerjaan 1 Bt Ukiran Saka</v>
      </c>
      <c r="C427" s="518"/>
      <c r="D427" s="519" t="s">
        <v>37</v>
      </c>
      <c r="E427" s="506">
        <f>'Rekap. Analisa RAB'!C418</f>
        <v>571800</v>
      </c>
      <c r="F427" s="507">
        <f t="shared" si="11"/>
        <v>0</v>
      </c>
    </row>
    <row r="428" spans="1:6" s="498" customFormat="1" ht="15" customHeight="1" x14ac:dyDescent="0.25">
      <c r="A428" s="504">
        <f>'Rekap. Upah Pekerja'!A418</f>
        <v>53</v>
      </c>
      <c r="B428" s="505" t="str">
        <f>'Rekap. Upah Pekerja'!B418</f>
        <v>Pekerjaan 1 Bt Ukiran Tugeh</v>
      </c>
      <c r="C428" s="518"/>
      <c r="D428" s="519" t="s">
        <v>37</v>
      </c>
      <c r="E428" s="506">
        <f>'Rekap. Analisa RAB'!C419</f>
        <v>430400</v>
      </c>
      <c r="F428" s="507">
        <f t="shared" si="11"/>
        <v>0</v>
      </c>
    </row>
    <row r="429" spans="1:6" s="498" customFormat="1" ht="15" customHeight="1" x14ac:dyDescent="0.25">
      <c r="A429" s="504">
        <f>'Rekap. Upah Pekerja'!A419</f>
        <v>54</v>
      </c>
      <c r="B429" s="505" t="str">
        <f>'Rekap. Upah Pekerja'!B419</f>
        <v>Pekerjaan 1 Bt Ukiran  Canggah Wang</v>
      </c>
      <c r="C429" s="518"/>
      <c r="D429" s="519" t="s">
        <v>37</v>
      </c>
      <c r="E429" s="506">
        <f>'Rekap. Analisa RAB'!C420</f>
        <v>929300</v>
      </c>
      <c r="F429" s="507">
        <f t="shared" si="11"/>
        <v>0</v>
      </c>
    </row>
    <row r="430" spans="1:6" s="498" customFormat="1" ht="15" customHeight="1" x14ac:dyDescent="0.25">
      <c r="A430" s="504">
        <f>'Rekap. Upah Pekerja'!A420</f>
        <v>55</v>
      </c>
      <c r="B430" s="505" t="str">
        <f>'Rekap. Upah Pekerja'!B420</f>
        <v>Pekerjaan 1 Bt Ukiran  Kapu-kapu</v>
      </c>
      <c r="C430" s="518"/>
      <c r="D430" s="519" t="s">
        <v>37</v>
      </c>
      <c r="E430" s="506">
        <f>'Rekap. Analisa RAB'!C421</f>
        <v>797800</v>
      </c>
      <c r="F430" s="507">
        <f t="shared" si="11"/>
        <v>0</v>
      </c>
    </row>
    <row r="431" spans="1:6" s="498" customFormat="1" ht="15" customHeight="1" x14ac:dyDescent="0.25">
      <c r="A431" s="504">
        <f>'Rekap. Upah Pekerja'!A421</f>
        <v>56</v>
      </c>
      <c r="B431" s="505" t="str">
        <f>'Rekap. Upah Pekerja'!B421</f>
        <v>Pekerjaan 1 Bt Ukiran  Kincut</v>
      </c>
      <c r="C431" s="518"/>
      <c r="D431" s="519"/>
      <c r="E431" s="506">
        <f>'Rekap. Analisa RAB'!C422</f>
        <v>641500</v>
      </c>
      <c r="F431" s="507">
        <f t="shared" si="11"/>
        <v>0</v>
      </c>
    </row>
    <row r="432" spans="1:6" s="498" customFormat="1" ht="15" customHeight="1" x14ac:dyDescent="0.25">
      <c r="A432" s="504">
        <f>'Rekap. Upah Pekerja'!A422</f>
        <v>57</v>
      </c>
      <c r="B432" s="505" t="str">
        <f>'Rekap. Upah Pekerja'!B422</f>
        <v>Pekerjaan 1 Bt Ukiran  Lambang Mayeng</v>
      </c>
      <c r="C432" s="518"/>
      <c r="D432" s="519" t="s">
        <v>37</v>
      </c>
      <c r="E432" s="506">
        <f>'Rekap. Analisa RAB'!C423</f>
        <v>1650500</v>
      </c>
      <c r="F432" s="507">
        <f t="shared" si="11"/>
        <v>0</v>
      </c>
    </row>
    <row r="433" spans="1:6" s="498" customFormat="1" ht="15" customHeight="1" x14ac:dyDescent="0.25">
      <c r="A433" s="504">
        <f>'Rekap. Upah Pekerja'!A423</f>
        <v>58</v>
      </c>
      <c r="B433" s="505" t="str">
        <f>'Rekap. Upah Pekerja'!B423</f>
        <v>Pekerjaan 1 Bh Ukiran  Petaka</v>
      </c>
      <c r="C433" s="518"/>
      <c r="D433" s="519" t="s">
        <v>1839</v>
      </c>
      <c r="E433" s="506">
        <f>'Rekap. Analisa RAB'!C424</f>
        <v>1263000</v>
      </c>
      <c r="F433" s="507">
        <f t="shared" ref="F433:F441" si="12">C433*E433</f>
        <v>0</v>
      </c>
    </row>
    <row r="434" spans="1:6" s="498" customFormat="1" ht="25.5" x14ac:dyDescent="0.25">
      <c r="A434" s="504">
        <f>'Rekap. Upah Pekerja'!A424</f>
        <v>59</v>
      </c>
      <c r="B434" s="505" t="str">
        <f>'Rekap. Upah Pekerja'!B424</f>
        <v>Pekerjaan 1 m1 Ukiran  Papan Listplang Type Patra Masir T</v>
      </c>
      <c r="C434" s="518"/>
      <c r="D434" s="519" t="s">
        <v>14</v>
      </c>
      <c r="E434" s="506">
        <f>'Rekap. Analisa RAB'!C425</f>
        <v>329200</v>
      </c>
      <c r="F434" s="507">
        <f t="shared" si="12"/>
        <v>0</v>
      </c>
    </row>
    <row r="435" spans="1:6" s="498" customFormat="1" ht="15" customHeight="1" x14ac:dyDescent="0.25">
      <c r="A435" s="504">
        <f>'Rekap. Upah Pekerja'!A425</f>
        <v>60</v>
      </c>
      <c r="B435" s="505" t="str">
        <f>'Rekap. Upah Pekerja'!B425</f>
        <v>Pekerjaan 1 m1 Ukiran  Bingkai</v>
      </c>
      <c r="C435" s="518"/>
      <c r="D435" s="519" t="s">
        <v>14</v>
      </c>
      <c r="E435" s="506">
        <f>'Rekap. Analisa RAB'!C426</f>
        <v>329200</v>
      </c>
      <c r="F435" s="507">
        <f t="shared" si="12"/>
        <v>0</v>
      </c>
    </row>
    <row r="436" spans="1:6" s="498" customFormat="1" ht="15" customHeight="1" x14ac:dyDescent="0.25">
      <c r="A436" s="504">
        <f>'Rekap. Upah Pekerja'!A426</f>
        <v>61</v>
      </c>
      <c r="B436" s="505" t="str">
        <f>'Rekap. Upah Pekerja'!B426</f>
        <v>Pekerjaan 1 bh Ukiran  Ring-ring Sudut</v>
      </c>
      <c r="C436" s="518"/>
      <c r="D436" s="519" t="s">
        <v>28</v>
      </c>
      <c r="E436" s="506">
        <f>'Rekap. Analisa RAB'!C427</f>
        <v>228200</v>
      </c>
      <c r="F436" s="507">
        <f t="shared" si="12"/>
        <v>0</v>
      </c>
    </row>
    <row r="437" spans="1:6" s="498" customFormat="1" ht="15" customHeight="1" x14ac:dyDescent="0.25">
      <c r="A437" s="504">
        <f>'Rekap. Upah Pekerja'!A427</f>
        <v>62</v>
      </c>
      <c r="B437" s="505" t="str">
        <f>'Rekap. Upah Pekerja'!B427</f>
        <v xml:space="preserve">Pekerjaan 1 m1 Ukiran  Ring-ring  </v>
      </c>
      <c r="C437" s="518"/>
      <c r="D437" s="519" t="s">
        <v>14</v>
      </c>
      <c r="E437" s="506">
        <f>'Rekap. Analisa RAB'!C428</f>
        <v>322000</v>
      </c>
      <c r="F437" s="507">
        <f t="shared" si="12"/>
        <v>0</v>
      </c>
    </row>
    <row r="438" spans="1:6" s="498" customFormat="1" ht="15" customHeight="1" x14ac:dyDescent="0.25">
      <c r="A438" s="504">
        <f>'Rekap. Upah Pekerja'!A428</f>
        <v>63</v>
      </c>
      <c r="B438" s="505" t="str">
        <f>'Rekap. Upah Pekerja'!B428</f>
        <v>Pekerjaan 1 m1 Ukiran  Klurak (lebar 6cm)</v>
      </c>
      <c r="C438" s="518"/>
      <c r="D438" s="519" t="s">
        <v>14</v>
      </c>
      <c r="E438" s="506">
        <f>'Rekap. Analisa RAB'!C429</f>
        <v>291900</v>
      </c>
      <c r="F438" s="507">
        <f t="shared" si="12"/>
        <v>0</v>
      </c>
    </row>
    <row r="439" spans="1:6" s="498" customFormat="1" ht="15" customHeight="1" x14ac:dyDescent="0.25">
      <c r="A439" s="504">
        <f>'Rekap. Upah Pekerja'!A429</f>
        <v>64</v>
      </c>
      <c r="B439" s="505" t="str">
        <f>'Rekap. Upah Pekerja'!B429</f>
        <v>Pekerjaan 1 m1 Ukiran  Mas-masan (lebar 3 cm)</v>
      </c>
      <c r="C439" s="518"/>
      <c r="D439" s="519" t="s">
        <v>14</v>
      </c>
      <c r="E439" s="506">
        <f>'Rekap. Analisa RAB'!C430</f>
        <v>203800</v>
      </c>
      <c r="F439" s="507">
        <f t="shared" si="12"/>
        <v>0</v>
      </c>
    </row>
    <row r="440" spans="1:6" s="498" customFormat="1" ht="25.5" x14ac:dyDescent="0.25">
      <c r="A440" s="504">
        <f>'Rekap. Upah Pekerja'!A430</f>
        <v>65</v>
      </c>
      <c r="B440" s="505" t="str">
        <f>'Rekap. Upah Pekerja'!B430</f>
        <v>Pekerjaan 1 m1 Ukiran Tempelan Listplang Type Samblung (lebar 10 Cm)</v>
      </c>
      <c r="C440" s="518"/>
      <c r="D440" s="519" t="s">
        <v>14</v>
      </c>
      <c r="E440" s="506">
        <f>'Rekap. Analisa RAB'!C431</f>
        <v>382700</v>
      </c>
      <c r="F440" s="507">
        <f t="shared" si="12"/>
        <v>0</v>
      </c>
    </row>
    <row r="441" spans="1:6" s="498" customFormat="1" ht="15" customHeight="1" thickBot="1" x14ac:dyDescent="0.3">
      <c r="A441" s="504">
        <f>'Rekap. Upah Pekerja'!A431</f>
        <v>66</v>
      </c>
      <c r="B441" s="505" t="str">
        <f>'Rekap. Upah Pekerja'!B431</f>
        <v>Pekerjaan 1 m2 Ukiran Panil</v>
      </c>
      <c r="C441" s="518"/>
      <c r="D441" s="519" t="s">
        <v>58</v>
      </c>
      <c r="E441" s="506">
        <f>'Rekap. Analisa RAB'!C432</f>
        <v>2794400</v>
      </c>
      <c r="F441" s="517">
        <f t="shared" si="12"/>
        <v>0</v>
      </c>
    </row>
    <row r="442" spans="1:6" s="498" customFormat="1" ht="21" customHeight="1" thickTop="1" thickBot="1" x14ac:dyDescent="0.3">
      <c r="A442" s="602" t="s">
        <v>1746</v>
      </c>
      <c r="B442" s="602"/>
      <c r="C442" s="602"/>
      <c r="D442" s="602"/>
      <c r="E442" s="602"/>
      <c r="F442" s="502">
        <f>SUM(F369:F441)</f>
        <v>0</v>
      </c>
    </row>
    <row r="443" spans="1:6" s="498" customFormat="1" ht="15" customHeight="1" thickTop="1" x14ac:dyDescent="0.25">
      <c r="A443" s="499"/>
      <c r="B443" s="496"/>
      <c r="C443" s="496"/>
      <c r="D443" s="496"/>
      <c r="E443" s="497"/>
    </row>
    <row r="444" spans="1:6" s="498" customFormat="1" ht="15" customHeight="1" x14ac:dyDescent="0.25">
      <c r="A444" s="503" t="str">
        <f>'Rekap. Upah Pekerja'!A433</f>
        <v>XII.</v>
      </c>
      <c r="B444" s="605" t="str">
        <f>'Rekap. Upah Pekerja'!B433</f>
        <v>HARGA SATUAN PEKERJAAN KUNCI DAN KACA</v>
      </c>
      <c r="C444" s="605"/>
      <c r="D444" s="605"/>
      <c r="E444" s="605"/>
      <c r="F444" s="605"/>
    </row>
    <row r="445" spans="1:6" s="498" customFormat="1" ht="15" customHeight="1" x14ac:dyDescent="0.25">
      <c r="A445" s="504">
        <f>'Rekap. Upah Pekerja'!A434</f>
        <v>1</v>
      </c>
      <c r="B445" s="505" t="str">
        <f>'Rekap. Upah Pekerja'!B434</f>
        <v>Pemasangan 1 buah kunci tanam  biasa</v>
      </c>
      <c r="C445" s="518"/>
      <c r="D445" s="519" t="s">
        <v>28</v>
      </c>
      <c r="E445" s="506">
        <f>'Rekap. Analisa RAB'!C435</f>
        <v>223600</v>
      </c>
      <c r="F445" s="507">
        <f t="shared" ref="F445:F466" si="13">C445*E445</f>
        <v>0</v>
      </c>
    </row>
    <row r="446" spans="1:6" s="498" customFormat="1" ht="15" customHeight="1" x14ac:dyDescent="0.25">
      <c r="A446" s="504">
        <f>'Rekap. Upah Pekerja'!A435</f>
        <v>2</v>
      </c>
      <c r="B446" s="505" t="str">
        <f>'Rekap. Upah Pekerja'!B435</f>
        <v>Pemasangan 1 buah kunci  kamar mandi</v>
      </c>
      <c r="C446" s="518"/>
      <c r="D446" s="519" t="s">
        <v>28</v>
      </c>
      <c r="E446" s="506">
        <f>'Rekap. Analisa RAB'!C436</f>
        <v>212300</v>
      </c>
      <c r="F446" s="507">
        <f t="shared" si="13"/>
        <v>0</v>
      </c>
    </row>
    <row r="447" spans="1:6" s="498" customFormat="1" ht="15" customHeight="1" x14ac:dyDescent="0.25">
      <c r="A447" s="504">
        <f>'Rekap. Upah Pekerja'!A436</f>
        <v>3</v>
      </c>
      <c r="B447" s="505" t="str">
        <f>'Rekap. Upah Pekerja'!B436</f>
        <v>Pemasangan 1 buah kunci lemari</v>
      </c>
      <c r="C447" s="518"/>
      <c r="D447" s="519" t="s">
        <v>28</v>
      </c>
      <c r="E447" s="506">
        <f>'Rekap. Analisa RAB'!C437</f>
        <v>58500</v>
      </c>
      <c r="F447" s="507">
        <f t="shared" si="13"/>
        <v>0</v>
      </c>
    </row>
    <row r="448" spans="1:6" s="498" customFormat="1" ht="15" customHeight="1" x14ac:dyDescent="0.25">
      <c r="A448" s="504">
        <f>'Rekap. Upah Pekerja'!A437</f>
        <v>4</v>
      </c>
      <c r="B448" s="505" t="str">
        <f>'Rekap. Upah Pekerja'!B437</f>
        <v>Pemasangan 1 buah kunci silinder</v>
      </c>
      <c r="C448" s="518"/>
      <c r="D448" s="519" t="s">
        <v>28</v>
      </c>
      <c r="E448" s="506">
        <f>'Rekap. Analisa RAB'!C438</f>
        <v>100700</v>
      </c>
      <c r="F448" s="507">
        <f t="shared" si="13"/>
        <v>0</v>
      </c>
    </row>
    <row r="449" spans="1:6" s="498" customFormat="1" ht="15" customHeight="1" x14ac:dyDescent="0.25">
      <c r="A449" s="504">
        <f>'Rekap. Upah Pekerja'!A438</f>
        <v>5</v>
      </c>
      <c r="B449" s="505" t="str">
        <f>'Rekap. Upah Pekerja'!B438</f>
        <v>Pemasangan 1 pasang engsel pintu</v>
      </c>
      <c r="C449" s="518"/>
      <c r="D449" s="519" t="s">
        <v>109</v>
      </c>
      <c r="E449" s="506">
        <f>'Rekap. Analisa RAB'!C439</f>
        <v>59200</v>
      </c>
      <c r="F449" s="507">
        <f t="shared" si="13"/>
        <v>0</v>
      </c>
    </row>
    <row r="450" spans="1:6" s="498" customFormat="1" ht="15" customHeight="1" x14ac:dyDescent="0.25">
      <c r="A450" s="504">
        <f>'Rekap. Upah Pekerja'!A439</f>
        <v>6</v>
      </c>
      <c r="B450" s="505" t="str">
        <f>'Rekap. Upah Pekerja'!B439</f>
        <v>Pemasangan 1 ps engsel jendela kupu-kupu</v>
      </c>
      <c r="C450" s="518"/>
      <c r="D450" s="519" t="s">
        <v>109</v>
      </c>
      <c r="E450" s="506">
        <f>'Rekap. Analisa RAB'!C440</f>
        <v>48000</v>
      </c>
      <c r="F450" s="507">
        <f t="shared" si="13"/>
        <v>0</v>
      </c>
    </row>
    <row r="451" spans="1:6" s="498" customFormat="1" ht="15" customHeight="1" x14ac:dyDescent="0.25">
      <c r="A451" s="504">
        <f>'Rekap. Upah Pekerja'!A440</f>
        <v>7</v>
      </c>
      <c r="B451" s="505" t="str">
        <f>'Rekap. Upah Pekerja'!B440</f>
        <v>Pemasangan 1 buah engsel angin</v>
      </c>
      <c r="C451" s="518"/>
      <c r="D451" s="519" t="s">
        <v>28</v>
      </c>
      <c r="E451" s="506">
        <f>'Rekap. Analisa RAB'!C441</f>
        <v>54300</v>
      </c>
      <c r="F451" s="507">
        <f t="shared" si="13"/>
        <v>0</v>
      </c>
    </row>
    <row r="452" spans="1:6" s="498" customFormat="1" ht="15" customHeight="1" x14ac:dyDescent="0.25">
      <c r="A452" s="504">
        <f>'Rekap. Upah Pekerja'!A441</f>
        <v>8</v>
      </c>
      <c r="B452" s="505" t="str">
        <f>'Rekap. Upah Pekerja'!B441</f>
        <v>Pemasangan 1 buah kunci slot</v>
      </c>
      <c r="C452" s="518"/>
      <c r="D452" s="519" t="s">
        <v>28</v>
      </c>
      <c r="E452" s="506">
        <f>'Rekap. Analisa RAB'!C442</f>
        <v>188300</v>
      </c>
      <c r="F452" s="507">
        <f t="shared" si="13"/>
        <v>0</v>
      </c>
    </row>
    <row r="453" spans="1:6" s="498" customFormat="1" ht="15" customHeight="1" x14ac:dyDescent="0.25">
      <c r="A453" s="504">
        <f>'Rekap. Upah Pekerja'!A442</f>
        <v>9</v>
      </c>
      <c r="B453" s="505" t="str">
        <f>'Rekap. Upah Pekerja'!B442</f>
        <v>Pemasangan 1 buah kait angin</v>
      </c>
      <c r="C453" s="518"/>
      <c r="D453" s="519" t="s">
        <v>28</v>
      </c>
      <c r="E453" s="506">
        <f>'Rekap. Analisa RAB'!C443</f>
        <v>48400</v>
      </c>
      <c r="F453" s="507">
        <f t="shared" si="13"/>
        <v>0</v>
      </c>
    </row>
    <row r="454" spans="1:6" s="498" customFormat="1" ht="15" customHeight="1" x14ac:dyDescent="0.25">
      <c r="A454" s="504">
        <f>'Rekap. Upah Pekerja'!A443</f>
        <v>10</v>
      </c>
      <c r="B454" s="505" t="str">
        <f>'Rekap. Upah Pekerja'!B443</f>
        <v>Pemasangan 1 set espagnoleth</v>
      </c>
      <c r="C454" s="518"/>
      <c r="D454" s="519" t="s">
        <v>267</v>
      </c>
      <c r="E454" s="506">
        <f>'Rekap. Analisa RAB'!C444</f>
        <v>206100</v>
      </c>
      <c r="F454" s="507">
        <f t="shared" si="13"/>
        <v>0</v>
      </c>
    </row>
    <row r="455" spans="1:6" s="498" customFormat="1" ht="15" customHeight="1" x14ac:dyDescent="0.25">
      <c r="A455" s="504">
        <f>'Rekap. Upah Pekerja'!A444</f>
        <v>11</v>
      </c>
      <c r="B455" s="505" t="str">
        <f>'Rekap. Upah Pekerja'!B444</f>
        <v>Pemasangan 1 buah door holder</v>
      </c>
      <c r="C455" s="518"/>
      <c r="D455" s="519" t="s">
        <v>28</v>
      </c>
      <c r="E455" s="506">
        <f>'Rekap. Analisa RAB'!C445</f>
        <v>114700</v>
      </c>
      <c r="F455" s="507">
        <f t="shared" si="13"/>
        <v>0</v>
      </c>
    </row>
    <row r="456" spans="1:6" s="498" customFormat="1" ht="15" customHeight="1" x14ac:dyDescent="0.25">
      <c r="A456" s="504">
        <f>'Rekap. Upah Pekerja'!A445</f>
        <v>12</v>
      </c>
      <c r="B456" s="505" t="str">
        <f>'Rekap. Upah Pekerja'!B445</f>
        <v>Pemasangan 1 buah door closer</v>
      </c>
      <c r="C456" s="518"/>
      <c r="D456" s="519" t="s">
        <v>28</v>
      </c>
      <c r="E456" s="506">
        <f>'Rekap. Analisa RAB'!C446</f>
        <v>146700</v>
      </c>
      <c r="F456" s="507">
        <f t="shared" si="13"/>
        <v>0</v>
      </c>
    </row>
    <row r="457" spans="1:6" s="498" customFormat="1" ht="15" customHeight="1" x14ac:dyDescent="0.25">
      <c r="A457" s="504">
        <f>'Rekap. Upah Pekerja'!A446</f>
        <v>13</v>
      </c>
      <c r="B457" s="505" t="str">
        <f>'Rekap. Upah Pekerja'!B446</f>
        <v>Pemasangan 1 buah rel pintu sorong</v>
      </c>
      <c r="C457" s="518"/>
      <c r="D457" s="519" t="s">
        <v>28</v>
      </c>
      <c r="E457" s="506">
        <f>'Rekap. Analisa RAB'!C447</f>
        <v>320600</v>
      </c>
      <c r="F457" s="507">
        <f t="shared" si="13"/>
        <v>0</v>
      </c>
    </row>
    <row r="458" spans="1:6" s="498" customFormat="1" ht="15" customHeight="1" x14ac:dyDescent="0.25">
      <c r="A458" s="504">
        <f>'Rekap. Upah Pekerja'!A447</f>
        <v>14</v>
      </c>
      <c r="B458" s="505" t="str">
        <f>'Rekap. Upah Pekerja'!B447</f>
        <v>Pemasangan 1 m² kaca tebal 3 mm</v>
      </c>
      <c r="C458" s="518"/>
      <c r="D458" s="519" t="s">
        <v>58</v>
      </c>
      <c r="E458" s="506">
        <f>'Rekap. Analisa RAB'!C448</f>
        <v>144600</v>
      </c>
      <c r="F458" s="507">
        <f t="shared" si="13"/>
        <v>0</v>
      </c>
    </row>
    <row r="459" spans="1:6" s="498" customFormat="1" ht="15" customHeight="1" x14ac:dyDescent="0.25">
      <c r="A459" s="504">
        <f>'Rekap. Upah Pekerja'!A448</f>
        <v>15</v>
      </c>
      <c r="B459" s="505" t="str">
        <f>'Rekap. Upah Pekerja'!B448</f>
        <v>Pemasangan 1 m² kaca tebal 5 mm</v>
      </c>
      <c r="C459" s="518"/>
      <c r="D459" s="519" t="s">
        <v>58</v>
      </c>
      <c r="E459" s="506">
        <f>'Rekap. Analisa RAB'!C449</f>
        <v>220700</v>
      </c>
      <c r="F459" s="507">
        <f t="shared" si="13"/>
        <v>0</v>
      </c>
    </row>
    <row r="460" spans="1:6" s="498" customFormat="1" ht="15" customHeight="1" x14ac:dyDescent="0.25">
      <c r="A460" s="504">
        <f>'Rekap. Upah Pekerja'!A449</f>
        <v>16</v>
      </c>
      <c r="B460" s="505" t="str">
        <f>'Rekap. Upah Pekerja'!B449</f>
        <v>Pemasangan 1 m² kaca tebal 8 mm</v>
      </c>
      <c r="C460" s="518"/>
      <c r="D460" s="519" t="s">
        <v>58</v>
      </c>
      <c r="E460" s="506">
        <f>'Rekap. Analisa RAB'!C450</f>
        <v>415200</v>
      </c>
      <c r="F460" s="507">
        <f t="shared" si="13"/>
        <v>0</v>
      </c>
    </row>
    <row r="461" spans="1:6" s="498" customFormat="1" ht="15" customHeight="1" x14ac:dyDescent="0.25">
      <c r="A461" s="504">
        <f>'Rekap. Upah Pekerja'!A450</f>
        <v>17</v>
      </c>
      <c r="B461" s="505" t="str">
        <f>'Rekap. Upah Pekerja'!B450</f>
        <v>Pemasangan 1 m² kaca buram tebal 12 mm</v>
      </c>
      <c r="C461" s="518"/>
      <c r="D461" s="519" t="s">
        <v>58</v>
      </c>
      <c r="E461" s="506">
        <f>'Rekap. Analisa RAB'!C451</f>
        <v>451400</v>
      </c>
      <c r="F461" s="507">
        <f t="shared" si="13"/>
        <v>0</v>
      </c>
    </row>
    <row r="462" spans="1:6" s="498" customFormat="1" ht="15" customHeight="1" x14ac:dyDescent="0.25">
      <c r="A462" s="504">
        <f>'Rekap. Upah Pekerja'!A451</f>
        <v>18</v>
      </c>
      <c r="B462" s="505" t="str">
        <f>'Rekap. Upah Pekerja'!B451</f>
        <v>Pemasangan 1 m² kaca cermin tebal 5 mm</v>
      </c>
      <c r="C462" s="518"/>
      <c r="D462" s="519" t="s">
        <v>58</v>
      </c>
      <c r="E462" s="506">
        <f>'Rekap. Analisa RAB'!C452</f>
        <v>396700</v>
      </c>
      <c r="F462" s="507">
        <f t="shared" si="13"/>
        <v>0</v>
      </c>
    </row>
    <row r="463" spans="1:6" s="498" customFormat="1" ht="15" customHeight="1" x14ac:dyDescent="0.25">
      <c r="A463" s="504">
        <f>'Rekap. Upah Pekerja'!A452</f>
        <v>19</v>
      </c>
      <c r="B463" s="505" t="str">
        <f>'Rekap. Upah Pekerja'!B452</f>
        <v>Pemasangan 1 m² kaca cermin tebal 8 mm</v>
      </c>
      <c r="C463" s="518"/>
      <c r="D463" s="519" t="s">
        <v>58</v>
      </c>
      <c r="E463" s="506">
        <f>'Rekap. Analisa RAB'!C453</f>
        <v>427000</v>
      </c>
      <c r="F463" s="507">
        <f t="shared" si="13"/>
        <v>0</v>
      </c>
    </row>
    <row r="464" spans="1:6" s="498" customFormat="1" ht="15" customHeight="1" x14ac:dyDescent="0.25">
      <c r="A464" s="504">
        <f>'Rekap. Upah Pekerja'!A453</f>
        <v>20</v>
      </c>
      <c r="B464" s="505" t="str">
        <f>'Rekap. Upah Pekerja'!B453</f>
        <v>Pemasangan 1 m² kaca wireglassed tebal 5 mm</v>
      </c>
      <c r="C464" s="518"/>
      <c r="D464" s="519" t="s">
        <v>58</v>
      </c>
      <c r="E464" s="506">
        <f>'Rekap. Analisa RAB'!C454</f>
        <v>117500</v>
      </c>
      <c r="F464" s="507">
        <f t="shared" si="13"/>
        <v>0</v>
      </c>
    </row>
    <row r="465" spans="1:6" s="498" customFormat="1" ht="15" customHeight="1" x14ac:dyDescent="0.25">
      <c r="A465" s="504">
        <f>'Rekap. Upah Pekerja'!A454</f>
        <v>21</v>
      </c>
      <c r="B465" s="505" t="str">
        <f>'Rekap. Upah Pekerja'!B454</f>
        <v>Pemasangan 1 m² kaca patri tebal 5 mm</v>
      </c>
      <c r="C465" s="518"/>
      <c r="D465" s="519" t="s">
        <v>58</v>
      </c>
      <c r="E465" s="506">
        <f>'Rekap. Analisa RAB'!C455</f>
        <v>170600</v>
      </c>
      <c r="F465" s="507">
        <f t="shared" si="13"/>
        <v>0</v>
      </c>
    </row>
    <row r="466" spans="1:6" s="498" customFormat="1" ht="15" customHeight="1" thickBot="1" x14ac:dyDescent="0.3">
      <c r="A466" s="504">
        <f>'Rekap. Upah Pekerja'!A455</f>
        <v>22</v>
      </c>
      <c r="B466" s="505" t="str">
        <f>'Rekap. Upah Pekerja'!B455</f>
        <v>Pemasangan 1 m² kaca buram  tebal 12 mm</v>
      </c>
      <c r="C466" s="518"/>
      <c r="D466" s="519" t="s">
        <v>58</v>
      </c>
      <c r="E466" s="506">
        <f>'Rekap. Analisa RAB'!C456</f>
        <v>403500</v>
      </c>
      <c r="F466" s="517">
        <f t="shared" si="13"/>
        <v>0</v>
      </c>
    </row>
    <row r="467" spans="1:6" s="498" customFormat="1" ht="21" customHeight="1" thickTop="1" thickBot="1" x14ac:dyDescent="0.3">
      <c r="A467" s="602" t="s">
        <v>1747</v>
      </c>
      <c r="B467" s="602"/>
      <c r="C467" s="602"/>
      <c r="D467" s="602"/>
      <c r="E467" s="602"/>
      <c r="F467" s="502">
        <f>SUM(F445:F466)</f>
        <v>0</v>
      </c>
    </row>
    <row r="468" spans="1:6" s="498" customFormat="1" ht="15" customHeight="1" thickTop="1" x14ac:dyDescent="0.25">
      <c r="A468" s="499"/>
      <c r="B468" s="496"/>
      <c r="C468" s="496"/>
      <c r="D468" s="496"/>
      <c r="E468" s="497"/>
    </row>
    <row r="469" spans="1:6" s="498" customFormat="1" ht="15" customHeight="1" x14ac:dyDescent="0.25">
      <c r="A469" s="503" t="str">
        <f>'Rekap. Upah Pekerja'!A457</f>
        <v>XIII.</v>
      </c>
      <c r="B469" s="605" t="str">
        <f>'Rekap. Upah Pekerja'!B457</f>
        <v>HARGA SATUAN PEKERJAAN PENGECATAN</v>
      </c>
      <c r="C469" s="605"/>
      <c r="D469" s="605"/>
      <c r="E469" s="605"/>
      <c r="F469" s="605"/>
    </row>
    <row r="470" spans="1:6" s="498" customFormat="1" ht="25.5" x14ac:dyDescent="0.25">
      <c r="A470" s="504">
        <f>'Rekap. Upah Pekerja'!A458</f>
        <v>1</v>
      </c>
      <c r="B470" s="505" t="str">
        <f>'Rekap. Upah Pekerja'!B458</f>
        <v>1 M² Pengikisan  / pengerokan permukaan cat lama</v>
      </c>
      <c r="C470" s="518"/>
      <c r="D470" s="519" t="s">
        <v>58</v>
      </c>
      <c r="E470" s="506">
        <f>'Rekap. Analisa RAB'!C459</f>
        <v>17300</v>
      </c>
      <c r="F470" s="507">
        <f t="shared" ref="F470:F492" si="14">C470*E470</f>
        <v>0</v>
      </c>
    </row>
    <row r="471" spans="1:6" s="498" customFormat="1" ht="25.5" x14ac:dyDescent="0.25">
      <c r="A471" s="504">
        <f>'Rekap. Upah Pekerja'!A459</f>
        <v>2</v>
      </c>
      <c r="B471" s="505" t="str">
        <f>'Rekap. Upah Pekerja'!B459</f>
        <v>1 M² Pencucian bidang permukaan tembok yang pernah di cat</v>
      </c>
      <c r="C471" s="518"/>
      <c r="D471" s="519" t="s">
        <v>58</v>
      </c>
      <c r="E471" s="506">
        <f>'Rekap. Analisa RAB'!C460</f>
        <v>16800</v>
      </c>
      <c r="F471" s="507">
        <f t="shared" si="14"/>
        <v>0</v>
      </c>
    </row>
    <row r="472" spans="1:6" s="498" customFormat="1" ht="25.5" x14ac:dyDescent="0.25">
      <c r="A472" s="504">
        <f>'Rekap. Upah Pekerja'!A460</f>
        <v>3</v>
      </c>
      <c r="B472" s="505" t="str">
        <f>'Rekap. Upah Pekerja'!B460</f>
        <v>1 M² Pengerokan karat pada permukaan baja secara manual</v>
      </c>
      <c r="C472" s="518"/>
      <c r="D472" s="519" t="s">
        <v>58</v>
      </c>
      <c r="E472" s="506">
        <f>'Rekap. Analisa RAB'!C461</f>
        <v>17500</v>
      </c>
      <c r="F472" s="507">
        <f t="shared" si="14"/>
        <v>0</v>
      </c>
    </row>
    <row r="473" spans="1:6" s="498" customFormat="1" ht="25.5" x14ac:dyDescent="0.25">
      <c r="A473" s="504" t="str">
        <f>'Rekap. Upah Pekerja'!A461</f>
        <v>4.1</v>
      </c>
      <c r="B473" s="505" t="str">
        <f>'Rekap. Upah Pekerja'!B461</f>
        <v>1 M² Pengecatan bidang kayu baru (1 lapis plamier, 1 lapis cat dasar, 2 lapis cat penutup)</v>
      </c>
      <c r="C473" s="518"/>
      <c r="D473" s="519" t="s">
        <v>58</v>
      </c>
      <c r="E473" s="506">
        <f>'Rekap. Analisa RAB'!C462</f>
        <v>64700</v>
      </c>
      <c r="F473" s="507">
        <f t="shared" si="14"/>
        <v>0</v>
      </c>
    </row>
    <row r="474" spans="1:6" s="498" customFormat="1" ht="25.5" x14ac:dyDescent="0.25">
      <c r="A474" s="504" t="str">
        <f>'Rekap. Upah Pekerja'!A462</f>
        <v>4.2</v>
      </c>
      <c r="B474" s="505" t="str">
        <f>'Rekap. Upah Pekerja'!B462</f>
        <v>1 M² Pengecatan bidang kayu lama (1 lapis plamier, 1 lapis cat dasar, 2 lapis cat penutup)</v>
      </c>
      <c r="C474" s="518"/>
      <c r="D474" s="519" t="s">
        <v>58</v>
      </c>
      <c r="E474" s="506">
        <f>'Rekap. Analisa RAB'!C463</f>
        <v>52800</v>
      </c>
      <c r="F474" s="507">
        <f t="shared" si="14"/>
        <v>0</v>
      </c>
    </row>
    <row r="475" spans="1:6" s="498" customFormat="1" ht="25.5" x14ac:dyDescent="0.25">
      <c r="A475" s="504">
        <f>'Rekap. Upah Pekerja'!A463</f>
        <v>5</v>
      </c>
      <c r="B475" s="505" t="str">
        <f>'Rekap. Upah Pekerja'!B463</f>
        <v>Pengecatan 1 M² bidang kayu baru (1 lapis plamier, 1 lapis cat dasar, 3 lapis cat penutup)</v>
      </c>
      <c r="C475" s="518"/>
      <c r="D475" s="519" t="s">
        <v>58</v>
      </c>
      <c r="E475" s="506">
        <f>'Rekap. Analisa RAB'!C464</f>
        <v>72500</v>
      </c>
      <c r="F475" s="507">
        <f t="shared" si="14"/>
        <v>0</v>
      </c>
    </row>
    <row r="476" spans="1:6" s="498" customFormat="1" ht="15" customHeight="1" x14ac:dyDescent="0.25">
      <c r="A476" s="504">
        <f>'Rekap. Upah Pekerja'!A464</f>
        <v>6</v>
      </c>
      <c r="B476" s="505" t="str">
        <f>'Rekap. Upah Pekerja'!B464</f>
        <v>Pelaburan 1 M² bidang kayu dengan teak oil</v>
      </c>
      <c r="C476" s="518"/>
      <c r="D476" s="519" t="s">
        <v>58</v>
      </c>
      <c r="E476" s="506">
        <f>'Rekap. Analisa RAB'!C465</f>
        <v>52900</v>
      </c>
      <c r="F476" s="507">
        <f t="shared" si="14"/>
        <v>0</v>
      </c>
    </row>
    <row r="477" spans="1:6" s="498" customFormat="1" ht="15" customHeight="1" x14ac:dyDescent="0.25">
      <c r="A477" s="504">
        <f>'Rekap. Upah Pekerja'!A465</f>
        <v>7</v>
      </c>
      <c r="B477" s="505" t="str">
        <f>'Rekap. Upah Pekerja'!B465</f>
        <v>Pelaburan 1 M² bidang kayu dengan politur</v>
      </c>
      <c r="C477" s="518"/>
      <c r="D477" s="519" t="s">
        <v>58</v>
      </c>
      <c r="E477" s="506">
        <f>'Rekap. Analisa RAB'!C466</f>
        <v>75100</v>
      </c>
      <c r="F477" s="507">
        <f t="shared" si="14"/>
        <v>0</v>
      </c>
    </row>
    <row r="478" spans="1:6" s="498" customFormat="1" ht="25.5" x14ac:dyDescent="0.25">
      <c r="A478" s="504">
        <f>'Rekap. Upah Pekerja'!A466</f>
        <v>8</v>
      </c>
      <c r="B478" s="505" t="str">
        <f>'Rekap. Upah Pekerja'!B466</f>
        <v>Pelaburan 1 M² bidang kayu dengan cat residu dan ter</v>
      </c>
      <c r="C478" s="518"/>
      <c r="D478" s="519" t="s">
        <v>58</v>
      </c>
      <c r="E478" s="506">
        <f>'Rekap. Analisa RAB'!C467</f>
        <v>26500</v>
      </c>
      <c r="F478" s="507">
        <f t="shared" si="14"/>
        <v>0</v>
      </c>
    </row>
    <row r="479" spans="1:6" s="498" customFormat="1" ht="15" customHeight="1" x14ac:dyDescent="0.25">
      <c r="A479" s="504">
        <f>'Rekap. Upah Pekerja'!A467</f>
        <v>9</v>
      </c>
      <c r="B479" s="505" t="str">
        <f>'Rekap. Upah Pekerja'!B467</f>
        <v>Pelaburan 1 M² bidang kayu dengan vernis</v>
      </c>
      <c r="C479" s="518"/>
      <c r="D479" s="519" t="s">
        <v>58</v>
      </c>
      <c r="E479" s="506">
        <f>'Rekap. Analisa RAB'!C468</f>
        <v>52100</v>
      </c>
      <c r="F479" s="507">
        <f t="shared" si="14"/>
        <v>0</v>
      </c>
    </row>
    <row r="480" spans="1:6" s="498" customFormat="1" ht="25.5" x14ac:dyDescent="0.25">
      <c r="A480" s="504">
        <f>'Rekap. Upah Pekerja'!A468</f>
        <v>10</v>
      </c>
      <c r="B480" s="505" t="str">
        <f>'Rekap. Upah Pekerja'!B468</f>
        <v>Pengecatan 1 M² tembok baru (1 lapis plamuur, 1 lapis cat dasar, 2 lapis cat penutup)</v>
      </c>
      <c r="C480" s="518"/>
      <c r="D480" s="519" t="s">
        <v>58</v>
      </c>
      <c r="E480" s="506">
        <f>'Rekap. Analisa RAB'!C469</f>
        <v>31900</v>
      </c>
      <c r="F480" s="507">
        <f t="shared" si="14"/>
        <v>0</v>
      </c>
    </row>
    <row r="481" spans="1:6" s="498" customFormat="1" ht="25.5" x14ac:dyDescent="0.25">
      <c r="A481" s="504">
        <f>'Rekap. Upah Pekerja'!A469</f>
        <v>11</v>
      </c>
      <c r="B481" s="505" t="str">
        <f>'Rekap. Upah Pekerja'!B469</f>
        <v>Pengecatan 1 M² tembok lama (1 lapis cat dasar, 2 lapis cat penutup)</v>
      </c>
      <c r="C481" s="518"/>
      <c r="D481" s="519" t="s">
        <v>58</v>
      </c>
      <c r="E481" s="506">
        <f>'Rekap. Analisa RAB'!C470</f>
        <v>27400</v>
      </c>
      <c r="F481" s="507">
        <f t="shared" si="14"/>
        <v>0</v>
      </c>
    </row>
    <row r="482" spans="1:6" s="498" customFormat="1" ht="15" customHeight="1" x14ac:dyDescent="0.25">
      <c r="A482" s="504">
        <f>'Rekap. Upah Pekerja'!A470</f>
        <v>12</v>
      </c>
      <c r="B482" s="505" t="str">
        <f>'Rekap. Upah Pekerja'!B470</f>
        <v>Pelaburan 1 M² tembok dengan kalkarium</v>
      </c>
      <c r="C482" s="518"/>
      <c r="D482" s="519" t="s">
        <v>58</v>
      </c>
      <c r="E482" s="506">
        <f>'Rekap. Analisa RAB'!C471</f>
        <v>14700</v>
      </c>
      <c r="F482" s="507">
        <f t="shared" si="14"/>
        <v>0</v>
      </c>
    </row>
    <row r="483" spans="1:6" s="498" customFormat="1" ht="15" customHeight="1" x14ac:dyDescent="0.25">
      <c r="A483" s="504">
        <f>'Rekap. Upah Pekerja'!A471</f>
        <v>13</v>
      </c>
      <c r="B483" s="505" t="str">
        <f>'Rekap. Upah Pekerja'!B471</f>
        <v>Pelaburan 1 M² tembok dengan kapur sirih</v>
      </c>
      <c r="C483" s="518"/>
      <c r="D483" s="519" t="s">
        <v>58</v>
      </c>
      <c r="E483" s="506">
        <f>'Rekap. Analisa RAB'!C472</f>
        <v>40200</v>
      </c>
      <c r="F483" s="507">
        <f t="shared" si="14"/>
        <v>0</v>
      </c>
    </row>
    <row r="484" spans="1:6" s="498" customFormat="1" ht="25.5" x14ac:dyDescent="0.25">
      <c r="A484" s="504">
        <f>'Rekap. Upah Pekerja'!A472</f>
        <v>14</v>
      </c>
      <c r="B484" s="505" t="str">
        <f>'Rekap. Upah Pekerja'!B472</f>
        <v>Pelaburan 1 M² tembok lama dengan kapur sirih (pemeliharaan)</v>
      </c>
      <c r="C484" s="518"/>
      <c r="D484" s="519" t="s">
        <v>58</v>
      </c>
      <c r="E484" s="506">
        <f>'Rekap. Analisa RAB'!C473</f>
        <v>37100</v>
      </c>
      <c r="F484" s="507">
        <f t="shared" si="14"/>
        <v>0</v>
      </c>
    </row>
    <row r="485" spans="1:6" s="498" customFormat="1" ht="15" customHeight="1" x14ac:dyDescent="0.25">
      <c r="A485" s="504">
        <f>'Rekap. Upah Pekerja'!A473</f>
        <v>15</v>
      </c>
      <c r="B485" s="505" t="str">
        <f>'Rekap. Upah Pekerja'!B473</f>
        <v>Pemasangan 1 M² wallpaper</v>
      </c>
      <c r="C485" s="518"/>
      <c r="D485" s="519" t="s">
        <v>58</v>
      </c>
      <c r="E485" s="506">
        <f>'Rekap. Analisa RAB'!C474</f>
        <v>336500</v>
      </c>
      <c r="F485" s="507">
        <f t="shared" si="14"/>
        <v>0</v>
      </c>
    </row>
    <row r="486" spans="1:6" s="498" customFormat="1" ht="25.5" x14ac:dyDescent="0.25">
      <c r="A486" s="504">
        <f>'Rekap. Upah Pekerja'!A474</f>
        <v>16</v>
      </c>
      <c r="B486" s="505" t="str">
        <f>'Rekap. Upah Pekerja'!B474</f>
        <v>Pengecatan 1 M² permukaan baja dengan menie besi dengan perancah</v>
      </c>
      <c r="C486" s="518"/>
      <c r="D486" s="519" t="s">
        <v>58</v>
      </c>
      <c r="E486" s="506">
        <f>'Rekap. Analisa RAB'!C475</f>
        <v>69300</v>
      </c>
      <c r="F486" s="507">
        <f t="shared" si="14"/>
        <v>0</v>
      </c>
    </row>
    <row r="487" spans="1:6" s="498" customFormat="1" ht="25.5" x14ac:dyDescent="0.25">
      <c r="A487" s="504">
        <f>'Rekap. Upah Pekerja'!A475</f>
        <v>17</v>
      </c>
      <c r="B487" s="505" t="str">
        <f>'Rekap. Upah Pekerja'!B475</f>
        <v>Pengecatan 1 M² permukaan bidang kayu dengan mowilek</v>
      </c>
      <c r="C487" s="518"/>
      <c r="D487" s="519" t="s">
        <v>58</v>
      </c>
      <c r="E487" s="506">
        <f>'Rekap. Analisa RAB'!C476</f>
        <v>33900</v>
      </c>
      <c r="F487" s="507">
        <f t="shared" si="14"/>
        <v>0</v>
      </c>
    </row>
    <row r="488" spans="1:6" s="498" customFormat="1" ht="25.5" x14ac:dyDescent="0.25">
      <c r="A488" s="504">
        <f>'Rekap. Upah Pekerja'!A476</f>
        <v>18</v>
      </c>
      <c r="B488" s="505" t="str">
        <f>'Rekap. Upah Pekerja'!B476</f>
        <v>Pengecatan 1 M² pelapisan batu alam (Coathing)</v>
      </c>
      <c r="C488" s="518"/>
      <c r="D488" s="519" t="s">
        <v>58</v>
      </c>
      <c r="E488" s="506">
        <f>'Rekap. Analisa RAB'!C477</f>
        <v>36900</v>
      </c>
      <c r="F488" s="507">
        <f t="shared" si="14"/>
        <v>0</v>
      </c>
    </row>
    <row r="489" spans="1:6" s="498" customFormat="1" ht="15" customHeight="1" x14ac:dyDescent="0.25">
      <c r="A489" s="504">
        <f>'Rekap. Upah Pekerja'!A477</f>
        <v>19</v>
      </c>
      <c r="B489" s="505" t="str">
        <f>'Rekap. Upah Pekerja'!B477</f>
        <v>Pengecatan 1 M² permukaan tembok dengan KCA</v>
      </c>
      <c r="C489" s="518"/>
      <c r="D489" s="519" t="s">
        <v>58</v>
      </c>
      <c r="E489" s="506">
        <f>'Rekap. Analisa RAB'!C478</f>
        <v>44600</v>
      </c>
      <c r="F489" s="507">
        <f t="shared" si="14"/>
        <v>0</v>
      </c>
    </row>
    <row r="490" spans="1:6" s="498" customFormat="1" ht="25.5" x14ac:dyDescent="0.25">
      <c r="A490" s="504">
        <f>'Rekap. Upah Pekerja'!A478</f>
        <v>20</v>
      </c>
      <c r="B490" s="505" t="str">
        <f>'Rekap. Upah Pekerja'!B478</f>
        <v xml:space="preserve">Pengecatan 1 M² permukaan baja galvanis secara manual sistem 3 lapis </v>
      </c>
      <c r="C490" s="518"/>
      <c r="D490" s="519" t="s">
        <v>58</v>
      </c>
      <c r="E490" s="506">
        <f>'Rekap. Analisa RAB'!C479</f>
        <v>159000</v>
      </c>
      <c r="F490" s="507">
        <f t="shared" si="14"/>
        <v>0</v>
      </c>
    </row>
    <row r="491" spans="1:6" s="498" customFormat="1" ht="25.5" x14ac:dyDescent="0.25">
      <c r="A491" s="504">
        <f>'Rekap. Upah Pekerja'!A479</f>
        <v>21</v>
      </c>
      <c r="B491" s="505" t="str">
        <f>'Rekap. Upah Pekerja'!B479</f>
        <v>Pengecatan 1 M² permukaan tembok dengan waterproofing</v>
      </c>
      <c r="C491" s="518"/>
      <c r="D491" s="519" t="s">
        <v>58</v>
      </c>
      <c r="E491" s="506">
        <f>'Rekap. Analisa RAB'!C480</f>
        <v>74600</v>
      </c>
      <c r="F491" s="507">
        <f t="shared" si="14"/>
        <v>0</v>
      </c>
    </row>
    <row r="492" spans="1:6" s="498" customFormat="1" ht="26.25" thickBot="1" x14ac:dyDescent="0.3">
      <c r="A492" s="504">
        <f>'Rekap. Upah Pekerja'!A480</f>
        <v>22</v>
      </c>
      <c r="B492" s="505" t="str">
        <f>'Rekap. Upah Pekerja'!B480</f>
        <v>Pengecatan 1 M² permukaan baja galvanis  secara manual 4 lapis</v>
      </c>
      <c r="C492" s="518"/>
      <c r="D492" s="519" t="s">
        <v>58</v>
      </c>
      <c r="E492" s="506">
        <f>'Rekap. Analisa RAB'!C481</f>
        <v>74800</v>
      </c>
      <c r="F492" s="517">
        <f t="shared" si="14"/>
        <v>0</v>
      </c>
    </row>
    <row r="493" spans="1:6" s="498" customFormat="1" ht="21" customHeight="1" thickTop="1" thickBot="1" x14ac:dyDescent="0.3">
      <c r="A493" s="602" t="s">
        <v>1748</v>
      </c>
      <c r="B493" s="602"/>
      <c r="C493" s="602"/>
      <c r="D493" s="602"/>
      <c r="E493" s="602"/>
      <c r="F493" s="502">
        <f>SUM(F470:F492)</f>
        <v>0</v>
      </c>
    </row>
    <row r="494" spans="1:6" s="498" customFormat="1" ht="15" customHeight="1" thickTop="1" x14ac:dyDescent="0.25">
      <c r="A494" s="499"/>
      <c r="B494" s="496"/>
      <c r="C494" s="496"/>
      <c r="D494" s="496"/>
      <c r="E494" s="497"/>
    </row>
    <row r="495" spans="1:6" s="498" customFormat="1" ht="15" customHeight="1" x14ac:dyDescent="0.25">
      <c r="A495" s="503" t="str">
        <f>'Rekap. Upah Pekerja'!A482</f>
        <v>XIV.</v>
      </c>
      <c r="B495" s="605" t="str">
        <f>'Rekap. Upah Pekerja'!B482</f>
        <v>HARGA SATUAN PEKERJAAN SANITASI DALAM GEDUNG</v>
      </c>
      <c r="C495" s="605"/>
      <c r="D495" s="605"/>
      <c r="E495" s="605"/>
      <c r="F495" s="605"/>
    </row>
    <row r="496" spans="1:6" s="498" customFormat="1" ht="15" customHeight="1" x14ac:dyDescent="0.25">
      <c r="A496" s="504">
        <f>'Rekap. Upah Pekerja'!A483</f>
        <v>1</v>
      </c>
      <c r="B496" s="505" t="str">
        <f>'Rekap. Upah Pekerja'!B483</f>
        <v>Pemasangan 1 buah closet duduk</v>
      </c>
      <c r="C496" s="518"/>
      <c r="D496" s="519" t="s">
        <v>28</v>
      </c>
      <c r="E496" s="506">
        <f>'Rekap. Analisa RAB'!C484</f>
        <v>2881400</v>
      </c>
      <c r="F496" s="507">
        <f t="shared" ref="F496:F522" si="15">C496*E496</f>
        <v>0</v>
      </c>
    </row>
    <row r="497" spans="1:6" s="498" customFormat="1" ht="15" customHeight="1" x14ac:dyDescent="0.25">
      <c r="A497" s="504">
        <f>'Rekap. Upah Pekerja'!A484</f>
        <v>2</v>
      </c>
      <c r="B497" s="505" t="str">
        <f>'Rekap. Upah Pekerja'!B484</f>
        <v>Pengerjaan 1 buah closet jongkok</v>
      </c>
      <c r="C497" s="518"/>
      <c r="D497" s="519" t="s">
        <v>28</v>
      </c>
      <c r="E497" s="506">
        <f>'Rekap. Analisa RAB'!C485</f>
        <v>557900</v>
      </c>
      <c r="F497" s="507">
        <f t="shared" si="15"/>
        <v>0</v>
      </c>
    </row>
    <row r="498" spans="1:6" s="498" customFormat="1" ht="15" customHeight="1" x14ac:dyDescent="0.25">
      <c r="A498" s="504">
        <f>'Rekap. Upah Pekerja'!A485</f>
        <v>3</v>
      </c>
      <c r="B498" s="505" t="str">
        <f>'Rekap. Upah Pekerja'!B485</f>
        <v>Pemasangan 1 buah urinoir setara KIA</v>
      </c>
      <c r="C498" s="518"/>
      <c r="D498" s="519" t="s">
        <v>28</v>
      </c>
      <c r="E498" s="506">
        <f>'Rekap. Analisa RAB'!C486</f>
        <v>1637900</v>
      </c>
      <c r="F498" s="507">
        <f t="shared" si="15"/>
        <v>0</v>
      </c>
    </row>
    <row r="499" spans="1:6" s="498" customFormat="1" ht="15" customHeight="1" x14ac:dyDescent="0.25">
      <c r="A499" s="504">
        <f>'Rekap. Upah Pekerja'!A486</f>
        <v>4</v>
      </c>
      <c r="B499" s="505" t="str">
        <f>'Rekap. Upah Pekerja'!B486</f>
        <v>Pemasangan 1 buah wastafel</v>
      </c>
      <c r="C499" s="518"/>
      <c r="D499" s="519" t="s">
        <v>28</v>
      </c>
      <c r="E499" s="506">
        <f>'Rekap. Analisa RAB'!C487</f>
        <v>899800</v>
      </c>
      <c r="F499" s="507">
        <f t="shared" si="15"/>
        <v>0</v>
      </c>
    </row>
    <row r="500" spans="1:6" s="498" customFormat="1" ht="15" customHeight="1" x14ac:dyDescent="0.25">
      <c r="A500" s="504">
        <f>'Rekap. Upah Pekerja'!A487</f>
        <v>5</v>
      </c>
      <c r="B500" s="505" t="str">
        <f>'Rekap. Upah Pekerja'!B487</f>
        <v>Pemasangan 1 buah tempat sabun</v>
      </c>
      <c r="C500" s="518"/>
      <c r="D500" s="519" t="s">
        <v>28</v>
      </c>
      <c r="E500" s="506">
        <f>'Rekap. Analisa RAB'!C488</f>
        <v>94000</v>
      </c>
      <c r="F500" s="507">
        <f t="shared" si="15"/>
        <v>0</v>
      </c>
    </row>
    <row r="501" spans="1:6" s="498" customFormat="1" ht="15" customHeight="1" x14ac:dyDescent="0.25">
      <c r="A501" s="504">
        <f>'Rekap. Upah Pekerja'!A488</f>
        <v>6</v>
      </c>
      <c r="B501" s="505" t="str">
        <f>'Rekap. Upah Pekerja'!B488</f>
        <v>Pemasangan 1 buah bak fibreglass vol 1 m3</v>
      </c>
      <c r="C501" s="518"/>
      <c r="D501" s="519" t="s">
        <v>28</v>
      </c>
      <c r="E501" s="506">
        <f>'Rekap. Analisa RAB'!C489</f>
        <v>509900</v>
      </c>
      <c r="F501" s="507">
        <f t="shared" si="15"/>
        <v>0</v>
      </c>
    </row>
    <row r="502" spans="1:6" s="498" customFormat="1" ht="25.5" x14ac:dyDescent="0.25">
      <c r="A502" s="504">
        <f>'Rekap. Upah Pekerja'!A489</f>
        <v>7</v>
      </c>
      <c r="B502" s="505" t="str">
        <f>'Rekap. Upah Pekerja'!B489</f>
        <v>Pemasangan 1 buah bak mandi batu bata vol.0,3 m3</v>
      </c>
      <c r="C502" s="518"/>
      <c r="D502" s="519" t="s">
        <v>28</v>
      </c>
      <c r="E502" s="506">
        <f>'Rekap. Analisa RAB'!C490</f>
        <v>2332600</v>
      </c>
      <c r="F502" s="507">
        <f t="shared" si="15"/>
        <v>0</v>
      </c>
    </row>
    <row r="503" spans="1:6" s="498" customFormat="1" ht="15" customHeight="1" x14ac:dyDescent="0.25">
      <c r="A503" s="504">
        <f>'Rekap. Upah Pekerja'!A490</f>
        <v>8</v>
      </c>
      <c r="B503" s="505" t="str">
        <f>'Rekap. Upah Pekerja'!B490</f>
        <v xml:space="preserve">Pemasangan 1 buah bak mandi teraso </v>
      </c>
      <c r="C503" s="518"/>
      <c r="D503" s="519" t="s">
        <v>28</v>
      </c>
      <c r="E503" s="506">
        <f>'Rekap. Analisa RAB'!C491</f>
        <v>1069100</v>
      </c>
      <c r="F503" s="507">
        <f t="shared" si="15"/>
        <v>0</v>
      </c>
    </row>
    <row r="504" spans="1:6" s="498" customFormat="1" ht="15" customHeight="1" x14ac:dyDescent="0.25">
      <c r="A504" s="504">
        <f>'Rekap. Upah Pekerja'!A491</f>
        <v>9</v>
      </c>
      <c r="B504" s="505" t="str">
        <f>'Rekap. Upah Pekerja'!B491</f>
        <v>Pemasangan 1 buah bak beton vol 1 m3</v>
      </c>
      <c r="C504" s="518"/>
      <c r="D504" s="519" t="s">
        <v>28</v>
      </c>
      <c r="E504" s="506">
        <f>'Rekap. Analisa RAB'!C492</f>
        <v>5894600</v>
      </c>
      <c r="F504" s="507">
        <f t="shared" si="15"/>
        <v>0</v>
      </c>
    </row>
    <row r="505" spans="1:6" s="498" customFormat="1" ht="25.5" x14ac:dyDescent="0.25">
      <c r="A505" s="504">
        <f>'Rekap. Upah Pekerja'!A492</f>
        <v>10</v>
      </c>
      <c r="B505" s="505" t="str">
        <f>'Rekap. Upah Pekerja'!B492</f>
        <v>Pemasangan 1 buah bak cuci piring stainless steel</v>
      </c>
      <c r="C505" s="518"/>
      <c r="D505" s="519" t="s">
        <v>28</v>
      </c>
      <c r="E505" s="506">
        <f>'Rekap. Analisa RAB'!C493</f>
        <v>638800</v>
      </c>
      <c r="F505" s="507">
        <f t="shared" si="15"/>
        <v>0</v>
      </c>
    </row>
    <row r="506" spans="1:6" s="498" customFormat="1" ht="15" customHeight="1" x14ac:dyDescent="0.25">
      <c r="A506" s="504">
        <f>'Rekap. Upah Pekerja'!A493</f>
        <v>11</v>
      </c>
      <c r="B506" s="505" t="str">
        <f>'Rekap. Upah Pekerja'!B493</f>
        <v>Pemasangan 1 buah bak cuci piring teraso</v>
      </c>
      <c r="C506" s="518"/>
      <c r="D506" s="519" t="s">
        <v>28</v>
      </c>
      <c r="E506" s="506">
        <f>'Rekap. Analisa RAB'!C494</f>
        <v>705800</v>
      </c>
      <c r="F506" s="507">
        <f t="shared" si="15"/>
        <v>0</v>
      </c>
    </row>
    <row r="507" spans="1:6" s="498" customFormat="1" ht="15" customHeight="1" x14ac:dyDescent="0.25">
      <c r="A507" s="504">
        <f>'Rekap. Upah Pekerja'!A494</f>
        <v>12</v>
      </c>
      <c r="B507" s="505" t="str">
        <f>'Rekap. Upah Pekerja'!B494</f>
        <v>Pemasangan 1 buah floor drain</v>
      </c>
      <c r="C507" s="518"/>
      <c r="D507" s="519" t="s">
        <v>28</v>
      </c>
      <c r="E507" s="506">
        <f>'Rekap. Analisa RAB'!C495</f>
        <v>68300</v>
      </c>
      <c r="F507" s="507">
        <f t="shared" si="15"/>
        <v>0</v>
      </c>
    </row>
    <row r="508" spans="1:6" s="498" customFormat="1" ht="25.5" x14ac:dyDescent="0.25">
      <c r="A508" s="504">
        <f>'Rekap. Upah Pekerja'!A495</f>
        <v>13</v>
      </c>
      <c r="B508" s="505" t="str">
        <f>'Rekap. Upah Pekerja'!B495</f>
        <v>Pemasangan 1 buah bak kontrol pasangan bata 30 x 30 tinggi 35 cm</v>
      </c>
      <c r="C508" s="518"/>
      <c r="D508" s="519" t="s">
        <v>28</v>
      </c>
      <c r="E508" s="506">
        <f>'Rekap. Analisa RAB'!C496</f>
        <v>727100</v>
      </c>
      <c r="F508" s="507">
        <f t="shared" si="15"/>
        <v>0</v>
      </c>
    </row>
    <row r="509" spans="1:6" s="498" customFormat="1" ht="25.5" x14ac:dyDescent="0.25">
      <c r="A509" s="504">
        <f>'Rekap. Upah Pekerja'!A496</f>
        <v>14</v>
      </c>
      <c r="B509" s="505" t="str">
        <f>'Rekap. Upah Pekerja'!B496</f>
        <v>Pemasangan 1 buah bak kontrol pasangan bata 45cm x 45cm tinggi 50 cm</v>
      </c>
      <c r="C509" s="518"/>
      <c r="D509" s="519" t="s">
        <v>28</v>
      </c>
      <c r="E509" s="506">
        <f>'Rekap. Analisa RAB'!C497</f>
        <v>986400</v>
      </c>
      <c r="F509" s="507">
        <f t="shared" si="15"/>
        <v>0</v>
      </c>
    </row>
    <row r="510" spans="1:6" s="498" customFormat="1" ht="25.5" x14ac:dyDescent="0.25">
      <c r="A510" s="504">
        <f>'Rekap. Upah Pekerja'!A497</f>
        <v>15</v>
      </c>
      <c r="B510" s="505" t="str">
        <f>'Rekap. Upah Pekerja'!B497</f>
        <v>Pemasangan 1 buah bak kontrol pasangan bata 60cm x 60cm tinggi 65 cm</v>
      </c>
      <c r="C510" s="518"/>
      <c r="D510" s="519" t="s">
        <v>28</v>
      </c>
      <c r="E510" s="506">
        <f>'Rekap. Analisa RAB'!C498</f>
        <v>1321300</v>
      </c>
      <c r="F510" s="507">
        <f t="shared" si="15"/>
        <v>0</v>
      </c>
    </row>
    <row r="511" spans="1:6" s="498" customFormat="1" ht="25.5" x14ac:dyDescent="0.25">
      <c r="A511" s="504">
        <f>'Rekap. Upah Pekerja'!A498</f>
        <v>16</v>
      </c>
      <c r="B511" s="505" t="str">
        <f>'Rekap. Upah Pekerja'!B498</f>
        <v>Pemasangan 1 buah kran diameter ½ " atau ¾ " (0.75 -0.5)</v>
      </c>
      <c r="C511" s="518"/>
      <c r="D511" s="519" t="s">
        <v>28</v>
      </c>
      <c r="E511" s="506">
        <f>'Rekap. Analisa RAB'!C499</f>
        <v>97000</v>
      </c>
      <c r="F511" s="507">
        <f t="shared" si="15"/>
        <v>0</v>
      </c>
    </row>
    <row r="512" spans="1:6" s="498" customFormat="1" ht="15" customHeight="1" x14ac:dyDescent="0.25">
      <c r="A512" s="504">
        <f>'Rekap. Upah Pekerja'!A499</f>
        <v>17</v>
      </c>
      <c r="B512" s="505" t="str">
        <f>'Rekap. Upah Pekerja'!B499</f>
        <v>Pemasangan 1 m1 pipa galvanis diameter 1/2"</v>
      </c>
      <c r="C512" s="518"/>
      <c r="D512" s="519" t="s">
        <v>14</v>
      </c>
      <c r="E512" s="506">
        <f>'Rekap. Analisa RAB'!C500</f>
        <v>48000</v>
      </c>
      <c r="F512" s="507">
        <f t="shared" si="15"/>
        <v>0</v>
      </c>
    </row>
    <row r="513" spans="1:6" s="498" customFormat="1" ht="15" customHeight="1" x14ac:dyDescent="0.25">
      <c r="A513" s="504">
        <f>'Rekap. Upah Pekerja'!A500</f>
        <v>18</v>
      </c>
      <c r="B513" s="505" t="str">
        <f>'Rekap. Upah Pekerja'!B500</f>
        <v>Pemasangan 1 m1 pipa galvanis diameter  1"</v>
      </c>
      <c r="C513" s="518"/>
      <c r="D513" s="519" t="s">
        <v>14</v>
      </c>
      <c r="E513" s="506">
        <f>'Rekap. Analisa RAB'!C501</f>
        <v>65500</v>
      </c>
      <c r="F513" s="507">
        <f t="shared" si="15"/>
        <v>0</v>
      </c>
    </row>
    <row r="514" spans="1:6" s="498" customFormat="1" ht="15" customHeight="1" x14ac:dyDescent="0.25">
      <c r="A514" s="504">
        <f>'Rekap. Upah Pekerja'!A501</f>
        <v>19</v>
      </c>
      <c r="B514" s="505" t="str">
        <f>'Rekap. Upah Pekerja'!B501</f>
        <v>Pemasangan 1 m1 pipa galvanis diameter  1,5"</v>
      </c>
      <c r="C514" s="518"/>
      <c r="D514" s="519" t="s">
        <v>14</v>
      </c>
      <c r="E514" s="506">
        <f>'Rekap. Analisa RAB'!C502</f>
        <v>169700</v>
      </c>
      <c r="F514" s="507">
        <f t="shared" si="15"/>
        <v>0</v>
      </c>
    </row>
    <row r="515" spans="1:6" s="498" customFormat="1" ht="15" customHeight="1" x14ac:dyDescent="0.25">
      <c r="A515" s="504">
        <f>'Rekap. Upah Pekerja'!A502</f>
        <v>20</v>
      </c>
      <c r="B515" s="505" t="str">
        <f>'Rekap. Upah Pekerja'!B502</f>
        <v>Pemasangan 1 m1 pipa galvanis diameter  3"</v>
      </c>
      <c r="C515" s="518"/>
      <c r="D515" s="519" t="s">
        <v>14</v>
      </c>
      <c r="E515" s="506">
        <f>'Rekap. Analisa RAB'!C503</f>
        <v>178700</v>
      </c>
      <c r="F515" s="507">
        <f t="shared" si="15"/>
        <v>0</v>
      </c>
    </row>
    <row r="516" spans="1:6" s="498" customFormat="1" ht="15" customHeight="1" x14ac:dyDescent="0.25">
      <c r="A516" s="504">
        <f>'Rekap. Upah Pekerja'!A503</f>
        <v>21</v>
      </c>
      <c r="B516" s="505" t="str">
        <f>'Rekap. Upah Pekerja'!B503</f>
        <v>Pemasangan 1 m1 pipa galvanis diameter  4"</v>
      </c>
      <c r="C516" s="518"/>
      <c r="D516" s="519" t="s">
        <v>14</v>
      </c>
      <c r="E516" s="506">
        <f>'Rekap. Analisa RAB'!C504</f>
        <v>231500</v>
      </c>
      <c r="F516" s="507">
        <f t="shared" si="15"/>
        <v>0</v>
      </c>
    </row>
    <row r="517" spans="1:6" s="498" customFormat="1" ht="25.5" x14ac:dyDescent="0.25">
      <c r="A517" s="504">
        <f>'Rekap. Upah Pekerja'!A504</f>
        <v>22</v>
      </c>
      <c r="B517" s="505" t="str">
        <f>'Rekap. Upah Pekerja'!B504</f>
        <v>Pemasangan 1 m1 pipa PVC tipe AW diameter  ½  "</v>
      </c>
      <c r="C517" s="518"/>
      <c r="D517" s="519" t="s">
        <v>14</v>
      </c>
      <c r="E517" s="506">
        <f>'Rekap. Analisa RAB'!C505</f>
        <v>25800</v>
      </c>
      <c r="F517" s="507">
        <f t="shared" si="15"/>
        <v>0</v>
      </c>
    </row>
    <row r="518" spans="1:6" s="498" customFormat="1" ht="25.5" x14ac:dyDescent="0.25">
      <c r="A518" s="504">
        <f>'Rekap. Upah Pekerja'!A505</f>
        <v>23</v>
      </c>
      <c r="B518" s="505" t="str">
        <f>'Rekap. Upah Pekerja'!B505</f>
        <v>Pemasangan 1 m1 pipa PVC tipe AW diameter  ¾ "</v>
      </c>
      <c r="C518" s="518"/>
      <c r="D518" s="519" t="s">
        <v>14</v>
      </c>
      <c r="E518" s="506">
        <f>'Rekap. Analisa RAB'!C506</f>
        <v>29200</v>
      </c>
      <c r="F518" s="507">
        <f t="shared" si="15"/>
        <v>0</v>
      </c>
    </row>
    <row r="519" spans="1:6" s="498" customFormat="1" ht="15" customHeight="1" x14ac:dyDescent="0.25">
      <c r="A519" s="504">
        <f>'Rekap. Upah Pekerja'!A506</f>
        <v>24</v>
      </c>
      <c r="B519" s="505" t="str">
        <f>'Rekap. Upah Pekerja'!B506</f>
        <v>Pemasangan 1 m1 pipa PVC tipe AW diameter  1 "</v>
      </c>
      <c r="C519" s="518"/>
      <c r="D519" s="519" t="s">
        <v>14</v>
      </c>
      <c r="E519" s="506">
        <f>'Rekap. Analisa RAB'!C507</f>
        <v>32100</v>
      </c>
      <c r="F519" s="507">
        <f t="shared" si="15"/>
        <v>0</v>
      </c>
    </row>
    <row r="520" spans="1:6" s="498" customFormat="1" ht="25.5" x14ac:dyDescent="0.25">
      <c r="A520" s="504">
        <f>'Rekap. Upah Pekerja'!A507</f>
        <v>25</v>
      </c>
      <c r="B520" s="505" t="str">
        <f>'Rekap. Upah Pekerja'!B507</f>
        <v>Pemasangan 1 m1 pipa PVC tipe AW diameter  1½ "</v>
      </c>
      <c r="C520" s="518"/>
      <c r="D520" s="519" t="s">
        <v>14</v>
      </c>
      <c r="E520" s="506">
        <f>'Rekap. Analisa RAB'!C508</f>
        <v>43700</v>
      </c>
      <c r="F520" s="507">
        <f t="shared" si="15"/>
        <v>0</v>
      </c>
    </row>
    <row r="521" spans="1:6" s="498" customFormat="1" ht="15" customHeight="1" x14ac:dyDescent="0.25">
      <c r="A521" s="504">
        <f>'Rekap. Upah Pekerja'!A508</f>
        <v>26</v>
      </c>
      <c r="B521" s="505" t="str">
        <f>'Rekap. Upah Pekerja'!B508</f>
        <v>Pemasangan 1 m1 pipa PVC tipe AW diameter  2 "</v>
      </c>
      <c r="C521" s="518"/>
      <c r="D521" s="519" t="s">
        <v>14</v>
      </c>
      <c r="E521" s="506">
        <f>'Rekap. Analisa RAB'!C509</f>
        <v>59800</v>
      </c>
      <c r="F521" s="507">
        <f t="shared" si="15"/>
        <v>0</v>
      </c>
    </row>
    <row r="522" spans="1:6" s="498" customFormat="1" ht="15" customHeight="1" thickBot="1" x14ac:dyDescent="0.3">
      <c r="A522" s="504">
        <f>'Rekap. Upah Pekerja'!A509</f>
        <v>27</v>
      </c>
      <c r="B522" s="505" t="str">
        <f>'Rekap. Upah Pekerja'!B509</f>
        <v>Pemasangan 1 m1 pipa PVC tipe AW diameter  3 "</v>
      </c>
      <c r="C522" s="518"/>
      <c r="D522" s="519" t="s">
        <v>14</v>
      </c>
      <c r="E522" s="506">
        <f>'Rekap. Analisa RAB'!C510</f>
        <v>89500</v>
      </c>
      <c r="F522" s="517">
        <f t="shared" si="15"/>
        <v>0</v>
      </c>
    </row>
    <row r="523" spans="1:6" s="498" customFormat="1" ht="21" customHeight="1" thickTop="1" thickBot="1" x14ac:dyDescent="0.3">
      <c r="A523" s="602" t="s">
        <v>1749</v>
      </c>
      <c r="B523" s="602"/>
      <c r="C523" s="602"/>
      <c r="D523" s="602"/>
      <c r="E523" s="602"/>
      <c r="F523" s="502">
        <f>SUM(F496:F522)</f>
        <v>0</v>
      </c>
    </row>
    <row r="524" spans="1:6" s="498" customFormat="1" ht="15" customHeight="1" thickTop="1" x14ac:dyDescent="0.25">
      <c r="A524" s="499"/>
      <c r="B524" s="496"/>
      <c r="C524" s="496"/>
      <c r="D524" s="496"/>
      <c r="E524" s="497"/>
    </row>
    <row r="525" spans="1:6" s="498" customFormat="1" ht="15" customHeight="1" x14ac:dyDescent="0.25">
      <c r="A525" s="503" t="str">
        <f>'Rekap. Upah Pekerja'!A511</f>
        <v>XV.</v>
      </c>
      <c r="B525" s="605" t="str">
        <f>'Rekap. Upah Pekerja'!B511</f>
        <v>HARGA SATUAN PEKERJAAN LISTRIK</v>
      </c>
      <c r="C525" s="605"/>
      <c r="D525" s="605"/>
      <c r="E525" s="605"/>
      <c r="F525" s="605"/>
    </row>
    <row r="526" spans="1:6" s="498" customFormat="1" ht="25.5" x14ac:dyDescent="0.25">
      <c r="A526" s="504">
        <f>'Rekap. Upah Pekerja'!A512</f>
        <v>1</v>
      </c>
      <c r="B526" s="505" t="str">
        <f>'Rekap. Upah Pekerja'!B512</f>
        <v>Pemasangan 1 instalasi Stopkontak, Lampu, Exhaustpan, dan celling fan</v>
      </c>
      <c r="C526" s="518"/>
      <c r="D526" s="519" t="s">
        <v>1842</v>
      </c>
      <c r="E526" s="506">
        <f>'Rekap. Analisa RAB'!C513</f>
        <v>338400</v>
      </c>
      <c r="F526" s="507">
        <f t="shared" ref="F526:F527" si="16">C526*E526</f>
        <v>0</v>
      </c>
    </row>
    <row r="527" spans="1:6" s="498" customFormat="1" ht="15" customHeight="1" thickBot="1" x14ac:dyDescent="0.3">
      <c r="A527" s="504">
        <f>'Rekap. Upah Pekerja'!A513</f>
        <v>2</v>
      </c>
      <c r="B527" s="505" t="str">
        <f>'Rekap. Upah Pekerja'!B513</f>
        <v>Pemasangan 1 instalasi AC</v>
      </c>
      <c r="C527" s="518"/>
      <c r="D527" s="519" t="s">
        <v>1842</v>
      </c>
      <c r="E527" s="506">
        <f>'Rekap. Analisa RAB'!C514</f>
        <v>390400</v>
      </c>
      <c r="F527" s="517">
        <f t="shared" si="16"/>
        <v>0</v>
      </c>
    </row>
    <row r="528" spans="1:6" s="498" customFormat="1" ht="21" customHeight="1" thickTop="1" thickBot="1" x14ac:dyDescent="0.3">
      <c r="A528" s="602" t="s">
        <v>1750</v>
      </c>
      <c r="B528" s="602"/>
      <c r="C528" s="602"/>
      <c r="D528" s="602"/>
      <c r="E528" s="602"/>
      <c r="F528" s="502">
        <f>SUM(F526:F527)</f>
        <v>0</v>
      </c>
    </row>
    <row r="529" spans="1:6" s="498" customFormat="1" ht="15" customHeight="1" thickTop="1" x14ac:dyDescent="0.25">
      <c r="A529" s="499"/>
      <c r="B529" s="496"/>
      <c r="C529" s="496"/>
      <c r="D529" s="496"/>
      <c r="E529" s="497"/>
    </row>
    <row r="530" spans="1:6" s="498" customFormat="1" ht="15" customHeight="1" x14ac:dyDescent="0.25">
      <c r="A530" s="503" t="str">
        <f>'Rekap. Upah Pekerja'!A515</f>
        <v>XVI.</v>
      </c>
      <c r="B530" s="605" t="str">
        <f>'Rekap. Upah Pekerja'!B515</f>
        <v>HARGA SATUAN PEKERJAAN LANDSCAPE</v>
      </c>
      <c r="C530" s="605"/>
      <c r="D530" s="605"/>
      <c r="E530" s="605"/>
      <c r="F530" s="605"/>
    </row>
    <row r="531" spans="1:6" s="498" customFormat="1" ht="15" customHeight="1" x14ac:dyDescent="0.25">
      <c r="A531" s="504" t="str">
        <f>'Rekap. Upah Pekerja'!A516</f>
        <v>1.1</v>
      </c>
      <c r="B531" s="505" t="str">
        <f>'Rekap. Upah Pekerja'!B516</f>
        <v>Pemasangan Paving Beton tebal 8 cm  k 175</v>
      </c>
      <c r="C531" s="518"/>
      <c r="D531" s="519" t="s">
        <v>58</v>
      </c>
      <c r="E531" s="506">
        <f>'Rekap. Analisa RAB'!C517</f>
        <v>217000</v>
      </c>
      <c r="F531" s="507">
        <f t="shared" ref="F531:F537" si="17">C531*E531</f>
        <v>0</v>
      </c>
    </row>
    <row r="532" spans="1:6" s="498" customFormat="1" ht="15" customHeight="1" x14ac:dyDescent="0.25">
      <c r="A532" s="504" t="str">
        <f>'Rekap. Upah Pekerja'!A517</f>
        <v>1.2</v>
      </c>
      <c r="B532" s="505" t="str">
        <f>'Rekap. Upah Pekerja'!B517</f>
        <v>Pemasangan Paving Beton tebal 8 cm  k 225</v>
      </c>
      <c r="C532" s="518"/>
      <c r="D532" s="519" t="s">
        <v>58</v>
      </c>
      <c r="E532" s="506">
        <f>'Rekap. Analisa RAB'!C518</f>
        <v>254800</v>
      </c>
      <c r="F532" s="507">
        <f t="shared" si="17"/>
        <v>0</v>
      </c>
    </row>
    <row r="533" spans="1:6" s="498" customFormat="1" ht="15" customHeight="1" x14ac:dyDescent="0.25">
      <c r="A533" s="504">
        <f>'Rekap. Upah Pekerja'!A518</f>
        <v>2</v>
      </c>
      <c r="B533" s="505" t="str">
        <f>'Rekap. Upah Pekerja'!B518</f>
        <v>Pasangan Grass Block</v>
      </c>
      <c r="C533" s="518"/>
      <c r="D533" s="519" t="s">
        <v>58</v>
      </c>
      <c r="E533" s="506">
        <f>'Rekap. Analisa RAB'!C519</f>
        <v>284000</v>
      </c>
      <c r="F533" s="507">
        <f t="shared" si="17"/>
        <v>0</v>
      </c>
    </row>
    <row r="534" spans="1:6" s="498" customFormat="1" ht="15" customHeight="1" x14ac:dyDescent="0.25">
      <c r="A534" s="504">
        <f>'Rekap. Upah Pekerja'!A519</f>
        <v>3</v>
      </c>
      <c r="B534" s="505" t="str">
        <f>'Rekap. Upah Pekerja'!B519</f>
        <v>1m2 Pasangan Koral sikat</v>
      </c>
      <c r="C534" s="518"/>
      <c r="D534" s="519" t="s">
        <v>58</v>
      </c>
      <c r="E534" s="506">
        <f>'Rekap. Analisa RAB'!C520</f>
        <v>206300</v>
      </c>
      <c r="F534" s="507">
        <f t="shared" si="17"/>
        <v>0</v>
      </c>
    </row>
    <row r="535" spans="1:6" s="498" customFormat="1" ht="15" customHeight="1" x14ac:dyDescent="0.25">
      <c r="A535" s="504">
        <f>'Rekap. Upah Pekerja'!A520</f>
        <v>4</v>
      </c>
      <c r="B535" s="505" t="str">
        <f>'Rekap. Upah Pekerja'!B520</f>
        <v xml:space="preserve">1m1 Kanstein polos </v>
      </c>
      <c r="C535" s="518"/>
      <c r="D535" s="519" t="s">
        <v>14</v>
      </c>
      <c r="E535" s="506">
        <f>'Rekap. Analisa RAB'!C521</f>
        <v>201900</v>
      </c>
      <c r="F535" s="507">
        <f t="shared" si="17"/>
        <v>0</v>
      </c>
    </row>
    <row r="536" spans="1:6" s="498" customFormat="1" ht="15" customHeight="1" x14ac:dyDescent="0.25">
      <c r="A536" s="504">
        <f>'Rekap. Upah Pekerja'!A521</f>
        <v>5</v>
      </c>
      <c r="B536" s="505" t="str">
        <f>'Rekap. Upah Pekerja'!B521</f>
        <v>1m2 Pengecetan Kanstein</v>
      </c>
      <c r="C536" s="518"/>
      <c r="D536" s="519" t="s">
        <v>58</v>
      </c>
      <c r="E536" s="506">
        <f>'Rekap. Analisa RAB'!C522</f>
        <v>60900</v>
      </c>
      <c r="F536" s="507">
        <f t="shared" si="17"/>
        <v>0</v>
      </c>
    </row>
    <row r="537" spans="1:6" s="498" customFormat="1" ht="15" customHeight="1" thickBot="1" x14ac:dyDescent="0.3">
      <c r="A537" s="504">
        <f>'Rekap. Upah Pekerja'!A522</f>
        <v>6</v>
      </c>
      <c r="B537" s="505" t="str">
        <f>'Rekap. Upah Pekerja'!B522</f>
        <v>1m2 Pengecetan Kanstein seanding seaker</v>
      </c>
      <c r="C537" s="518"/>
      <c r="D537" s="519" t="s">
        <v>58</v>
      </c>
      <c r="E537" s="506">
        <f>'Rekap. Analisa RAB'!C523</f>
        <v>43800</v>
      </c>
      <c r="F537" s="517">
        <f t="shared" si="17"/>
        <v>0</v>
      </c>
    </row>
    <row r="538" spans="1:6" s="498" customFormat="1" ht="21" customHeight="1" thickTop="1" thickBot="1" x14ac:dyDescent="0.3">
      <c r="A538" s="602" t="s">
        <v>1751</v>
      </c>
      <c r="B538" s="602"/>
      <c r="C538" s="602"/>
      <c r="D538" s="602"/>
      <c r="E538" s="602"/>
      <c r="F538" s="502">
        <f>SUM(F531:F537)</f>
        <v>0</v>
      </c>
    </row>
    <row r="539" spans="1:6" s="498" customFormat="1" ht="15" customHeight="1" thickTop="1" x14ac:dyDescent="0.25">
      <c r="A539" s="499"/>
      <c r="B539" s="496"/>
      <c r="C539" s="496"/>
      <c r="D539" s="496"/>
      <c r="E539" s="497"/>
    </row>
    <row r="540" spans="1:6" s="498" customFormat="1" ht="15" customHeight="1" x14ac:dyDescent="0.25">
      <c r="A540" s="503" t="str">
        <f>'Rekap. Upah Pekerja'!A524</f>
        <v>XVII.</v>
      </c>
      <c r="B540" s="605" t="str">
        <f>'Rekap. Upah Pekerja'!B524</f>
        <v>HARGA SATUAN PEKERJAAN ORNAMEN BATA DAN PARAS UTK PEK. STYLE BALI</v>
      </c>
      <c r="C540" s="605"/>
      <c r="D540" s="605"/>
      <c r="E540" s="605"/>
      <c r="F540" s="605"/>
    </row>
    <row r="541" spans="1:6" s="498" customFormat="1" ht="25.5" x14ac:dyDescent="0.25">
      <c r="A541" s="504">
        <f>'Rekap. Upah Pekerja'!A525</f>
        <v>1</v>
      </c>
      <c r="B541" s="505" t="str">
        <f>'Rekap. Upah Pekerja'!B525</f>
        <v>Pekerjaan 1m2 Pasangan Style Bali Paras Bata 1 muka</v>
      </c>
      <c r="C541" s="518"/>
      <c r="D541" s="519" t="s">
        <v>58</v>
      </c>
      <c r="E541" s="506">
        <f>'Rekap. Analisa RAB'!C526</f>
        <v>1654100</v>
      </c>
      <c r="F541" s="507">
        <f t="shared" ref="F541:F548" si="18">C541*E541</f>
        <v>0</v>
      </c>
    </row>
    <row r="542" spans="1:6" s="498" customFormat="1" ht="25.5" x14ac:dyDescent="0.25">
      <c r="A542" s="504">
        <f>'Rekap. Upah Pekerja'!A526</f>
        <v>2</v>
      </c>
      <c r="B542" s="505" t="str">
        <f>'Rekap. Upah Pekerja'!B526</f>
        <v>Pekerjaan 1m2 Pasangan Bata Pripian Pres 1 muka</v>
      </c>
      <c r="C542" s="518"/>
      <c r="D542" s="519" t="s">
        <v>58</v>
      </c>
      <c r="E542" s="506">
        <f>'Rekap. Analisa RAB'!C527</f>
        <v>1508800</v>
      </c>
      <c r="F542" s="507">
        <f t="shared" si="18"/>
        <v>0</v>
      </c>
    </row>
    <row r="543" spans="1:6" s="498" customFormat="1" ht="15" customHeight="1" x14ac:dyDescent="0.25">
      <c r="A543" s="504">
        <f>'Rekap. Upah Pekerja'!A527</f>
        <v>3</v>
      </c>
      <c r="B543" s="505" t="str">
        <f>'Rekap. Upah Pekerja'!B527</f>
        <v>Pekerjaan 1m2 Pasangan Paras Pripian 1 muka</v>
      </c>
      <c r="C543" s="518"/>
      <c r="D543" s="519" t="s">
        <v>58</v>
      </c>
      <c r="E543" s="506">
        <f>'Rekap. Analisa RAB'!C528</f>
        <v>1622700</v>
      </c>
      <c r="F543" s="507">
        <f t="shared" si="18"/>
        <v>0</v>
      </c>
    </row>
    <row r="544" spans="1:6" s="498" customFormat="1" ht="25.5" x14ac:dyDescent="0.25">
      <c r="A544" s="504">
        <f>'Rekap. Upah Pekerja'!A528</f>
        <v>4</v>
      </c>
      <c r="B544" s="505" t="str">
        <f>'Rekap. Upah Pekerja'!B528</f>
        <v>Pekerjaan 1m2 Pasangan Sarwa Genep Kombinasi</v>
      </c>
      <c r="C544" s="518"/>
      <c r="D544" s="519" t="s">
        <v>58</v>
      </c>
      <c r="E544" s="506">
        <f>'Rekap. Analisa RAB'!C529</f>
        <v>1225800</v>
      </c>
      <c r="F544" s="507">
        <f t="shared" si="18"/>
        <v>0</v>
      </c>
    </row>
    <row r="545" spans="1:6" s="498" customFormat="1" ht="15" customHeight="1" x14ac:dyDescent="0.25">
      <c r="A545" s="504">
        <f>'Rekap. Upah Pekerja'!A529</f>
        <v>5</v>
      </c>
      <c r="B545" s="505" t="str">
        <f>'Rekap. Upah Pekerja'!B529</f>
        <v>Pekerjaan 1m2 Pasangan Paras Jogja 1 muka</v>
      </c>
      <c r="C545" s="518"/>
      <c r="D545" s="519" t="s">
        <v>58</v>
      </c>
      <c r="E545" s="506">
        <f>'Rekap. Analisa RAB'!C530</f>
        <v>1265900</v>
      </c>
      <c r="F545" s="507">
        <f t="shared" si="18"/>
        <v>0</v>
      </c>
    </row>
    <row r="546" spans="1:6" s="498" customFormat="1" ht="25.5" x14ac:dyDescent="0.25">
      <c r="A546" s="504">
        <f>'Rekap. Upah Pekerja'!A530</f>
        <v>6</v>
      </c>
      <c r="B546" s="505" t="str">
        <f>'Rekap. Upah Pekerja'!B530</f>
        <v>Pekerjaan 1m2 Pasangan Batu Palimanan 1 muka</v>
      </c>
      <c r="C546" s="518"/>
      <c r="D546" s="519" t="s">
        <v>58</v>
      </c>
      <c r="E546" s="506">
        <f>'Rekap. Analisa RAB'!C531</f>
        <v>1251700</v>
      </c>
      <c r="F546" s="507">
        <f t="shared" si="18"/>
        <v>0</v>
      </c>
    </row>
    <row r="547" spans="1:6" s="498" customFormat="1" ht="15" customHeight="1" x14ac:dyDescent="0.25">
      <c r="A547" s="504">
        <f>'Rekap. Upah Pekerja'!A531</f>
        <v>7</v>
      </c>
      <c r="B547" s="505" t="str">
        <f>'Rekap. Upah Pekerja'!B531</f>
        <v xml:space="preserve">Pekerjaan 1m2 Pasangan Batu Candi </v>
      </c>
      <c r="C547" s="518"/>
      <c r="D547" s="519" t="s">
        <v>58</v>
      </c>
      <c r="E547" s="506">
        <f>'Rekap. Analisa RAB'!C532</f>
        <v>1623800</v>
      </c>
      <c r="F547" s="507">
        <f t="shared" si="18"/>
        <v>0</v>
      </c>
    </row>
    <row r="548" spans="1:6" s="498" customFormat="1" ht="26.25" thickBot="1" x14ac:dyDescent="0.3">
      <c r="A548" s="504">
        <f>'Rekap. Upah Pekerja'!A532</f>
        <v>8</v>
      </c>
      <c r="B548" s="505" t="str">
        <f>'Rekap. Upah Pekerja'!B532</f>
        <v>Pekerjaan 1m2 Pasangan Batu Tabas Karangasem 1 muka</v>
      </c>
      <c r="C548" s="518"/>
      <c r="D548" s="519" t="s">
        <v>58</v>
      </c>
      <c r="E548" s="506">
        <f>'Rekap. Analisa RAB'!C533</f>
        <v>2207200</v>
      </c>
      <c r="F548" s="517">
        <f t="shared" si="18"/>
        <v>0</v>
      </c>
    </row>
    <row r="549" spans="1:6" s="498" customFormat="1" ht="21" customHeight="1" thickTop="1" thickBot="1" x14ac:dyDescent="0.3">
      <c r="A549" s="602" t="s">
        <v>1752</v>
      </c>
      <c r="B549" s="602"/>
      <c r="C549" s="602"/>
      <c r="D549" s="602"/>
      <c r="E549" s="602"/>
      <c r="F549" s="502">
        <f>SUM(F541:F548)</f>
        <v>0</v>
      </c>
    </row>
    <row r="550" spans="1:6" ht="13.5" thickTop="1" x14ac:dyDescent="0.25"/>
  </sheetData>
  <mergeCells count="37">
    <mergeCell ref="B5:B6"/>
    <mergeCell ref="A5:A6"/>
    <mergeCell ref="B263:F263"/>
    <mergeCell ref="B233:F233"/>
    <mergeCell ref="B44:F44"/>
    <mergeCell ref="B25:F25"/>
    <mergeCell ref="B7:F7"/>
    <mergeCell ref="A23:E23"/>
    <mergeCell ref="B57:F57"/>
    <mergeCell ref="B444:F444"/>
    <mergeCell ref="B469:F469"/>
    <mergeCell ref="B495:F495"/>
    <mergeCell ref="A467:E467"/>
    <mergeCell ref="A493:E493"/>
    <mergeCell ref="A323:E323"/>
    <mergeCell ref="A341:E341"/>
    <mergeCell ref="A366:E366"/>
    <mergeCell ref="A442:E442"/>
    <mergeCell ref="B325:F325"/>
    <mergeCell ref="B343:F343"/>
    <mergeCell ref="B368:F368"/>
    <mergeCell ref="A523:E523"/>
    <mergeCell ref="A528:E528"/>
    <mergeCell ref="A538:E538"/>
    <mergeCell ref="A549:E549"/>
    <mergeCell ref="C5:D6"/>
    <mergeCell ref="A42:E42"/>
    <mergeCell ref="A55:E55"/>
    <mergeCell ref="A172:E172"/>
    <mergeCell ref="A203:E203"/>
    <mergeCell ref="A231:E231"/>
    <mergeCell ref="A261:E261"/>
    <mergeCell ref="B525:F525"/>
    <mergeCell ref="B530:F530"/>
    <mergeCell ref="B540:F540"/>
    <mergeCell ref="B205:F205"/>
    <mergeCell ref="B174:F174"/>
  </mergeCells>
  <phoneticPr fontId="23" type="noConversion"/>
  <pageMargins left="0.11811023622047244" right="7.874015748031496E-2" top="0.74803149606299213" bottom="0.74803149606299213" header="0.31496062992125984" footer="0.3149606299212598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7D811-03BC-4A96-AB74-2865B8C9FC3D}">
  <sheetPr>
    <tabColor theme="9"/>
  </sheetPr>
  <dimension ref="A1:F629"/>
  <sheetViews>
    <sheetView showGridLines="0" zoomScale="85" zoomScaleNormal="85" workbookViewId="0">
      <selection sqref="A1:D1"/>
    </sheetView>
  </sheetViews>
  <sheetFormatPr defaultColWidth="9.140625" defaultRowHeight="18.75" customHeight="1" x14ac:dyDescent="0.25"/>
  <cols>
    <col min="1" max="1" width="6.7109375" style="1" customWidth="1"/>
    <col min="2" max="2" width="56.42578125" style="2" customWidth="1"/>
    <col min="3" max="3" width="9.7109375" style="1" customWidth="1"/>
    <col min="4" max="4" width="20" style="4" customWidth="1"/>
    <col min="5" max="5" width="9.140625" style="2"/>
    <col min="6" max="6" width="17.85546875" style="2" bestFit="1" customWidth="1"/>
    <col min="7" max="16384" width="9.140625" style="2"/>
  </cols>
  <sheetData>
    <row r="1" spans="1:6" ht="18.75" customHeight="1" x14ac:dyDescent="0.25">
      <c r="A1" s="609" t="s">
        <v>611</v>
      </c>
      <c r="B1" s="609"/>
      <c r="C1" s="609"/>
      <c r="D1" s="609"/>
    </row>
    <row r="2" spans="1:6" ht="18.75" customHeight="1" x14ac:dyDescent="0.25">
      <c r="A2" s="610" t="s">
        <v>615</v>
      </c>
      <c r="B2" s="610"/>
      <c r="C2" s="610"/>
      <c r="D2" s="610"/>
    </row>
    <row r="4" spans="1:6" ht="18.75" customHeight="1" x14ac:dyDescent="0.25">
      <c r="A4" s="612" t="s">
        <v>0</v>
      </c>
      <c r="B4" s="612" t="s">
        <v>1</v>
      </c>
      <c r="C4" s="612" t="s">
        <v>2</v>
      </c>
      <c r="D4" s="612" t="s">
        <v>3</v>
      </c>
    </row>
    <row r="5" spans="1:6" ht="18.75" customHeight="1" x14ac:dyDescent="0.25">
      <c r="A5" s="612"/>
      <c r="B5" s="612"/>
      <c r="C5" s="612"/>
      <c r="D5" s="612"/>
    </row>
    <row r="6" spans="1:6" ht="18.75" customHeight="1" x14ac:dyDescent="0.25">
      <c r="A6" s="612"/>
      <c r="B6" s="612"/>
      <c r="C6" s="612"/>
      <c r="D6" s="612"/>
    </row>
    <row r="7" spans="1:6" ht="18.75" customHeight="1" thickBot="1" x14ac:dyDescent="0.3">
      <c r="A7" s="16">
        <v>1</v>
      </c>
      <c r="B7" s="16">
        <v>2</v>
      </c>
      <c r="C7" s="16">
        <v>3</v>
      </c>
      <c r="D7" s="16">
        <v>4</v>
      </c>
    </row>
    <row r="8" spans="1:6" ht="18.75" customHeight="1" thickTop="1" x14ac:dyDescent="0.25">
      <c r="A8" s="14"/>
      <c r="B8" s="9" t="s">
        <v>4</v>
      </c>
      <c r="C8" s="14"/>
      <c r="D8" s="15"/>
    </row>
    <row r="9" spans="1:6" ht="18.75" customHeight="1" x14ac:dyDescent="0.25">
      <c r="A9" s="444">
        <v>1</v>
      </c>
      <c r="B9" s="445" t="s">
        <v>1478</v>
      </c>
      <c r="C9" s="444" t="s">
        <v>6</v>
      </c>
      <c r="D9" s="446">
        <v>38000</v>
      </c>
    </row>
    <row r="10" spans="1:6" ht="18.75" customHeight="1" x14ac:dyDescent="0.25">
      <c r="A10" s="444">
        <f t="shared" ref="A10:A12" si="0">A9+1</f>
        <v>2</v>
      </c>
      <c r="B10" s="445" t="s">
        <v>9</v>
      </c>
      <c r="C10" s="444" t="s">
        <v>6</v>
      </c>
      <c r="D10" s="446">
        <v>12000</v>
      </c>
    </row>
    <row r="11" spans="1:6" ht="18.75" customHeight="1" x14ac:dyDescent="0.25">
      <c r="A11" s="444">
        <f t="shared" si="0"/>
        <v>3</v>
      </c>
      <c r="B11" s="445" t="s">
        <v>10</v>
      </c>
      <c r="C11" s="444" t="s">
        <v>6</v>
      </c>
      <c r="D11" s="446">
        <v>23000</v>
      </c>
    </row>
    <row r="12" spans="1:6" ht="18.75" customHeight="1" x14ac:dyDescent="0.25">
      <c r="A12" s="444">
        <f t="shared" si="0"/>
        <v>4</v>
      </c>
      <c r="B12" s="445" t="s">
        <v>567</v>
      </c>
      <c r="C12" s="444" t="s">
        <v>6</v>
      </c>
      <c r="D12" s="446">
        <v>10</v>
      </c>
    </row>
    <row r="13" spans="1:6" ht="18.75" customHeight="1" x14ac:dyDescent="0.25">
      <c r="A13" s="5"/>
      <c r="B13" s="6"/>
      <c r="C13" s="5"/>
      <c r="D13" s="7"/>
    </row>
    <row r="14" spans="1:6" ht="18.75" customHeight="1" x14ac:dyDescent="0.25">
      <c r="A14" s="8"/>
      <c r="B14" s="9" t="s">
        <v>12</v>
      </c>
      <c r="C14" s="8"/>
      <c r="D14" s="10"/>
      <c r="F14" s="443"/>
    </row>
    <row r="15" spans="1:6" ht="18.75" customHeight="1" x14ac:dyDescent="0.25">
      <c r="A15" s="5">
        <v>1</v>
      </c>
      <c r="B15" s="17" t="s">
        <v>13</v>
      </c>
      <c r="C15" s="5" t="s">
        <v>14</v>
      </c>
      <c r="D15" s="7"/>
    </row>
    <row r="16" spans="1:6" ht="18.75" customHeight="1" x14ac:dyDescent="0.25">
      <c r="A16" s="5">
        <f>A15+1</f>
        <v>2</v>
      </c>
      <c r="B16" s="17" t="s">
        <v>15</v>
      </c>
      <c r="C16" s="5" t="s">
        <v>28</v>
      </c>
      <c r="D16" s="7"/>
    </row>
    <row r="17" spans="1:4" ht="18.75" customHeight="1" x14ac:dyDescent="0.25">
      <c r="A17" s="5">
        <f t="shared" ref="A17:A62" si="1">A16+1</f>
        <v>3</v>
      </c>
      <c r="B17" s="17" t="s">
        <v>571</v>
      </c>
      <c r="C17" s="5" t="s">
        <v>28</v>
      </c>
      <c r="D17" s="7"/>
    </row>
    <row r="18" spans="1:4" ht="18.75" customHeight="1" x14ac:dyDescent="0.25">
      <c r="A18" s="5">
        <f t="shared" si="1"/>
        <v>4</v>
      </c>
      <c r="B18" s="17" t="s">
        <v>17</v>
      </c>
      <c r="C18" s="5" t="s">
        <v>614</v>
      </c>
      <c r="D18" s="7"/>
    </row>
    <row r="19" spans="1:4" ht="18.75" customHeight="1" x14ac:dyDescent="0.25">
      <c r="A19" s="444">
        <f t="shared" si="1"/>
        <v>5</v>
      </c>
      <c r="B19" s="445" t="s">
        <v>19</v>
      </c>
      <c r="C19" s="444" t="s">
        <v>20</v>
      </c>
      <c r="D19" s="446">
        <v>15000</v>
      </c>
    </row>
    <row r="20" spans="1:4" ht="18.75" customHeight="1" x14ac:dyDescent="0.25">
      <c r="A20" s="5">
        <f t="shared" si="1"/>
        <v>6</v>
      </c>
      <c r="B20" s="17" t="s">
        <v>21</v>
      </c>
      <c r="C20" s="5" t="s">
        <v>22</v>
      </c>
      <c r="D20" s="431"/>
    </row>
    <row r="21" spans="1:4" ht="18.75" customHeight="1" x14ac:dyDescent="0.25">
      <c r="A21" s="5">
        <f t="shared" si="1"/>
        <v>7</v>
      </c>
      <c r="B21" s="17" t="s">
        <v>23</v>
      </c>
      <c r="C21" s="5" t="s">
        <v>22</v>
      </c>
      <c r="D21" s="431"/>
    </row>
    <row r="22" spans="1:4" ht="18.75" customHeight="1" x14ac:dyDescent="0.25">
      <c r="A22" s="444">
        <f t="shared" si="1"/>
        <v>8</v>
      </c>
      <c r="B22" s="445" t="s">
        <v>1700</v>
      </c>
      <c r="C22" s="444" t="s">
        <v>14</v>
      </c>
      <c r="D22" s="446">
        <v>23500</v>
      </c>
    </row>
    <row r="23" spans="1:4" ht="18.75" customHeight="1" x14ac:dyDescent="0.25">
      <c r="A23" s="5">
        <f t="shared" si="1"/>
        <v>9</v>
      </c>
      <c r="B23" s="17" t="s">
        <v>24</v>
      </c>
      <c r="C23" s="5" t="s">
        <v>14</v>
      </c>
      <c r="D23" s="431"/>
    </row>
    <row r="24" spans="1:4" ht="18.75" customHeight="1" x14ac:dyDescent="0.25">
      <c r="A24" s="5">
        <f t="shared" si="1"/>
        <v>10</v>
      </c>
      <c r="B24" s="17" t="s">
        <v>25</v>
      </c>
      <c r="C24" s="5" t="s">
        <v>14</v>
      </c>
      <c r="D24" s="431"/>
    </row>
    <row r="25" spans="1:4" ht="18.75" customHeight="1" x14ac:dyDescent="0.25">
      <c r="A25" s="5">
        <f t="shared" si="1"/>
        <v>11</v>
      </c>
      <c r="B25" s="17" t="s">
        <v>26</v>
      </c>
      <c r="C25" s="5" t="s">
        <v>14</v>
      </c>
      <c r="D25" s="431"/>
    </row>
    <row r="26" spans="1:4" ht="18.75" customHeight="1" x14ac:dyDescent="0.25">
      <c r="A26" s="444">
        <f t="shared" si="1"/>
        <v>12</v>
      </c>
      <c r="B26" s="445" t="s">
        <v>27</v>
      </c>
      <c r="C26" s="444" t="s">
        <v>20</v>
      </c>
      <c r="D26" s="446">
        <v>1000</v>
      </c>
    </row>
    <row r="27" spans="1:4" ht="18.75" customHeight="1" x14ac:dyDescent="0.25">
      <c r="A27" s="5">
        <f t="shared" si="1"/>
        <v>13</v>
      </c>
      <c r="B27" s="17" t="s">
        <v>29</v>
      </c>
      <c r="C27" s="5" t="s">
        <v>28</v>
      </c>
      <c r="D27" s="431"/>
    </row>
    <row r="28" spans="1:4" ht="18.75" customHeight="1" x14ac:dyDescent="0.25">
      <c r="A28" s="5">
        <f t="shared" si="1"/>
        <v>14</v>
      </c>
      <c r="B28" s="17" t="s">
        <v>572</v>
      </c>
      <c r="C28" s="5" t="s">
        <v>28</v>
      </c>
      <c r="D28" s="7"/>
    </row>
    <row r="29" spans="1:4" ht="18.75" customHeight="1" x14ac:dyDescent="0.25">
      <c r="A29" s="5">
        <f t="shared" si="1"/>
        <v>15</v>
      </c>
      <c r="B29" s="17" t="s">
        <v>30</v>
      </c>
      <c r="C29" s="5" t="s">
        <v>28</v>
      </c>
      <c r="D29" s="7"/>
    </row>
    <row r="30" spans="1:4" ht="18.75" customHeight="1" x14ac:dyDescent="0.25">
      <c r="A30" s="5">
        <f t="shared" si="1"/>
        <v>16</v>
      </c>
      <c r="B30" s="17" t="s">
        <v>573</v>
      </c>
      <c r="C30" s="5" t="s">
        <v>28</v>
      </c>
      <c r="D30" s="7"/>
    </row>
    <row r="31" spans="1:4" ht="18.75" customHeight="1" x14ac:dyDescent="0.25">
      <c r="A31" s="5">
        <f t="shared" si="1"/>
        <v>17</v>
      </c>
      <c r="B31" s="17" t="s">
        <v>574</v>
      </c>
      <c r="C31" s="5" t="s">
        <v>28</v>
      </c>
      <c r="D31" s="7"/>
    </row>
    <row r="32" spans="1:4" ht="18.75" customHeight="1" x14ac:dyDescent="0.25">
      <c r="A32" s="5">
        <f t="shared" si="1"/>
        <v>18</v>
      </c>
      <c r="B32" s="17" t="s">
        <v>575</v>
      </c>
      <c r="C32" s="5" t="s">
        <v>28</v>
      </c>
      <c r="D32" s="7"/>
    </row>
    <row r="33" spans="1:4" ht="18.75" customHeight="1" x14ac:dyDescent="0.25">
      <c r="A33" s="5">
        <f t="shared" si="1"/>
        <v>19</v>
      </c>
      <c r="B33" s="17" t="s">
        <v>576</v>
      </c>
      <c r="C33" s="5" t="s">
        <v>28</v>
      </c>
      <c r="D33" s="7"/>
    </row>
    <row r="34" spans="1:4" ht="18.75" customHeight="1" x14ac:dyDescent="0.25">
      <c r="A34" s="5">
        <f t="shared" si="1"/>
        <v>20</v>
      </c>
      <c r="B34" s="17" t="s">
        <v>577</v>
      </c>
      <c r="C34" s="5" t="s">
        <v>28</v>
      </c>
      <c r="D34" s="7"/>
    </row>
    <row r="35" spans="1:4" ht="18.75" customHeight="1" x14ac:dyDescent="0.25">
      <c r="A35" s="5">
        <f t="shared" si="1"/>
        <v>21</v>
      </c>
      <c r="B35" s="17" t="s">
        <v>578</v>
      </c>
      <c r="C35" s="5" t="s">
        <v>28</v>
      </c>
      <c r="D35" s="7"/>
    </row>
    <row r="36" spans="1:4" ht="18.75" customHeight="1" x14ac:dyDescent="0.25">
      <c r="A36" s="5">
        <f t="shared" si="1"/>
        <v>22</v>
      </c>
      <c r="B36" s="17" t="s">
        <v>579</v>
      </c>
      <c r="C36" s="5" t="s">
        <v>28</v>
      </c>
      <c r="D36" s="7"/>
    </row>
    <row r="37" spans="1:4" ht="18.75" customHeight="1" x14ac:dyDescent="0.25">
      <c r="A37" s="5">
        <f t="shared" si="1"/>
        <v>23</v>
      </c>
      <c r="B37" s="17" t="s">
        <v>580</v>
      </c>
      <c r="C37" s="5" t="s">
        <v>28</v>
      </c>
      <c r="D37" s="7"/>
    </row>
    <row r="38" spans="1:4" ht="18.75" customHeight="1" x14ac:dyDescent="0.25">
      <c r="A38" s="5">
        <f t="shared" si="1"/>
        <v>24</v>
      </c>
      <c r="B38" s="17" t="s">
        <v>581</v>
      </c>
      <c r="C38" s="5" t="s">
        <v>28</v>
      </c>
      <c r="D38" s="7"/>
    </row>
    <row r="39" spans="1:4" ht="18.75" customHeight="1" x14ac:dyDescent="0.25">
      <c r="A39" s="5">
        <f t="shared" si="1"/>
        <v>25</v>
      </c>
      <c r="B39" s="17" t="s">
        <v>582</v>
      </c>
      <c r="C39" s="5" t="s">
        <v>28</v>
      </c>
      <c r="D39" s="7"/>
    </row>
    <row r="40" spans="1:4" ht="18.75" customHeight="1" x14ac:dyDescent="0.25">
      <c r="A40" s="5">
        <f t="shared" si="1"/>
        <v>26</v>
      </c>
      <c r="B40" s="17" t="s">
        <v>583</v>
      </c>
      <c r="C40" s="5" t="s">
        <v>28</v>
      </c>
      <c r="D40" s="7"/>
    </row>
    <row r="41" spans="1:4" ht="18.75" customHeight="1" x14ac:dyDescent="0.25">
      <c r="A41" s="5">
        <f t="shared" si="1"/>
        <v>27</v>
      </c>
      <c r="B41" s="17" t="s">
        <v>584</v>
      </c>
      <c r="C41" s="5" t="s">
        <v>28</v>
      </c>
      <c r="D41" s="7"/>
    </row>
    <row r="42" spans="1:4" ht="18.75" customHeight="1" x14ac:dyDescent="0.25">
      <c r="A42" s="5">
        <f t="shared" si="1"/>
        <v>28</v>
      </c>
      <c r="B42" s="17" t="s">
        <v>585</v>
      </c>
      <c r="C42" s="5" t="s">
        <v>28</v>
      </c>
      <c r="D42" s="7"/>
    </row>
    <row r="43" spans="1:4" ht="18.75" customHeight="1" x14ac:dyDescent="0.25">
      <c r="A43" s="5">
        <f t="shared" si="1"/>
        <v>29</v>
      </c>
      <c r="B43" s="17" t="s">
        <v>31</v>
      </c>
      <c r="C43" s="5" t="s">
        <v>28</v>
      </c>
      <c r="D43" s="7"/>
    </row>
    <row r="44" spans="1:4" ht="18.75" customHeight="1" x14ac:dyDescent="0.25">
      <c r="A44" s="5">
        <f t="shared" si="1"/>
        <v>30</v>
      </c>
      <c r="B44" s="17" t="s">
        <v>32</v>
      </c>
      <c r="C44" s="5" t="s">
        <v>28</v>
      </c>
      <c r="D44" s="7"/>
    </row>
    <row r="45" spans="1:4" ht="18.75" customHeight="1" x14ac:dyDescent="0.25">
      <c r="A45" s="5">
        <f t="shared" si="1"/>
        <v>31</v>
      </c>
      <c r="B45" s="17" t="s">
        <v>33</v>
      </c>
      <c r="C45" s="5" t="s">
        <v>28</v>
      </c>
      <c r="D45" s="7"/>
    </row>
    <row r="46" spans="1:4" ht="18.75" customHeight="1" x14ac:dyDescent="0.25">
      <c r="A46" s="5">
        <f t="shared" si="1"/>
        <v>32</v>
      </c>
      <c r="B46" s="17" t="s">
        <v>34</v>
      </c>
      <c r="C46" s="5" t="s">
        <v>35</v>
      </c>
      <c r="D46" s="431"/>
    </row>
    <row r="47" spans="1:4" ht="18.75" customHeight="1" x14ac:dyDescent="0.25">
      <c r="A47" s="444">
        <f t="shared" si="1"/>
        <v>33</v>
      </c>
      <c r="B47" s="445" t="s">
        <v>36</v>
      </c>
      <c r="C47" s="444" t="s">
        <v>612</v>
      </c>
      <c r="D47" s="446">
        <v>28000</v>
      </c>
    </row>
    <row r="48" spans="1:4" ht="18.75" customHeight="1" x14ac:dyDescent="0.25">
      <c r="A48" s="444">
        <f t="shared" si="1"/>
        <v>34</v>
      </c>
      <c r="B48" s="445" t="s">
        <v>38</v>
      </c>
      <c r="C48" s="444" t="s">
        <v>14</v>
      </c>
      <c r="D48" s="446">
        <v>17000</v>
      </c>
    </row>
    <row r="49" spans="1:4" ht="18.75" customHeight="1" x14ac:dyDescent="0.25">
      <c r="A49" s="5">
        <f t="shared" si="1"/>
        <v>35</v>
      </c>
      <c r="B49" s="17" t="s">
        <v>569</v>
      </c>
      <c r="C49" s="5" t="s">
        <v>28</v>
      </c>
      <c r="D49" s="431"/>
    </row>
    <row r="50" spans="1:4" ht="18.75" customHeight="1" x14ac:dyDescent="0.25">
      <c r="A50" s="5">
        <f t="shared" si="1"/>
        <v>36</v>
      </c>
      <c r="B50" s="17" t="s">
        <v>570</v>
      </c>
      <c r="C50" s="5" t="s">
        <v>28</v>
      </c>
      <c r="D50" s="431"/>
    </row>
    <row r="51" spans="1:4" ht="18.75" customHeight="1" x14ac:dyDescent="0.25">
      <c r="A51" s="444">
        <f t="shared" si="1"/>
        <v>37</v>
      </c>
      <c r="B51" s="445" t="s">
        <v>39</v>
      </c>
      <c r="C51" s="444" t="s">
        <v>28</v>
      </c>
      <c r="D51" s="446">
        <v>9000</v>
      </c>
    </row>
    <row r="52" spans="1:4" ht="18.75" customHeight="1" x14ac:dyDescent="0.25">
      <c r="A52" s="444">
        <f t="shared" si="1"/>
        <v>38</v>
      </c>
      <c r="B52" s="445" t="s">
        <v>40</v>
      </c>
      <c r="C52" s="444" t="s">
        <v>20</v>
      </c>
      <c r="D52" s="446">
        <v>3500</v>
      </c>
    </row>
    <row r="53" spans="1:4" ht="18.75" customHeight="1" x14ac:dyDescent="0.25">
      <c r="A53" s="5">
        <f t="shared" si="1"/>
        <v>39</v>
      </c>
      <c r="B53" s="17" t="s">
        <v>41</v>
      </c>
      <c r="C53" s="5" t="s">
        <v>28</v>
      </c>
      <c r="D53" s="7"/>
    </row>
    <row r="54" spans="1:4" ht="18.75" customHeight="1" x14ac:dyDescent="0.25">
      <c r="A54" s="5">
        <f t="shared" si="1"/>
        <v>40</v>
      </c>
      <c r="B54" s="17" t="s">
        <v>568</v>
      </c>
      <c r="C54" s="5" t="s">
        <v>28</v>
      </c>
      <c r="D54" s="7"/>
    </row>
    <row r="55" spans="1:4" ht="18.75" customHeight="1" x14ac:dyDescent="0.25">
      <c r="A55" s="5">
        <f t="shared" si="1"/>
        <v>41</v>
      </c>
      <c r="B55" s="17" t="s">
        <v>42</v>
      </c>
      <c r="C55" s="5" t="s">
        <v>28</v>
      </c>
      <c r="D55" s="7"/>
    </row>
    <row r="56" spans="1:4" ht="18.75" customHeight="1" x14ac:dyDescent="0.25">
      <c r="A56" s="5">
        <f>A55+1</f>
        <v>42</v>
      </c>
      <c r="B56" s="17" t="s">
        <v>43</v>
      </c>
      <c r="C56" s="5" t="s">
        <v>28</v>
      </c>
      <c r="D56" s="7"/>
    </row>
    <row r="57" spans="1:4" ht="18.75" customHeight="1" x14ac:dyDescent="0.25">
      <c r="A57" s="5">
        <f t="shared" si="1"/>
        <v>43</v>
      </c>
      <c r="B57" s="17" t="s">
        <v>44</v>
      </c>
      <c r="C57" s="5" t="s">
        <v>28</v>
      </c>
      <c r="D57" s="7"/>
    </row>
    <row r="58" spans="1:4" ht="18.75" customHeight="1" x14ac:dyDescent="0.25">
      <c r="A58" s="5">
        <f t="shared" si="1"/>
        <v>44</v>
      </c>
      <c r="B58" s="17" t="s">
        <v>45</v>
      </c>
      <c r="C58" s="5" t="s">
        <v>46</v>
      </c>
      <c r="D58" s="7"/>
    </row>
    <row r="59" spans="1:4" ht="18.75" customHeight="1" x14ac:dyDescent="0.25">
      <c r="A59" s="5">
        <f t="shared" si="1"/>
        <v>45</v>
      </c>
      <c r="B59" s="17" t="s">
        <v>47</v>
      </c>
      <c r="C59" s="5" t="s">
        <v>14</v>
      </c>
      <c r="D59" s="7"/>
    </row>
    <row r="60" spans="1:4" ht="18.75" customHeight="1" x14ac:dyDescent="0.25">
      <c r="A60" s="5">
        <f t="shared" si="1"/>
        <v>46</v>
      </c>
      <c r="B60" s="17" t="s">
        <v>48</v>
      </c>
      <c r="C60" s="5" t="s">
        <v>46</v>
      </c>
      <c r="D60" s="7"/>
    </row>
    <row r="61" spans="1:4" ht="18.75" customHeight="1" x14ac:dyDescent="0.25">
      <c r="A61" s="5">
        <f t="shared" si="1"/>
        <v>47</v>
      </c>
      <c r="B61" s="17" t="s">
        <v>49</v>
      </c>
      <c r="C61" s="5" t="s">
        <v>28</v>
      </c>
      <c r="D61" s="7"/>
    </row>
    <row r="62" spans="1:4" ht="18.75" customHeight="1" x14ac:dyDescent="0.25">
      <c r="A62" s="5">
        <f t="shared" si="1"/>
        <v>48</v>
      </c>
      <c r="B62" s="17" t="s">
        <v>50</v>
      </c>
      <c r="C62" s="5" t="s">
        <v>28</v>
      </c>
      <c r="D62" s="7"/>
    </row>
    <row r="63" spans="1:4" ht="18.75" customHeight="1" x14ac:dyDescent="0.25">
      <c r="A63" s="5"/>
      <c r="B63" s="6"/>
      <c r="C63" s="5"/>
      <c r="D63" s="7"/>
    </row>
    <row r="64" spans="1:4" ht="18.75" customHeight="1" x14ac:dyDescent="0.25">
      <c r="A64" s="8"/>
      <c r="B64" s="9" t="s">
        <v>51</v>
      </c>
      <c r="C64" s="8"/>
      <c r="D64" s="10"/>
    </row>
    <row r="65" spans="1:4" ht="18.75" customHeight="1" x14ac:dyDescent="0.25">
      <c r="A65" s="444">
        <v>1</v>
      </c>
      <c r="B65" s="445" t="s">
        <v>53</v>
      </c>
      <c r="C65" s="444" t="s">
        <v>52</v>
      </c>
      <c r="D65" s="446">
        <v>375000</v>
      </c>
    </row>
    <row r="66" spans="1:4" ht="18.75" customHeight="1" x14ac:dyDescent="0.25">
      <c r="A66" s="444">
        <f>A65+1</f>
        <v>2</v>
      </c>
      <c r="B66" s="445" t="s">
        <v>54</v>
      </c>
      <c r="C66" s="444" t="s">
        <v>20</v>
      </c>
      <c r="D66" s="446">
        <v>3600</v>
      </c>
    </row>
    <row r="67" spans="1:4" ht="18.75" customHeight="1" x14ac:dyDescent="0.25">
      <c r="A67" s="444">
        <f t="shared" ref="A67:A127" si="2">A66+1</f>
        <v>3</v>
      </c>
      <c r="B67" s="445" t="s">
        <v>55</v>
      </c>
      <c r="C67" s="444" t="s">
        <v>20</v>
      </c>
      <c r="D67" s="446">
        <v>4000</v>
      </c>
    </row>
    <row r="68" spans="1:4" ht="18.75" customHeight="1" x14ac:dyDescent="0.25">
      <c r="A68" s="5">
        <f t="shared" si="2"/>
        <v>4</v>
      </c>
      <c r="B68" s="17" t="s">
        <v>56</v>
      </c>
      <c r="C68" s="5" t="s">
        <v>52</v>
      </c>
      <c r="D68" s="431"/>
    </row>
    <row r="69" spans="1:4" ht="18.75" customHeight="1" x14ac:dyDescent="0.25">
      <c r="A69" s="444">
        <f t="shared" si="2"/>
        <v>5</v>
      </c>
      <c r="B69" s="445" t="s">
        <v>586</v>
      </c>
      <c r="C69" s="444" t="s">
        <v>20</v>
      </c>
      <c r="D69" s="446">
        <v>3750</v>
      </c>
    </row>
    <row r="70" spans="1:4" ht="18.75" customHeight="1" x14ac:dyDescent="0.25">
      <c r="A70" s="444">
        <f t="shared" si="2"/>
        <v>6</v>
      </c>
      <c r="B70" s="445" t="s">
        <v>57</v>
      </c>
      <c r="C70" s="444" t="s">
        <v>58</v>
      </c>
      <c r="D70" s="446">
        <v>154000</v>
      </c>
    </row>
    <row r="71" spans="1:4" ht="18.75" customHeight="1" x14ac:dyDescent="0.25">
      <c r="A71" s="444">
        <f t="shared" si="2"/>
        <v>7</v>
      </c>
      <c r="B71" s="445" t="s">
        <v>59</v>
      </c>
      <c r="C71" s="444" t="s">
        <v>52</v>
      </c>
      <c r="D71" s="446">
        <v>310000</v>
      </c>
    </row>
    <row r="72" spans="1:4" ht="18.75" customHeight="1" x14ac:dyDescent="0.25">
      <c r="A72" s="444">
        <f t="shared" si="2"/>
        <v>8</v>
      </c>
      <c r="B72" s="445" t="s">
        <v>60</v>
      </c>
      <c r="C72" s="444" t="s">
        <v>61</v>
      </c>
      <c r="D72" s="446">
        <v>35400</v>
      </c>
    </row>
    <row r="73" spans="1:4" ht="18.75" customHeight="1" x14ac:dyDescent="0.25">
      <c r="A73" s="444">
        <f t="shared" si="2"/>
        <v>9</v>
      </c>
      <c r="B73" s="445" t="s">
        <v>1485</v>
      </c>
      <c r="C73" s="444" t="s">
        <v>52</v>
      </c>
      <c r="D73" s="446">
        <v>335000</v>
      </c>
    </row>
    <row r="74" spans="1:4" ht="18.75" customHeight="1" x14ac:dyDescent="0.25">
      <c r="A74" s="444">
        <f t="shared" si="2"/>
        <v>10</v>
      </c>
      <c r="B74" s="445" t="s">
        <v>1485</v>
      </c>
      <c r="C74" s="444" t="s">
        <v>62</v>
      </c>
      <c r="D74" s="446">
        <v>250</v>
      </c>
    </row>
    <row r="75" spans="1:4" ht="18.75" customHeight="1" x14ac:dyDescent="0.25">
      <c r="A75" s="444">
        <f t="shared" si="2"/>
        <v>11</v>
      </c>
      <c r="B75" s="445" t="s">
        <v>63</v>
      </c>
      <c r="C75" s="444" t="s">
        <v>52</v>
      </c>
      <c r="D75" s="446">
        <v>265000</v>
      </c>
    </row>
    <row r="76" spans="1:4" ht="18.75" customHeight="1" x14ac:dyDescent="0.25">
      <c r="A76" s="444">
        <f t="shared" si="2"/>
        <v>12</v>
      </c>
      <c r="B76" s="445" t="s">
        <v>64</v>
      </c>
      <c r="C76" s="444" t="s">
        <v>52</v>
      </c>
      <c r="D76" s="446">
        <v>125000</v>
      </c>
    </row>
    <row r="77" spans="1:4" ht="18.75" customHeight="1" x14ac:dyDescent="0.25">
      <c r="A77" s="444">
        <f t="shared" si="2"/>
        <v>13</v>
      </c>
      <c r="B77" s="445" t="s">
        <v>65</v>
      </c>
      <c r="C77" s="444" t="s">
        <v>61</v>
      </c>
      <c r="D77" s="446">
        <v>11500</v>
      </c>
    </row>
    <row r="78" spans="1:4" ht="18.75" customHeight="1" x14ac:dyDescent="0.25">
      <c r="A78" s="444">
        <f t="shared" si="2"/>
        <v>14</v>
      </c>
      <c r="B78" s="445" t="s">
        <v>67</v>
      </c>
      <c r="C78" s="444" t="s">
        <v>66</v>
      </c>
      <c r="D78" s="446">
        <v>22000</v>
      </c>
    </row>
    <row r="79" spans="1:4" ht="18.75" customHeight="1" x14ac:dyDescent="0.25">
      <c r="A79" s="5">
        <f t="shared" si="2"/>
        <v>15</v>
      </c>
      <c r="B79" s="17" t="s">
        <v>68</v>
      </c>
      <c r="C79" s="5" t="s">
        <v>66</v>
      </c>
      <c r="D79" s="431"/>
    </row>
    <row r="80" spans="1:4" ht="18.75" customHeight="1" x14ac:dyDescent="0.25">
      <c r="A80" s="5">
        <f t="shared" si="2"/>
        <v>16</v>
      </c>
      <c r="B80" s="17" t="s">
        <v>69</v>
      </c>
      <c r="C80" s="5" t="s">
        <v>66</v>
      </c>
      <c r="D80" s="431"/>
    </row>
    <row r="81" spans="1:4" ht="18.75" customHeight="1" x14ac:dyDescent="0.25">
      <c r="A81" s="444">
        <f t="shared" si="2"/>
        <v>17</v>
      </c>
      <c r="B81" s="445" t="s">
        <v>70</v>
      </c>
      <c r="C81" s="444" t="s">
        <v>58</v>
      </c>
      <c r="D81" s="446">
        <v>175000</v>
      </c>
    </row>
    <row r="82" spans="1:4" ht="18.75" customHeight="1" x14ac:dyDescent="0.25">
      <c r="A82" s="444">
        <f t="shared" si="2"/>
        <v>18</v>
      </c>
      <c r="B82" s="445" t="s">
        <v>71</v>
      </c>
      <c r="C82" s="444" t="s">
        <v>58</v>
      </c>
      <c r="D82" s="446">
        <v>225000</v>
      </c>
    </row>
    <row r="83" spans="1:4" ht="18.75" customHeight="1" x14ac:dyDescent="0.25">
      <c r="A83" s="5">
        <f t="shared" si="2"/>
        <v>19</v>
      </c>
      <c r="B83" s="17" t="s">
        <v>72</v>
      </c>
      <c r="C83" s="5" t="s">
        <v>58</v>
      </c>
      <c r="D83" s="7"/>
    </row>
    <row r="84" spans="1:4" ht="18.75" customHeight="1" x14ac:dyDescent="0.25">
      <c r="A84" s="5">
        <f t="shared" si="2"/>
        <v>20</v>
      </c>
      <c r="B84" s="17" t="s">
        <v>73</v>
      </c>
      <c r="C84" s="5" t="s">
        <v>66</v>
      </c>
      <c r="D84" s="7"/>
    </row>
    <row r="85" spans="1:4" ht="18.75" customHeight="1" x14ac:dyDescent="0.25">
      <c r="A85" s="444">
        <f t="shared" si="2"/>
        <v>21</v>
      </c>
      <c r="B85" s="445" t="s">
        <v>74</v>
      </c>
      <c r="C85" s="444" t="s">
        <v>66</v>
      </c>
      <c r="D85" s="446">
        <v>25000</v>
      </c>
    </row>
    <row r="86" spans="1:4" ht="18.75" customHeight="1" x14ac:dyDescent="0.25">
      <c r="A86" s="444">
        <f t="shared" si="2"/>
        <v>22</v>
      </c>
      <c r="B86" s="445" t="s">
        <v>75</v>
      </c>
      <c r="C86" s="444" t="s">
        <v>66</v>
      </c>
      <c r="D86" s="446">
        <v>20000</v>
      </c>
    </row>
    <row r="87" spans="1:4" ht="18.75" customHeight="1" x14ac:dyDescent="0.25">
      <c r="A87" s="444">
        <f t="shared" si="2"/>
        <v>23</v>
      </c>
      <c r="B87" s="445" t="s">
        <v>76</v>
      </c>
      <c r="C87" s="444" t="s">
        <v>66</v>
      </c>
      <c r="D87" s="446">
        <v>15000</v>
      </c>
    </row>
    <row r="88" spans="1:4" ht="18.75" customHeight="1" x14ac:dyDescent="0.25">
      <c r="A88" s="444">
        <f t="shared" si="2"/>
        <v>24</v>
      </c>
      <c r="B88" s="445" t="s">
        <v>77</v>
      </c>
      <c r="C88" s="444" t="s">
        <v>52</v>
      </c>
      <c r="D88" s="446">
        <v>230000</v>
      </c>
    </row>
    <row r="89" spans="1:4" ht="18.75" customHeight="1" x14ac:dyDescent="0.25">
      <c r="A89" s="444">
        <f t="shared" si="2"/>
        <v>25</v>
      </c>
      <c r="B89" s="445" t="s">
        <v>77</v>
      </c>
      <c r="C89" s="444" t="s">
        <v>62</v>
      </c>
      <c r="D89" s="446">
        <v>160</v>
      </c>
    </row>
    <row r="90" spans="1:4" ht="18.75" customHeight="1" x14ac:dyDescent="0.25">
      <c r="A90" s="444">
        <f t="shared" si="2"/>
        <v>26</v>
      </c>
      <c r="B90" s="445" t="s">
        <v>78</v>
      </c>
      <c r="C90" s="444" t="s">
        <v>52</v>
      </c>
      <c r="D90" s="446">
        <v>230000</v>
      </c>
    </row>
    <row r="91" spans="1:4" ht="18.75" customHeight="1" x14ac:dyDescent="0.25">
      <c r="A91" s="444">
        <f t="shared" si="2"/>
        <v>27</v>
      </c>
      <c r="B91" s="445" t="s">
        <v>79</v>
      </c>
      <c r="C91" s="444" t="s">
        <v>52</v>
      </c>
      <c r="D91" s="446">
        <v>182000</v>
      </c>
    </row>
    <row r="92" spans="1:4" ht="18.75" customHeight="1" x14ac:dyDescent="0.25">
      <c r="A92" s="444">
        <f t="shared" si="2"/>
        <v>28</v>
      </c>
      <c r="B92" s="445" t="s">
        <v>80</v>
      </c>
      <c r="C92" s="444" t="s">
        <v>52</v>
      </c>
      <c r="D92" s="446">
        <v>125000</v>
      </c>
    </row>
    <row r="93" spans="1:4" ht="18.75" customHeight="1" x14ac:dyDescent="0.25">
      <c r="A93" s="444">
        <f t="shared" si="2"/>
        <v>29</v>
      </c>
      <c r="B93" s="445" t="s">
        <v>81</v>
      </c>
      <c r="C93" s="444" t="s">
        <v>52</v>
      </c>
      <c r="D93" s="446">
        <v>207000</v>
      </c>
    </row>
    <row r="94" spans="1:4" ht="18.75" customHeight="1" x14ac:dyDescent="0.25">
      <c r="A94" s="444">
        <f t="shared" si="2"/>
        <v>30</v>
      </c>
      <c r="B94" s="445" t="s">
        <v>82</v>
      </c>
      <c r="C94" s="444" t="s">
        <v>52</v>
      </c>
      <c r="D94" s="446">
        <v>275000</v>
      </c>
    </row>
    <row r="95" spans="1:4" ht="18.75" customHeight="1" x14ac:dyDescent="0.25">
      <c r="A95" s="444">
        <f t="shared" si="2"/>
        <v>31</v>
      </c>
      <c r="B95" s="445" t="s">
        <v>83</v>
      </c>
      <c r="C95" s="444" t="s">
        <v>52</v>
      </c>
      <c r="D95" s="446">
        <v>400000</v>
      </c>
    </row>
    <row r="96" spans="1:4" ht="18.75" customHeight="1" x14ac:dyDescent="0.25">
      <c r="A96" s="444">
        <f t="shared" si="2"/>
        <v>32</v>
      </c>
      <c r="B96" s="445" t="s">
        <v>84</v>
      </c>
      <c r="C96" s="444" t="s">
        <v>52</v>
      </c>
      <c r="D96" s="446">
        <v>715000</v>
      </c>
    </row>
    <row r="97" spans="1:4" ht="18.75" customHeight="1" x14ac:dyDescent="0.25">
      <c r="A97" s="444">
        <f t="shared" si="2"/>
        <v>33</v>
      </c>
      <c r="B97" s="445" t="s">
        <v>85</v>
      </c>
      <c r="C97" s="444" t="s">
        <v>52</v>
      </c>
      <c r="D97" s="446">
        <v>275000</v>
      </c>
    </row>
    <row r="98" spans="1:4" ht="18.75" customHeight="1" x14ac:dyDescent="0.25">
      <c r="A98" s="444">
        <f t="shared" si="2"/>
        <v>34</v>
      </c>
      <c r="B98" s="445" t="s">
        <v>86</v>
      </c>
      <c r="C98" s="444" t="s">
        <v>58</v>
      </c>
      <c r="D98" s="446">
        <v>191000</v>
      </c>
    </row>
    <row r="99" spans="1:4" ht="18.75" customHeight="1" x14ac:dyDescent="0.25">
      <c r="A99" s="444">
        <f t="shared" si="2"/>
        <v>35</v>
      </c>
      <c r="B99" s="445" t="s">
        <v>87</v>
      </c>
      <c r="C99" s="444" t="s">
        <v>52</v>
      </c>
      <c r="D99" s="446">
        <v>115000</v>
      </c>
    </row>
    <row r="100" spans="1:4" ht="18.75" customHeight="1" x14ac:dyDescent="0.25">
      <c r="A100" s="444">
        <f t="shared" si="2"/>
        <v>36</v>
      </c>
      <c r="B100" s="445" t="s">
        <v>88</v>
      </c>
      <c r="C100" s="444" t="s">
        <v>52</v>
      </c>
      <c r="D100" s="446">
        <v>200000</v>
      </c>
    </row>
    <row r="101" spans="1:4" ht="18.75" customHeight="1" x14ac:dyDescent="0.25">
      <c r="A101" s="5">
        <f t="shared" si="2"/>
        <v>37</v>
      </c>
      <c r="B101" s="17" t="s">
        <v>89</v>
      </c>
      <c r="C101" s="5" t="s">
        <v>52</v>
      </c>
      <c r="D101" s="431"/>
    </row>
    <row r="102" spans="1:4" ht="18.75" customHeight="1" x14ac:dyDescent="0.25">
      <c r="A102" s="5">
        <f t="shared" si="2"/>
        <v>38</v>
      </c>
      <c r="B102" s="17" t="s">
        <v>90</v>
      </c>
      <c r="C102" s="5" t="s">
        <v>58</v>
      </c>
      <c r="D102" s="431"/>
    </row>
    <row r="103" spans="1:4" ht="18.75" customHeight="1" x14ac:dyDescent="0.25">
      <c r="A103" s="5">
        <f t="shared" si="2"/>
        <v>39</v>
      </c>
      <c r="B103" s="17" t="s">
        <v>91</v>
      </c>
      <c r="C103" s="5" t="s">
        <v>28</v>
      </c>
      <c r="D103" s="431"/>
    </row>
    <row r="104" spans="1:4" ht="18.75" customHeight="1" x14ac:dyDescent="0.25">
      <c r="A104" s="444">
        <f t="shared" si="2"/>
        <v>40</v>
      </c>
      <c r="B104" s="445" t="s">
        <v>92</v>
      </c>
      <c r="C104" s="444" t="s">
        <v>58</v>
      </c>
      <c r="D104" s="446">
        <v>505000</v>
      </c>
    </row>
    <row r="105" spans="1:4" ht="18.75" customHeight="1" x14ac:dyDescent="0.25">
      <c r="A105" s="5">
        <f t="shared" si="2"/>
        <v>41</v>
      </c>
      <c r="B105" s="17" t="s">
        <v>93</v>
      </c>
      <c r="C105" s="5" t="s">
        <v>28</v>
      </c>
      <c r="D105" s="7"/>
    </row>
    <row r="106" spans="1:4" ht="18.75" customHeight="1" x14ac:dyDescent="0.25">
      <c r="A106" s="5">
        <f t="shared" si="2"/>
        <v>42</v>
      </c>
      <c r="B106" s="17" t="s">
        <v>94</v>
      </c>
      <c r="C106" s="5" t="s">
        <v>28</v>
      </c>
      <c r="D106" s="7"/>
    </row>
    <row r="107" spans="1:4" ht="18.75" customHeight="1" x14ac:dyDescent="0.25">
      <c r="A107" s="5">
        <f t="shared" si="2"/>
        <v>43</v>
      </c>
      <c r="B107" s="17" t="s">
        <v>95</v>
      </c>
      <c r="C107" s="5" t="s">
        <v>28</v>
      </c>
      <c r="D107" s="7"/>
    </row>
    <row r="108" spans="1:4" ht="18.75" customHeight="1" x14ac:dyDescent="0.25">
      <c r="A108" s="5">
        <f t="shared" si="2"/>
        <v>44</v>
      </c>
      <c r="B108" s="17" t="s">
        <v>96</v>
      </c>
      <c r="C108" s="5" t="s">
        <v>28</v>
      </c>
      <c r="D108" s="7"/>
    </row>
    <row r="109" spans="1:4" ht="18.75" customHeight="1" x14ac:dyDescent="0.25">
      <c r="A109" s="5">
        <f t="shared" si="2"/>
        <v>45</v>
      </c>
      <c r="B109" s="17" t="s">
        <v>97</v>
      </c>
      <c r="C109" s="5" t="s">
        <v>28</v>
      </c>
      <c r="D109" s="7"/>
    </row>
    <row r="110" spans="1:4" ht="18.75" customHeight="1" x14ac:dyDescent="0.25">
      <c r="A110" s="5">
        <f t="shared" si="2"/>
        <v>46</v>
      </c>
      <c r="B110" s="17" t="s">
        <v>98</v>
      </c>
      <c r="C110" s="5" t="s">
        <v>28</v>
      </c>
      <c r="D110" s="7"/>
    </row>
    <row r="111" spans="1:4" ht="18.75" customHeight="1" x14ac:dyDescent="0.25">
      <c r="A111" s="5">
        <f t="shared" si="2"/>
        <v>47</v>
      </c>
      <c r="B111" s="17" t="s">
        <v>99</v>
      </c>
      <c r="C111" s="5" t="s">
        <v>14</v>
      </c>
      <c r="D111" s="7"/>
    </row>
    <row r="112" spans="1:4" ht="18.75" customHeight="1" x14ac:dyDescent="0.25">
      <c r="A112" s="5">
        <f t="shared" si="2"/>
        <v>48</v>
      </c>
      <c r="B112" s="17" t="s">
        <v>100</v>
      </c>
      <c r="C112" s="5" t="s">
        <v>14</v>
      </c>
      <c r="D112" s="7"/>
    </row>
    <row r="113" spans="1:4" ht="18.75" customHeight="1" x14ac:dyDescent="0.25">
      <c r="A113" s="5">
        <f t="shared" si="2"/>
        <v>49</v>
      </c>
      <c r="B113" s="17" t="s">
        <v>101</v>
      </c>
      <c r="C113" s="5" t="s">
        <v>14</v>
      </c>
      <c r="D113" s="7"/>
    </row>
    <row r="114" spans="1:4" ht="18.75" customHeight="1" x14ac:dyDescent="0.25">
      <c r="A114" s="5">
        <f t="shared" si="2"/>
        <v>50</v>
      </c>
      <c r="B114" s="17" t="s">
        <v>102</v>
      </c>
      <c r="C114" s="5" t="s">
        <v>14</v>
      </c>
      <c r="D114" s="7"/>
    </row>
    <row r="115" spans="1:4" ht="18.75" customHeight="1" x14ac:dyDescent="0.25">
      <c r="A115" s="5">
        <f t="shared" si="2"/>
        <v>51</v>
      </c>
      <c r="B115" s="17" t="s">
        <v>103</v>
      </c>
      <c r="C115" s="5" t="s">
        <v>28</v>
      </c>
      <c r="D115" s="7"/>
    </row>
    <row r="116" spans="1:4" ht="18.75" customHeight="1" x14ac:dyDescent="0.25">
      <c r="A116" s="5">
        <f t="shared" si="2"/>
        <v>52</v>
      </c>
      <c r="B116" s="17" t="s">
        <v>104</v>
      </c>
      <c r="C116" s="5" t="s">
        <v>28</v>
      </c>
      <c r="D116" s="7"/>
    </row>
    <row r="117" spans="1:4" ht="18.75" customHeight="1" x14ac:dyDescent="0.25">
      <c r="A117" s="5">
        <f t="shared" si="2"/>
        <v>53</v>
      </c>
      <c r="B117" s="17" t="s">
        <v>105</v>
      </c>
      <c r="C117" s="5" t="s">
        <v>28</v>
      </c>
      <c r="D117" s="7"/>
    </row>
    <row r="118" spans="1:4" ht="18.75" customHeight="1" x14ac:dyDescent="0.25">
      <c r="A118" s="5">
        <f t="shared" si="2"/>
        <v>54</v>
      </c>
      <c r="B118" s="17" t="s">
        <v>106</v>
      </c>
      <c r="C118" s="5" t="s">
        <v>28</v>
      </c>
      <c r="D118" s="7"/>
    </row>
    <row r="119" spans="1:4" ht="18.75" customHeight="1" x14ac:dyDescent="0.25">
      <c r="A119" s="5">
        <f t="shared" si="2"/>
        <v>55</v>
      </c>
      <c r="B119" s="17" t="s">
        <v>107</v>
      </c>
      <c r="C119" s="5" t="s">
        <v>28</v>
      </c>
      <c r="D119" s="7"/>
    </row>
    <row r="120" spans="1:4" ht="18.75" customHeight="1" x14ac:dyDescent="0.25">
      <c r="A120" s="5">
        <f t="shared" si="2"/>
        <v>56</v>
      </c>
      <c r="B120" s="17" t="s">
        <v>108</v>
      </c>
      <c r="C120" s="5" t="s">
        <v>109</v>
      </c>
      <c r="D120" s="7"/>
    </row>
    <row r="121" spans="1:4" ht="18.75" customHeight="1" x14ac:dyDescent="0.25">
      <c r="A121" s="5">
        <f t="shared" si="2"/>
        <v>57</v>
      </c>
      <c r="B121" s="17" t="s">
        <v>110</v>
      </c>
      <c r="C121" s="5" t="s">
        <v>109</v>
      </c>
      <c r="D121" s="7"/>
    </row>
    <row r="122" spans="1:4" ht="18.75" customHeight="1" x14ac:dyDescent="0.25">
      <c r="A122" s="5">
        <f t="shared" si="2"/>
        <v>58</v>
      </c>
      <c r="B122" s="17" t="s">
        <v>111</v>
      </c>
      <c r="C122" s="5" t="s">
        <v>109</v>
      </c>
      <c r="D122" s="7"/>
    </row>
    <row r="123" spans="1:4" ht="18.75" customHeight="1" x14ac:dyDescent="0.25">
      <c r="A123" s="5">
        <f t="shared" si="2"/>
        <v>59</v>
      </c>
      <c r="B123" s="17" t="s">
        <v>112</v>
      </c>
      <c r="C123" s="5" t="s">
        <v>109</v>
      </c>
      <c r="D123" s="7"/>
    </row>
    <row r="124" spans="1:4" ht="18.75" customHeight="1" x14ac:dyDescent="0.25">
      <c r="A124" s="5">
        <f t="shared" si="2"/>
        <v>60</v>
      </c>
      <c r="B124" s="17" t="s">
        <v>113</v>
      </c>
      <c r="C124" s="5" t="s">
        <v>109</v>
      </c>
      <c r="D124" s="7"/>
    </row>
    <row r="125" spans="1:4" ht="18.75" customHeight="1" x14ac:dyDescent="0.25">
      <c r="A125" s="5">
        <f t="shared" si="2"/>
        <v>61</v>
      </c>
      <c r="B125" s="17" t="s">
        <v>114</v>
      </c>
      <c r="C125" s="5" t="s">
        <v>109</v>
      </c>
      <c r="D125" s="7"/>
    </row>
    <row r="126" spans="1:4" ht="18.75" customHeight="1" x14ac:dyDescent="0.25">
      <c r="A126" s="5">
        <f t="shared" si="2"/>
        <v>62</v>
      </c>
      <c r="B126" s="17" t="s">
        <v>115</v>
      </c>
      <c r="C126" s="5" t="s">
        <v>28</v>
      </c>
      <c r="D126" s="7"/>
    </row>
    <row r="127" spans="1:4" ht="18.75" customHeight="1" x14ac:dyDescent="0.25">
      <c r="A127" s="5">
        <f t="shared" si="2"/>
        <v>63</v>
      </c>
      <c r="B127" s="17" t="s">
        <v>116</v>
      </c>
      <c r="C127" s="5" t="s">
        <v>28</v>
      </c>
      <c r="D127" s="7"/>
    </row>
    <row r="128" spans="1:4" ht="18.75" customHeight="1" x14ac:dyDescent="0.25">
      <c r="A128" s="5"/>
      <c r="B128" s="6"/>
      <c r="C128" s="5"/>
      <c r="D128" s="7"/>
    </row>
    <row r="129" spans="1:4" ht="18.75" customHeight="1" x14ac:dyDescent="0.25">
      <c r="A129" s="8"/>
      <c r="B129" s="9" t="s">
        <v>117</v>
      </c>
      <c r="C129" s="8"/>
      <c r="D129" s="10"/>
    </row>
    <row r="130" spans="1:4" ht="18.75" customHeight="1" x14ac:dyDescent="0.25">
      <c r="A130" s="444">
        <v>1</v>
      </c>
      <c r="B130" s="445" t="s">
        <v>118</v>
      </c>
      <c r="C130" s="444" t="s">
        <v>5</v>
      </c>
      <c r="D130" s="446">
        <v>225000</v>
      </c>
    </row>
    <row r="131" spans="1:4" ht="18.75" customHeight="1" x14ac:dyDescent="0.25">
      <c r="A131" s="444">
        <f>A130+1</f>
        <v>2</v>
      </c>
      <c r="B131" s="445" t="s">
        <v>119</v>
      </c>
      <c r="C131" s="444" t="s">
        <v>5</v>
      </c>
      <c r="D131" s="446">
        <v>25000</v>
      </c>
    </row>
    <row r="132" spans="1:4" ht="18.75" customHeight="1" x14ac:dyDescent="0.25">
      <c r="A132" s="444">
        <f t="shared" ref="A132:A169" si="3">A131+1</f>
        <v>3</v>
      </c>
      <c r="B132" s="445" t="s">
        <v>120</v>
      </c>
      <c r="C132" s="444" t="s">
        <v>5</v>
      </c>
      <c r="D132" s="446">
        <v>15000</v>
      </c>
    </row>
    <row r="133" spans="1:4" ht="18.75" customHeight="1" x14ac:dyDescent="0.25">
      <c r="A133" s="444">
        <f t="shared" si="3"/>
        <v>4</v>
      </c>
      <c r="B133" s="445" t="s">
        <v>587</v>
      </c>
      <c r="C133" s="444" t="s">
        <v>62</v>
      </c>
      <c r="D133" s="446">
        <v>11000</v>
      </c>
    </row>
    <row r="134" spans="1:4" ht="18.75" customHeight="1" x14ac:dyDescent="0.25">
      <c r="A134" s="444">
        <f t="shared" si="3"/>
        <v>5</v>
      </c>
      <c r="B134" s="445" t="s">
        <v>588</v>
      </c>
      <c r="C134" s="444" t="s">
        <v>5</v>
      </c>
      <c r="D134" s="446">
        <v>10000</v>
      </c>
    </row>
    <row r="135" spans="1:4" ht="18.75" customHeight="1" x14ac:dyDescent="0.25">
      <c r="A135" s="444">
        <f t="shared" si="3"/>
        <v>6</v>
      </c>
      <c r="B135" s="445" t="s">
        <v>121</v>
      </c>
      <c r="C135" s="444" t="s">
        <v>296</v>
      </c>
      <c r="D135" s="446">
        <v>72500</v>
      </c>
    </row>
    <row r="136" spans="1:4" ht="18.75" customHeight="1" x14ac:dyDescent="0.25">
      <c r="A136" s="444">
        <f t="shared" si="3"/>
        <v>7</v>
      </c>
      <c r="B136" s="445" t="s">
        <v>123</v>
      </c>
      <c r="C136" s="444" t="s">
        <v>5</v>
      </c>
      <c r="D136" s="446">
        <v>36400</v>
      </c>
    </row>
    <row r="137" spans="1:4" ht="18.75" customHeight="1" x14ac:dyDescent="0.25">
      <c r="A137" s="444">
        <f t="shared" si="3"/>
        <v>8</v>
      </c>
      <c r="B137" s="445" t="s">
        <v>124</v>
      </c>
      <c r="C137" s="444" t="s">
        <v>5</v>
      </c>
      <c r="D137" s="446">
        <v>12000</v>
      </c>
    </row>
    <row r="138" spans="1:4" ht="18.75" customHeight="1" x14ac:dyDescent="0.25">
      <c r="A138" s="444">
        <f t="shared" si="3"/>
        <v>9</v>
      </c>
      <c r="B138" s="445" t="s">
        <v>125</v>
      </c>
      <c r="C138" s="444" t="s">
        <v>5</v>
      </c>
      <c r="D138" s="446">
        <v>13000</v>
      </c>
    </row>
    <row r="139" spans="1:4" ht="18.75" customHeight="1" x14ac:dyDescent="0.25">
      <c r="A139" s="444">
        <f t="shared" si="3"/>
        <v>10</v>
      </c>
      <c r="B139" s="445" t="s">
        <v>126</v>
      </c>
      <c r="C139" s="444" t="s">
        <v>62</v>
      </c>
      <c r="D139" s="446">
        <v>11000</v>
      </c>
    </row>
    <row r="140" spans="1:4" ht="18.75" customHeight="1" x14ac:dyDescent="0.25">
      <c r="A140" s="444">
        <f t="shared" si="3"/>
        <v>11</v>
      </c>
      <c r="B140" s="445" t="s">
        <v>127</v>
      </c>
      <c r="C140" s="444" t="s">
        <v>62</v>
      </c>
      <c r="D140" s="446">
        <v>10500</v>
      </c>
    </row>
    <row r="141" spans="1:4" ht="18.75" customHeight="1" x14ac:dyDescent="0.25">
      <c r="A141" s="444">
        <f t="shared" si="3"/>
        <v>12</v>
      </c>
      <c r="B141" s="445" t="s">
        <v>130</v>
      </c>
      <c r="C141" s="444" t="s">
        <v>612</v>
      </c>
      <c r="D141" s="446">
        <v>46000</v>
      </c>
    </row>
    <row r="142" spans="1:4" ht="18.75" customHeight="1" x14ac:dyDescent="0.25">
      <c r="A142" s="444">
        <f t="shared" si="3"/>
        <v>13</v>
      </c>
      <c r="B142" s="445" t="s">
        <v>131</v>
      </c>
      <c r="C142" s="444" t="s">
        <v>14</v>
      </c>
      <c r="D142" s="446">
        <v>8000</v>
      </c>
    </row>
    <row r="143" spans="1:4" ht="18.75" customHeight="1" x14ac:dyDescent="0.25">
      <c r="A143" s="444">
        <f t="shared" si="3"/>
        <v>14</v>
      </c>
      <c r="B143" s="445" t="s">
        <v>132</v>
      </c>
      <c r="C143" s="444" t="s">
        <v>5</v>
      </c>
      <c r="D143" s="446">
        <v>23600</v>
      </c>
    </row>
    <row r="144" spans="1:4" ht="18.75" customHeight="1" x14ac:dyDescent="0.25">
      <c r="A144" s="444">
        <f t="shared" si="3"/>
        <v>15</v>
      </c>
      <c r="B144" s="445" t="s">
        <v>133</v>
      </c>
      <c r="C144" s="444" t="s">
        <v>28</v>
      </c>
      <c r="D144" s="446">
        <v>6000</v>
      </c>
    </row>
    <row r="145" spans="1:4" ht="18.75" customHeight="1" x14ac:dyDescent="0.25">
      <c r="A145" s="444">
        <f t="shared" si="3"/>
        <v>16</v>
      </c>
      <c r="B145" s="445" t="s">
        <v>134</v>
      </c>
      <c r="C145" s="444" t="s">
        <v>62</v>
      </c>
      <c r="D145" s="446">
        <v>16000</v>
      </c>
    </row>
    <row r="146" spans="1:4" ht="18.75" customHeight="1" x14ac:dyDescent="0.25">
      <c r="A146" s="444">
        <f t="shared" si="3"/>
        <v>17</v>
      </c>
      <c r="B146" s="445" t="s">
        <v>1512</v>
      </c>
      <c r="C146" s="444" t="s">
        <v>612</v>
      </c>
      <c r="D146" s="446">
        <v>45000</v>
      </c>
    </row>
    <row r="147" spans="1:4" ht="18.75" customHeight="1" x14ac:dyDescent="0.25">
      <c r="A147" s="5">
        <f t="shared" si="3"/>
        <v>18</v>
      </c>
      <c r="B147" s="17" t="s">
        <v>1513</v>
      </c>
      <c r="C147" s="5" t="s">
        <v>612</v>
      </c>
      <c r="D147" s="431"/>
    </row>
    <row r="148" spans="1:4" ht="18.75" customHeight="1" x14ac:dyDescent="0.25">
      <c r="A148" s="444">
        <f t="shared" si="3"/>
        <v>19</v>
      </c>
      <c r="B148" s="445" t="s">
        <v>135</v>
      </c>
      <c r="C148" s="444" t="s">
        <v>14</v>
      </c>
      <c r="D148" s="446">
        <v>53000</v>
      </c>
    </row>
    <row r="149" spans="1:4" ht="18.75" customHeight="1" x14ac:dyDescent="0.25">
      <c r="A149" s="444">
        <f t="shared" si="3"/>
        <v>20</v>
      </c>
      <c r="B149" s="445" t="s">
        <v>137</v>
      </c>
      <c r="C149" s="444" t="s">
        <v>14</v>
      </c>
      <c r="D149" s="446">
        <v>8500</v>
      </c>
    </row>
    <row r="150" spans="1:4" ht="18.75" customHeight="1" x14ac:dyDescent="0.25">
      <c r="A150" s="444">
        <f t="shared" si="3"/>
        <v>21</v>
      </c>
      <c r="B150" s="445" t="s">
        <v>138</v>
      </c>
      <c r="C150" s="444" t="s">
        <v>14</v>
      </c>
      <c r="D150" s="446">
        <v>31000</v>
      </c>
    </row>
    <row r="151" spans="1:4" ht="18.75" customHeight="1" x14ac:dyDescent="0.25">
      <c r="A151" s="444">
        <f t="shared" si="3"/>
        <v>22</v>
      </c>
      <c r="B151" s="445" t="s">
        <v>139</v>
      </c>
      <c r="C151" s="444" t="s">
        <v>58</v>
      </c>
      <c r="D151" s="446">
        <v>45000</v>
      </c>
    </row>
    <row r="152" spans="1:4" ht="18.75" customHeight="1" x14ac:dyDescent="0.25">
      <c r="A152" s="444">
        <f t="shared" si="3"/>
        <v>23</v>
      </c>
      <c r="B152" s="445" t="s">
        <v>140</v>
      </c>
      <c r="C152" s="444" t="s">
        <v>62</v>
      </c>
      <c r="D152" s="446">
        <v>15500</v>
      </c>
    </row>
    <row r="153" spans="1:4" ht="18.75" customHeight="1" x14ac:dyDescent="0.25">
      <c r="A153" s="444">
        <f t="shared" si="3"/>
        <v>24</v>
      </c>
      <c r="B153" s="445" t="s">
        <v>141</v>
      </c>
      <c r="C153" s="444" t="s">
        <v>58</v>
      </c>
      <c r="D153" s="446">
        <v>24000</v>
      </c>
    </row>
    <row r="154" spans="1:4" ht="18.75" customHeight="1" x14ac:dyDescent="0.25">
      <c r="A154" s="444">
        <f t="shared" si="3"/>
        <v>25</v>
      </c>
      <c r="B154" s="445" t="s">
        <v>142</v>
      </c>
      <c r="C154" s="444" t="s">
        <v>5</v>
      </c>
      <c r="D154" s="446">
        <v>38000</v>
      </c>
    </row>
    <row r="155" spans="1:4" ht="18.75" customHeight="1" x14ac:dyDescent="0.25">
      <c r="A155" s="444">
        <f t="shared" si="3"/>
        <v>26</v>
      </c>
      <c r="B155" s="445" t="s">
        <v>143</v>
      </c>
      <c r="C155" s="444" t="s">
        <v>5</v>
      </c>
      <c r="D155" s="446">
        <v>30000</v>
      </c>
    </row>
    <row r="156" spans="1:4" ht="18.75" customHeight="1" x14ac:dyDescent="0.25">
      <c r="A156" s="444">
        <f t="shared" si="3"/>
        <v>27</v>
      </c>
      <c r="B156" s="445" t="s">
        <v>144</v>
      </c>
      <c r="C156" s="444" t="s">
        <v>5</v>
      </c>
      <c r="D156" s="446">
        <v>15000</v>
      </c>
    </row>
    <row r="157" spans="1:4" ht="18.75" customHeight="1" x14ac:dyDescent="0.25">
      <c r="A157" s="444">
        <f t="shared" si="3"/>
        <v>28</v>
      </c>
      <c r="B157" s="445" t="s">
        <v>145</v>
      </c>
      <c r="C157" s="444" t="s">
        <v>58</v>
      </c>
      <c r="D157" s="446">
        <v>1190000</v>
      </c>
    </row>
    <row r="158" spans="1:4" ht="18.75" customHeight="1" x14ac:dyDescent="0.25">
      <c r="A158" s="444">
        <f t="shared" si="3"/>
        <v>29</v>
      </c>
      <c r="B158" s="445" t="s">
        <v>146</v>
      </c>
      <c r="C158" s="444" t="s">
        <v>147</v>
      </c>
      <c r="D158" s="446">
        <v>442000</v>
      </c>
    </row>
    <row r="159" spans="1:4" ht="18.75" customHeight="1" x14ac:dyDescent="0.25">
      <c r="A159" s="444">
        <f t="shared" si="3"/>
        <v>30</v>
      </c>
      <c r="B159" s="445" t="s">
        <v>148</v>
      </c>
      <c r="C159" s="444" t="s">
        <v>147</v>
      </c>
      <c r="D159" s="446">
        <v>11000</v>
      </c>
    </row>
    <row r="160" spans="1:4" ht="18.75" customHeight="1" x14ac:dyDescent="0.25">
      <c r="A160" s="444">
        <f t="shared" si="3"/>
        <v>31</v>
      </c>
      <c r="B160" s="445" t="s">
        <v>149</v>
      </c>
      <c r="C160" s="444" t="s">
        <v>147</v>
      </c>
      <c r="D160" s="446">
        <v>13000</v>
      </c>
    </row>
    <row r="161" spans="1:4" ht="18.75" customHeight="1" x14ac:dyDescent="0.25">
      <c r="A161" s="444">
        <f t="shared" si="3"/>
        <v>32</v>
      </c>
      <c r="B161" s="445" t="s">
        <v>150</v>
      </c>
      <c r="C161" s="444" t="s">
        <v>58</v>
      </c>
      <c r="D161" s="446">
        <v>133000</v>
      </c>
    </row>
    <row r="162" spans="1:4" ht="18.75" customHeight="1" x14ac:dyDescent="0.25">
      <c r="A162" s="444">
        <f t="shared" si="3"/>
        <v>33</v>
      </c>
      <c r="B162" s="445" t="s">
        <v>151</v>
      </c>
      <c r="C162" s="444" t="s">
        <v>613</v>
      </c>
      <c r="D162" s="446">
        <v>27000</v>
      </c>
    </row>
    <row r="163" spans="1:4" ht="18.75" customHeight="1" x14ac:dyDescent="0.25">
      <c r="A163" s="444">
        <f t="shared" si="3"/>
        <v>34</v>
      </c>
      <c r="B163" s="445" t="s">
        <v>153</v>
      </c>
      <c r="C163" s="444" t="s">
        <v>58</v>
      </c>
      <c r="D163" s="446">
        <v>690000</v>
      </c>
    </row>
    <row r="164" spans="1:4" ht="18.75" customHeight="1" x14ac:dyDescent="0.25">
      <c r="A164" s="444">
        <f t="shared" si="3"/>
        <v>35</v>
      </c>
      <c r="B164" s="445" t="s">
        <v>154</v>
      </c>
      <c r="C164" s="444" t="s">
        <v>58</v>
      </c>
      <c r="D164" s="446">
        <v>85000</v>
      </c>
    </row>
    <row r="165" spans="1:4" ht="18.75" customHeight="1" x14ac:dyDescent="0.25">
      <c r="A165" s="444">
        <f t="shared" si="3"/>
        <v>36</v>
      </c>
      <c r="B165" s="445" t="s">
        <v>156</v>
      </c>
      <c r="C165" s="444" t="s">
        <v>157</v>
      </c>
      <c r="D165" s="446">
        <v>42000</v>
      </c>
    </row>
    <row r="166" spans="1:4" ht="18.75" customHeight="1" x14ac:dyDescent="0.25">
      <c r="A166" s="444">
        <f t="shared" si="3"/>
        <v>37</v>
      </c>
      <c r="B166" s="445" t="s">
        <v>158</v>
      </c>
      <c r="C166" s="444" t="s">
        <v>157</v>
      </c>
      <c r="D166" s="446">
        <v>115000</v>
      </c>
    </row>
    <row r="167" spans="1:4" ht="18.75" customHeight="1" x14ac:dyDescent="0.25">
      <c r="A167" s="444">
        <f t="shared" si="3"/>
        <v>38</v>
      </c>
      <c r="B167" s="445" t="s">
        <v>159</v>
      </c>
      <c r="C167" s="444" t="s">
        <v>157</v>
      </c>
      <c r="D167" s="446">
        <v>141000</v>
      </c>
    </row>
    <row r="168" spans="1:4" ht="18.75" customHeight="1" x14ac:dyDescent="0.25">
      <c r="A168" s="444">
        <f t="shared" si="3"/>
        <v>39</v>
      </c>
      <c r="B168" s="445" t="s">
        <v>160</v>
      </c>
      <c r="C168" s="444" t="s">
        <v>14</v>
      </c>
      <c r="D168" s="446">
        <v>92000</v>
      </c>
    </row>
    <row r="169" spans="1:4" ht="18.75" customHeight="1" x14ac:dyDescent="0.25">
      <c r="A169" s="444">
        <f t="shared" si="3"/>
        <v>40</v>
      </c>
      <c r="B169" s="445" t="s">
        <v>161</v>
      </c>
      <c r="C169" s="444" t="s">
        <v>14</v>
      </c>
      <c r="D169" s="446">
        <v>70000</v>
      </c>
    </row>
    <row r="170" spans="1:4" ht="18.75" customHeight="1" x14ac:dyDescent="0.25">
      <c r="A170" s="5"/>
      <c r="B170" s="6"/>
      <c r="C170" s="5"/>
      <c r="D170" s="7"/>
    </row>
    <row r="171" spans="1:4" ht="18.75" customHeight="1" x14ac:dyDescent="0.25">
      <c r="A171" s="5"/>
      <c r="B171" s="6"/>
      <c r="C171" s="5"/>
      <c r="D171" s="7"/>
    </row>
    <row r="172" spans="1:4" ht="18.75" customHeight="1" x14ac:dyDescent="0.25">
      <c r="A172" s="8"/>
      <c r="B172" s="9" t="s">
        <v>162</v>
      </c>
      <c r="C172" s="8"/>
      <c r="D172" s="10"/>
    </row>
    <row r="173" spans="1:4" ht="18.75" customHeight="1" x14ac:dyDescent="0.25">
      <c r="A173" s="444">
        <v>1</v>
      </c>
      <c r="B173" s="445" t="s">
        <v>163</v>
      </c>
      <c r="C173" s="444" t="s">
        <v>20</v>
      </c>
      <c r="D173" s="446">
        <v>40000</v>
      </c>
    </row>
    <row r="174" spans="1:4" ht="18.75" customHeight="1" x14ac:dyDescent="0.25">
      <c r="A174" s="5">
        <v>2</v>
      </c>
      <c r="B174" s="17" t="s">
        <v>164</v>
      </c>
      <c r="C174" s="5" t="s">
        <v>20</v>
      </c>
      <c r="D174" s="431"/>
    </row>
    <row r="175" spans="1:4" ht="18.75" customHeight="1" x14ac:dyDescent="0.25">
      <c r="A175" s="5">
        <v>3</v>
      </c>
      <c r="B175" s="17" t="s">
        <v>165</v>
      </c>
      <c r="C175" s="5" t="s">
        <v>20</v>
      </c>
      <c r="D175" s="431"/>
    </row>
    <row r="176" spans="1:4" ht="18.75" customHeight="1" x14ac:dyDescent="0.25">
      <c r="A176" s="444">
        <v>4</v>
      </c>
      <c r="B176" s="445" t="s">
        <v>166</v>
      </c>
      <c r="C176" s="444" t="s">
        <v>20</v>
      </c>
      <c r="D176" s="446">
        <v>25000</v>
      </c>
    </row>
    <row r="177" spans="1:4" ht="18.75" customHeight="1" x14ac:dyDescent="0.25">
      <c r="A177" s="5">
        <v>5</v>
      </c>
      <c r="B177" s="17" t="s">
        <v>167</v>
      </c>
      <c r="C177" s="5" t="s">
        <v>20</v>
      </c>
      <c r="D177" s="431"/>
    </row>
    <row r="178" spans="1:4" ht="18.75" customHeight="1" x14ac:dyDescent="0.25">
      <c r="A178" s="5">
        <v>6</v>
      </c>
      <c r="B178" s="17" t="s">
        <v>168</v>
      </c>
      <c r="C178" s="5" t="s">
        <v>20</v>
      </c>
      <c r="D178" s="7"/>
    </row>
    <row r="179" spans="1:4" ht="18.75" customHeight="1" x14ac:dyDescent="0.25">
      <c r="A179" s="5">
        <v>7</v>
      </c>
      <c r="B179" s="17" t="s">
        <v>169</v>
      </c>
      <c r="C179" s="5" t="s">
        <v>20</v>
      </c>
      <c r="D179" s="7"/>
    </row>
    <row r="180" spans="1:4" ht="18.75" customHeight="1" x14ac:dyDescent="0.25">
      <c r="A180" s="5"/>
      <c r="B180" s="6"/>
      <c r="C180" s="5"/>
      <c r="D180" s="7"/>
    </row>
    <row r="181" spans="1:4" ht="18.75" customHeight="1" x14ac:dyDescent="0.25">
      <c r="A181" s="8"/>
      <c r="B181" s="9" t="s">
        <v>170</v>
      </c>
      <c r="C181" s="8"/>
      <c r="D181" s="10"/>
    </row>
    <row r="182" spans="1:4" ht="18.75" customHeight="1" x14ac:dyDescent="0.25">
      <c r="A182" s="444">
        <v>1</v>
      </c>
      <c r="B182" s="445" t="s">
        <v>171</v>
      </c>
      <c r="C182" s="444" t="s">
        <v>614</v>
      </c>
      <c r="D182" s="446">
        <v>5700</v>
      </c>
    </row>
    <row r="183" spans="1:4" ht="18.75" customHeight="1" x14ac:dyDescent="0.25">
      <c r="A183" s="444">
        <f>A182+1</f>
        <v>2</v>
      </c>
      <c r="B183" s="445" t="s">
        <v>592</v>
      </c>
      <c r="C183" s="444" t="s">
        <v>62</v>
      </c>
      <c r="D183" s="446">
        <v>81000</v>
      </c>
    </row>
    <row r="184" spans="1:4" ht="18.75" customHeight="1" x14ac:dyDescent="0.25">
      <c r="A184" s="444">
        <f t="shared" ref="A184:A213" si="4">A183+1</f>
        <v>3</v>
      </c>
      <c r="B184" s="445" t="s">
        <v>172</v>
      </c>
      <c r="C184" s="444" t="s">
        <v>5</v>
      </c>
      <c r="D184" s="446">
        <v>62000</v>
      </c>
    </row>
    <row r="185" spans="1:4" ht="18.75" customHeight="1" x14ac:dyDescent="0.25">
      <c r="A185" s="444">
        <f t="shared" si="4"/>
        <v>4</v>
      </c>
      <c r="B185" s="445" t="s">
        <v>173</v>
      </c>
      <c r="C185" s="444" t="s">
        <v>62</v>
      </c>
      <c r="D185" s="446">
        <v>61000</v>
      </c>
    </row>
    <row r="186" spans="1:4" ht="18.75" customHeight="1" x14ac:dyDescent="0.25">
      <c r="A186" s="444">
        <f t="shared" si="4"/>
        <v>5</v>
      </c>
      <c r="B186" s="445" t="s">
        <v>174</v>
      </c>
      <c r="C186" s="444" t="s">
        <v>5</v>
      </c>
      <c r="D186" s="446">
        <v>62000</v>
      </c>
    </row>
    <row r="187" spans="1:4" ht="18.75" customHeight="1" x14ac:dyDescent="0.25">
      <c r="A187" s="444">
        <f t="shared" si="4"/>
        <v>6</v>
      </c>
      <c r="B187" s="445" t="s">
        <v>589</v>
      </c>
      <c r="C187" s="444" t="s">
        <v>62</v>
      </c>
      <c r="D187" s="446">
        <v>81000</v>
      </c>
    </row>
    <row r="188" spans="1:4" ht="18.75" customHeight="1" x14ac:dyDescent="0.25">
      <c r="A188" s="444">
        <f t="shared" si="4"/>
        <v>7</v>
      </c>
      <c r="B188" s="445" t="s">
        <v>176</v>
      </c>
      <c r="C188" s="444" t="s">
        <v>62</v>
      </c>
      <c r="D188" s="446">
        <v>40000</v>
      </c>
    </row>
    <row r="189" spans="1:4" ht="18.75" customHeight="1" x14ac:dyDescent="0.25">
      <c r="A189" s="444">
        <f t="shared" si="4"/>
        <v>8</v>
      </c>
      <c r="B189" s="445" t="s">
        <v>177</v>
      </c>
      <c r="C189" s="444" t="s">
        <v>62</v>
      </c>
      <c r="D189" s="446">
        <v>21000</v>
      </c>
    </row>
    <row r="190" spans="1:4" ht="18.75" customHeight="1" x14ac:dyDescent="0.25">
      <c r="A190" s="444">
        <f t="shared" si="4"/>
        <v>9</v>
      </c>
      <c r="B190" s="445" t="s">
        <v>1669</v>
      </c>
      <c r="C190" s="444" t="s">
        <v>62</v>
      </c>
      <c r="D190" s="446">
        <v>40000</v>
      </c>
    </row>
    <row r="191" spans="1:4" ht="18.75" customHeight="1" x14ac:dyDescent="0.25">
      <c r="A191" s="444">
        <f t="shared" si="4"/>
        <v>10</v>
      </c>
      <c r="B191" s="445" t="s">
        <v>1667</v>
      </c>
      <c r="C191" s="444" t="s">
        <v>62</v>
      </c>
      <c r="D191" s="446">
        <v>70000</v>
      </c>
    </row>
    <row r="192" spans="1:4" ht="18.75" customHeight="1" x14ac:dyDescent="0.25">
      <c r="A192" s="444">
        <f t="shared" si="4"/>
        <v>11</v>
      </c>
      <c r="B192" s="445" t="s">
        <v>1693</v>
      </c>
      <c r="C192" s="444" t="s">
        <v>62</v>
      </c>
      <c r="D192" s="446">
        <v>115000</v>
      </c>
    </row>
    <row r="193" spans="1:4" ht="18.75" customHeight="1" x14ac:dyDescent="0.25">
      <c r="A193" s="444">
        <f t="shared" si="4"/>
        <v>12</v>
      </c>
      <c r="B193" s="445" t="s">
        <v>178</v>
      </c>
      <c r="C193" s="444" t="s">
        <v>62</v>
      </c>
      <c r="D193" s="446">
        <v>45000</v>
      </c>
    </row>
    <row r="194" spans="1:4" ht="18.75" customHeight="1" x14ac:dyDescent="0.25">
      <c r="A194" s="444">
        <f t="shared" si="4"/>
        <v>13</v>
      </c>
      <c r="B194" s="445" t="s">
        <v>175</v>
      </c>
      <c r="C194" s="444" t="s">
        <v>62</v>
      </c>
      <c r="D194" s="446">
        <v>82000</v>
      </c>
    </row>
    <row r="195" spans="1:4" ht="18.75" customHeight="1" x14ac:dyDescent="0.25">
      <c r="A195" s="444">
        <f t="shared" si="4"/>
        <v>14</v>
      </c>
      <c r="B195" s="445" t="s">
        <v>590</v>
      </c>
      <c r="C195" s="444" t="s">
        <v>7</v>
      </c>
      <c r="D195" s="446">
        <v>48000</v>
      </c>
    </row>
    <row r="196" spans="1:4" ht="18.75" customHeight="1" x14ac:dyDescent="0.25">
      <c r="A196" s="444">
        <f t="shared" si="4"/>
        <v>15</v>
      </c>
      <c r="B196" s="445" t="s">
        <v>179</v>
      </c>
      <c r="C196" s="444" t="s">
        <v>28</v>
      </c>
      <c r="D196" s="446">
        <v>15000</v>
      </c>
    </row>
    <row r="197" spans="1:4" ht="18.75" customHeight="1" x14ac:dyDescent="0.25">
      <c r="A197" s="444">
        <f t="shared" si="4"/>
        <v>16</v>
      </c>
      <c r="B197" s="445" t="s">
        <v>180</v>
      </c>
      <c r="C197" s="444" t="s">
        <v>5</v>
      </c>
      <c r="D197" s="446">
        <v>45000</v>
      </c>
    </row>
    <row r="198" spans="1:4" ht="18.75" customHeight="1" x14ac:dyDescent="0.25">
      <c r="A198" s="444">
        <f t="shared" si="4"/>
        <v>17</v>
      </c>
      <c r="B198" s="445" t="s">
        <v>1622</v>
      </c>
      <c r="C198" s="444" t="s">
        <v>5</v>
      </c>
      <c r="D198" s="446">
        <v>15000</v>
      </c>
    </row>
    <row r="199" spans="1:4" ht="18.75" customHeight="1" x14ac:dyDescent="0.25">
      <c r="A199" s="444">
        <f t="shared" si="4"/>
        <v>18</v>
      </c>
      <c r="B199" s="445" t="s">
        <v>181</v>
      </c>
      <c r="C199" s="444" t="s">
        <v>5</v>
      </c>
      <c r="D199" s="446">
        <v>31000</v>
      </c>
    </row>
    <row r="200" spans="1:4" ht="18.75" customHeight="1" x14ac:dyDescent="0.25">
      <c r="A200" s="444">
        <f t="shared" si="4"/>
        <v>19</v>
      </c>
      <c r="B200" s="445" t="s">
        <v>182</v>
      </c>
      <c r="C200" s="444" t="s">
        <v>62</v>
      </c>
      <c r="D200" s="446">
        <v>45000</v>
      </c>
    </row>
    <row r="201" spans="1:4" ht="18.75" customHeight="1" x14ac:dyDescent="0.25">
      <c r="A201" s="444">
        <f t="shared" si="4"/>
        <v>20</v>
      </c>
      <c r="B201" s="445" t="s">
        <v>183</v>
      </c>
      <c r="C201" s="444" t="s">
        <v>62</v>
      </c>
      <c r="D201" s="446">
        <v>20000</v>
      </c>
    </row>
    <row r="202" spans="1:4" ht="18.75" customHeight="1" x14ac:dyDescent="0.25">
      <c r="A202" s="444">
        <f t="shared" si="4"/>
        <v>21</v>
      </c>
      <c r="B202" s="445" t="s">
        <v>1662</v>
      </c>
      <c r="C202" s="444" t="s">
        <v>7</v>
      </c>
      <c r="D202" s="446">
        <v>50000</v>
      </c>
    </row>
    <row r="203" spans="1:4" ht="18.75" customHeight="1" x14ac:dyDescent="0.25">
      <c r="A203" s="444">
        <f t="shared" si="4"/>
        <v>22</v>
      </c>
      <c r="B203" s="445" t="s">
        <v>1663</v>
      </c>
      <c r="C203" s="444" t="s">
        <v>7</v>
      </c>
      <c r="D203" s="446">
        <v>67000</v>
      </c>
    </row>
    <row r="204" spans="1:4" ht="18.75" customHeight="1" x14ac:dyDescent="0.25">
      <c r="A204" s="444">
        <f t="shared" si="4"/>
        <v>23</v>
      </c>
      <c r="B204" s="445" t="s">
        <v>184</v>
      </c>
      <c r="C204" s="444" t="s">
        <v>7</v>
      </c>
      <c r="D204" s="446">
        <v>40000</v>
      </c>
    </row>
    <row r="205" spans="1:4" ht="18.75" customHeight="1" x14ac:dyDescent="0.25">
      <c r="A205" s="444">
        <f t="shared" si="4"/>
        <v>24</v>
      </c>
      <c r="B205" s="445" t="s">
        <v>185</v>
      </c>
      <c r="C205" s="444" t="s">
        <v>62</v>
      </c>
      <c r="D205" s="446">
        <v>59000</v>
      </c>
    </row>
    <row r="206" spans="1:4" ht="18.75" customHeight="1" x14ac:dyDescent="0.25">
      <c r="A206" s="444">
        <f t="shared" si="4"/>
        <v>25</v>
      </c>
      <c r="B206" s="445" t="s">
        <v>186</v>
      </c>
      <c r="C206" s="444" t="s">
        <v>7</v>
      </c>
      <c r="D206" s="446">
        <v>68000</v>
      </c>
    </row>
    <row r="207" spans="1:4" ht="18.75" customHeight="1" x14ac:dyDescent="0.25">
      <c r="A207" s="444">
        <f t="shared" si="4"/>
        <v>26</v>
      </c>
      <c r="B207" s="445" t="s">
        <v>187</v>
      </c>
      <c r="C207" s="444" t="s">
        <v>62</v>
      </c>
      <c r="D207" s="446">
        <v>67000</v>
      </c>
    </row>
    <row r="208" spans="1:4" ht="18.75" customHeight="1" x14ac:dyDescent="0.25">
      <c r="A208" s="444">
        <f t="shared" si="4"/>
        <v>27</v>
      </c>
      <c r="B208" s="445" t="s">
        <v>188</v>
      </c>
      <c r="C208" s="444" t="s">
        <v>7</v>
      </c>
      <c r="D208" s="446">
        <v>60000</v>
      </c>
    </row>
    <row r="209" spans="1:4" ht="18.75" customHeight="1" x14ac:dyDescent="0.25">
      <c r="A209" s="444">
        <f t="shared" si="4"/>
        <v>28</v>
      </c>
      <c r="B209" s="445" t="s">
        <v>189</v>
      </c>
      <c r="C209" s="444" t="s">
        <v>62</v>
      </c>
      <c r="D209" s="446">
        <v>17000</v>
      </c>
    </row>
    <row r="210" spans="1:4" ht="18.75" customHeight="1" x14ac:dyDescent="0.25">
      <c r="A210" s="444">
        <f t="shared" si="4"/>
        <v>29</v>
      </c>
      <c r="B210" s="445" t="s">
        <v>190</v>
      </c>
      <c r="C210" s="444" t="s">
        <v>62</v>
      </c>
      <c r="D210" s="446">
        <v>21000</v>
      </c>
    </row>
    <row r="211" spans="1:4" ht="18.75" customHeight="1" x14ac:dyDescent="0.25">
      <c r="A211" s="444">
        <f t="shared" si="4"/>
        <v>30</v>
      </c>
      <c r="B211" s="445" t="s">
        <v>191</v>
      </c>
      <c r="C211" s="444" t="s">
        <v>62</v>
      </c>
      <c r="D211" s="446">
        <v>17000</v>
      </c>
    </row>
    <row r="212" spans="1:4" ht="18.75" customHeight="1" x14ac:dyDescent="0.25">
      <c r="A212" s="444">
        <f t="shared" si="4"/>
        <v>31</v>
      </c>
      <c r="B212" s="445" t="s">
        <v>192</v>
      </c>
      <c r="C212" s="444" t="s">
        <v>614</v>
      </c>
      <c r="D212" s="446">
        <v>17000</v>
      </c>
    </row>
    <row r="213" spans="1:4" ht="18.75" customHeight="1" x14ac:dyDescent="0.25">
      <c r="A213" s="444">
        <f t="shared" si="4"/>
        <v>32</v>
      </c>
      <c r="B213" s="445" t="s">
        <v>193</v>
      </c>
      <c r="C213" s="444" t="s">
        <v>62</v>
      </c>
      <c r="D213" s="446">
        <v>11000</v>
      </c>
    </row>
    <row r="214" spans="1:4" ht="18.75" customHeight="1" x14ac:dyDescent="0.25">
      <c r="A214" s="5"/>
      <c r="B214" s="6"/>
      <c r="C214" s="5"/>
      <c r="D214" s="7"/>
    </row>
    <row r="215" spans="1:4" ht="18.75" customHeight="1" x14ac:dyDescent="0.25">
      <c r="A215" s="8"/>
      <c r="B215" s="9" t="s">
        <v>194</v>
      </c>
      <c r="C215" s="8"/>
      <c r="D215" s="10"/>
    </row>
    <row r="216" spans="1:4" ht="18.75" customHeight="1" x14ac:dyDescent="0.25">
      <c r="A216" s="444">
        <v>1</v>
      </c>
      <c r="B216" s="445" t="s">
        <v>593</v>
      </c>
      <c r="C216" s="444" t="s">
        <v>195</v>
      </c>
      <c r="D216" s="446">
        <v>41000</v>
      </c>
    </row>
    <row r="217" spans="1:4" ht="18.75" customHeight="1" x14ac:dyDescent="0.25">
      <c r="A217" s="5">
        <v>3</v>
      </c>
      <c r="B217" s="17" t="s">
        <v>196</v>
      </c>
      <c r="C217" s="5" t="s">
        <v>28</v>
      </c>
      <c r="D217" s="431"/>
    </row>
    <row r="218" spans="1:4" ht="18.75" customHeight="1" x14ac:dyDescent="0.25">
      <c r="A218" s="5">
        <v>4</v>
      </c>
      <c r="B218" s="17" t="s">
        <v>197</v>
      </c>
      <c r="C218" s="5" t="s">
        <v>58</v>
      </c>
      <c r="D218" s="431"/>
    </row>
    <row r="219" spans="1:4" ht="18.75" customHeight="1" x14ac:dyDescent="0.25">
      <c r="A219" s="444">
        <v>5</v>
      </c>
      <c r="B219" s="445" t="s">
        <v>198</v>
      </c>
      <c r="C219" s="444" t="s">
        <v>58</v>
      </c>
      <c r="D219" s="446">
        <v>100000</v>
      </c>
    </row>
    <row r="220" spans="1:4" ht="18.75" customHeight="1" x14ac:dyDescent="0.25">
      <c r="A220" s="444">
        <v>6</v>
      </c>
      <c r="B220" s="445" t="s">
        <v>199</v>
      </c>
      <c r="C220" s="444" t="s">
        <v>58</v>
      </c>
      <c r="D220" s="446">
        <v>165000</v>
      </c>
    </row>
    <row r="221" spans="1:4" ht="18.75" customHeight="1" x14ac:dyDescent="0.25">
      <c r="A221" s="5">
        <v>7</v>
      </c>
      <c r="B221" s="17" t="s">
        <v>200</v>
      </c>
      <c r="C221" s="5" t="s">
        <v>58</v>
      </c>
      <c r="D221" s="431"/>
    </row>
    <row r="222" spans="1:4" ht="18.75" customHeight="1" x14ac:dyDescent="0.25">
      <c r="A222" s="444">
        <v>8</v>
      </c>
      <c r="B222" s="445" t="s">
        <v>201</v>
      </c>
      <c r="C222" s="444" t="s">
        <v>58</v>
      </c>
      <c r="D222" s="447">
        <v>334000</v>
      </c>
    </row>
    <row r="223" spans="1:4" ht="18.75" customHeight="1" x14ac:dyDescent="0.25">
      <c r="A223" s="5">
        <v>9</v>
      </c>
      <c r="B223" s="17" t="s">
        <v>202</v>
      </c>
      <c r="C223" s="5" t="s">
        <v>58</v>
      </c>
      <c r="D223" s="431"/>
    </row>
    <row r="224" spans="1:4" ht="18.75" customHeight="1" x14ac:dyDescent="0.25">
      <c r="A224" s="444">
        <v>10</v>
      </c>
      <c r="B224" s="445" t="s">
        <v>203</v>
      </c>
      <c r="C224" s="444" t="s">
        <v>58</v>
      </c>
      <c r="D224" s="446">
        <v>350000</v>
      </c>
    </row>
    <row r="225" spans="1:4" ht="18.75" customHeight="1" x14ac:dyDescent="0.25">
      <c r="A225" s="5">
        <v>11</v>
      </c>
      <c r="B225" s="17" t="s">
        <v>204</v>
      </c>
      <c r="C225" s="5" t="s">
        <v>58</v>
      </c>
      <c r="D225" s="431"/>
    </row>
    <row r="226" spans="1:4" ht="18.75" customHeight="1" x14ac:dyDescent="0.25">
      <c r="A226" s="444">
        <v>12</v>
      </c>
      <c r="B226" s="445" t="s">
        <v>205</v>
      </c>
      <c r="C226" s="444" t="s">
        <v>58</v>
      </c>
      <c r="D226" s="447">
        <v>315000</v>
      </c>
    </row>
    <row r="227" spans="1:4" ht="18.75" customHeight="1" x14ac:dyDescent="0.25">
      <c r="A227" s="444">
        <v>13</v>
      </c>
      <c r="B227" s="445" t="s">
        <v>594</v>
      </c>
      <c r="C227" s="444" t="s">
        <v>58</v>
      </c>
      <c r="D227" s="447">
        <v>338000</v>
      </c>
    </row>
    <row r="228" spans="1:4" ht="18.75" customHeight="1" x14ac:dyDescent="0.25">
      <c r="A228" s="5">
        <v>14</v>
      </c>
      <c r="B228" s="17" t="s">
        <v>206</v>
      </c>
      <c r="C228" s="5" t="s">
        <v>58</v>
      </c>
      <c r="D228" s="431"/>
    </row>
    <row r="229" spans="1:4" ht="18.75" customHeight="1" x14ac:dyDescent="0.25">
      <c r="A229" s="5">
        <v>15</v>
      </c>
      <c r="B229" s="17" t="s">
        <v>207</v>
      </c>
      <c r="C229" s="5" t="s">
        <v>58</v>
      </c>
      <c r="D229" s="431"/>
    </row>
    <row r="230" spans="1:4" ht="18.75" customHeight="1" x14ac:dyDescent="0.25">
      <c r="A230" s="5">
        <v>16</v>
      </c>
      <c r="B230" s="17" t="s">
        <v>208</v>
      </c>
      <c r="C230" s="5" t="s">
        <v>58</v>
      </c>
      <c r="D230" s="431"/>
    </row>
    <row r="231" spans="1:4" ht="18.75" customHeight="1" x14ac:dyDescent="0.25">
      <c r="A231" s="5">
        <v>17</v>
      </c>
      <c r="B231" s="17" t="s">
        <v>209</v>
      </c>
      <c r="C231" s="5" t="s">
        <v>58</v>
      </c>
      <c r="D231" s="431"/>
    </row>
    <row r="232" spans="1:4" ht="18.75" customHeight="1" x14ac:dyDescent="0.25">
      <c r="A232" s="444">
        <v>18</v>
      </c>
      <c r="B232" s="445" t="s">
        <v>210</v>
      </c>
      <c r="C232" s="444" t="s">
        <v>58</v>
      </c>
      <c r="D232" s="446">
        <v>120000</v>
      </c>
    </row>
    <row r="233" spans="1:4" ht="18.75" customHeight="1" x14ac:dyDescent="0.25">
      <c r="A233" s="444">
        <v>20</v>
      </c>
      <c r="B233" s="445" t="s">
        <v>1510</v>
      </c>
      <c r="C233" s="444" t="s">
        <v>58</v>
      </c>
      <c r="D233" s="446">
        <v>330000</v>
      </c>
    </row>
    <row r="234" spans="1:4" ht="18.75" customHeight="1" x14ac:dyDescent="0.25">
      <c r="A234" s="444">
        <v>21</v>
      </c>
      <c r="B234" s="445" t="s">
        <v>211</v>
      </c>
      <c r="C234" s="444" t="s">
        <v>58</v>
      </c>
      <c r="D234" s="446">
        <v>80000</v>
      </c>
    </row>
    <row r="235" spans="1:4" ht="18.75" customHeight="1" x14ac:dyDescent="0.25">
      <c r="A235" s="444">
        <v>22</v>
      </c>
      <c r="B235" s="445" t="s">
        <v>212</v>
      </c>
      <c r="C235" s="444" t="s">
        <v>62</v>
      </c>
      <c r="D235" s="446">
        <v>55000</v>
      </c>
    </row>
    <row r="236" spans="1:4" ht="18.75" customHeight="1" x14ac:dyDescent="0.25">
      <c r="A236" s="5"/>
      <c r="B236" s="6"/>
      <c r="C236" s="5"/>
      <c r="D236" s="7"/>
    </row>
    <row r="237" spans="1:4" ht="18.75" customHeight="1" x14ac:dyDescent="0.25">
      <c r="A237" s="8"/>
      <c r="B237" s="9" t="s">
        <v>213</v>
      </c>
      <c r="C237" s="8"/>
      <c r="D237" s="10"/>
    </row>
    <row r="238" spans="1:4" ht="18.75" customHeight="1" x14ac:dyDescent="0.25">
      <c r="A238" s="444">
        <v>1</v>
      </c>
      <c r="B238" s="445" t="s">
        <v>214</v>
      </c>
      <c r="C238" s="444" t="s">
        <v>612</v>
      </c>
      <c r="D238" s="446">
        <v>20000</v>
      </c>
    </row>
    <row r="239" spans="1:4" ht="18.75" customHeight="1" x14ac:dyDescent="0.25">
      <c r="A239" s="444">
        <f>A238+1</f>
        <v>2</v>
      </c>
      <c r="B239" s="445" t="s">
        <v>215</v>
      </c>
      <c r="C239" s="444" t="s">
        <v>58</v>
      </c>
      <c r="D239" s="446">
        <v>11000</v>
      </c>
    </row>
    <row r="240" spans="1:4" ht="18.75" customHeight="1" x14ac:dyDescent="0.25">
      <c r="A240" s="444">
        <f>A239+1</f>
        <v>3</v>
      </c>
      <c r="B240" s="445" t="s">
        <v>595</v>
      </c>
      <c r="C240" s="444" t="s">
        <v>58</v>
      </c>
      <c r="D240" s="446">
        <v>50000</v>
      </c>
    </row>
    <row r="241" spans="1:4" ht="18.75" customHeight="1" x14ac:dyDescent="0.25">
      <c r="A241" s="444">
        <f t="shared" ref="A241:A279" si="5">A240+1</f>
        <v>4</v>
      </c>
      <c r="B241" s="445" t="s">
        <v>1469</v>
      </c>
      <c r="C241" s="444" t="s">
        <v>52</v>
      </c>
      <c r="D241" s="446">
        <v>3900000</v>
      </c>
    </row>
    <row r="242" spans="1:4" ht="18.75" customHeight="1" x14ac:dyDescent="0.25">
      <c r="A242" s="5">
        <f t="shared" si="5"/>
        <v>5</v>
      </c>
      <c r="B242" s="17" t="s">
        <v>216</v>
      </c>
      <c r="C242" s="5" t="s">
        <v>52</v>
      </c>
      <c r="D242" s="431"/>
    </row>
    <row r="243" spans="1:4" ht="18.75" customHeight="1" x14ac:dyDescent="0.25">
      <c r="A243" s="5">
        <f t="shared" si="5"/>
        <v>6</v>
      </c>
      <c r="B243" s="17" t="s">
        <v>217</v>
      </c>
      <c r="C243" s="5" t="s">
        <v>52</v>
      </c>
      <c r="D243" s="431"/>
    </row>
    <row r="244" spans="1:4" ht="18.75" customHeight="1" x14ac:dyDescent="0.25">
      <c r="A244" s="444">
        <f t="shared" si="5"/>
        <v>7</v>
      </c>
      <c r="B244" s="445" t="s">
        <v>218</v>
      </c>
      <c r="C244" s="444" t="s">
        <v>612</v>
      </c>
      <c r="D244" s="446">
        <v>34500</v>
      </c>
    </row>
    <row r="245" spans="1:4" ht="18.75" customHeight="1" x14ac:dyDescent="0.25">
      <c r="A245" s="444">
        <f t="shared" si="5"/>
        <v>8</v>
      </c>
      <c r="B245" s="445" t="s">
        <v>219</v>
      </c>
      <c r="C245" s="444" t="s">
        <v>52</v>
      </c>
      <c r="D245" s="446">
        <v>33850000</v>
      </c>
    </row>
    <row r="246" spans="1:4" ht="18.75" customHeight="1" x14ac:dyDescent="0.25">
      <c r="A246" s="444">
        <f t="shared" si="5"/>
        <v>9</v>
      </c>
      <c r="B246" s="445" t="s">
        <v>220</v>
      </c>
      <c r="C246" s="444" t="s">
        <v>52</v>
      </c>
      <c r="D246" s="446">
        <v>39500000</v>
      </c>
    </row>
    <row r="247" spans="1:4" ht="18.75" customHeight="1" x14ac:dyDescent="0.25">
      <c r="A247" s="5">
        <f t="shared" si="5"/>
        <v>10</v>
      </c>
      <c r="B247" s="17" t="s">
        <v>221</v>
      </c>
      <c r="C247" s="5" t="s">
        <v>52</v>
      </c>
      <c r="D247" s="431"/>
    </row>
    <row r="248" spans="1:4" ht="18.75" customHeight="1" x14ac:dyDescent="0.25">
      <c r="A248" s="444">
        <f t="shared" si="5"/>
        <v>11</v>
      </c>
      <c r="B248" s="445" t="s">
        <v>222</v>
      </c>
      <c r="C248" s="444" t="s">
        <v>52</v>
      </c>
      <c r="D248" s="446">
        <v>12850000</v>
      </c>
    </row>
    <row r="249" spans="1:4" ht="18.75" customHeight="1" x14ac:dyDescent="0.25">
      <c r="A249" s="5">
        <f t="shared" si="5"/>
        <v>12</v>
      </c>
      <c r="B249" s="17" t="s">
        <v>223</v>
      </c>
      <c r="C249" s="5" t="s">
        <v>52</v>
      </c>
      <c r="D249" s="431"/>
    </row>
    <row r="250" spans="1:4" ht="18.75" customHeight="1" x14ac:dyDescent="0.25">
      <c r="A250" s="444">
        <f t="shared" si="5"/>
        <v>13</v>
      </c>
      <c r="B250" s="445" t="s">
        <v>224</v>
      </c>
      <c r="C250" s="444" t="s">
        <v>52</v>
      </c>
      <c r="D250" s="446">
        <v>10720000</v>
      </c>
    </row>
    <row r="251" spans="1:4" ht="18.75" customHeight="1" x14ac:dyDescent="0.25">
      <c r="A251" s="444">
        <f t="shared" si="5"/>
        <v>14</v>
      </c>
      <c r="B251" s="445" t="s">
        <v>225</v>
      </c>
      <c r="C251" s="444" t="s">
        <v>52</v>
      </c>
      <c r="D251" s="446">
        <v>10720000</v>
      </c>
    </row>
    <row r="252" spans="1:4" ht="18.75" customHeight="1" x14ac:dyDescent="0.25">
      <c r="A252" s="444">
        <f t="shared" si="5"/>
        <v>15</v>
      </c>
      <c r="B252" s="445" t="s">
        <v>227</v>
      </c>
      <c r="C252" s="444" t="s">
        <v>52</v>
      </c>
      <c r="D252" s="446">
        <v>13850000</v>
      </c>
    </row>
    <row r="253" spans="1:4" ht="18.75" customHeight="1" x14ac:dyDescent="0.25">
      <c r="A253" s="444">
        <f t="shared" si="5"/>
        <v>16</v>
      </c>
      <c r="B253" s="445" t="s">
        <v>228</v>
      </c>
      <c r="C253" s="444" t="s">
        <v>52</v>
      </c>
      <c r="D253" s="446">
        <v>9350000</v>
      </c>
    </row>
    <row r="254" spans="1:4" ht="18.75" customHeight="1" x14ac:dyDescent="0.25">
      <c r="A254" s="444">
        <f t="shared" si="5"/>
        <v>17</v>
      </c>
      <c r="B254" s="445" t="s">
        <v>229</v>
      </c>
      <c r="C254" s="444" t="s">
        <v>52</v>
      </c>
      <c r="D254" s="446">
        <v>9350000</v>
      </c>
    </row>
    <row r="255" spans="1:4" ht="18.75" customHeight="1" x14ac:dyDescent="0.25">
      <c r="A255" s="444">
        <f t="shared" si="5"/>
        <v>18</v>
      </c>
      <c r="B255" s="445" t="s">
        <v>230</v>
      </c>
      <c r="C255" s="444" t="s">
        <v>52</v>
      </c>
      <c r="D255" s="446">
        <v>7150000</v>
      </c>
    </row>
    <row r="256" spans="1:4" ht="18.75" customHeight="1" x14ac:dyDescent="0.25">
      <c r="A256" s="444">
        <f t="shared" si="5"/>
        <v>19</v>
      </c>
      <c r="B256" s="445" t="s">
        <v>231</v>
      </c>
      <c r="C256" s="444" t="s">
        <v>52</v>
      </c>
      <c r="D256" s="446">
        <v>9850000</v>
      </c>
    </row>
    <row r="257" spans="1:4" ht="18.75" customHeight="1" x14ac:dyDescent="0.25">
      <c r="A257" s="444">
        <f t="shared" si="5"/>
        <v>20</v>
      </c>
      <c r="B257" s="445" t="s">
        <v>232</v>
      </c>
      <c r="C257" s="444" t="s">
        <v>52</v>
      </c>
      <c r="D257" s="446">
        <v>7000000</v>
      </c>
    </row>
    <row r="258" spans="1:4" ht="18.75" customHeight="1" x14ac:dyDescent="0.25">
      <c r="A258" s="444">
        <f t="shared" si="5"/>
        <v>21</v>
      </c>
      <c r="B258" s="445" t="s">
        <v>233</v>
      </c>
      <c r="C258" s="444" t="s">
        <v>52</v>
      </c>
      <c r="D258" s="446">
        <v>4230000</v>
      </c>
    </row>
    <row r="259" spans="1:4" ht="18.75" customHeight="1" x14ac:dyDescent="0.25">
      <c r="A259" s="444">
        <f t="shared" si="5"/>
        <v>22</v>
      </c>
      <c r="B259" s="445" t="s">
        <v>234</v>
      </c>
      <c r="C259" s="444" t="s">
        <v>52</v>
      </c>
      <c r="D259" s="446">
        <v>4230000</v>
      </c>
    </row>
    <row r="260" spans="1:4" ht="18.75" customHeight="1" x14ac:dyDescent="0.25">
      <c r="A260" s="444">
        <f t="shared" si="5"/>
        <v>23</v>
      </c>
      <c r="B260" s="445" t="s">
        <v>235</v>
      </c>
      <c r="C260" s="444" t="s">
        <v>52</v>
      </c>
      <c r="D260" s="446">
        <v>4230000</v>
      </c>
    </row>
    <row r="261" spans="1:4" ht="18.75" customHeight="1" x14ac:dyDescent="0.25">
      <c r="A261" s="444">
        <f t="shared" si="5"/>
        <v>24</v>
      </c>
      <c r="B261" s="445" t="s">
        <v>236</v>
      </c>
      <c r="C261" s="444" t="s">
        <v>52</v>
      </c>
      <c r="D261" s="446">
        <v>7125000</v>
      </c>
    </row>
    <row r="262" spans="1:4" ht="18.75" customHeight="1" x14ac:dyDescent="0.25">
      <c r="A262" s="5">
        <f t="shared" si="5"/>
        <v>25</v>
      </c>
      <c r="B262" s="17" t="s">
        <v>237</v>
      </c>
      <c r="C262" s="5" t="s">
        <v>52</v>
      </c>
      <c r="D262" s="431"/>
    </row>
    <row r="263" spans="1:4" ht="18.75" customHeight="1" x14ac:dyDescent="0.25">
      <c r="A263" s="5">
        <f t="shared" si="5"/>
        <v>26</v>
      </c>
      <c r="B263" s="17" t="s">
        <v>238</v>
      </c>
      <c r="C263" s="5" t="s">
        <v>52</v>
      </c>
      <c r="D263" s="431"/>
    </row>
    <row r="264" spans="1:4" ht="18.75" customHeight="1" x14ac:dyDescent="0.25">
      <c r="A264" s="444">
        <f t="shared" si="5"/>
        <v>27</v>
      </c>
      <c r="B264" s="445" t="s">
        <v>239</v>
      </c>
      <c r="C264" s="444" t="s">
        <v>14</v>
      </c>
      <c r="D264" s="446">
        <v>41000</v>
      </c>
    </row>
    <row r="265" spans="1:4" ht="18.75" customHeight="1" x14ac:dyDescent="0.25">
      <c r="A265" s="5">
        <f t="shared" si="5"/>
        <v>28</v>
      </c>
      <c r="B265" s="17" t="s">
        <v>240</v>
      </c>
      <c r="C265" s="5" t="s">
        <v>52</v>
      </c>
      <c r="D265" s="7"/>
    </row>
    <row r="266" spans="1:4" ht="18.75" customHeight="1" x14ac:dyDescent="0.25">
      <c r="A266" s="5">
        <f t="shared" si="5"/>
        <v>29</v>
      </c>
      <c r="B266" s="17" t="s">
        <v>241</v>
      </c>
      <c r="C266" s="5" t="s">
        <v>52</v>
      </c>
      <c r="D266" s="7"/>
    </row>
    <row r="267" spans="1:4" ht="18.75" customHeight="1" x14ac:dyDescent="0.25">
      <c r="A267" s="5">
        <f t="shared" si="5"/>
        <v>30</v>
      </c>
      <c r="B267" s="17" t="s">
        <v>242</v>
      </c>
      <c r="C267" s="5" t="s">
        <v>14</v>
      </c>
      <c r="D267" s="7"/>
    </row>
    <row r="268" spans="1:4" ht="18.75" customHeight="1" x14ac:dyDescent="0.25">
      <c r="A268" s="444">
        <f t="shared" si="5"/>
        <v>31</v>
      </c>
      <c r="B268" s="445" t="s">
        <v>243</v>
      </c>
      <c r="C268" s="444" t="s">
        <v>14</v>
      </c>
      <c r="D268" s="446">
        <v>37500</v>
      </c>
    </row>
    <row r="269" spans="1:4" ht="18.75" customHeight="1" x14ac:dyDescent="0.25">
      <c r="A269" s="444">
        <f t="shared" si="5"/>
        <v>32</v>
      </c>
      <c r="B269" s="445" t="s">
        <v>244</v>
      </c>
      <c r="C269" s="444" t="s">
        <v>14</v>
      </c>
      <c r="D269" s="446">
        <v>25000</v>
      </c>
    </row>
    <row r="270" spans="1:4" ht="18.75" customHeight="1" x14ac:dyDescent="0.25">
      <c r="A270" s="5">
        <f t="shared" si="5"/>
        <v>33</v>
      </c>
      <c r="B270" s="17" t="s">
        <v>245</v>
      </c>
      <c r="C270" s="5" t="s">
        <v>14</v>
      </c>
      <c r="D270" s="431"/>
    </row>
    <row r="271" spans="1:4" ht="18.75" customHeight="1" x14ac:dyDescent="0.25">
      <c r="A271" s="444">
        <f t="shared" si="5"/>
        <v>34</v>
      </c>
      <c r="B271" s="445" t="s">
        <v>246</v>
      </c>
      <c r="C271" s="444" t="s">
        <v>66</v>
      </c>
      <c r="D271" s="446">
        <v>10000</v>
      </c>
    </row>
    <row r="272" spans="1:4" ht="18.75" customHeight="1" x14ac:dyDescent="0.25">
      <c r="A272" s="5">
        <f t="shared" si="5"/>
        <v>35</v>
      </c>
      <c r="B272" s="17" t="s">
        <v>247</v>
      </c>
      <c r="C272" s="5" t="s">
        <v>52</v>
      </c>
      <c r="D272" s="431"/>
    </row>
    <row r="273" spans="1:4" ht="18.75" customHeight="1" x14ac:dyDescent="0.25">
      <c r="A273" s="444">
        <f t="shared" si="5"/>
        <v>36</v>
      </c>
      <c r="B273" s="445" t="s">
        <v>249</v>
      </c>
      <c r="C273" s="444" t="s">
        <v>28</v>
      </c>
      <c r="D273" s="446">
        <v>43000</v>
      </c>
    </row>
    <row r="274" spans="1:4" ht="18.75" customHeight="1" x14ac:dyDescent="0.25">
      <c r="A274" s="444">
        <f t="shared" si="5"/>
        <v>37</v>
      </c>
      <c r="B274" s="448" t="s">
        <v>1666</v>
      </c>
      <c r="C274" s="444" t="s">
        <v>52</v>
      </c>
      <c r="D274" s="446">
        <v>3750000</v>
      </c>
    </row>
    <row r="275" spans="1:4" ht="18.75" customHeight="1" x14ac:dyDescent="0.25">
      <c r="A275" s="5">
        <f t="shared" si="5"/>
        <v>38</v>
      </c>
      <c r="B275" s="17" t="s">
        <v>250</v>
      </c>
      <c r="C275" s="5" t="s">
        <v>52</v>
      </c>
      <c r="D275" s="431"/>
    </row>
    <row r="276" spans="1:4" ht="18.75" customHeight="1" x14ac:dyDescent="0.25">
      <c r="A276" s="5">
        <f t="shared" si="5"/>
        <v>39</v>
      </c>
      <c r="B276" s="17" t="s">
        <v>250</v>
      </c>
      <c r="C276" s="5" t="s">
        <v>612</v>
      </c>
      <c r="D276" s="431"/>
    </row>
    <row r="277" spans="1:4" ht="18.75" customHeight="1" x14ac:dyDescent="0.25">
      <c r="A277" s="444">
        <f t="shared" si="5"/>
        <v>40</v>
      </c>
      <c r="B277" s="445" t="s">
        <v>251</v>
      </c>
      <c r="C277" s="444" t="s">
        <v>52</v>
      </c>
      <c r="D277" s="446">
        <v>5400000</v>
      </c>
    </row>
    <row r="278" spans="1:4" ht="18.75" customHeight="1" x14ac:dyDescent="0.25">
      <c r="A278" s="5">
        <f t="shared" si="5"/>
        <v>41</v>
      </c>
      <c r="B278" s="17" t="s">
        <v>251</v>
      </c>
      <c r="C278" s="5" t="s">
        <v>612</v>
      </c>
      <c r="D278" s="431"/>
    </row>
    <row r="279" spans="1:4" ht="18.75" customHeight="1" x14ac:dyDescent="0.25">
      <c r="A279" s="444">
        <f t="shared" si="5"/>
        <v>42</v>
      </c>
      <c r="B279" s="445" t="s">
        <v>1493</v>
      </c>
      <c r="C279" s="444" t="s">
        <v>155</v>
      </c>
      <c r="D279" s="446">
        <v>200000</v>
      </c>
    </row>
    <row r="280" spans="1:4" ht="18.75" customHeight="1" x14ac:dyDescent="0.25">
      <c r="A280" s="5"/>
      <c r="B280" s="6"/>
      <c r="C280" s="5"/>
      <c r="D280" s="7"/>
    </row>
    <row r="281" spans="1:4" ht="18.75" customHeight="1" x14ac:dyDescent="0.25">
      <c r="A281" s="8"/>
      <c r="B281" s="9" t="s">
        <v>252</v>
      </c>
      <c r="C281" s="8"/>
      <c r="D281" s="10"/>
    </row>
    <row r="282" spans="1:4" ht="18.75" customHeight="1" x14ac:dyDescent="0.25">
      <c r="A282" s="444">
        <v>1</v>
      </c>
      <c r="B282" s="445" t="s">
        <v>1701</v>
      </c>
      <c r="C282" s="444" t="s">
        <v>58</v>
      </c>
      <c r="D282" s="446">
        <v>600000</v>
      </c>
    </row>
    <row r="283" spans="1:4" ht="18.75" customHeight="1" x14ac:dyDescent="0.25">
      <c r="A283" s="5">
        <v>2</v>
      </c>
      <c r="B283" s="17" t="s">
        <v>1702</v>
      </c>
      <c r="C283" s="5" t="s">
        <v>58</v>
      </c>
      <c r="D283" s="431"/>
    </row>
    <row r="284" spans="1:4" ht="18.75" customHeight="1" x14ac:dyDescent="0.25">
      <c r="A284" s="444">
        <v>3</v>
      </c>
      <c r="B284" s="445" t="s">
        <v>1703</v>
      </c>
      <c r="C284" s="444" t="s">
        <v>58</v>
      </c>
      <c r="D284" s="446">
        <v>200000</v>
      </c>
    </row>
    <row r="285" spans="1:4" ht="18.75" customHeight="1" x14ac:dyDescent="0.25">
      <c r="A285" s="444">
        <v>5</v>
      </c>
      <c r="B285" s="445" t="s">
        <v>253</v>
      </c>
      <c r="C285" s="444" t="s">
        <v>5</v>
      </c>
      <c r="D285" s="446">
        <v>17000</v>
      </c>
    </row>
    <row r="286" spans="1:4" ht="18.75" customHeight="1" x14ac:dyDescent="0.25">
      <c r="A286" s="444">
        <v>6</v>
      </c>
      <c r="B286" s="445" t="s">
        <v>254</v>
      </c>
      <c r="C286" s="444" t="s">
        <v>5</v>
      </c>
      <c r="D286" s="446">
        <v>17000</v>
      </c>
    </row>
    <row r="287" spans="1:4" ht="18.75" customHeight="1" x14ac:dyDescent="0.25">
      <c r="A287" s="444">
        <v>7</v>
      </c>
      <c r="B287" s="445" t="s">
        <v>255</v>
      </c>
      <c r="C287" s="444" t="s">
        <v>58</v>
      </c>
      <c r="D287" s="446">
        <v>68000</v>
      </c>
    </row>
    <row r="288" spans="1:4" ht="18.75" customHeight="1" x14ac:dyDescent="0.25">
      <c r="A288" s="5"/>
      <c r="B288" s="6"/>
      <c r="C288" s="5"/>
      <c r="D288" s="7"/>
    </row>
    <row r="289" spans="1:4" ht="18.75" customHeight="1" x14ac:dyDescent="0.25">
      <c r="A289" s="8"/>
      <c r="B289" s="9" t="s">
        <v>256</v>
      </c>
      <c r="C289" s="8"/>
      <c r="D289" s="10"/>
    </row>
    <row r="290" spans="1:4" ht="18.75" customHeight="1" x14ac:dyDescent="0.25">
      <c r="A290" s="444">
        <v>1</v>
      </c>
      <c r="B290" s="445" t="s">
        <v>1704</v>
      </c>
      <c r="C290" s="444" t="s">
        <v>58</v>
      </c>
      <c r="D290" s="446">
        <v>60000</v>
      </c>
    </row>
    <row r="291" spans="1:4" ht="18.75" customHeight="1" x14ac:dyDescent="0.25">
      <c r="A291" s="444">
        <f>A290+1</f>
        <v>2</v>
      </c>
      <c r="B291" s="445" t="s">
        <v>1705</v>
      </c>
      <c r="C291" s="444" t="s">
        <v>58</v>
      </c>
      <c r="D291" s="446">
        <v>65000</v>
      </c>
    </row>
    <row r="292" spans="1:4" ht="18.75" customHeight="1" x14ac:dyDescent="0.25">
      <c r="A292" s="5">
        <f t="shared" ref="A292:A302" si="6">A291+1</f>
        <v>3</v>
      </c>
      <c r="B292" s="17" t="s">
        <v>1706</v>
      </c>
      <c r="C292" s="5" t="s">
        <v>58</v>
      </c>
      <c r="D292" s="431"/>
    </row>
    <row r="293" spans="1:4" ht="18.75" customHeight="1" x14ac:dyDescent="0.25">
      <c r="A293" s="444">
        <f t="shared" si="6"/>
        <v>4</v>
      </c>
      <c r="B293" s="445" t="s">
        <v>1707</v>
      </c>
      <c r="C293" s="444" t="s">
        <v>58</v>
      </c>
      <c r="D293" s="446">
        <v>355000</v>
      </c>
    </row>
    <row r="294" spans="1:4" ht="18.75" customHeight="1" x14ac:dyDescent="0.25">
      <c r="A294" s="5">
        <f t="shared" si="6"/>
        <v>5</v>
      </c>
      <c r="B294" s="17" t="s">
        <v>1708</v>
      </c>
      <c r="C294" s="5" t="s">
        <v>58</v>
      </c>
      <c r="D294" s="431"/>
    </row>
    <row r="295" spans="1:4" ht="18.75" customHeight="1" x14ac:dyDescent="0.25">
      <c r="A295" s="444">
        <f t="shared" si="6"/>
        <v>6</v>
      </c>
      <c r="B295" s="445" t="s">
        <v>1709</v>
      </c>
      <c r="C295" s="444" t="s">
        <v>58</v>
      </c>
      <c r="D295" s="446">
        <v>180000</v>
      </c>
    </row>
    <row r="296" spans="1:4" ht="18.75" customHeight="1" x14ac:dyDescent="0.25">
      <c r="A296" s="5">
        <f t="shared" si="6"/>
        <v>7</v>
      </c>
      <c r="B296" s="17" t="s">
        <v>1710</v>
      </c>
      <c r="C296" s="5" t="s">
        <v>58</v>
      </c>
      <c r="D296" s="431"/>
    </row>
    <row r="297" spans="1:4" ht="18.75" customHeight="1" x14ac:dyDescent="0.25">
      <c r="A297" s="444">
        <f t="shared" si="6"/>
        <v>8</v>
      </c>
      <c r="B297" s="445" t="s">
        <v>1711</v>
      </c>
      <c r="C297" s="444" t="s">
        <v>58</v>
      </c>
      <c r="D297" s="446">
        <v>90000</v>
      </c>
    </row>
    <row r="298" spans="1:4" ht="18.75" customHeight="1" x14ac:dyDescent="0.25">
      <c r="A298" s="444">
        <f t="shared" si="6"/>
        <v>9</v>
      </c>
      <c r="B298" s="445" t="s">
        <v>1712</v>
      </c>
      <c r="C298" s="444" t="s">
        <v>58</v>
      </c>
      <c r="D298" s="446">
        <v>89000</v>
      </c>
    </row>
    <row r="299" spans="1:4" ht="18.75" customHeight="1" x14ac:dyDescent="0.25">
      <c r="A299" s="444">
        <f t="shared" si="6"/>
        <v>10</v>
      </c>
      <c r="B299" s="445" t="s">
        <v>257</v>
      </c>
      <c r="C299" s="444" t="s">
        <v>58</v>
      </c>
      <c r="D299" s="446">
        <v>62000</v>
      </c>
    </row>
    <row r="300" spans="1:4" ht="18.75" customHeight="1" x14ac:dyDescent="0.25">
      <c r="A300" s="444">
        <f t="shared" si="6"/>
        <v>11</v>
      </c>
      <c r="B300" s="445" t="s">
        <v>1039</v>
      </c>
      <c r="C300" s="444" t="s">
        <v>62</v>
      </c>
      <c r="D300" s="446">
        <v>10000</v>
      </c>
    </row>
    <row r="301" spans="1:4" ht="18.75" customHeight="1" x14ac:dyDescent="0.25">
      <c r="A301" s="444">
        <f t="shared" si="6"/>
        <v>12</v>
      </c>
      <c r="B301" s="445" t="s">
        <v>1606</v>
      </c>
      <c r="C301" s="444" t="s">
        <v>58</v>
      </c>
      <c r="D301" s="446">
        <v>62000</v>
      </c>
    </row>
    <row r="302" spans="1:4" ht="18.75" customHeight="1" x14ac:dyDescent="0.25">
      <c r="A302" s="444">
        <f t="shared" si="6"/>
        <v>13</v>
      </c>
      <c r="B302" s="445" t="s">
        <v>1607</v>
      </c>
      <c r="C302" s="444" t="s">
        <v>58</v>
      </c>
      <c r="D302" s="446">
        <v>62000</v>
      </c>
    </row>
    <row r="303" spans="1:4" ht="18.75" customHeight="1" x14ac:dyDescent="0.25">
      <c r="A303" s="5"/>
      <c r="B303" s="6"/>
      <c r="C303" s="5"/>
      <c r="D303" s="7"/>
    </row>
    <row r="304" spans="1:4" ht="18.75" customHeight="1" x14ac:dyDescent="0.25">
      <c r="A304" s="8"/>
      <c r="B304" s="9" t="s">
        <v>258</v>
      </c>
      <c r="C304" s="8"/>
      <c r="D304" s="10"/>
    </row>
    <row r="305" spans="1:4" ht="18.75" customHeight="1" x14ac:dyDescent="0.25">
      <c r="A305" s="5">
        <v>1</v>
      </c>
      <c r="B305" s="17" t="s">
        <v>260</v>
      </c>
      <c r="C305" s="5" t="s">
        <v>109</v>
      </c>
      <c r="D305" s="7"/>
    </row>
    <row r="306" spans="1:4" ht="18.75" customHeight="1" x14ac:dyDescent="0.25">
      <c r="A306" s="5">
        <f t="shared" ref="A306:A334" si="7">A305+1</f>
        <v>2</v>
      </c>
      <c r="B306" s="17" t="s">
        <v>261</v>
      </c>
      <c r="C306" s="5" t="s">
        <v>109</v>
      </c>
      <c r="D306" s="7"/>
    </row>
    <row r="307" spans="1:4" ht="18.75" customHeight="1" x14ac:dyDescent="0.25">
      <c r="A307" s="5">
        <f t="shared" si="7"/>
        <v>3</v>
      </c>
      <c r="B307" s="17" t="s">
        <v>262</v>
      </c>
      <c r="C307" s="5" t="s">
        <v>109</v>
      </c>
      <c r="D307" s="7"/>
    </row>
    <row r="308" spans="1:4" ht="18.75" customHeight="1" x14ac:dyDescent="0.25">
      <c r="A308" s="444">
        <f t="shared" si="7"/>
        <v>4</v>
      </c>
      <c r="B308" s="445" t="s">
        <v>263</v>
      </c>
      <c r="C308" s="444" t="s">
        <v>109</v>
      </c>
      <c r="D308" s="446">
        <v>35000</v>
      </c>
    </row>
    <row r="309" spans="1:4" ht="18.75" customHeight="1" x14ac:dyDescent="0.25">
      <c r="A309" s="444">
        <f t="shared" si="7"/>
        <v>5</v>
      </c>
      <c r="B309" s="445" t="s">
        <v>264</v>
      </c>
      <c r="C309" s="444" t="s">
        <v>109</v>
      </c>
      <c r="D309" s="446">
        <v>25000</v>
      </c>
    </row>
    <row r="310" spans="1:4" ht="18.75" customHeight="1" x14ac:dyDescent="0.25">
      <c r="A310" s="444">
        <f t="shared" si="7"/>
        <v>6</v>
      </c>
      <c r="B310" s="445" t="s">
        <v>265</v>
      </c>
      <c r="C310" s="444" t="s">
        <v>109</v>
      </c>
      <c r="D310" s="446">
        <v>35000</v>
      </c>
    </row>
    <row r="311" spans="1:4" ht="18.75" customHeight="1" x14ac:dyDescent="0.25">
      <c r="A311" s="444">
        <f t="shared" si="7"/>
        <v>7</v>
      </c>
      <c r="B311" s="445" t="s">
        <v>266</v>
      </c>
      <c r="C311" s="444" t="s">
        <v>267</v>
      </c>
      <c r="D311" s="446">
        <v>170000</v>
      </c>
    </row>
    <row r="312" spans="1:4" ht="18.75" customHeight="1" x14ac:dyDescent="0.25">
      <c r="A312" s="5">
        <f t="shared" si="7"/>
        <v>8</v>
      </c>
      <c r="B312" s="17" t="s">
        <v>268</v>
      </c>
      <c r="C312" s="5" t="s">
        <v>28</v>
      </c>
      <c r="D312" s="431"/>
    </row>
    <row r="313" spans="1:4" ht="18.75" customHeight="1" x14ac:dyDescent="0.25">
      <c r="A313" s="5">
        <f t="shared" si="7"/>
        <v>9</v>
      </c>
      <c r="B313" s="17" t="s">
        <v>269</v>
      </c>
      <c r="C313" s="5" t="s">
        <v>28</v>
      </c>
      <c r="D313" s="431"/>
    </row>
    <row r="314" spans="1:4" ht="18.75" customHeight="1" x14ac:dyDescent="0.25">
      <c r="A314" s="5">
        <f t="shared" si="7"/>
        <v>10</v>
      </c>
      <c r="B314" s="17" t="s">
        <v>270</v>
      </c>
      <c r="C314" s="5" t="s">
        <v>20</v>
      </c>
      <c r="D314" s="431"/>
    </row>
    <row r="315" spans="1:4" ht="18.75" customHeight="1" x14ac:dyDescent="0.25">
      <c r="A315" s="5">
        <f t="shared" si="7"/>
        <v>11</v>
      </c>
      <c r="B315" s="17" t="s">
        <v>271</v>
      </c>
      <c r="C315" s="5" t="s">
        <v>20</v>
      </c>
      <c r="D315" s="431"/>
    </row>
    <row r="316" spans="1:4" ht="18.75" customHeight="1" x14ac:dyDescent="0.25">
      <c r="A316" s="444">
        <f t="shared" si="7"/>
        <v>12</v>
      </c>
      <c r="B316" s="445" t="s">
        <v>272</v>
      </c>
      <c r="C316" s="444" t="s">
        <v>28</v>
      </c>
      <c r="D316" s="446">
        <v>25000</v>
      </c>
    </row>
    <row r="317" spans="1:4" ht="18.75" customHeight="1" x14ac:dyDescent="0.25">
      <c r="A317" s="5">
        <f t="shared" si="7"/>
        <v>13</v>
      </c>
      <c r="B317" s="17" t="s">
        <v>273</v>
      </c>
      <c r="C317" s="5" t="s">
        <v>28</v>
      </c>
      <c r="D317" s="7"/>
    </row>
    <row r="318" spans="1:4" ht="18.75" customHeight="1" x14ac:dyDescent="0.25">
      <c r="A318" s="5">
        <f t="shared" si="7"/>
        <v>14</v>
      </c>
      <c r="B318" s="17" t="s">
        <v>274</v>
      </c>
      <c r="C318" s="5" t="s">
        <v>28</v>
      </c>
      <c r="D318" s="7"/>
    </row>
    <row r="319" spans="1:4" ht="18.75" customHeight="1" x14ac:dyDescent="0.25">
      <c r="A319" s="5">
        <f t="shared" si="7"/>
        <v>15</v>
      </c>
      <c r="B319" s="17" t="s">
        <v>275</v>
      </c>
      <c r="C319" s="5" t="s">
        <v>28</v>
      </c>
      <c r="D319" s="7"/>
    </row>
    <row r="320" spans="1:4" ht="18.75" customHeight="1" x14ac:dyDescent="0.25">
      <c r="A320" s="5">
        <f t="shared" si="7"/>
        <v>16</v>
      </c>
      <c r="B320" s="17" t="s">
        <v>276</v>
      </c>
      <c r="C320" s="5" t="s">
        <v>28</v>
      </c>
      <c r="D320" s="7"/>
    </row>
    <row r="321" spans="1:4" ht="18.75" customHeight="1" x14ac:dyDescent="0.25">
      <c r="A321" s="5">
        <f t="shared" si="7"/>
        <v>17</v>
      </c>
      <c r="B321" s="17" t="s">
        <v>277</v>
      </c>
      <c r="C321" s="5" t="s">
        <v>28</v>
      </c>
      <c r="D321" s="7"/>
    </row>
    <row r="322" spans="1:4" ht="18.75" customHeight="1" x14ac:dyDescent="0.25">
      <c r="A322" s="5">
        <f t="shared" si="7"/>
        <v>18</v>
      </c>
      <c r="B322" s="17" t="s">
        <v>278</v>
      </c>
      <c r="C322" s="5" t="s">
        <v>28</v>
      </c>
      <c r="D322" s="7"/>
    </row>
    <row r="323" spans="1:4" ht="18.75" customHeight="1" x14ac:dyDescent="0.25">
      <c r="A323" s="5">
        <f t="shared" si="7"/>
        <v>19</v>
      </c>
      <c r="B323" s="17" t="s">
        <v>279</v>
      </c>
      <c r="C323" s="5" t="s">
        <v>28</v>
      </c>
      <c r="D323" s="7"/>
    </row>
    <row r="324" spans="1:4" ht="18.75" customHeight="1" x14ac:dyDescent="0.25">
      <c r="A324" s="5">
        <f t="shared" si="7"/>
        <v>20</v>
      </c>
      <c r="B324" s="17" t="s">
        <v>280</v>
      </c>
      <c r="C324" s="5" t="s">
        <v>28</v>
      </c>
      <c r="D324" s="7"/>
    </row>
    <row r="325" spans="1:4" ht="18.75" customHeight="1" x14ac:dyDescent="0.25">
      <c r="A325" s="5">
        <f t="shared" si="7"/>
        <v>21</v>
      </c>
      <c r="B325" s="17" t="s">
        <v>281</v>
      </c>
      <c r="C325" s="5" t="s">
        <v>58</v>
      </c>
      <c r="D325" s="7"/>
    </row>
    <row r="326" spans="1:4" ht="18.75" customHeight="1" x14ac:dyDescent="0.25">
      <c r="A326" s="444">
        <f t="shared" si="7"/>
        <v>22</v>
      </c>
      <c r="B326" s="445" t="s">
        <v>1472</v>
      </c>
      <c r="C326" s="444" t="s">
        <v>28</v>
      </c>
      <c r="D326" s="446">
        <v>142000</v>
      </c>
    </row>
    <row r="327" spans="1:4" ht="18.75" customHeight="1" x14ac:dyDescent="0.25">
      <c r="A327" s="444">
        <f t="shared" si="7"/>
        <v>23</v>
      </c>
      <c r="B327" s="445" t="s">
        <v>282</v>
      </c>
      <c r="C327" s="444" t="s">
        <v>28</v>
      </c>
      <c r="D327" s="446">
        <v>132000</v>
      </c>
    </row>
    <row r="328" spans="1:4" ht="18.75" customHeight="1" x14ac:dyDescent="0.25">
      <c r="A328" s="444">
        <f t="shared" si="7"/>
        <v>24</v>
      </c>
      <c r="B328" s="445" t="s">
        <v>1293</v>
      </c>
      <c r="C328" s="444" t="s">
        <v>28</v>
      </c>
      <c r="D328" s="446">
        <v>30000</v>
      </c>
    </row>
    <row r="329" spans="1:4" ht="18.75" customHeight="1" x14ac:dyDescent="0.25">
      <c r="A329" s="444">
        <f t="shared" si="7"/>
        <v>25</v>
      </c>
      <c r="B329" s="445" t="s">
        <v>283</v>
      </c>
      <c r="C329" s="444" t="s">
        <v>28</v>
      </c>
      <c r="D329" s="446">
        <v>148000</v>
      </c>
    </row>
    <row r="330" spans="1:4" ht="18.75" customHeight="1" x14ac:dyDescent="0.25">
      <c r="A330" s="444">
        <f t="shared" si="7"/>
        <v>26</v>
      </c>
      <c r="B330" s="445" t="s">
        <v>284</v>
      </c>
      <c r="C330" s="444" t="s">
        <v>28</v>
      </c>
      <c r="D330" s="446">
        <v>25000</v>
      </c>
    </row>
    <row r="331" spans="1:4" ht="18.75" customHeight="1" x14ac:dyDescent="0.25">
      <c r="A331" s="444">
        <f t="shared" si="7"/>
        <v>27</v>
      </c>
      <c r="B331" s="445" t="s">
        <v>259</v>
      </c>
      <c r="C331" s="444" t="s">
        <v>28</v>
      </c>
      <c r="D331" s="446">
        <v>65000</v>
      </c>
    </row>
    <row r="332" spans="1:4" ht="18.75" customHeight="1" x14ac:dyDescent="0.25">
      <c r="A332" s="5">
        <f t="shared" si="7"/>
        <v>28</v>
      </c>
      <c r="B332" s="17" t="s">
        <v>285</v>
      </c>
      <c r="C332" s="5" t="s">
        <v>28</v>
      </c>
      <c r="D332" s="431"/>
    </row>
    <row r="333" spans="1:4" ht="18.75" customHeight="1" x14ac:dyDescent="0.25">
      <c r="A333" s="444">
        <f t="shared" si="7"/>
        <v>29</v>
      </c>
      <c r="B333" s="445" t="s">
        <v>286</v>
      </c>
      <c r="C333" s="444" t="s">
        <v>28</v>
      </c>
      <c r="D333" s="446">
        <v>35000</v>
      </c>
    </row>
    <row r="334" spans="1:4" ht="18.75" customHeight="1" x14ac:dyDescent="0.25">
      <c r="A334" s="444">
        <f t="shared" si="7"/>
        <v>30</v>
      </c>
      <c r="B334" s="445" t="s">
        <v>287</v>
      </c>
      <c r="C334" s="444" t="s">
        <v>14</v>
      </c>
      <c r="D334" s="446">
        <v>220000</v>
      </c>
    </row>
    <row r="335" spans="1:4" ht="18.75" customHeight="1" x14ac:dyDescent="0.25">
      <c r="A335" s="5"/>
      <c r="B335" s="6"/>
      <c r="C335" s="5"/>
      <c r="D335" s="7"/>
    </row>
    <row r="336" spans="1:4" ht="18.75" customHeight="1" x14ac:dyDescent="0.25">
      <c r="A336" s="8"/>
      <c r="B336" s="9" t="s">
        <v>288</v>
      </c>
      <c r="C336" s="8"/>
      <c r="D336" s="10"/>
    </row>
    <row r="337" spans="1:4" ht="18.75" customHeight="1" x14ac:dyDescent="0.25">
      <c r="A337" s="444">
        <v>1</v>
      </c>
      <c r="B337" s="445" t="s">
        <v>660</v>
      </c>
      <c r="C337" s="444" t="s">
        <v>62</v>
      </c>
      <c r="D337" s="446">
        <v>25000</v>
      </c>
    </row>
    <row r="338" spans="1:4" ht="18.75" customHeight="1" x14ac:dyDescent="0.25">
      <c r="A338" s="444">
        <f>A337+1</f>
        <v>2</v>
      </c>
      <c r="B338" s="445" t="s">
        <v>660</v>
      </c>
      <c r="C338" s="444" t="s">
        <v>296</v>
      </c>
      <c r="D338" s="446">
        <v>2000</v>
      </c>
    </row>
    <row r="339" spans="1:4" ht="18.75" customHeight="1" x14ac:dyDescent="0.25">
      <c r="A339" s="444">
        <f t="shared" ref="A339:A346" si="8">A338+1</f>
        <v>3</v>
      </c>
      <c r="B339" s="445" t="s">
        <v>290</v>
      </c>
      <c r="C339" s="444" t="s">
        <v>62</v>
      </c>
      <c r="D339" s="446">
        <v>41000</v>
      </c>
    </row>
    <row r="340" spans="1:4" ht="18.75" customHeight="1" x14ac:dyDescent="0.25">
      <c r="A340" s="444">
        <f t="shared" si="8"/>
        <v>4</v>
      </c>
      <c r="B340" s="445" t="s">
        <v>291</v>
      </c>
      <c r="C340" s="444" t="s">
        <v>5</v>
      </c>
      <c r="D340" s="446">
        <v>30000</v>
      </c>
    </row>
    <row r="341" spans="1:4" ht="18.75" customHeight="1" x14ac:dyDescent="0.25">
      <c r="A341" s="444">
        <f t="shared" si="8"/>
        <v>5</v>
      </c>
      <c r="B341" s="445" t="s">
        <v>292</v>
      </c>
      <c r="C341" s="444" t="s">
        <v>62</v>
      </c>
      <c r="D341" s="446">
        <v>25000</v>
      </c>
    </row>
    <row r="342" spans="1:4" ht="18.75" customHeight="1" x14ac:dyDescent="0.25">
      <c r="A342" s="444">
        <f t="shared" si="8"/>
        <v>6</v>
      </c>
      <c r="B342" s="445" t="s">
        <v>293</v>
      </c>
      <c r="C342" s="444" t="s">
        <v>62</v>
      </c>
      <c r="D342" s="446">
        <v>25000</v>
      </c>
    </row>
    <row r="343" spans="1:4" ht="18.75" customHeight="1" x14ac:dyDescent="0.25">
      <c r="A343" s="444">
        <f t="shared" si="8"/>
        <v>7</v>
      </c>
      <c r="B343" s="445" t="s">
        <v>1619</v>
      </c>
      <c r="C343" s="444" t="s">
        <v>62</v>
      </c>
      <c r="D343" s="446">
        <v>25000</v>
      </c>
    </row>
    <row r="344" spans="1:4" ht="18.75" customHeight="1" x14ac:dyDescent="0.25">
      <c r="A344" s="444">
        <f t="shared" si="8"/>
        <v>8</v>
      </c>
      <c r="B344" s="445" t="s">
        <v>294</v>
      </c>
      <c r="C344" s="444" t="s">
        <v>5</v>
      </c>
      <c r="D344" s="446">
        <v>40000</v>
      </c>
    </row>
    <row r="345" spans="1:4" ht="18.75" customHeight="1" x14ac:dyDescent="0.25">
      <c r="A345" s="444">
        <f t="shared" si="8"/>
        <v>9</v>
      </c>
      <c r="B345" s="445" t="s">
        <v>295</v>
      </c>
      <c r="C345" s="444" t="s">
        <v>296</v>
      </c>
      <c r="D345" s="446">
        <v>500</v>
      </c>
    </row>
    <row r="346" spans="1:4" ht="18.75" customHeight="1" x14ac:dyDescent="0.25">
      <c r="A346" s="444">
        <f t="shared" si="8"/>
        <v>10</v>
      </c>
      <c r="B346" s="445" t="s">
        <v>1713</v>
      </c>
      <c r="C346" s="444" t="s">
        <v>62</v>
      </c>
      <c r="D346" s="446">
        <v>28000</v>
      </c>
    </row>
    <row r="347" spans="1:4" ht="18.75" customHeight="1" x14ac:dyDescent="0.25">
      <c r="A347" s="5"/>
      <c r="B347" s="6"/>
      <c r="C347" s="5"/>
      <c r="D347" s="7"/>
    </row>
    <row r="348" spans="1:4" ht="18.75" customHeight="1" x14ac:dyDescent="0.25">
      <c r="A348" s="8"/>
      <c r="B348" s="9" t="s">
        <v>298</v>
      </c>
      <c r="C348" s="8"/>
      <c r="D348" s="10"/>
    </row>
    <row r="349" spans="1:4" ht="18.75" customHeight="1" x14ac:dyDescent="0.25">
      <c r="A349" s="5">
        <v>1</v>
      </c>
      <c r="B349" s="17" t="s">
        <v>299</v>
      </c>
      <c r="C349" s="5" t="s">
        <v>58</v>
      </c>
      <c r="D349" s="7"/>
    </row>
    <row r="350" spans="1:4" ht="18.75" customHeight="1" x14ac:dyDescent="0.25">
      <c r="A350" s="5">
        <f>A349+1</f>
        <v>2</v>
      </c>
      <c r="B350" s="17" t="s">
        <v>300</v>
      </c>
      <c r="C350" s="5" t="s">
        <v>52</v>
      </c>
      <c r="D350" s="7"/>
    </row>
    <row r="351" spans="1:4" ht="18.75" customHeight="1" x14ac:dyDescent="0.25">
      <c r="A351" s="5">
        <f t="shared" ref="A351:A388" si="9">A350+1</f>
        <v>3</v>
      </c>
      <c r="B351" s="17" t="s">
        <v>301</v>
      </c>
      <c r="C351" s="5" t="s">
        <v>58</v>
      </c>
      <c r="D351" s="7"/>
    </row>
    <row r="352" spans="1:4" ht="18.75" customHeight="1" x14ac:dyDescent="0.25">
      <c r="A352" s="5">
        <f t="shared" si="9"/>
        <v>4</v>
      </c>
      <c r="B352" s="17" t="s">
        <v>302</v>
      </c>
      <c r="C352" s="5" t="s">
        <v>58</v>
      </c>
      <c r="D352" s="7"/>
    </row>
    <row r="353" spans="1:4" ht="18.75" customHeight="1" x14ac:dyDescent="0.25">
      <c r="A353" s="5">
        <f t="shared" si="9"/>
        <v>5</v>
      </c>
      <c r="B353" s="17" t="s">
        <v>303</v>
      </c>
      <c r="C353" s="5" t="s">
        <v>58</v>
      </c>
      <c r="D353" s="7"/>
    </row>
    <row r="354" spans="1:4" ht="18.75" customHeight="1" x14ac:dyDescent="0.25">
      <c r="A354" s="5">
        <f t="shared" si="9"/>
        <v>6</v>
      </c>
      <c r="B354" s="17" t="s">
        <v>304</v>
      </c>
      <c r="C354" s="5" t="s">
        <v>58</v>
      </c>
      <c r="D354" s="7"/>
    </row>
    <row r="355" spans="1:4" ht="18.75" customHeight="1" x14ac:dyDescent="0.25">
      <c r="A355" s="5">
        <f t="shared" si="9"/>
        <v>7</v>
      </c>
      <c r="B355" s="17" t="s">
        <v>305</v>
      </c>
      <c r="C355" s="5" t="s">
        <v>58</v>
      </c>
      <c r="D355" s="7"/>
    </row>
    <row r="356" spans="1:4" ht="18.75" customHeight="1" x14ac:dyDescent="0.25">
      <c r="A356" s="5">
        <f t="shared" si="9"/>
        <v>8</v>
      </c>
      <c r="B356" s="17" t="s">
        <v>306</v>
      </c>
      <c r="C356" s="5" t="s">
        <v>58</v>
      </c>
      <c r="D356" s="7"/>
    </row>
    <row r="357" spans="1:4" ht="18.75" customHeight="1" x14ac:dyDescent="0.25">
      <c r="A357" s="5">
        <f t="shared" si="9"/>
        <v>9</v>
      </c>
      <c r="B357" s="17" t="s">
        <v>307</v>
      </c>
      <c r="C357" s="5" t="s">
        <v>58</v>
      </c>
      <c r="D357" s="7"/>
    </row>
    <row r="358" spans="1:4" ht="18.75" customHeight="1" x14ac:dyDescent="0.25">
      <c r="A358" s="5">
        <f t="shared" si="9"/>
        <v>10</v>
      </c>
      <c r="B358" s="17" t="s">
        <v>308</v>
      </c>
      <c r="C358" s="5" t="s">
        <v>58</v>
      </c>
      <c r="D358" s="7"/>
    </row>
    <row r="359" spans="1:4" ht="18.75" customHeight="1" x14ac:dyDescent="0.25">
      <c r="A359" s="444">
        <f t="shared" si="9"/>
        <v>11</v>
      </c>
      <c r="B359" s="445" t="s">
        <v>309</v>
      </c>
      <c r="C359" s="444" t="s">
        <v>58</v>
      </c>
      <c r="D359" s="446">
        <v>85000</v>
      </c>
    </row>
    <row r="360" spans="1:4" ht="18.75" customHeight="1" x14ac:dyDescent="0.25">
      <c r="A360" s="444">
        <f t="shared" si="9"/>
        <v>12</v>
      </c>
      <c r="B360" s="445" t="s">
        <v>310</v>
      </c>
      <c r="C360" s="444" t="s">
        <v>58</v>
      </c>
      <c r="D360" s="446">
        <v>120000</v>
      </c>
    </row>
    <row r="361" spans="1:4" ht="18.75" customHeight="1" x14ac:dyDescent="0.25">
      <c r="A361" s="5">
        <f t="shared" si="9"/>
        <v>13</v>
      </c>
      <c r="B361" s="17" t="s">
        <v>311</v>
      </c>
      <c r="C361" s="5" t="s">
        <v>58</v>
      </c>
      <c r="D361" s="7"/>
    </row>
    <row r="362" spans="1:4" ht="18.75" customHeight="1" x14ac:dyDescent="0.25">
      <c r="A362" s="5">
        <f t="shared" si="9"/>
        <v>14</v>
      </c>
      <c r="B362" s="17" t="s">
        <v>312</v>
      </c>
      <c r="C362" s="5" t="s">
        <v>58</v>
      </c>
      <c r="D362" s="7"/>
    </row>
    <row r="363" spans="1:4" ht="18.75" customHeight="1" x14ac:dyDescent="0.25">
      <c r="A363" s="5">
        <f t="shared" si="9"/>
        <v>15</v>
      </c>
      <c r="B363" s="17" t="s">
        <v>313</v>
      </c>
      <c r="C363" s="5" t="s">
        <v>58</v>
      </c>
      <c r="D363" s="7"/>
    </row>
    <row r="364" spans="1:4" ht="18.75" customHeight="1" x14ac:dyDescent="0.25">
      <c r="A364" s="5">
        <f t="shared" si="9"/>
        <v>16</v>
      </c>
      <c r="B364" s="17" t="s">
        <v>314</v>
      </c>
      <c r="C364" s="5" t="s">
        <v>58</v>
      </c>
      <c r="D364" s="7"/>
    </row>
    <row r="365" spans="1:4" ht="18.75" customHeight="1" x14ac:dyDescent="0.25">
      <c r="A365" s="5">
        <f t="shared" si="9"/>
        <v>17</v>
      </c>
      <c r="B365" s="17" t="s">
        <v>315</v>
      </c>
      <c r="C365" s="5" t="s">
        <v>58</v>
      </c>
      <c r="D365" s="7"/>
    </row>
    <row r="366" spans="1:4" ht="18.75" customHeight="1" x14ac:dyDescent="0.25">
      <c r="A366" s="5">
        <f t="shared" si="9"/>
        <v>18</v>
      </c>
      <c r="B366" s="17" t="s">
        <v>316</v>
      </c>
      <c r="C366" s="5" t="s">
        <v>58</v>
      </c>
      <c r="D366" s="7"/>
    </row>
    <row r="367" spans="1:4" ht="18.75" customHeight="1" x14ac:dyDescent="0.25">
      <c r="A367" s="5">
        <f t="shared" si="9"/>
        <v>19</v>
      </c>
      <c r="B367" s="17" t="s">
        <v>317</v>
      </c>
      <c r="C367" s="5" t="s">
        <v>58</v>
      </c>
      <c r="D367" s="7"/>
    </row>
    <row r="368" spans="1:4" ht="18.75" customHeight="1" x14ac:dyDescent="0.25">
      <c r="A368" s="5">
        <f t="shared" si="9"/>
        <v>20</v>
      </c>
      <c r="B368" s="17" t="s">
        <v>318</v>
      </c>
      <c r="C368" s="5" t="s">
        <v>58</v>
      </c>
      <c r="D368" s="7"/>
    </row>
    <row r="369" spans="1:4" ht="18.75" customHeight="1" x14ac:dyDescent="0.25">
      <c r="A369" s="5">
        <f t="shared" si="9"/>
        <v>21</v>
      </c>
      <c r="B369" s="17" t="s">
        <v>319</v>
      </c>
      <c r="C369" s="5" t="s">
        <v>58</v>
      </c>
      <c r="D369" s="7"/>
    </row>
    <row r="370" spans="1:4" ht="18.75" customHeight="1" x14ac:dyDescent="0.25">
      <c r="A370" s="5">
        <f t="shared" si="9"/>
        <v>22</v>
      </c>
      <c r="B370" s="17" t="s">
        <v>320</v>
      </c>
      <c r="C370" s="5" t="s">
        <v>58</v>
      </c>
      <c r="D370" s="7"/>
    </row>
    <row r="371" spans="1:4" ht="18.75" customHeight="1" x14ac:dyDescent="0.25">
      <c r="A371" s="5">
        <f t="shared" si="9"/>
        <v>23</v>
      </c>
      <c r="B371" s="17" t="s">
        <v>321</v>
      </c>
      <c r="C371" s="5" t="s">
        <v>58</v>
      </c>
      <c r="D371" s="7"/>
    </row>
    <row r="372" spans="1:4" ht="18.75" customHeight="1" x14ac:dyDescent="0.25">
      <c r="A372" s="5">
        <f t="shared" si="9"/>
        <v>24</v>
      </c>
      <c r="B372" s="17" t="s">
        <v>322</v>
      </c>
      <c r="C372" s="5" t="s">
        <v>58</v>
      </c>
      <c r="D372" s="7"/>
    </row>
    <row r="373" spans="1:4" ht="18.75" customHeight="1" x14ac:dyDescent="0.25">
      <c r="A373" s="5">
        <f t="shared" si="9"/>
        <v>25</v>
      </c>
      <c r="B373" s="17" t="s">
        <v>323</v>
      </c>
      <c r="C373" s="5" t="s">
        <v>58</v>
      </c>
      <c r="D373" s="7"/>
    </row>
    <row r="374" spans="1:4" ht="18.75" customHeight="1" x14ac:dyDescent="0.25">
      <c r="A374" s="5">
        <f t="shared" si="9"/>
        <v>26</v>
      </c>
      <c r="B374" s="17" t="s">
        <v>324</v>
      </c>
      <c r="C374" s="5" t="s">
        <v>58</v>
      </c>
      <c r="D374" s="7"/>
    </row>
    <row r="375" spans="1:4" ht="18.75" customHeight="1" x14ac:dyDescent="0.25">
      <c r="A375" s="5">
        <f t="shared" si="9"/>
        <v>27</v>
      </c>
      <c r="B375" s="17" t="s">
        <v>325</v>
      </c>
      <c r="C375" s="5" t="s">
        <v>58</v>
      </c>
      <c r="D375" s="7"/>
    </row>
    <row r="376" spans="1:4" ht="18.75" customHeight="1" x14ac:dyDescent="0.25">
      <c r="A376" s="5">
        <f t="shared" si="9"/>
        <v>28</v>
      </c>
      <c r="B376" s="17" t="s">
        <v>326</v>
      </c>
      <c r="C376" s="5" t="s">
        <v>58</v>
      </c>
      <c r="D376" s="7"/>
    </row>
    <row r="377" spans="1:4" ht="18.75" customHeight="1" x14ac:dyDescent="0.25">
      <c r="A377" s="5">
        <f t="shared" si="9"/>
        <v>29</v>
      </c>
      <c r="B377" s="17" t="s">
        <v>327</v>
      </c>
      <c r="C377" s="5" t="s">
        <v>58</v>
      </c>
      <c r="D377" s="7"/>
    </row>
    <row r="378" spans="1:4" ht="18.75" customHeight="1" x14ac:dyDescent="0.25">
      <c r="A378" s="5">
        <f t="shared" si="9"/>
        <v>30</v>
      </c>
      <c r="B378" s="17" t="s">
        <v>328</v>
      </c>
      <c r="C378" s="5" t="s">
        <v>28</v>
      </c>
      <c r="D378" s="7"/>
    </row>
    <row r="379" spans="1:4" ht="18.75" customHeight="1" x14ac:dyDescent="0.25">
      <c r="A379" s="5">
        <f t="shared" si="9"/>
        <v>31</v>
      </c>
      <c r="B379" s="17" t="s">
        <v>329</v>
      </c>
      <c r="C379" s="5" t="s">
        <v>28</v>
      </c>
      <c r="D379" s="7"/>
    </row>
    <row r="380" spans="1:4" ht="18.75" customHeight="1" x14ac:dyDescent="0.25">
      <c r="A380" s="5">
        <f t="shared" si="9"/>
        <v>32</v>
      </c>
      <c r="B380" s="17" t="s">
        <v>330</v>
      </c>
      <c r="C380" s="5" t="s">
        <v>28</v>
      </c>
      <c r="D380" s="7"/>
    </row>
    <row r="381" spans="1:4" ht="18.75" customHeight="1" x14ac:dyDescent="0.25">
      <c r="A381" s="5">
        <f t="shared" si="9"/>
        <v>33</v>
      </c>
      <c r="B381" s="17" t="s">
        <v>331</v>
      </c>
      <c r="C381" s="5" t="s">
        <v>62</v>
      </c>
      <c r="D381" s="7"/>
    </row>
    <row r="382" spans="1:4" ht="18.75" customHeight="1" x14ac:dyDescent="0.25">
      <c r="A382" s="444">
        <f t="shared" si="9"/>
        <v>34</v>
      </c>
      <c r="B382" s="445" t="s">
        <v>332</v>
      </c>
      <c r="C382" s="444" t="s">
        <v>296</v>
      </c>
      <c r="D382" s="446">
        <v>56000</v>
      </c>
    </row>
    <row r="383" spans="1:4" ht="18.75" customHeight="1" x14ac:dyDescent="0.25">
      <c r="A383" s="444">
        <f t="shared" si="9"/>
        <v>35</v>
      </c>
      <c r="B383" s="445" t="s">
        <v>333</v>
      </c>
      <c r="C383" s="444" t="s">
        <v>296</v>
      </c>
      <c r="D383" s="446">
        <v>110000</v>
      </c>
    </row>
    <row r="384" spans="1:4" ht="18.75" customHeight="1" x14ac:dyDescent="0.25">
      <c r="A384" s="5">
        <f t="shared" si="9"/>
        <v>36</v>
      </c>
      <c r="B384" s="17" t="s">
        <v>334</v>
      </c>
      <c r="C384" s="5" t="s">
        <v>296</v>
      </c>
      <c r="D384" s="431"/>
    </row>
    <row r="385" spans="1:4" ht="18.75" customHeight="1" x14ac:dyDescent="0.25">
      <c r="A385" s="5">
        <f t="shared" si="9"/>
        <v>37</v>
      </c>
      <c r="B385" s="17" t="s">
        <v>335</v>
      </c>
      <c r="C385" s="5" t="s">
        <v>296</v>
      </c>
      <c r="D385" s="431"/>
    </row>
    <row r="386" spans="1:4" ht="18.75" customHeight="1" x14ac:dyDescent="0.25">
      <c r="A386" s="444">
        <f t="shared" si="9"/>
        <v>38</v>
      </c>
      <c r="B386" s="445" t="s">
        <v>336</v>
      </c>
      <c r="C386" s="444" t="s">
        <v>58</v>
      </c>
      <c r="D386" s="446">
        <v>80000</v>
      </c>
    </row>
    <row r="387" spans="1:4" ht="18.75" customHeight="1" x14ac:dyDescent="0.25">
      <c r="A387" s="5">
        <f t="shared" si="9"/>
        <v>39</v>
      </c>
      <c r="B387" s="17" t="s">
        <v>337</v>
      </c>
      <c r="C387" s="5" t="s">
        <v>58</v>
      </c>
      <c r="D387" s="7"/>
    </row>
    <row r="388" spans="1:4" ht="18.75" customHeight="1" x14ac:dyDescent="0.25">
      <c r="A388" s="5">
        <f t="shared" si="9"/>
        <v>40</v>
      </c>
      <c r="B388" s="17" t="s">
        <v>1714</v>
      </c>
      <c r="C388" s="5" t="s">
        <v>58</v>
      </c>
      <c r="D388" s="7"/>
    </row>
    <row r="389" spans="1:4" ht="18.75" customHeight="1" x14ac:dyDescent="0.25">
      <c r="A389" s="5"/>
      <c r="B389" s="6"/>
      <c r="C389" s="5"/>
      <c r="D389" s="7"/>
    </row>
    <row r="390" spans="1:4" ht="18.75" customHeight="1" x14ac:dyDescent="0.25">
      <c r="A390" s="8"/>
      <c r="B390" s="9" t="s">
        <v>338</v>
      </c>
      <c r="C390" s="8"/>
      <c r="D390" s="10"/>
    </row>
    <row r="391" spans="1:4" ht="18.75" customHeight="1" x14ac:dyDescent="0.25">
      <c r="A391" s="5">
        <v>1</v>
      </c>
      <c r="B391" s="17" t="s">
        <v>339</v>
      </c>
      <c r="C391" s="5" t="s">
        <v>614</v>
      </c>
      <c r="D391" s="7"/>
    </row>
    <row r="392" spans="1:4" ht="18.75" customHeight="1" x14ac:dyDescent="0.25">
      <c r="A392" s="444">
        <f>A391+1</f>
        <v>2</v>
      </c>
      <c r="B392" s="445" t="s">
        <v>340</v>
      </c>
      <c r="C392" s="444" t="s">
        <v>614</v>
      </c>
      <c r="D392" s="446">
        <v>75000</v>
      </c>
    </row>
    <row r="393" spans="1:4" ht="18.75" customHeight="1" x14ac:dyDescent="0.25">
      <c r="A393" s="5">
        <f t="shared" ref="A393:A456" si="10">A392+1</f>
        <v>3</v>
      </c>
      <c r="B393" s="17" t="s">
        <v>341</v>
      </c>
      <c r="C393" s="5" t="s">
        <v>342</v>
      </c>
      <c r="D393" s="431"/>
    </row>
    <row r="394" spans="1:4" ht="18.75" customHeight="1" x14ac:dyDescent="0.25">
      <c r="A394" s="444">
        <f t="shared" si="10"/>
        <v>4</v>
      </c>
      <c r="B394" s="445" t="s">
        <v>343</v>
      </c>
      <c r="C394" s="444" t="s">
        <v>58</v>
      </c>
      <c r="D394" s="446">
        <v>25000</v>
      </c>
    </row>
    <row r="395" spans="1:4" ht="18.75" customHeight="1" x14ac:dyDescent="0.25">
      <c r="A395" s="444">
        <f t="shared" si="10"/>
        <v>5</v>
      </c>
      <c r="B395" s="445" t="s">
        <v>344</v>
      </c>
      <c r="C395" s="444" t="s">
        <v>614</v>
      </c>
      <c r="D395" s="446">
        <v>57000</v>
      </c>
    </row>
    <row r="396" spans="1:4" ht="18.75" customHeight="1" x14ac:dyDescent="0.25">
      <c r="A396" s="5">
        <f t="shared" si="10"/>
        <v>6</v>
      </c>
      <c r="B396" s="17" t="s">
        <v>346</v>
      </c>
      <c r="C396" s="5" t="s">
        <v>614</v>
      </c>
      <c r="D396" s="431"/>
    </row>
    <row r="397" spans="1:4" ht="18.75" customHeight="1" x14ac:dyDescent="0.25">
      <c r="A397" s="444">
        <f t="shared" si="10"/>
        <v>7</v>
      </c>
      <c r="B397" s="445" t="s">
        <v>347</v>
      </c>
      <c r="C397" s="444" t="s">
        <v>614</v>
      </c>
      <c r="D397" s="446">
        <v>41500</v>
      </c>
    </row>
    <row r="398" spans="1:4" ht="18.75" customHeight="1" x14ac:dyDescent="0.25">
      <c r="A398" s="5">
        <f t="shared" si="10"/>
        <v>8</v>
      </c>
      <c r="B398" s="17" t="s">
        <v>348</v>
      </c>
      <c r="C398" s="5" t="s">
        <v>614</v>
      </c>
      <c r="D398" s="431"/>
    </row>
    <row r="399" spans="1:4" ht="18.75" customHeight="1" x14ac:dyDescent="0.25">
      <c r="A399" s="5">
        <f t="shared" si="10"/>
        <v>9</v>
      </c>
      <c r="B399" s="17" t="s">
        <v>349</v>
      </c>
      <c r="C399" s="5" t="s">
        <v>614</v>
      </c>
      <c r="D399" s="431"/>
    </row>
    <row r="400" spans="1:4" ht="18.75" customHeight="1" x14ac:dyDescent="0.25">
      <c r="A400" s="5">
        <f t="shared" si="10"/>
        <v>10</v>
      </c>
      <c r="B400" s="17" t="s">
        <v>350</v>
      </c>
      <c r="C400" s="5" t="s">
        <v>614</v>
      </c>
      <c r="D400" s="431"/>
    </row>
    <row r="401" spans="1:4" ht="18.75" customHeight="1" x14ac:dyDescent="0.25">
      <c r="A401" s="5">
        <f t="shared" si="10"/>
        <v>11</v>
      </c>
      <c r="B401" s="17" t="s">
        <v>351</v>
      </c>
      <c r="C401" s="5" t="s">
        <v>614</v>
      </c>
      <c r="D401" s="431"/>
    </row>
    <row r="402" spans="1:4" ht="18.75" customHeight="1" x14ac:dyDescent="0.25">
      <c r="A402" s="5">
        <f t="shared" si="10"/>
        <v>12</v>
      </c>
      <c r="B402" s="17" t="s">
        <v>352</v>
      </c>
      <c r="C402" s="5" t="s">
        <v>267</v>
      </c>
      <c r="D402" s="431"/>
    </row>
    <row r="403" spans="1:4" ht="18.75" customHeight="1" x14ac:dyDescent="0.25">
      <c r="A403" s="5">
        <f t="shared" si="10"/>
        <v>13</v>
      </c>
      <c r="B403" s="17" t="s">
        <v>353</v>
      </c>
      <c r="C403" s="5" t="s">
        <v>614</v>
      </c>
      <c r="D403" s="431"/>
    </row>
    <row r="404" spans="1:4" ht="18.75" customHeight="1" x14ac:dyDescent="0.25">
      <c r="A404" s="5">
        <f t="shared" si="10"/>
        <v>14</v>
      </c>
      <c r="B404" s="17" t="s">
        <v>354</v>
      </c>
      <c r="C404" s="5" t="s">
        <v>28</v>
      </c>
      <c r="D404" s="431"/>
    </row>
    <row r="405" spans="1:4" ht="18.75" customHeight="1" x14ac:dyDescent="0.25">
      <c r="A405" s="5">
        <f t="shared" si="10"/>
        <v>15</v>
      </c>
      <c r="B405" s="17" t="s">
        <v>355</v>
      </c>
      <c r="C405" s="5" t="s">
        <v>20</v>
      </c>
      <c r="D405" s="431"/>
    </row>
    <row r="406" spans="1:4" ht="18.75" customHeight="1" x14ac:dyDescent="0.25">
      <c r="A406" s="5">
        <f t="shared" si="10"/>
        <v>16</v>
      </c>
      <c r="B406" s="17" t="s">
        <v>356</v>
      </c>
      <c r="C406" s="5" t="s">
        <v>20</v>
      </c>
      <c r="D406" s="431"/>
    </row>
    <row r="407" spans="1:4" ht="18.75" customHeight="1" x14ac:dyDescent="0.25">
      <c r="A407" s="5">
        <f t="shared" si="10"/>
        <v>17</v>
      </c>
      <c r="B407" s="17" t="s">
        <v>357</v>
      </c>
      <c r="C407" s="5" t="s">
        <v>20</v>
      </c>
      <c r="D407" s="431"/>
    </row>
    <row r="408" spans="1:4" ht="18.75" customHeight="1" x14ac:dyDescent="0.25">
      <c r="A408" s="5">
        <f t="shared" si="10"/>
        <v>18</v>
      </c>
      <c r="B408" s="17" t="s">
        <v>358</v>
      </c>
      <c r="C408" s="5" t="s">
        <v>20</v>
      </c>
      <c r="D408" s="431"/>
    </row>
    <row r="409" spans="1:4" ht="18.75" customHeight="1" x14ac:dyDescent="0.25">
      <c r="A409" s="5">
        <f t="shared" si="10"/>
        <v>19</v>
      </c>
      <c r="B409" s="17" t="s">
        <v>359</v>
      </c>
      <c r="C409" s="5" t="s">
        <v>20</v>
      </c>
      <c r="D409" s="431"/>
    </row>
    <row r="410" spans="1:4" ht="18.75" customHeight="1" x14ac:dyDescent="0.25">
      <c r="A410" s="444">
        <f t="shared" si="10"/>
        <v>20</v>
      </c>
      <c r="B410" s="445" t="s">
        <v>360</v>
      </c>
      <c r="C410" s="444" t="s">
        <v>20</v>
      </c>
      <c r="D410" s="446">
        <v>3000</v>
      </c>
    </row>
    <row r="411" spans="1:4" ht="18.75" customHeight="1" x14ac:dyDescent="0.25">
      <c r="A411" s="5">
        <f t="shared" si="10"/>
        <v>21</v>
      </c>
      <c r="B411" s="17" t="s">
        <v>361</v>
      </c>
      <c r="C411" s="5" t="s">
        <v>20</v>
      </c>
      <c r="D411" s="7"/>
    </row>
    <row r="412" spans="1:4" ht="18.75" customHeight="1" x14ac:dyDescent="0.25">
      <c r="A412" s="5">
        <f t="shared" si="10"/>
        <v>22</v>
      </c>
      <c r="B412" s="17" t="s">
        <v>362</v>
      </c>
      <c r="C412" s="5" t="s">
        <v>20</v>
      </c>
      <c r="D412" s="7"/>
    </row>
    <row r="413" spans="1:4" ht="18.75" customHeight="1" x14ac:dyDescent="0.25">
      <c r="A413" s="5">
        <f t="shared" si="10"/>
        <v>23</v>
      </c>
      <c r="B413" s="17" t="s">
        <v>363</v>
      </c>
      <c r="C413" s="5" t="s">
        <v>20</v>
      </c>
      <c r="D413" s="7"/>
    </row>
    <row r="414" spans="1:4" ht="18.75" customHeight="1" x14ac:dyDescent="0.25">
      <c r="A414" s="5">
        <f t="shared" si="10"/>
        <v>24</v>
      </c>
      <c r="B414" s="17" t="s">
        <v>364</v>
      </c>
      <c r="C414" s="5" t="s">
        <v>20</v>
      </c>
      <c r="D414" s="7"/>
    </row>
    <row r="415" spans="1:4" ht="18.75" customHeight="1" x14ac:dyDescent="0.25">
      <c r="A415" s="444">
        <f t="shared" si="10"/>
        <v>25</v>
      </c>
      <c r="B415" s="445" t="s">
        <v>365</v>
      </c>
      <c r="C415" s="444" t="s">
        <v>20</v>
      </c>
      <c r="D415" s="446">
        <v>35000</v>
      </c>
    </row>
    <row r="416" spans="1:4" ht="18.75" customHeight="1" x14ac:dyDescent="0.25">
      <c r="A416" s="5">
        <f t="shared" si="10"/>
        <v>26</v>
      </c>
      <c r="B416" s="17" t="s">
        <v>366</v>
      </c>
      <c r="C416" s="5" t="s">
        <v>20</v>
      </c>
      <c r="D416" s="431"/>
    </row>
    <row r="417" spans="1:4" ht="18.75" customHeight="1" x14ac:dyDescent="0.25">
      <c r="A417" s="5">
        <f t="shared" si="10"/>
        <v>27</v>
      </c>
      <c r="B417" s="17" t="s">
        <v>367</v>
      </c>
      <c r="C417" s="5" t="s">
        <v>20</v>
      </c>
      <c r="D417" s="431"/>
    </row>
    <row r="418" spans="1:4" ht="18.75" customHeight="1" x14ac:dyDescent="0.25">
      <c r="A418" s="5">
        <f t="shared" si="10"/>
        <v>28</v>
      </c>
      <c r="B418" s="17" t="s">
        <v>368</v>
      </c>
      <c r="C418" s="5" t="s">
        <v>20</v>
      </c>
      <c r="D418" s="431"/>
    </row>
    <row r="419" spans="1:4" ht="18.75" customHeight="1" x14ac:dyDescent="0.25">
      <c r="A419" s="444">
        <f t="shared" si="10"/>
        <v>29</v>
      </c>
      <c r="B419" s="445" t="s">
        <v>369</v>
      </c>
      <c r="C419" s="444" t="s">
        <v>20</v>
      </c>
      <c r="D419" s="446">
        <v>22000</v>
      </c>
    </row>
    <row r="420" spans="1:4" ht="18.75" customHeight="1" x14ac:dyDescent="0.25">
      <c r="A420" s="5">
        <f t="shared" si="10"/>
        <v>30</v>
      </c>
      <c r="B420" s="17" t="s">
        <v>370</v>
      </c>
      <c r="C420" s="5" t="s">
        <v>20</v>
      </c>
      <c r="D420" s="431"/>
    </row>
    <row r="421" spans="1:4" ht="18.75" customHeight="1" x14ac:dyDescent="0.25">
      <c r="A421" s="5">
        <f t="shared" si="10"/>
        <v>31</v>
      </c>
      <c r="B421" s="17" t="s">
        <v>371</v>
      </c>
      <c r="C421" s="5" t="s">
        <v>20</v>
      </c>
      <c r="D421" s="431"/>
    </row>
    <row r="422" spans="1:4" ht="18.75" customHeight="1" x14ac:dyDescent="0.25">
      <c r="A422" s="5">
        <f t="shared" si="10"/>
        <v>32</v>
      </c>
      <c r="B422" s="17" t="s">
        <v>372</v>
      </c>
      <c r="C422" s="5" t="s">
        <v>20</v>
      </c>
      <c r="D422" s="431"/>
    </row>
    <row r="423" spans="1:4" ht="18.75" customHeight="1" x14ac:dyDescent="0.25">
      <c r="A423" s="5">
        <f t="shared" si="10"/>
        <v>33</v>
      </c>
      <c r="B423" s="17" t="s">
        <v>373</v>
      </c>
      <c r="C423" s="5" t="s">
        <v>20</v>
      </c>
      <c r="D423" s="431"/>
    </row>
    <row r="424" spans="1:4" ht="18.75" customHeight="1" x14ac:dyDescent="0.25">
      <c r="A424" s="5">
        <f t="shared" si="10"/>
        <v>34</v>
      </c>
      <c r="B424" s="17" t="s">
        <v>374</v>
      </c>
      <c r="C424" s="5" t="s">
        <v>375</v>
      </c>
      <c r="D424" s="431"/>
    </row>
    <row r="425" spans="1:4" ht="18.75" customHeight="1" x14ac:dyDescent="0.25">
      <c r="A425" s="5">
        <f t="shared" si="10"/>
        <v>35</v>
      </c>
      <c r="B425" s="17" t="s">
        <v>376</v>
      </c>
      <c r="C425" s="5" t="s">
        <v>20</v>
      </c>
      <c r="D425" s="431"/>
    </row>
    <row r="426" spans="1:4" ht="18.75" customHeight="1" x14ac:dyDescent="0.25">
      <c r="A426" s="5">
        <f t="shared" si="10"/>
        <v>36</v>
      </c>
      <c r="B426" s="17" t="s">
        <v>377</v>
      </c>
      <c r="C426" s="5" t="s">
        <v>20</v>
      </c>
      <c r="D426" s="431"/>
    </row>
    <row r="427" spans="1:4" ht="18.75" customHeight="1" x14ac:dyDescent="0.25">
      <c r="A427" s="5">
        <f t="shared" si="10"/>
        <v>37</v>
      </c>
      <c r="B427" s="17" t="s">
        <v>378</v>
      </c>
      <c r="C427" s="5" t="s">
        <v>20</v>
      </c>
      <c r="D427" s="431"/>
    </row>
    <row r="428" spans="1:4" ht="18.75" customHeight="1" x14ac:dyDescent="0.25">
      <c r="A428" s="444">
        <f t="shared" si="10"/>
        <v>38</v>
      </c>
      <c r="B428" s="445" t="s">
        <v>379</v>
      </c>
      <c r="C428" s="444" t="s">
        <v>20</v>
      </c>
      <c r="D428" s="446">
        <v>6500</v>
      </c>
    </row>
    <row r="429" spans="1:4" ht="18.75" customHeight="1" x14ac:dyDescent="0.25">
      <c r="A429" s="444">
        <f t="shared" si="10"/>
        <v>39</v>
      </c>
      <c r="B429" s="445" t="s">
        <v>380</v>
      </c>
      <c r="C429" s="444" t="s">
        <v>20</v>
      </c>
      <c r="D429" s="446">
        <v>2000</v>
      </c>
    </row>
    <row r="430" spans="1:4" ht="18.75" customHeight="1" x14ac:dyDescent="0.25">
      <c r="A430" s="5">
        <f t="shared" si="10"/>
        <v>40</v>
      </c>
      <c r="B430" s="17" t="s">
        <v>381</v>
      </c>
      <c r="C430" s="5" t="s">
        <v>20</v>
      </c>
      <c r="D430" s="431"/>
    </row>
    <row r="431" spans="1:4" ht="18.75" customHeight="1" x14ac:dyDescent="0.25">
      <c r="A431" s="5">
        <f t="shared" si="10"/>
        <v>41</v>
      </c>
      <c r="B431" s="17" t="s">
        <v>382</v>
      </c>
      <c r="C431" s="5" t="s">
        <v>20</v>
      </c>
      <c r="D431" s="431"/>
    </row>
    <row r="432" spans="1:4" ht="18.75" customHeight="1" x14ac:dyDescent="0.25">
      <c r="A432" s="5">
        <f t="shared" si="10"/>
        <v>42</v>
      </c>
      <c r="B432" s="17" t="s">
        <v>383</v>
      </c>
      <c r="C432" s="5" t="s">
        <v>20</v>
      </c>
      <c r="D432" s="431"/>
    </row>
    <row r="433" spans="1:4" ht="18.75" customHeight="1" x14ac:dyDescent="0.25">
      <c r="A433" s="5">
        <f t="shared" si="10"/>
        <v>43</v>
      </c>
      <c r="B433" s="17" t="s">
        <v>384</v>
      </c>
      <c r="C433" s="5" t="s">
        <v>20</v>
      </c>
      <c r="D433" s="431"/>
    </row>
    <row r="434" spans="1:4" ht="18.75" customHeight="1" x14ac:dyDescent="0.25">
      <c r="A434" s="444">
        <f t="shared" si="10"/>
        <v>44</v>
      </c>
      <c r="B434" s="445" t="s">
        <v>385</v>
      </c>
      <c r="C434" s="444" t="s">
        <v>20</v>
      </c>
      <c r="D434" s="446">
        <v>15000</v>
      </c>
    </row>
    <row r="435" spans="1:4" ht="18.75" customHeight="1" x14ac:dyDescent="0.25">
      <c r="A435" s="5">
        <f t="shared" si="10"/>
        <v>45</v>
      </c>
      <c r="B435" s="17" t="s">
        <v>386</v>
      </c>
      <c r="C435" s="5" t="s">
        <v>20</v>
      </c>
      <c r="D435" s="7"/>
    </row>
    <row r="436" spans="1:4" ht="18.75" customHeight="1" x14ac:dyDescent="0.25">
      <c r="A436" s="5">
        <f t="shared" si="10"/>
        <v>46</v>
      </c>
      <c r="B436" s="17" t="s">
        <v>387</v>
      </c>
      <c r="C436" s="5" t="s">
        <v>20</v>
      </c>
      <c r="D436" s="7"/>
    </row>
    <row r="437" spans="1:4" ht="18.75" customHeight="1" x14ac:dyDescent="0.25">
      <c r="A437" s="5">
        <f t="shared" si="10"/>
        <v>47</v>
      </c>
      <c r="B437" s="17" t="s">
        <v>388</v>
      </c>
      <c r="C437" s="5" t="s">
        <v>20</v>
      </c>
      <c r="D437" s="7"/>
    </row>
    <row r="438" spans="1:4" ht="18.75" customHeight="1" x14ac:dyDescent="0.25">
      <c r="A438" s="5">
        <f t="shared" si="10"/>
        <v>48</v>
      </c>
      <c r="B438" s="17" t="s">
        <v>389</v>
      </c>
      <c r="C438" s="5" t="s">
        <v>20</v>
      </c>
      <c r="D438" s="7"/>
    </row>
    <row r="439" spans="1:4" ht="18.75" customHeight="1" x14ac:dyDescent="0.25">
      <c r="A439" s="5">
        <f t="shared" si="10"/>
        <v>49</v>
      </c>
      <c r="B439" s="17" t="s">
        <v>390</v>
      </c>
      <c r="C439" s="5" t="s">
        <v>20</v>
      </c>
      <c r="D439" s="7"/>
    </row>
    <row r="440" spans="1:4" ht="18.75" customHeight="1" x14ac:dyDescent="0.25">
      <c r="A440" s="5">
        <f t="shared" si="10"/>
        <v>50</v>
      </c>
      <c r="B440" s="17" t="s">
        <v>391</v>
      </c>
      <c r="C440" s="5" t="s">
        <v>20</v>
      </c>
      <c r="D440" s="7"/>
    </row>
    <row r="441" spans="1:4" ht="18.75" customHeight="1" x14ac:dyDescent="0.25">
      <c r="A441" s="5">
        <f t="shared" si="10"/>
        <v>51</v>
      </c>
      <c r="B441" s="17" t="s">
        <v>392</v>
      </c>
      <c r="C441" s="5" t="s">
        <v>20</v>
      </c>
      <c r="D441" s="7"/>
    </row>
    <row r="442" spans="1:4" ht="18.75" customHeight="1" x14ac:dyDescent="0.25">
      <c r="A442" s="444">
        <f t="shared" si="10"/>
        <v>52</v>
      </c>
      <c r="B442" s="445" t="s">
        <v>393</v>
      </c>
      <c r="C442" s="444" t="s">
        <v>20</v>
      </c>
      <c r="D442" s="446">
        <v>8500</v>
      </c>
    </row>
    <row r="443" spans="1:4" ht="18.75" customHeight="1" x14ac:dyDescent="0.25">
      <c r="A443" s="5">
        <f t="shared" si="10"/>
        <v>53</v>
      </c>
      <c r="B443" s="17" t="s">
        <v>394</v>
      </c>
      <c r="C443" s="5" t="s">
        <v>20</v>
      </c>
      <c r="D443" s="431"/>
    </row>
    <row r="444" spans="1:4" ht="18.75" customHeight="1" x14ac:dyDescent="0.25">
      <c r="A444" s="5">
        <f t="shared" si="10"/>
        <v>54</v>
      </c>
      <c r="B444" s="17" t="s">
        <v>395</v>
      </c>
      <c r="C444" s="5" t="s">
        <v>20</v>
      </c>
      <c r="D444" s="431"/>
    </row>
    <row r="445" spans="1:4" ht="18.75" customHeight="1" x14ac:dyDescent="0.25">
      <c r="A445" s="5">
        <f t="shared" si="10"/>
        <v>55</v>
      </c>
      <c r="B445" s="17" t="s">
        <v>396</v>
      </c>
      <c r="C445" s="5" t="s">
        <v>20</v>
      </c>
      <c r="D445" s="431"/>
    </row>
    <row r="446" spans="1:4" ht="18.75" customHeight="1" x14ac:dyDescent="0.25">
      <c r="A446" s="5">
        <f t="shared" si="10"/>
        <v>56</v>
      </c>
      <c r="B446" s="17" t="s">
        <v>397</v>
      </c>
      <c r="C446" s="5" t="s">
        <v>614</v>
      </c>
      <c r="D446" s="431"/>
    </row>
    <row r="447" spans="1:4" ht="18.75" customHeight="1" x14ac:dyDescent="0.25">
      <c r="A447" s="5">
        <f t="shared" si="10"/>
        <v>57</v>
      </c>
      <c r="B447" s="17" t="s">
        <v>398</v>
      </c>
      <c r="C447" s="5" t="s">
        <v>399</v>
      </c>
      <c r="D447" s="431"/>
    </row>
    <row r="448" spans="1:4" ht="18.75" customHeight="1" x14ac:dyDescent="0.25">
      <c r="A448" s="5">
        <f t="shared" si="10"/>
        <v>58</v>
      </c>
      <c r="B448" s="17" t="s">
        <v>400</v>
      </c>
      <c r="C448" s="5" t="s">
        <v>399</v>
      </c>
      <c r="D448" s="431"/>
    </row>
    <row r="449" spans="1:4" ht="18.75" customHeight="1" x14ac:dyDescent="0.25">
      <c r="A449" s="5">
        <f t="shared" si="10"/>
        <v>59</v>
      </c>
      <c r="B449" s="17" t="s">
        <v>401</v>
      </c>
      <c r="C449" s="5" t="s">
        <v>614</v>
      </c>
      <c r="D449" s="431"/>
    </row>
    <row r="450" spans="1:4" ht="18.75" customHeight="1" x14ac:dyDescent="0.25">
      <c r="A450" s="444">
        <f t="shared" si="10"/>
        <v>60</v>
      </c>
      <c r="B450" s="445" t="s">
        <v>402</v>
      </c>
      <c r="C450" s="444" t="s">
        <v>614</v>
      </c>
      <c r="D450" s="446">
        <v>95000</v>
      </c>
    </row>
    <row r="451" spans="1:4" ht="18.75" customHeight="1" x14ac:dyDescent="0.25">
      <c r="A451" s="5">
        <f t="shared" si="10"/>
        <v>61</v>
      </c>
      <c r="B451" s="17" t="s">
        <v>403</v>
      </c>
      <c r="C451" s="5" t="s">
        <v>20</v>
      </c>
      <c r="D451" s="431"/>
    </row>
    <row r="452" spans="1:4" ht="18.75" customHeight="1" x14ac:dyDescent="0.25">
      <c r="A452" s="5">
        <f t="shared" si="10"/>
        <v>62</v>
      </c>
      <c r="B452" s="17" t="s">
        <v>404</v>
      </c>
      <c r="C452" s="5" t="s">
        <v>20</v>
      </c>
      <c r="D452" s="431"/>
    </row>
    <row r="453" spans="1:4" ht="18.75" customHeight="1" x14ac:dyDescent="0.25">
      <c r="A453" s="5">
        <f t="shared" si="10"/>
        <v>63</v>
      </c>
      <c r="B453" s="17" t="s">
        <v>405</v>
      </c>
      <c r="C453" s="5" t="s">
        <v>20</v>
      </c>
      <c r="D453" s="431"/>
    </row>
    <row r="454" spans="1:4" ht="18.75" customHeight="1" x14ac:dyDescent="0.25">
      <c r="A454" s="5">
        <f t="shared" si="10"/>
        <v>64</v>
      </c>
      <c r="B454" s="17" t="s">
        <v>406</v>
      </c>
      <c r="C454" s="5" t="s">
        <v>20</v>
      </c>
      <c r="D454" s="431"/>
    </row>
    <row r="455" spans="1:4" ht="18.75" customHeight="1" x14ac:dyDescent="0.25">
      <c r="A455" s="5">
        <f t="shared" si="10"/>
        <v>65</v>
      </c>
      <c r="B455" s="17" t="s">
        <v>407</v>
      </c>
      <c r="C455" s="5" t="s">
        <v>20</v>
      </c>
      <c r="D455" s="431"/>
    </row>
    <row r="456" spans="1:4" ht="18.75" customHeight="1" x14ac:dyDescent="0.25">
      <c r="A456" s="5">
        <f t="shared" si="10"/>
        <v>66</v>
      </c>
      <c r="B456" s="17" t="s">
        <v>408</v>
      </c>
      <c r="C456" s="5" t="s">
        <v>20</v>
      </c>
      <c r="D456" s="431"/>
    </row>
    <row r="457" spans="1:4" ht="18.75" customHeight="1" x14ac:dyDescent="0.25">
      <c r="A457" s="444">
        <f t="shared" ref="A457:A508" si="11">A456+1</f>
        <v>67</v>
      </c>
      <c r="B457" s="445" t="s">
        <v>409</v>
      </c>
      <c r="C457" s="444" t="s">
        <v>20</v>
      </c>
      <c r="D457" s="446">
        <v>3350</v>
      </c>
    </row>
    <row r="458" spans="1:4" ht="18.75" customHeight="1" x14ac:dyDescent="0.25">
      <c r="A458" s="5">
        <f t="shared" si="11"/>
        <v>68</v>
      </c>
      <c r="B458" s="17" t="s">
        <v>410</v>
      </c>
      <c r="C458" s="5" t="s">
        <v>20</v>
      </c>
      <c r="D458" s="431"/>
    </row>
    <row r="459" spans="1:4" ht="18.75" customHeight="1" x14ac:dyDescent="0.25">
      <c r="A459" s="5">
        <f t="shared" si="11"/>
        <v>69</v>
      </c>
      <c r="B459" s="17" t="s">
        <v>411</v>
      </c>
      <c r="C459" s="5" t="s">
        <v>20</v>
      </c>
      <c r="D459" s="431"/>
    </row>
    <row r="460" spans="1:4" ht="18.75" customHeight="1" x14ac:dyDescent="0.25">
      <c r="A460" s="5">
        <f t="shared" si="11"/>
        <v>70</v>
      </c>
      <c r="B460" s="17" t="s">
        <v>412</v>
      </c>
      <c r="C460" s="5" t="s">
        <v>14</v>
      </c>
      <c r="D460" s="431"/>
    </row>
    <row r="461" spans="1:4" ht="18.75" customHeight="1" x14ac:dyDescent="0.25">
      <c r="A461" s="444">
        <f t="shared" si="11"/>
        <v>71</v>
      </c>
      <c r="B461" s="445" t="s">
        <v>413</v>
      </c>
      <c r="C461" s="444" t="s">
        <v>14</v>
      </c>
      <c r="D461" s="446">
        <v>90000</v>
      </c>
    </row>
    <row r="462" spans="1:4" ht="18.75" customHeight="1" x14ac:dyDescent="0.25">
      <c r="A462" s="444">
        <f t="shared" si="11"/>
        <v>72</v>
      </c>
      <c r="B462" s="445" t="s">
        <v>414</v>
      </c>
      <c r="C462" s="444" t="s">
        <v>28</v>
      </c>
      <c r="D462" s="446">
        <v>80000</v>
      </c>
    </row>
    <row r="463" spans="1:4" ht="18.75" customHeight="1" x14ac:dyDescent="0.25">
      <c r="A463" s="5">
        <f t="shared" si="11"/>
        <v>73</v>
      </c>
      <c r="B463" s="17" t="s">
        <v>415</v>
      </c>
      <c r="C463" s="5" t="s">
        <v>20</v>
      </c>
      <c r="D463" s="7"/>
    </row>
    <row r="464" spans="1:4" ht="18.75" customHeight="1" x14ac:dyDescent="0.25">
      <c r="A464" s="5">
        <f t="shared" si="11"/>
        <v>74</v>
      </c>
      <c r="B464" s="17" t="s">
        <v>416</v>
      </c>
      <c r="C464" s="5" t="s">
        <v>20</v>
      </c>
      <c r="D464" s="7"/>
    </row>
    <row r="465" spans="1:4" ht="18.75" customHeight="1" x14ac:dyDescent="0.25">
      <c r="A465" s="5">
        <f t="shared" si="11"/>
        <v>75</v>
      </c>
      <c r="B465" s="17" t="s">
        <v>417</v>
      </c>
      <c r="C465" s="5" t="s">
        <v>20</v>
      </c>
      <c r="D465" s="7"/>
    </row>
    <row r="466" spans="1:4" ht="18.75" customHeight="1" x14ac:dyDescent="0.25">
      <c r="A466" s="5">
        <f t="shared" si="11"/>
        <v>76</v>
      </c>
      <c r="B466" s="17" t="s">
        <v>418</v>
      </c>
      <c r="C466" s="5" t="s">
        <v>20</v>
      </c>
      <c r="D466" s="7"/>
    </row>
    <row r="467" spans="1:4" ht="18.75" customHeight="1" x14ac:dyDescent="0.25">
      <c r="A467" s="5">
        <f t="shared" si="11"/>
        <v>77</v>
      </c>
      <c r="B467" s="17" t="s">
        <v>419</v>
      </c>
      <c r="C467" s="5" t="s">
        <v>20</v>
      </c>
      <c r="D467" s="7"/>
    </row>
    <row r="468" spans="1:4" ht="18.75" customHeight="1" x14ac:dyDescent="0.25">
      <c r="A468" s="5">
        <f t="shared" si="11"/>
        <v>78</v>
      </c>
      <c r="B468" s="17" t="s">
        <v>420</v>
      </c>
      <c r="C468" s="5" t="s">
        <v>20</v>
      </c>
      <c r="D468" s="7"/>
    </row>
    <row r="469" spans="1:4" ht="18.75" customHeight="1" x14ac:dyDescent="0.25">
      <c r="A469" s="5">
        <f t="shared" si="11"/>
        <v>79</v>
      </c>
      <c r="B469" s="17" t="s">
        <v>421</v>
      </c>
      <c r="C469" s="5" t="s">
        <v>20</v>
      </c>
      <c r="D469" s="7"/>
    </row>
    <row r="470" spans="1:4" ht="18.75" customHeight="1" x14ac:dyDescent="0.25">
      <c r="A470" s="5">
        <f t="shared" si="11"/>
        <v>80</v>
      </c>
      <c r="B470" s="17" t="s">
        <v>422</v>
      </c>
      <c r="C470" s="5" t="s">
        <v>20</v>
      </c>
      <c r="D470" s="7"/>
    </row>
    <row r="471" spans="1:4" ht="18.75" customHeight="1" x14ac:dyDescent="0.25">
      <c r="A471" s="5">
        <f t="shared" si="11"/>
        <v>81</v>
      </c>
      <c r="B471" s="17" t="s">
        <v>423</v>
      </c>
      <c r="C471" s="5" t="s">
        <v>614</v>
      </c>
      <c r="D471" s="7"/>
    </row>
    <row r="472" spans="1:4" ht="18.75" customHeight="1" x14ac:dyDescent="0.25">
      <c r="A472" s="444">
        <f t="shared" si="11"/>
        <v>82</v>
      </c>
      <c r="B472" s="445" t="s">
        <v>424</v>
      </c>
      <c r="C472" s="444" t="s">
        <v>614</v>
      </c>
      <c r="D472" s="446">
        <v>41000</v>
      </c>
    </row>
    <row r="473" spans="1:4" ht="18.75" customHeight="1" x14ac:dyDescent="0.25">
      <c r="A473" s="444">
        <f t="shared" si="11"/>
        <v>83</v>
      </c>
      <c r="B473" s="445" t="s">
        <v>425</v>
      </c>
      <c r="C473" s="444" t="s">
        <v>62</v>
      </c>
      <c r="D473" s="446">
        <v>60000</v>
      </c>
    </row>
    <row r="474" spans="1:4" ht="18.75" customHeight="1" x14ac:dyDescent="0.25">
      <c r="A474" s="5">
        <f t="shared" si="11"/>
        <v>84</v>
      </c>
      <c r="B474" s="17" t="s">
        <v>426</v>
      </c>
      <c r="C474" s="5" t="s">
        <v>28</v>
      </c>
      <c r="D474" s="431"/>
    </row>
    <row r="475" spans="1:4" ht="18.75" customHeight="1" x14ac:dyDescent="0.25">
      <c r="A475" s="5">
        <f t="shared" si="11"/>
        <v>85</v>
      </c>
      <c r="B475" s="17" t="s">
        <v>427</v>
      </c>
      <c r="C475" s="5" t="s">
        <v>28</v>
      </c>
      <c r="D475" s="431"/>
    </row>
    <row r="476" spans="1:4" ht="18.75" customHeight="1" x14ac:dyDescent="0.25">
      <c r="A476" s="5">
        <f t="shared" si="11"/>
        <v>86</v>
      </c>
      <c r="B476" s="17" t="s">
        <v>428</v>
      </c>
      <c r="C476" s="5" t="s">
        <v>28</v>
      </c>
      <c r="D476" s="431"/>
    </row>
    <row r="477" spans="1:4" ht="18.75" customHeight="1" x14ac:dyDescent="0.25">
      <c r="A477" s="5">
        <f t="shared" si="11"/>
        <v>87</v>
      </c>
      <c r="B477" s="17" t="s">
        <v>429</v>
      </c>
      <c r="C477" s="5" t="s">
        <v>28</v>
      </c>
      <c r="D477" s="431"/>
    </row>
    <row r="478" spans="1:4" ht="18.75" customHeight="1" x14ac:dyDescent="0.25">
      <c r="A478" s="5">
        <f t="shared" si="11"/>
        <v>88</v>
      </c>
      <c r="B478" s="17" t="s">
        <v>430</v>
      </c>
      <c r="C478" s="5" t="s">
        <v>5</v>
      </c>
      <c r="D478" s="431"/>
    </row>
    <row r="479" spans="1:4" ht="18.75" customHeight="1" x14ac:dyDescent="0.25">
      <c r="A479" s="5">
        <f t="shared" si="11"/>
        <v>89</v>
      </c>
      <c r="B479" s="17" t="s">
        <v>431</v>
      </c>
      <c r="C479" s="5" t="s">
        <v>5</v>
      </c>
      <c r="D479" s="431"/>
    </row>
    <row r="480" spans="1:4" ht="18.75" customHeight="1" x14ac:dyDescent="0.25">
      <c r="A480" s="5">
        <f t="shared" si="11"/>
        <v>90</v>
      </c>
      <c r="B480" s="17" t="s">
        <v>432</v>
      </c>
      <c r="C480" s="5" t="s">
        <v>28</v>
      </c>
      <c r="D480" s="431"/>
    </row>
    <row r="481" spans="1:4" ht="18.75" customHeight="1" x14ac:dyDescent="0.25">
      <c r="A481" s="5">
        <f t="shared" si="11"/>
        <v>91</v>
      </c>
      <c r="B481" s="17" t="s">
        <v>433</v>
      </c>
      <c r="C481" s="5" t="s">
        <v>267</v>
      </c>
      <c r="D481" s="431"/>
    </row>
    <row r="482" spans="1:4" ht="18.75" customHeight="1" x14ac:dyDescent="0.25">
      <c r="A482" s="5">
        <f t="shared" si="11"/>
        <v>92</v>
      </c>
      <c r="B482" s="17" t="s">
        <v>434</v>
      </c>
      <c r="C482" s="5" t="s">
        <v>28</v>
      </c>
      <c r="D482" s="431"/>
    </row>
    <row r="483" spans="1:4" ht="18.75" customHeight="1" x14ac:dyDescent="0.25">
      <c r="A483" s="5">
        <f t="shared" si="11"/>
        <v>93</v>
      </c>
      <c r="B483" s="17" t="s">
        <v>435</v>
      </c>
      <c r="C483" s="5" t="s">
        <v>28</v>
      </c>
      <c r="D483" s="431"/>
    </row>
    <row r="484" spans="1:4" ht="18.75" customHeight="1" x14ac:dyDescent="0.25">
      <c r="A484" s="5">
        <f t="shared" si="11"/>
        <v>94</v>
      </c>
      <c r="B484" s="17" t="s">
        <v>436</v>
      </c>
      <c r="C484" s="5" t="s">
        <v>28</v>
      </c>
      <c r="D484" s="431"/>
    </row>
    <row r="485" spans="1:4" ht="18.75" customHeight="1" x14ac:dyDescent="0.25">
      <c r="A485" s="444">
        <f t="shared" si="11"/>
        <v>95</v>
      </c>
      <c r="B485" s="445" t="s">
        <v>437</v>
      </c>
      <c r="C485" s="444" t="s">
        <v>147</v>
      </c>
      <c r="D485" s="446">
        <f>108000/6</f>
        <v>18000</v>
      </c>
    </row>
    <row r="486" spans="1:4" ht="18.75" customHeight="1" x14ac:dyDescent="0.25">
      <c r="A486" s="444">
        <f t="shared" si="11"/>
        <v>96</v>
      </c>
      <c r="B486" s="445" t="s">
        <v>438</v>
      </c>
      <c r="C486" s="444" t="s">
        <v>296</v>
      </c>
      <c r="D486" s="446">
        <v>15000</v>
      </c>
    </row>
    <row r="487" spans="1:4" ht="18.75" customHeight="1" x14ac:dyDescent="0.25">
      <c r="A487" s="444">
        <f t="shared" si="11"/>
        <v>97</v>
      </c>
      <c r="B487" s="445" t="s">
        <v>439</v>
      </c>
      <c r="C487" s="444" t="s">
        <v>614</v>
      </c>
      <c r="D487" s="446">
        <v>55000</v>
      </c>
    </row>
    <row r="488" spans="1:4" ht="18.75" customHeight="1" x14ac:dyDescent="0.25">
      <c r="A488" s="444">
        <f t="shared" si="11"/>
        <v>98</v>
      </c>
      <c r="B488" s="445" t="s">
        <v>440</v>
      </c>
      <c r="C488" s="444" t="s">
        <v>614</v>
      </c>
      <c r="D488" s="446">
        <v>90000</v>
      </c>
    </row>
    <row r="489" spans="1:4" ht="18.75" customHeight="1" x14ac:dyDescent="0.25">
      <c r="A489" s="5">
        <f t="shared" si="11"/>
        <v>99</v>
      </c>
      <c r="B489" s="17" t="s">
        <v>441</v>
      </c>
      <c r="C489" s="5" t="s">
        <v>614</v>
      </c>
      <c r="D489" s="431"/>
    </row>
    <row r="490" spans="1:4" ht="18.75" customHeight="1" x14ac:dyDescent="0.25">
      <c r="A490" s="444">
        <f t="shared" si="11"/>
        <v>100</v>
      </c>
      <c r="B490" s="445" t="s">
        <v>442</v>
      </c>
      <c r="C490" s="444" t="s">
        <v>614</v>
      </c>
      <c r="D490" s="446">
        <v>65000</v>
      </c>
    </row>
    <row r="491" spans="1:4" ht="18.75" customHeight="1" x14ac:dyDescent="0.25">
      <c r="A491" s="444">
        <f t="shared" si="11"/>
        <v>101</v>
      </c>
      <c r="B491" s="445" t="s">
        <v>443</v>
      </c>
      <c r="C491" s="444" t="s">
        <v>614</v>
      </c>
      <c r="D491" s="446">
        <v>85000</v>
      </c>
    </row>
    <row r="492" spans="1:4" ht="18.75" customHeight="1" x14ac:dyDescent="0.25">
      <c r="A492" s="5">
        <f t="shared" si="11"/>
        <v>102</v>
      </c>
      <c r="B492" s="17" t="s">
        <v>444</v>
      </c>
      <c r="C492" s="5" t="s">
        <v>614</v>
      </c>
      <c r="D492" s="7"/>
    </row>
    <row r="493" spans="1:4" ht="18.75" customHeight="1" x14ac:dyDescent="0.25">
      <c r="A493" s="444">
        <f t="shared" si="11"/>
        <v>103</v>
      </c>
      <c r="B493" s="445" t="s">
        <v>445</v>
      </c>
      <c r="C493" s="444" t="s">
        <v>614</v>
      </c>
      <c r="D493" s="446">
        <v>35000</v>
      </c>
    </row>
    <row r="494" spans="1:4" ht="18.75" customHeight="1" x14ac:dyDescent="0.25">
      <c r="A494" s="5">
        <f t="shared" si="11"/>
        <v>104</v>
      </c>
      <c r="B494" s="17" t="s">
        <v>446</v>
      </c>
      <c r="C494" s="5" t="s">
        <v>614</v>
      </c>
      <c r="D494" s="431"/>
    </row>
    <row r="495" spans="1:4" ht="18.75" customHeight="1" x14ac:dyDescent="0.25">
      <c r="A495" s="444">
        <f t="shared" si="11"/>
        <v>105</v>
      </c>
      <c r="B495" s="445" t="s">
        <v>447</v>
      </c>
      <c r="C495" s="444" t="s">
        <v>28</v>
      </c>
      <c r="D495" s="446">
        <v>8000</v>
      </c>
    </row>
    <row r="496" spans="1:4" ht="18.75" customHeight="1" x14ac:dyDescent="0.25">
      <c r="A496" s="5">
        <f t="shared" si="11"/>
        <v>106</v>
      </c>
      <c r="B496" s="17" t="s">
        <v>447</v>
      </c>
      <c r="C496" s="5" t="s">
        <v>226</v>
      </c>
      <c r="D496" s="431"/>
    </row>
    <row r="497" spans="1:4" ht="18.75" customHeight="1" x14ac:dyDescent="0.25">
      <c r="A497" s="5">
        <f t="shared" si="11"/>
        <v>107</v>
      </c>
      <c r="B497" s="17" t="s">
        <v>447</v>
      </c>
      <c r="C497" s="5" t="s">
        <v>448</v>
      </c>
      <c r="D497" s="431"/>
    </row>
    <row r="498" spans="1:4" ht="18.75" customHeight="1" x14ac:dyDescent="0.25">
      <c r="A498" s="5">
        <f t="shared" si="11"/>
        <v>108</v>
      </c>
      <c r="B498" s="17" t="s">
        <v>449</v>
      </c>
      <c r="C498" s="5" t="s">
        <v>614</v>
      </c>
      <c r="D498" s="431"/>
    </row>
    <row r="499" spans="1:4" ht="18.75" customHeight="1" x14ac:dyDescent="0.25">
      <c r="A499" s="5">
        <f t="shared" si="11"/>
        <v>109</v>
      </c>
      <c r="B499" s="17" t="s">
        <v>450</v>
      </c>
      <c r="C499" s="5" t="s">
        <v>614</v>
      </c>
      <c r="D499" s="431"/>
    </row>
    <row r="500" spans="1:4" ht="18.75" customHeight="1" x14ac:dyDescent="0.25">
      <c r="A500" s="5">
        <f t="shared" si="11"/>
        <v>110</v>
      </c>
      <c r="B500" s="17" t="s">
        <v>451</v>
      </c>
      <c r="C500" s="5" t="s">
        <v>614</v>
      </c>
      <c r="D500" s="431"/>
    </row>
    <row r="501" spans="1:4" ht="18.75" customHeight="1" x14ac:dyDescent="0.25">
      <c r="A501" s="5">
        <f t="shared" si="11"/>
        <v>111</v>
      </c>
      <c r="B501" s="17" t="s">
        <v>452</v>
      </c>
      <c r="C501" s="5" t="s">
        <v>28</v>
      </c>
      <c r="D501" s="431"/>
    </row>
    <row r="502" spans="1:4" ht="18.75" customHeight="1" x14ac:dyDescent="0.25">
      <c r="A502" s="444">
        <f t="shared" si="11"/>
        <v>112</v>
      </c>
      <c r="B502" s="445" t="s">
        <v>453</v>
      </c>
      <c r="C502" s="444" t="s">
        <v>62</v>
      </c>
      <c r="D502" s="446">
        <v>50000</v>
      </c>
    </row>
    <row r="503" spans="1:4" ht="18.75" customHeight="1" x14ac:dyDescent="0.25">
      <c r="A503" s="5">
        <f t="shared" si="11"/>
        <v>113</v>
      </c>
      <c r="B503" s="17" t="s">
        <v>454</v>
      </c>
      <c r="C503" s="5" t="s">
        <v>455</v>
      </c>
      <c r="D503" s="431"/>
    </row>
    <row r="504" spans="1:4" ht="18.75" customHeight="1" x14ac:dyDescent="0.25">
      <c r="A504" s="444">
        <f t="shared" si="11"/>
        <v>114</v>
      </c>
      <c r="B504" s="445" t="s">
        <v>1715</v>
      </c>
      <c r="C504" s="444" t="s">
        <v>14</v>
      </c>
      <c r="D504" s="446">
        <v>78500</v>
      </c>
    </row>
    <row r="505" spans="1:4" ht="18.75" customHeight="1" x14ac:dyDescent="0.25">
      <c r="A505" s="444">
        <f t="shared" si="11"/>
        <v>115</v>
      </c>
      <c r="B505" s="445" t="s">
        <v>456</v>
      </c>
      <c r="C505" s="444" t="s">
        <v>14</v>
      </c>
      <c r="D505" s="446">
        <v>52500</v>
      </c>
    </row>
    <row r="506" spans="1:4" ht="18.75" customHeight="1" x14ac:dyDescent="0.25">
      <c r="A506" s="444">
        <f t="shared" si="11"/>
        <v>116</v>
      </c>
      <c r="B506" s="445" t="s">
        <v>457</v>
      </c>
      <c r="C506" s="444" t="s">
        <v>14</v>
      </c>
      <c r="D506" s="446">
        <v>115000</v>
      </c>
    </row>
    <row r="507" spans="1:4" ht="18.75" customHeight="1" x14ac:dyDescent="0.25">
      <c r="A507" s="5">
        <f t="shared" si="11"/>
        <v>117</v>
      </c>
      <c r="B507" s="17" t="s">
        <v>458</v>
      </c>
      <c r="C507" s="5" t="s">
        <v>14</v>
      </c>
      <c r="D507" s="7"/>
    </row>
    <row r="508" spans="1:4" ht="18.75" customHeight="1" x14ac:dyDescent="0.25">
      <c r="A508" s="5">
        <f t="shared" si="11"/>
        <v>118</v>
      </c>
      <c r="B508" s="17" t="s">
        <v>459</v>
      </c>
      <c r="C508" s="5" t="s">
        <v>14</v>
      </c>
      <c r="D508" s="7"/>
    </row>
    <row r="509" spans="1:4" ht="18.75" customHeight="1" x14ac:dyDescent="0.25">
      <c r="A509" s="5"/>
      <c r="B509" s="6"/>
      <c r="C509" s="5"/>
      <c r="D509" s="7"/>
    </row>
    <row r="510" spans="1:4" ht="18.75" customHeight="1" x14ac:dyDescent="0.25">
      <c r="A510" s="8"/>
      <c r="B510" s="9" t="s">
        <v>460</v>
      </c>
      <c r="C510" s="8"/>
      <c r="D510" s="10"/>
    </row>
    <row r="511" spans="1:4" ht="18.75" customHeight="1" x14ac:dyDescent="0.25">
      <c r="A511" s="444">
        <v>1</v>
      </c>
      <c r="B511" s="445" t="s">
        <v>1690</v>
      </c>
      <c r="C511" s="444" t="s">
        <v>612</v>
      </c>
      <c r="D511" s="446">
        <v>100000</v>
      </c>
    </row>
    <row r="512" spans="1:4" ht="18.75" customHeight="1" x14ac:dyDescent="0.25">
      <c r="A512" s="444">
        <f>A511+1</f>
        <v>2</v>
      </c>
      <c r="B512" s="445" t="s">
        <v>1689</v>
      </c>
      <c r="C512" s="444" t="s">
        <v>612</v>
      </c>
      <c r="D512" s="446">
        <v>150000</v>
      </c>
    </row>
    <row r="513" spans="1:4" ht="18.75" customHeight="1" x14ac:dyDescent="0.25">
      <c r="A513" s="444">
        <f t="shared" ref="A513:A529" si="12">A512+1</f>
        <v>3</v>
      </c>
      <c r="B513" s="445" t="s">
        <v>462</v>
      </c>
      <c r="C513" s="444" t="s">
        <v>612</v>
      </c>
      <c r="D513" s="446">
        <v>197000</v>
      </c>
    </row>
    <row r="514" spans="1:4" ht="18.75" customHeight="1" x14ac:dyDescent="0.25">
      <c r="A514" s="5">
        <f t="shared" si="12"/>
        <v>4</v>
      </c>
      <c r="B514" s="17" t="s">
        <v>463</v>
      </c>
      <c r="C514" s="5" t="s">
        <v>612</v>
      </c>
      <c r="D514" s="431"/>
    </row>
    <row r="515" spans="1:4" ht="18.75" customHeight="1" x14ac:dyDescent="0.25">
      <c r="A515" s="444">
        <f t="shared" si="12"/>
        <v>5</v>
      </c>
      <c r="B515" s="445" t="s">
        <v>464</v>
      </c>
      <c r="C515" s="444" t="s">
        <v>612</v>
      </c>
      <c r="D515" s="446">
        <v>481000</v>
      </c>
    </row>
    <row r="516" spans="1:4" ht="18.75" customHeight="1" x14ac:dyDescent="0.25">
      <c r="A516" s="444">
        <f t="shared" si="12"/>
        <v>6</v>
      </c>
      <c r="B516" s="445" t="s">
        <v>465</v>
      </c>
      <c r="C516" s="444" t="s">
        <v>612</v>
      </c>
      <c r="D516" s="446">
        <v>670000</v>
      </c>
    </row>
    <row r="517" spans="1:4" ht="18.75" customHeight="1" x14ac:dyDescent="0.25">
      <c r="A517" s="5">
        <f t="shared" si="12"/>
        <v>7</v>
      </c>
      <c r="B517" s="17" t="s">
        <v>466</v>
      </c>
      <c r="C517" s="5" t="s">
        <v>612</v>
      </c>
      <c r="D517" s="431"/>
    </row>
    <row r="518" spans="1:4" ht="18.75" customHeight="1" x14ac:dyDescent="0.25">
      <c r="A518" s="5">
        <f t="shared" si="12"/>
        <v>8</v>
      </c>
      <c r="B518" s="17" t="s">
        <v>467</v>
      </c>
      <c r="C518" s="5" t="s">
        <v>14</v>
      </c>
      <c r="D518" s="431"/>
    </row>
    <row r="519" spans="1:4" ht="18.75" customHeight="1" x14ac:dyDescent="0.25">
      <c r="A519" s="444">
        <f t="shared" si="12"/>
        <v>9</v>
      </c>
      <c r="B519" s="445" t="s">
        <v>468</v>
      </c>
      <c r="C519" s="444" t="s">
        <v>14</v>
      </c>
      <c r="D519" s="446">
        <v>29000</v>
      </c>
    </row>
    <row r="520" spans="1:4" ht="18.75" customHeight="1" x14ac:dyDescent="0.25">
      <c r="A520" s="444">
        <f t="shared" si="12"/>
        <v>10</v>
      </c>
      <c r="B520" s="445" t="s">
        <v>469</v>
      </c>
      <c r="C520" s="444" t="s">
        <v>14</v>
      </c>
      <c r="D520" s="446">
        <v>37000</v>
      </c>
    </row>
    <row r="521" spans="1:4" ht="18.75" customHeight="1" x14ac:dyDescent="0.25">
      <c r="A521" s="444">
        <f t="shared" si="12"/>
        <v>11</v>
      </c>
      <c r="B521" s="445" t="s">
        <v>470</v>
      </c>
      <c r="C521" s="444" t="s">
        <v>14</v>
      </c>
      <c r="D521" s="446">
        <v>44000</v>
      </c>
    </row>
    <row r="522" spans="1:4" ht="18.75" customHeight="1" x14ac:dyDescent="0.25">
      <c r="A522" s="444">
        <f t="shared" si="12"/>
        <v>12</v>
      </c>
      <c r="B522" s="445" t="s">
        <v>471</v>
      </c>
      <c r="C522" s="444" t="s">
        <v>14</v>
      </c>
      <c r="D522" s="446">
        <v>65000</v>
      </c>
    </row>
    <row r="523" spans="1:4" ht="18.75" customHeight="1" x14ac:dyDescent="0.25">
      <c r="A523" s="444">
        <f t="shared" si="12"/>
        <v>13</v>
      </c>
      <c r="B523" s="445" t="s">
        <v>472</v>
      </c>
      <c r="C523" s="444" t="s">
        <v>14</v>
      </c>
      <c r="D523" s="446">
        <v>95000</v>
      </c>
    </row>
    <row r="524" spans="1:4" ht="18.75" customHeight="1" x14ac:dyDescent="0.25">
      <c r="A524" s="444">
        <f t="shared" si="12"/>
        <v>14</v>
      </c>
      <c r="B524" s="445" t="s">
        <v>473</v>
      </c>
      <c r="C524" s="444" t="s">
        <v>14</v>
      </c>
      <c r="D524" s="446">
        <v>150000</v>
      </c>
    </row>
    <row r="525" spans="1:4" ht="18.75" customHeight="1" x14ac:dyDescent="0.25">
      <c r="A525" s="5">
        <f t="shared" si="12"/>
        <v>15</v>
      </c>
      <c r="B525" s="17" t="s">
        <v>474</v>
      </c>
      <c r="C525" s="5" t="s">
        <v>14</v>
      </c>
      <c r="D525" s="7"/>
    </row>
    <row r="526" spans="1:4" ht="18.75" customHeight="1" x14ac:dyDescent="0.25">
      <c r="A526" s="5">
        <f t="shared" si="12"/>
        <v>16</v>
      </c>
      <c r="B526" s="17" t="s">
        <v>475</v>
      </c>
      <c r="C526" s="5" t="s">
        <v>14</v>
      </c>
      <c r="D526" s="7"/>
    </row>
    <row r="527" spans="1:4" ht="18.75" customHeight="1" x14ac:dyDescent="0.25">
      <c r="A527" s="5">
        <f t="shared" si="12"/>
        <v>17</v>
      </c>
      <c r="B527" s="17" t="s">
        <v>476</v>
      </c>
      <c r="C527" s="5" t="s">
        <v>14</v>
      </c>
      <c r="D527" s="7"/>
    </row>
    <row r="528" spans="1:4" ht="18.75" customHeight="1" x14ac:dyDescent="0.25">
      <c r="A528" s="5">
        <f t="shared" si="12"/>
        <v>18</v>
      </c>
      <c r="B528" s="17" t="s">
        <v>477</v>
      </c>
      <c r="C528" s="5" t="s">
        <v>461</v>
      </c>
      <c r="D528" s="7"/>
    </row>
    <row r="529" spans="1:4" ht="18.75" customHeight="1" x14ac:dyDescent="0.25">
      <c r="A529" s="5">
        <f t="shared" si="12"/>
        <v>19</v>
      </c>
      <c r="B529" s="17" t="s">
        <v>478</v>
      </c>
      <c r="C529" s="5" t="s">
        <v>461</v>
      </c>
      <c r="D529" s="7"/>
    </row>
    <row r="530" spans="1:4" ht="18.75" customHeight="1" x14ac:dyDescent="0.25">
      <c r="A530" s="5"/>
      <c r="B530" s="6"/>
      <c r="C530" s="5"/>
      <c r="D530" s="7"/>
    </row>
    <row r="531" spans="1:4" ht="18.75" customHeight="1" x14ac:dyDescent="0.25">
      <c r="A531" s="8"/>
      <c r="B531" s="9" t="s">
        <v>479</v>
      </c>
      <c r="C531" s="8"/>
      <c r="D531" s="10"/>
    </row>
    <row r="532" spans="1:4" ht="18.75" customHeight="1" x14ac:dyDescent="0.25">
      <c r="A532" s="5">
        <v>1</v>
      </c>
      <c r="B532" s="17" t="s">
        <v>480</v>
      </c>
      <c r="C532" s="5" t="s">
        <v>614</v>
      </c>
      <c r="D532" s="7"/>
    </row>
    <row r="533" spans="1:4" ht="18.75" customHeight="1" x14ac:dyDescent="0.25">
      <c r="A533" s="5">
        <f>A532+1</f>
        <v>2</v>
      </c>
      <c r="B533" s="17" t="s">
        <v>481</v>
      </c>
      <c r="C533" s="5" t="s">
        <v>614</v>
      </c>
      <c r="D533" s="7"/>
    </row>
    <row r="534" spans="1:4" ht="18.75" customHeight="1" x14ac:dyDescent="0.25">
      <c r="A534" s="444">
        <f t="shared" ref="A534:A558" si="13">A533+1</f>
        <v>3</v>
      </c>
      <c r="B534" s="445" t="s">
        <v>482</v>
      </c>
      <c r="C534" s="444" t="s">
        <v>614</v>
      </c>
      <c r="D534" s="446">
        <v>25000</v>
      </c>
    </row>
    <row r="535" spans="1:4" ht="18.75" customHeight="1" x14ac:dyDescent="0.25">
      <c r="A535" s="5">
        <f t="shared" si="13"/>
        <v>4</v>
      </c>
      <c r="B535" s="17" t="s">
        <v>483</v>
      </c>
      <c r="C535" s="5" t="s">
        <v>614</v>
      </c>
      <c r="D535" s="431"/>
    </row>
    <row r="536" spans="1:4" ht="18.75" customHeight="1" x14ac:dyDescent="0.25">
      <c r="A536" s="5">
        <f t="shared" si="13"/>
        <v>5</v>
      </c>
      <c r="B536" s="17" t="s">
        <v>484</v>
      </c>
      <c r="C536" s="5" t="s">
        <v>614</v>
      </c>
      <c r="D536" s="431"/>
    </row>
    <row r="537" spans="1:4" ht="18.75" customHeight="1" x14ac:dyDescent="0.25">
      <c r="A537" s="5">
        <f t="shared" si="13"/>
        <v>6</v>
      </c>
      <c r="B537" s="17" t="s">
        <v>485</v>
      </c>
      <c r="C537" s="5" t="s">
        <v>614</v>
      </c>
      <c r="D537" s="431"/>
    </row>
    <row r="538" spans="1:4" ht="18.75" customHeight="1" x14ac:dyDescent="0.25">
      <c r="A538" s="444">
        <f t="shared" si="13"/>
        <v>7</v>
      </c>
      <c r="B538" s="445" t="s">
        <v>486</v>
      </c>
      <c r="C538" s="444" t="s">
        <v>614</v>
      </c>
      <c r="D538" s="446">
        <v>114000</v>
      </c>
    </row>
    <row r="539" spans="1:4" ht="18.75" customHeight="1" x14ac:dyDescent="0.25">
      <c r="A539" s="5">
        <f t="shared" si="13"/>
        <v>8</v>
      </c>
      <c r="B539" s="17" t="s">
        <v>487</v>
      </c>
      <c r="C539" s="5" t="s">
        <v>614</v>
      </c>
      <c r="D539" s="431"/>
    </row>
    <row r="540" spans="1:4" ht="18.75" customHeight="1" x14ac:dyDescent="0.25">
      <c r="A540" s="444">
        <f t="shared" si="13"/>
        <v>9</v>
      </c>
      <c r="B540" s="445" t="s">
        <v>1487</v>
      </c>
      <c r="C540" s="444" t="s">
        <v>614</v>
      </c>
      <c r="D540" s="446">
        <v>150000</v>
      </c>
    </row>
    <row r="541" spans="1:4" ht="18.75" customHeight="1" x14ac:dyDescent="0.25">
      <c r="A541" s="444">
        <f t="shared" si="13"/>
        <v>10</v>
      </c>
      <c r="B541" s="445" t="s">
        <v>488</v>
      </c>
      <c r="C541" s="444" t="s">
        <v>614</v>
      </c>
      <c r="D541" s="446">
        <v>132000</v>
      </c>
    </row>
    <row r="542" spans="1:4" ht="18.75" customHeight="1" x14ac:dyDescent="0.25">
      <c r="A542" s="444">
        <f t="shared" si="13"/>
        <v>11</v>
      </c>
      <c r="B542" s="445" t="s">
        <v>489</v>
      </c>
      <c r="C542" s="444" t="s">
        <v>614</v>
      </c>
      <c r="D542" s="446">
        <v>132000</v>
      </c>
    </row>
    <row r="543" spans="1:4" ht="18.75" customHeight="1" x14ac:dyDescent="0.25">
      <c r="A543" s="444">
        <f t="shared" si="13"/>
        <v>12</v>
      </c>
      <c r="B543" s="445" t="s">
        <v>1628</v>
      </c>
      <c r="C543" s="444" t="s">
        <v>614</v>
      </c>
      <c r="D543" s="446">
        <v>165000</v>
      </c>
    </row>
    <row r="544" spans="1:4" ht="18.75" customHeight="1" x14ac:dyDescent="0.25">
      <c r="A544" s="444">
        <f t="shared" si="13"/>
        <v>13</v>
      </c>
      <c r="B544" s="445" t="s">
        <v>490</v>
      </c>
      <c r="C544" s="444" t="s">
        <v>614</v>
      </c>
      <c r="D544" s="446">
        <v>81000</v>
      </c>
    </row>
    <row r="545" spans="1:4" ht="18.75" customHeight="1" x14ac:dyDescent="0.25">
      <c r="A545" s="444">
        <f t="shared" si="13"/>
        <v>14</v>
      </c>
      <c r="B545" s="445" t="s">
        <v>491</v>
      </c>
      <c r="C545" s="444" t="s">
        <v>614</v>
      </c>
      <c r="D545" s="446">
        <v>96000</v>
      </c>
    </row>
    <row r="546" spans="1:4" ht="18.75" customHeight="1" x14ac:dyDescent="0.25">
      <c r="A546" s="5">
        <f t="shared" si="13"/>
        <v>15</v>
      </c>
      <c r="B546" s="17" t="s">
        <v>492</v>
      </c>
      <c r="C546" s="5" t="s">
        <v>614</v>
      </c>
      <c r="D546" s="431"/>
    </row>
    <row r="547" spans="1:4" ht="18.75" customHeight="1" x14ac:dyDescent="0.25">
      <c r="A547" s="444">
        <f t="shared" si="13"/>
        <v>16</v>
      </c>
      <c r="B547" s="445" t="s">
        <v>493</v>
      </c>
      <c r="C547" s="444" t="s">
        <v>614</v>
      </c>
      <c r="D547" s="446">
        <v>70000</v>
      </c>
    </row>
    <row r="548" spans="1:4" ht="18.75" customHeight="1" x14ac:dyDescent="0.25">
      <c r="A548" s="5">
        <f t="shared" si="13"/>
        <v>17</v>
      </c>
      <c r="B548" s="17" t="s">
        <v>494</v>
      </c>
      <c r="C548" s="5" t="s">
        <v>614</v>
      </c>
      <c r="D548" s="7"/>
    </row>
    <row r="549" spans="1:4" ht="18.75" customHeight="1" x14ac:dyDescent="0.25">
      <c r="A549" s="5">
        <f t="shared" si="13"/>
        <v>18</v>
      </c>
      <c r="B549" s="17" t="s">
        <v>495</v>
      </c>
      <c r="C549" s="5" t="s">
        <v>614</v>
      </c>
      <c r="D549" s="7"/>
    </row>
    <row r="550" spans="1:4" ht="18.75" customHeight="1" x14ac:dyDescent="0.25">
      <c r="A550" s="5">
        <f t="shared" si="13"/>
        <v>19</v>
      </c>
      <c r="B550" s="17" t="s">
        <v>496</v>
      </c>
      <c r="C550" s="5" t="s">
        <v>614</v>
      </c>
      <c r="D550" s="7"/>
    </row>
    <row r="551" spans="1:4" ht="18.75" customHeight="1" x14ac:dyDescent="0.25">
      <c r="A551" s="5">
        <f t="shared" si="13"/>
        <v>20</v>
      </c>
      <c r="B551" s="17" t="s">
        <v>497</v>
      </c>
      <c r="C551" s="5" t="s">
        <v>614</v>
      </c>
      <c r="D551" s="7"/>
    </row>
    <row r="552" spans="1:4" ht="18.75" customHeight="1" x14ac:dyDescent="0.25">
      <c r="A552" s="5">
        <f t="shared" si="13"/>
        <v>21</v>
      </c>
      <c r="B552" s="17" t="s">
        <v>498</v>
      </c>
      <c r="C552" s="5" t="s">
        <v>14</v>
      </c>
      <c r="D552" s="7"/>
    </row>
    <row r="553" spans="1:4" ht="18.75" customHeight="1" x14ac:dyDescent="0.25">
      <c r="A553" s="444">
        <f t="shared" si="13"/>
        <v>22</v>
      </c>
      <c r="B553" s="445" t="s">
        <v>499</v>
      </c>
      <c r="C553" s="444" t="s">
        <v>612</v>
      </c>
      <c r="D553" s="446">
        <v>40000</v>
      </c>
    </row>
    <row r="554" spans="1:4" ht="18.75" customHeight="1" x14ac:dyDescent="0.25">
      <c r="A554" s="5">
        <f t="shared" si="13"/>
        <v>23</v>
      </c>
      <c r="B554" s="17" t="s">
        <v>500</v>
      </c>
      <c r="C554" s="5" t="s">
        <v>614</v>
      </c>
      <c r="D554" s="431"/>
    </row>
    <row r="555" spans="1:4" ht="18.75" customHeight="1" x14ac:dyDescent="0.25">
      <c r="A555" s="5">
        <f t="shared" si="13"/>
        <v>24</v>
      </c>
      <c r="B555" s="17" t="s">
        <v>501</v>
      </c>
      <c r="C555" s="5" t="s">
        <v>612</v>
      </c>
      <c r="D555" s="7"/>
    </row>
    <row r="556" spans="1:4" ht="18.75" customHeight="1" x14ac:dyDescent="0.25">
      <c r="A556" s="5">
        <f t="shared" si="13"/>
        <v>25</v>
      </c>
      <c r="B556" s="17" t="s">
        <v>502</v>
      </c>
      <c r="C556" s="5" t="s">
        <v>62</v>
      </c>
      <c r="D556" s="7"/>
    </row>
    <row r="557" spans="1:4" ht="18.75" customHeight="1" x14ac:dyDescent="0.25">
      <c r="A557" s="5">
        <f t="shared" si="13"/>
        <v>26</v>
      </c>
      <c r="B557" s="17" t="s">
        <v>503</v>
      </c>
      <c r="C557" s="5" t="s">
        <v>504</v>
      </c>
      <c r="D557" s="7"/>
    </row>
    <row r="558" spans="1:4" ht="18.75" customHeight="1" x14ac:dyDescent="0.25">
      <c r="A558" s="5">
        <f t="shared" si="13"/>
        <v>27</v>
      </c>
      <c r="B558" s="17" t="s">
        <v>505</v>
      </c>
      <c r="C558" s="5" t="s">
        <v>14</v>
      </c>
      <c r="D558" s="7"/>
    </row>
    <row r="559" spans="1:4" ht="18.75" customHeight="1" x14ac:dyDescent="0.25">
      <c r="A559" s="5"/>
      <c r="B559" s="6"/>
      <c r="C559" s="5"/>
      <c r="D559" s="7"/>
    </row>
    <row r="560" spans="1:4" ht="18.75" customHeight="1" x14ac:dyDescent="0.25">
      <c r="A560" s="8"/>
      <c r="B560" s="9" t="s">
        <v>506</v>
      </c>
      <c r="C560" s="8"/>
      <c r="D560" s="10"/>
    </row>
    <row r="561" spans="1:4" ht="18.75" customHeight="1" x14ac:dyDescent="0.25">
      <c r="A561" s="444">
        <v>1</v>
      </c>
      <c r="B561" s="445" t="s">
        <v>507</v>
      </c>
      <c r="C561" s="444" t="s">
        <v>28</v>
      </c>
      <c r="D561" s="446">
        <v>370000</v>
      </c>
    </row>
    <row r="562" spans="1:4" ht="18.75" customHeight="1" x14ac:dyDescent="0.25">
      <c r="A562" s="444">
        <f>A561+1</f>
        <v>2</v>
      </c>
      <c r="B562" s="445" t="s">
        <v>508</v>
      </c>
      <c r="C562" s="444" t="s">
        <v>28</v>
      </c>
      <c r="D562" s="446">
        <v>300000</v>
      </c>
    </row>
    <row r="563" spans="1:4" ht="18.75" customHeight="1" x14ac:dyDescent="0.25">
      <c r="A563" s="444">
        <f t="shared" ref="A563:A577" si="14">A562+1</f>
        <v>3</v>
      </c>
      <c r="B563" s="445" t="s">
        <v>509</v>
      </c>
      <c r="C563" s="444" t="s">
        <v>28</v>
      </c>
      <c r="D563" s="446">
        <v>475000</v>
      </c>
    </row>
    <row r="564" spans="1:4" ht="18.75" customHeight="1" x14ac:dyDescent="0.25">
      <c r="A564" s="5">
        <f t="shared" si="14"/>
        <v>4</v>
      </c>
      <c r="B564" s="17" t="s">
        <v>510</v>
      </c>
      <c r="C564" s="5" t="s">
        <v>28</v>
      </c>
      <c r="D564" s="431"/>
    </row>
    <row r="565" spans="1:4" ht="18.75" customHeight="1" x14ac:dyDescent="0.25">
      <c r="A565" s="444">
        <f t="shared" si="14"/>
        <v>5</v>
      </c>
      <c r="B565" s="445" t="s">
        <v>1716</v>
      </c>
      <c r="C565" s="444" t="s">
        <v>28</v>
      </c>
      <c r="D565" s="446">
        <v>50000</v>
      </c>
    </row>
    <row r="566" spans="1:4" ht="18.75" customHeight="1" x14ac:dyDescent="0.25">
      <c r="A566" s="5">
        <f t="shared" si="14"/>
        <v>6</v>
      </c>
      <c r="B566" s="17" t="s">
        <v>511</v>
      </c>
      <c r="C566" s="5" t="s">
        <v>28</v>
      </c>
      <c r="D566" s="431"/>
    </row>
    <row r="567" spans="1:4" ht="18.75" customHeight="1" x14ac:dyDescent="0.25">
      <c r="A567" s="444">
        <f t="shared" si="14"/>
        <v>7</v>
      </c>
      <c r="B567" s="445" t="s">
        <v>512</v>
      </c>
      <c r="C567" s="444" t="s">
        <v>28</v>
      </c>
      <c r="D567" s="446">
        <v>75000</v>
      </c>
    </row>
    <row r="568" spans="1:4" ht="18.75" customHeight="1" x14ac:dyDescent="0.25">
      <c r="A568" s="444">
        <f t="shared" si="14"/>
        <v>8</v>
      </c>
      <c r="B568" s="445" t="s">
        <v>1681</v>
      </c>
      <c r="C568" s="444" t="s">
        <v>28</v>
      </c>
      <c r="D568" s="446">
        <v>2200000</v>
      </c>
    </row>
    <row r="569" spans="1:4" ht="18.75" customHeight="1" x14ac:dyDescent="0.25">
      <c r="A569" s="444">
        <f t="shared" si="14"/>
        <v>9</v>
      </c>
      <c r="B569" s="445" t="s">
        <v>1717</v>
      </c>
      <c r="C569" s="444" t="s">
        <v>28</v>
      </c>
      <c r="D569" s="446">
        <v>190000</v>
      </c>
    </row>
    <row r="570" spans="1:4" ht="18.75" customHeight="1" x14ac:dyDescent="0.25">
      <c r="A570" s="444">
        <f t="shared" si="14"/>
        <v>10</v>
      </c>
      <c r="B570" s="445" t="s">
        <v>1718</v>
      </c>
      <c r="C570" s="444" t="s">
        <v>28</v>
      </c>
      <c r="D570" s="446">
        <v>70000</v>
      </c>
    </row>
    <row r="571" spans="1:4" ht="18.75" customHeight="1" x14ac:dyDescent="0.25">
      <c r="A571" s="5">
        <f t="shared" si="14"/>
        <v>11</v>
      </c>
      <c r="B571" s="17" t="s">
        <v>513</v>
      </c>
      <c r="C571" s="5" t="s">
        <v>28</v>
      </c>
      <c r="D571" s="431"/>
    </row>
    <row r="572" spans="1:4" ht="18.75" customHeight="1" x14ac:dyDescent="0.25">
      <c r="A572" s="5">
        <f t="shared" si="14"/>
        <v>12</v>
      </c>
      <c r="B572" s="17" t="s">
        <v>514</v>
      </c>
      <c r="C572" s="5" t="s">
        <v>28</v>
      </c>
      <c r="D572" s="431"/>
    </row>
    <row r="573" spans="1:4" ht="18.75" customHeight="1" x14ac:dyDescent="0.25">
      <c r="A573" s="5">
        <f t="shared" si="14"/>
        <v>13</v>
      </c>
      <c r="B573" s="17" t="s">
        <v>515</v>
      </c>
      <c r="C573" s="5" t="s">
        <v>28</v>
      </c>
      <c r="D573" s="431"/>
    </row>
    <row r="574" spans="1:4" ht="18.75" customHeight="1" x14ac:dyDescent="0.25">
      <c r="A574" s="444">
        <f t="shared" si="14"/>
        <v>14</v>
      </c>
      <c r="B574" s="445" t="s">
        <v>516</v>
      </c>
      <c r="C574" s="444" t="s">
        <v>28</v>
      </c>
      <c r="D574" s="446">
        <v>3500</v>
      </c>
    </row>
    <row r="575" spans="1:4" ht="18.75" customHeight="1" x14ac:dyDescent="0.25">
      <c r="A575" s="444">
        <f t="shared" si="14"/>
        <v>15</v>
      </c>
      <c r="B575" s="445" t="s">
        <v>517</v>
      </c>
      <c r="C575" s="444" t="s">
        <v>28</v>
      </c>
      <c r="D575" s="446">
        <v>60000</v>
      </c>
    </row>
    <row r="576" spans="1:4" ht="18.75" customHeight="1" x14ac:dyDescent="0.25">
      <c r="A576" s="444">
        <f t="shared" si="14"/>
        <v>16</v>
      </c>
      <c r="B576" s="445" t="s">
        <v>518</v>
      </c>
      <c r="C576" s="444" t="s">
        <v>28</v>
      </c>
      <c r="D576" s="446">
        <v>1250000</v>
      </c>
    </row>
    <row r="577" spans="1:4" ht="18.75" customHeight="1" x14ac:dyDescent="0.25">
      <c r="A577" s="444">
        <f t="shared" si="14"/>
        <v>17</v>
      </c>
      <c r="B577" s="445" t="s">
        <v>519</v>
      </c>
      <c r="C577" s="444" t="s">
        <v>28</v>
      </c>
      <c r="D577" s="446">
        <v>521000</v>
      </c>
    </row>
    <row r="578" spans="1:4" ht="18.75" customHeight="1" x14ac:dyDescent="0.25">
      <c r="A578" s="5"/>
      <c r="B578" s="6"/>
      <c r="C578" s="5"/>
      <c r="D578" s="7"/>
    </row>
    <row r="579" spans="1:4" ht="18.75" customHeight="1" x14ac:dyDescent="0.25">
      <c r="A579" s="8"/>
      <c r="B579" s="9" t="s">
        <v>520</v>
      </c>
      <c r="C579" s="8"/>
      <c r="D579" s="10"/>
    </row>
    <row r="580" spans="1:4" ht="18.75" customHeight="1" x14ac:dyDescent="0.25">
      <c r="A580" s="444">
        <v>1</v>
      </c>
      <c r="B580" s="445" t="s">
        <v>596</v>
      </c>
      <c r="C580" s="444" t="s">
        <v>61</v>
      </c>
      <c r="D580" s="446">
        <v>65500</v>
      </c>
    </row>
    <row r="581" spans="1:4" ht="18.75" customHeight="1" x14ac:dyDescent="0.25">
      <c r="A581" s="444">
        <f>A580+1</f>
        <v>2</v>
      </c>
      <c r="B581" s="445" t="s">
        <v>521</v>
      </c>
      <c r="C581" s="444" t="s">
        <v>62</v>
      </c>
      <c r="D581" s="446">
        <v>14500</v>
      </c>
    </row>
    <row r="582" spans="1:4" ht="18.75" customHeight="1" x14ac:dyDescent="0.25">
      <c r="A582" s="5"/>
      <c r="B582" s="6"/>
      <c r="C582" s="5"/>
      <c r="D582" s="7"/>
    </row>
    <row r="583" spans="1:4" ht="18.75" customHeight="1" x14ac:dyDescent="0.25">
      <c r="A583" s="8"/>
      <c r="B583" s="9" t="s">
        <v>522</v>
      </c>
      <c r="C583" s="8"/>
      <c r="D583" s="10"/>
    </row>
    <row r="584" spans="1:4" ht="18.75" customHeight="1" x14ac:dyDescent="0.25">
      <c r="A584" s="444">
        <v>1</v>
      </c>
      <c r="B584" s="445" t="s">
        <v>523</v>
      </c>
      <c r="C584" s="444" t="s">
        <v>58</v>
      </c>
      <c r="D584" s="446">
        <v>15000</v>
      </c>
    </row>
    <row r="585" spans="1:4" ht="18.75" customHeight="1" x14ac:dyDescent="0.25">
      <c r="A585" s="5">
        <f>A584+1</f>
        <v>2</v>
      </c>
      <c r="B585" s="17" t="s">
        <v>524</v>
      </c>
      <c r="C585" s="5" t="s">
        <v>58</v>
      </c>
      <c r="D585" s="7"/>
    </row>
    <row r="586" spans="1:4" ht="18.75" customHeight="1" x14ac:dyDescent="0.25">
      <c r="A586" s="5"/>
      <c r="B586" s="6"/>
      <c r="C586" s="5"/>
      <c r="D586" s="7"/>
    </row>
    <row r="587" spans="1:4" ht="18.75" customHeight="1" x14ac:dyDescent="0.25">
      <c r="A587" s="8"/>
      <c r="B587" s="9" t="s">
        <v>525</v>
      </c>
      <c r="C587" s="8"/>
      <c r="D587" s="10"/>
    </row>
    <row r="588" spans="1:4" ht="18.75" customHeight="1" x14ac:dyDescent="0.25">
      <c r="A588" s="5">
        <v>1</v>
      </c>
      <c r="B588" s="17" t="s">
        <v>526</v>
      </c>
      <c r="C588" s="5" t="s">
        <v>28</v>
      </c>
      <c r="D588" s="7"/>
    </row>
    <row r="589" spans="1:4" ht="18.75" customHeight="1" x14ac:dyDescent="0.25">
      <c r="A589" s="5">
        <f>A588+1</f>
        <v>2</v>
      </c>
      <c r="B589" s="17" t="s">
        <v>527</v>
      </c>
      <c r="C589" s="5" t="s">
        <v>28</v>
      </c>
      <c r="D589" s="7"/>
    </row>
    <row r="590" spans="1:4" ht="18.75" customHeight="1" x14ac:dyDescent="0.25">
      <c r="A590" s="5">
        <f t="shared" ref="A590:A591" si="15">A589+1</f>
        <v>3</v>
      </c>
      <c r="B590" s="17" t="s">
        <v>528</v>
      </c>
      <c r="C590" s="5" t="s">
        <v>147</v>
      </c>
      <c r="D590" s="7"/>
    </row>
    <row r="591" spans="1:4" ht="18.75" customHeight="1" x14ac:dyDescent="0.25">
      <c r="A591" s="5">
        <f t="shared" si="15"/>
        <v>4</v>
      </c>
      <c r="B591" s="17" t="s">
        <v>529</v>
      </c>
      <c r="C591" s="5" t="s">
        <v>147</v>
      </c>
      <c r="D591" s="7"/>
    </row>
    <row r="592" spans="1:4" ht="18.75" customHeight="1" x14ac:dyDescent="0.25">
      <c r="A592" s="5"/>
      <c r="B592" s="6"/>
      <c r="C592" s="5"/>
      <c r="D592" s="7"/>
    </row>
    <row r="593" spans="1:4" ht="18.75" customHeight="1" x14ac:dyDescent="0.25">
      <c r="A593" s="8"/>
      <c r="B593" s="9" t="s">
        <v>530</v>
      </c>
      <c r="C593" s="8"/>
      <c r="D593" s="10"/>
    </row>
    <row r="594" spans="1:4" ht="18.75" customHeight="1" x14ac:dyDescent="0.25">
      <c r="A594" s="5">
        <v>1</v>
      </c>
      <c r="B594" s="17" t="s">
        <v>531</v>
      </c>
      <c r="C594" s="5" t="s">
        <v>52</v>
      </c>
      <c r="D594" s="7"/>
    </row>
    <row r="595" spans="1:4" ht="18.75" customHeight="1" x14ac:dyDescent="0.25">
      <c r="A595" s="5">
        <f>A594+1</f>
        <v>2</v>
      </c>
      <c r="B595" s="17" t="s">
        <v>532</v>
      </c>
      <c r="C595" s="5" t="s">
        <v>52</v>
      </c>
      <c r="D595" s="7"/>
    </row>
    <row r="596" spans="1:4" ht="18.75" customHeight="1" x14ac:dyDescent="0.25">
      <c r="A596" s="5">
        <f t="shared" ref="A596:A604" si="16">A595+1</f>
        <v>3</v>
      </c>
      <c r="B596" s="17" t="s">
        <v>533</v>
      </c>
      <c r="C596" s="5" t="s">
        <v>52</v>
      </c>
      <c r="D596" s="7"/>
    </row>
    <row r="597" spans="1:4" ht="18.75" customHeight="1" x14ac:dyDescent="0.25">
      <c r="A597" s="5">
        <f t="shared" si="16"/>
        <v>4</v>
      </c>
      <c r="B597" s="17" t="s">
        <v>534</v>
      </c>
      <c r="C597" s="5" t="s">
        <v>52</v>
      </c>
      <c r="D597" s="7"/>
    </row>
    <row r="598" spans="1:4" ht="18.75" customHeight="1" x14ac:dyDescent="0.25">
      <c r="A598" s="5">
        <f t="shared" si="16"/>
        <v>5</v>
      </c>
      <c r="B598" s="17" t="s">
        <v>535</v>
      </c>
      <c r="C598" s="5" t="s">
        <v>52</v>
      </c>
      <c r="D598" s="7"/>
    </row>
    <row r="599" spans="1:4" ht="18.75" customHeight="1" x14ac:dyDescent="0.25">
      <c r="A599" s="5">
        <f t="shared" si="16"/>
        <v>6</v>
      </c>
      <c r="B599" s="17" t="s">
        <v>536</v>
      </c>
      <c r="C599" s="5" t="s">
        <v>52</v>
      </c>
      <c r="D599" s="7"/>
    </row>
    <row r="600" spans="1:4" ht="18.75" customHeight="1" x14ac:dyDescent="0.25">
      <c r="A600" s="444">
        <f t="shared" si="16"/>
        <v>7</v>
      </c>
      <c r="B600" s="445" t="s">
        <v>537</v>
      </c>
      <c r="C600" s="444" t="s">
        <v>52</v>
      </c>
      <c r="D600" s="446">
        <v>855000</v>
      </c>
    </row>
    <row r="601" spans="1:4" ht="18.75" customHeight="1" x14ac:dyDescent="0.25">
      <c r="A601" s="5">
        <f t="shared" si="16"/>
        <v>8</v>
      </c>
      <c r="B601" s="17" t="s">
        <v>538</v>
      </c>
      <c r="C601" s="5" t="s">
        <v>52</v>
      </c>
      <c r="D601" s="7"/>
    </row>
    <row r="602" spans="1:4" ht="18.75" customHeight="1" x14ac:dyDescent="0.25">
      <c r="A602" s="5">
        <f t="shared" si="16"/>
        <v>9</v>
      </c>
      <c r="B602" s="17" t="s">
        <v>539</v>
      </c>
      <c r="C602" s="5" t="s">
        <v>52</v>
      </c>
      <c r="D602" s="7"/>
    </row>
    <row r="603" spans="1:4" ht="18.75" customHeight="1" x14ac:dyDescent="0.25">
      <c r="A603" s="5">
        <f t="shared" si="16"/>
        <v>10</v>
      </c>
      <c r="B603" s="17" t="s">
        <v>540</v>
      </c>
      <c r="C603" s="5" t="s">
        <v>52</v>
      </c>
      <c r="D603" s="7"/>
    </row>
    <row r="604" spans="1:4" ht="18.75" customHeight="1" x14ac:dyDescent="0.25">
      <c r="A604" s="5">
        <f t="shared" si="16"/>
        <v>11</v>
      </c>
      <c r="B604" s="17" t="s">
        <v>541</v>
      </c>
      <c r="C604" s="5" t="s">
        <v>52</v>
      </c>
      <c r="D604" s="7"/>
    </row>
    <row r="605" spans="1:4" ht="18.75" customHeight="1" x14ac:dyDescent="0.25">
      <c r="A605" s="5"/>
      <c r="B605" s="6"/>
      <c r="C605" s="5"/>
      <c r="D605" s="7"/>
    </row>
    <row r="606" spans="1:4" ht="18.75" customHeight="1" x14ac:dyDescent="0.25">
      <c r="A606" s="8"/>
      <c r="B606" s="9" t="s">
        <v>542</v>
      </c>
      <c r="C606" s="8"/>
      <c r="D606" s="10"/>
    </row>
    <row r="607" spans="1:4" ht="18.75" customHeight="1" x14ac:dyDescent="0.25">
      <c r="A607" s="444">
        <v>1</v>
      </c>
      <c r="B607" s="445" t="s">
        <v>543</v>
      </c>
      <c r="C607" s="444" t="s">
        <v>544</v>
      </c>
      <c r="D607" s="446">
        <v>15000</v>
      </c>
    </row>
    <row r="608" spans="1:4" ht="18.75" customHeight="1" x14ac:dyDescent="0.25">
      <c r="A608" s="444">
        <f>A607+1</f>
        <v>2</v>
      </c>
      <c r="B608" s="445" t="s">
        <v>545</v>
      </c>
      <c r="C608" s="444" t="s">
        <v>546</v>
      </c>
      <c r="D608" s="446">
        <v>124000</v>
      </c>
    </row>
    <row r="609" spans="1:4" ht="18.75" customHeight="1" x14ac:dyDescent="0.25">
      <c r="A609" s="444">
        <f t="shared" ref="A609:A612" si="17">A608+1</f>
        <v>3</v>
      </c>
      <c r="B609" s="445" t="s">
        <v>547</v>
      </c>
      <c r="C609" s="444" t="s">
        <v>58</v>
      </c>
      <c r="D609" s="446">
        <v>295000</v>
      </c>
    </row>
    <row r="610" spans="1:4" ht="18.75" customHeight="1" x14ac:dyDescent="0.25">
      <c r="A610" s="444">
        <f t="shared" si="17"/>
        <v>4</v>
      </c>
      <c r="B610" s="445" t="s">
        <v>548</v>
      </c>
      <c r="C610" s="444" t="s">
        <v>58</v>
      </c>
      <c r="D610" s="446">
        <v>50000</v>
      </c>
    </row>
    <row r="611" spans="1:4" ht="18.75" customHeight="1" x14ac:dyDescent="0.25">
      <c r="A611" s="444">
        <f t="shared" si="17"/>
        <v>5</v>
      </c>
      <c r="B611" s="445" t="s">
        <v>549</v>
      </c>
      <c r="C611" s="444" t="s">
        <v>58</v>
      </c>
      <c r="D611" s="446">
        <v>235000</v>
      </c>
    </row>
    <row r="612" spans="1:4" ht="18.75" customHeight="1" x14ac:dyDescent="0.25">
      <c r="A612" s="444">
        <f t="shared" si="17"/>
        <v>6</v>
      </c>
      <c r="B612" s="445" t="s">
        <v>550</v>
      </c>
      <c r="C612" s="444" t="s">
        <v>62</v>
      </c>
      <c r="D612" s="446">
        <v>2500</v>
      </c>
    </row>
    <row r="613" spans="1:4" ht="18.75" customHeight="1" x14ac:dyDescent="0.25">
      <c r="A613" s="5"/>
      <c r="B613" s="6"/>
      <c r="C613" s="5"/>
      <c r="D613" s="7"/>
    </row>
    <row r="614" spans="1:4" ht="18.75" customHeight="1" x14ac:dyDescent="0.25">
      <c r="A614" s="8"/>
      <c r="B614" s="9" t="s">
        <v>551</v>
      </c>
      <c r="C614" s="8"/>
      <c r="D614" s="10"/>
    </row>
    <row r="615" spans="1:4" ht="18.75" customHeight="1" x14ac:dyDescent="0.25">
      <c r="A615" s="5">
        <v>1</v>
      </c>
      <c r="B615" s="17" t="s">
        <v>552</v>
      </c>
      <c r="C615" s="5" t="s">
        <v>553</v>
      </c>
      <c r="D615" s="7"/>
    </row>
    <row r="616" spans="1:4" ht="18.75" customHeight="1" x14ac:dyDescent="0.25">
      <c r="A616" s="5">
        <f>A615+1</f>
        <v>2</v>
      </c>
      <c r="B616" s="17" t="s">
        <v>554</v>
      </c>
      <c r="C616" s="5" t="s">
        <v>555</v>
      </c>
      <c r="D616" s="7"/>
    </row>
    <row r="617" spans="1:4" ht="18.75" customHeight="1" x14ac:dyDescent="0.25">
      <c r="A617" s="5">
        <f t="shared" ref="A617:A627" si="18">A616+1</f>
        <v>3</v>
      </c>
      <c r="B617" s="17" t="s">
        <v>556</v>
      </c>
      <c r="C617" s="5" t="s">
        <v>555</v>
      </c>
      <c r="D617" s="7"/>
    </row>
    <row r="618" spans="1:4" ht="18.75" customHeight="1" x14ac:dyDescent="0.25">
      <c r="A618" s="5">
        <f t="shared" si="18"/>
        <v>4</v>
      </c>
      <c r="B618" s="17" t="s">
        <v>557</v>
      </c>
      <c r="C618" s="5" t="s">
        <v>553</v>
      </c>
      <c r="D618" s="7"/>
    </row>
    <row r="619" spans="1:4" ht="18.75" customHeight="1" x14ac:dyDescent="0.25">
      <c r="A619" s="5">
        <f t="shared" si="18"/>
        <v>5</v>
      </c>
      <c r="B619" s="17" t="s">
        <v>1719</v>
      </c>
      <c r="C619" s="5" t="s">
        <v>553</v>
      </c>
      <c r="D619" s="7"/>
    </row>
    <row r="620" spans="1:4" ht="18.75" customHeight="1" x14ac:dyDescent="0.25">
      <c r="A620" s="5">
        <f t="shared" si="18"/>
        <v>6</v>
      </c>
      <c r="B620" s="17" t="s">
        <v>558</v>
      </c>
      <c r="C620" s="5" t="s">
        <v>555</v>
      </c>
      <c r="D620" s="7"/>
    </row>
    <row r="621" spans="1:4" ht="18.75" customHeight="1" x14ac:dyDescent="0.25">
      <c r="A621" s="5">
        <f t="shared" si="18"/>
        <v>7</v>
      </c>
      <c r="B621" s="17" t="s">
        <v>559</v>
      </c>
      <c r="C621" s="5" t="s">
        <v>555</v>
      </c>
      <c r="D621" s="7"/>
    </row>
    <row r="622" spans="1:4" ht="18.75" customHeight="1" x14ac:dyDescent="0.25">
      <c r="A622" s="5">
        <f t="shared" si="18"/>
        <v>8</v>
      </c>
      <c r="B622" s="17" t="s">
        <v>560</v>
      </c>
      <c r="C622" s="5" t="s">
        <v>555</v>
      </c>
      <c r="D622" s="7"/>
    </row>
    <row r="623" spans="1:4" ht="18.75" customHeight="1" x14ac:dyDescent="0.25">
      <c r="A623" s="5">
        <f t="shared" si="18"/>
        <v>9</v>
      </c>
      <c r="B623" s="17" t="s">
        <v>561</v>
      </c>
      <c r="C623" s="5" t="s">
        <v>555</v>
      </c>
      <c r="D623" s="7"/>
    </row>
    <row r="624" spans="1:4" ht="18.75" customHeight="1" x14ac:dyDescent="0.25">
      <c r="A624" s="5">
        <f t="shared" si="18"/>
        <v>10</v>
      </c>
      <c r="B624" s="17" t="s">
        <v>562</v>
      </c>
      <c r="C624" s="5" t="s">
        <v>555</v>
      </c>
      <c r="D624" s="7"/>
    </row>
    <row r="625" spans="1:4" ht="18.75" customHeight="1" x14ac:dyDescent="0.25">
      <c r="A625" s="5">
        <f t="shared" si="18"/>
        <v>11</v>
      </c>
      <c r="B625" s="17" t="s">
        <v>563</v>
      </c>
      <c r="C625" s="5" t="s">
        <v>555</v>
      </c>
      <c r="D625" s="7"/>
    </row>
    <row r="626" spans="1:4" ht="18.75" customHeight="1" x14ac:dyDescent="0.25">
      <c r="A626" s="5">
        <f t="shared" si="18"/>
        <v>12</v>
      </c>
      <c r="B626" s="17" t="s">
        <v>564</v>
      </c>
      <c r="C626" s="5" t="s">
        <v>58</v>
      </c>
      <c r="D626" s="7"/>
    </row>
    <row r="627" spans="1:4" ht="18.75" customHeight="1" x14ac:dyDescent="0.25">
      <c r="A627" s="5">
        <f t="shared" si="18"/>
        <v>13</v>
      </c>
      <c r="B627" s="17" t="s">
        <v>565</v>
      </c>
      <c r="C627" s="5" t="s">
        <v>553</v>
      </c>
      <c r="D627" s="7"/>
    </row>
    <row r="628" spans="1:4" ht="18.75" customHeight="1" x14ac:dyDescent="0.25">
      <c r="A628" s="5"/>
      <c r="B628" s="6" t="s">
        <v>566</v>
      </c>
      <c r="C628" s="5"/>
      <c r="D628" s="7"/>
    </row>
    <row r="629" spans="1:4" ht="18.75" customHeight="1" x14ac:dyDescent="0.25">
      <c r="A629" s="11"/>
      <c r="B629" s="12"/>
      <c r="C629" s="11"/>
      <c r="D629" s="13"/>
    </row>
  </sheetData>
  <mergeCells count="6">
    <mergeCell ref="A4:A6"/>
    <mergeCell ref="B4:B6"/>
    <mergeCell ref="C4:C6"/>
    <mergeCell ref="D4:D6"/>
    <mergeCell ref="A1:D1"/>
    <mergeCell ref="A2:D2"/>
  </mergeCells>
  <pageMargins left="0.25" right="0.25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93DFA-D03B-4410-8040-6B714CE0AD21}">
  <sheetPr>
    <tabColor theme="9"/>
  </sheetPr>
  <dimension ref="A1:E23"/>
  <sheetViews>
    <sheetView showGridLines="0" zoomScaleNormal="100" workbookViewId="0">
      <selection sqref="A1:E1"/>
    </sheetView>
  </sheetViews>
  <sheetFormatPr defaultColWidth="9.140625" defaultRowHeight="18.75" customHeight="1" x14ac:dyDescent="0.25"/>
  <cols>
    <col min="1" max="1" width="6.7109375" style="1" customWidth="1"/>
    <col min="2" max="2" width="45.28515625" style="2" customWidth="1"/>
    <col min="3" max="3" width="12.7109375" style="2" customWidth="1"/>
    <col min="4" max="4" width="10.5703125" style="1" customWidth="1"/>
    <col min="5" max="5" width="19" style="2" customWidth="1"/>
    <col min="6" max="6" width="9.140625" style="2"/>
    <col min="7" max="7" width="17.7109375" style="2" bestFit="1" customWidth="1"/>
    <col min="8" max="16384" width="9.140625" style="2"/>
  </cols>
  <sheetData>
    <row r="1" spans="1:5" ht="18.75" customHeight="1" x14ac:dyDescent="0.25">
      <c r="A1" s="609" t="s">
        <v>597</v>
      </c>
      <c r="B1" s="609"/>
      <c r="C1" s="609"/>
      <c r="D1" s="609"/>
      <c r="E1" s="609"/>
    </row>
    <row r="2" spans="1:5" ht="18.75" customHeight="1" x14ac:dyDescent="0.25">
      <c r="A2" s="610" t="s">
        <v>615</v>
      </c>
      <c r="B2" s="610"/>
      <c r="C2" s="610"/>
      <c r="D2" s="610"/>
      <c r="E2" s="610"/>
    </row>
    <row r="4" spans="1:5" ht="18.75" customHeight="1" x14ac:dyDescent="0.25">
      <c r="A4" s="612" t="s">
        <v>0</v>
      </c>
      <c r="B4" s="612" t="s">
        <v>1</v>
      </c>
      <c r="C4" s="612" t="s">
        <v>598</v>
      </c>
      <c r="D4" s="612" t="s">
        <v>2</v>
      </c>
      <c r="E4" s="612" t="s">
        <v>599</v>
      </c>
    </row>
    <row r="5" spans="1:5" ht="18.75" customHeight="1" x14ac:dyDescent="0.25">
      <c r="A5" s="612"/>
      <c r="B5" s="612"/>
      <c r="C5" s="612"/>
      <c r="D5" s="612"/>
      <c r="E5" s="612"/>
    </row>
    <row r="6" spans="1:5" ht="18.75" customHeight="1" x14ac:dyDescent="0.25">
      <c r="A6" s="612"/>
      <c r="B6" s="612"/>
      <c r="C6" s="612"/>
      <c r="D6" s="612"/>
      <c r="E6" s="612"/>
    </row>
    <row r="7" spans="1:5" ht="18.75" customHeight="1" thickBot="1" x14ac:dyDescent="0.3">
      <c r="A7" s="16">
        <v>1</v>
      </c>
      <c r="B7" s="16">
        <v>2</v>
      </c>
      <c r="C7" s="16">
        <v>3</v>
      </c>
      <c r="D7" s="16">
        <v>4</v>
      </c>
      <c r="E7" s="16">
        <v>5</v>
      </c>
    </row>
    <row r="8" spans="1:5" ht="18.75" customHeight="1" thickTop="1" x14ac:dyDescent="0.25">
      <c r="A8" s="5"/>
      <c r="B8" s="6"/>
      <c r="C8" s="6"/>
      <c r="D8" s="5"/>
      <c r="E8" s="6"/>
    </row>
    <row r="9" spans="1:5" ht="18.75" customHeight="1" x14ac:dyDescent="0.25">
      <c r="A9" s="5">
        <v>1</v>
      </c>
      <c r="B9" s="17" t="s">
        <v>600</v>
      </c>
      <c r="C9" s="6"/>
      <c r="D9" s="5" t="s">
        <v>601</v>
      </c>
      <c r="E9" s="431">
        <v>140000</v>
      </c>
    </row>
    <row r="10" spans="1:5" ht="18.75" customHeight="1" x14ac:dyDescent="0.25">
      <c r="A10" s="5">
        <f t="shared" ref="A10:A21" si="0">A9+1</f>
        <v>2</v>
      </c>
      <c r="B10" s="17" t="s">
        <v>603</v>
      </c>
      <c r="C10" s="6"/>
      <c r="D10" s="5" t="s">
        <v>601</v>
      </c>
      <c r="E10" s="431">
        <v>185000</v>
      </c>
    </row>
    <row r="11" spans="1:5" ht="18.75" customHeight="1" x14ac:dyDescent="0.25">
      <c r="A11" s="5">
        <f t="shared" si="0"/>
        <v>3</v>
      </c>
      <c r="B11" s="17" t="s">
        <v>1467</v>
      </c>
      <c r="C11" s="6"/>
      <c r="D11" s="5" t="s">
        <v>601</v>
      </c>
      <c r="E11" s="431">
        <v>115000</v>
      </c>
    </row>
    <row r="12" spans="1:5" ht="18.75" customHeight="1" x14ac:dyDescent="0.25">
      <c r="A12" s="5">
        <f t="shared" si="0"/>
        <v>4</v>
      </c>
      <c r="B12" s="17" t="s">
        <v>602</v>
      </c>
      <c r="C12" s="6"/>
      <c r="D12" s="5" t="s">
        <v>601</v>
      </c>
      <c r="E12" s="431">
        <v>185000</v>
      </c>
    </row>
    <row r="13" spans="1:5" ht="18.75" customHeight="1" x14ac:dyDescent="0.25">
      <c r="A13" s="5">
        <f t="shared" si="0"/>
        <v>5</v>
      </c>
      <c r="B13" s="17" t="s">
        <v>1477</v>
      </c>
      <c r="C13" s="6"/>
      <c r="D13" s="5" t="s">
        <v>601</v>
      </c>
      <c r="E13" s="431">
        <v>110000</v>
      </c>
    </row>
    <row r="14" spans="1:5" ht="18.75" customHeight="1" x14ac:dyDescent="0.25">
      <c r="A14" s="5">
        <f t="shared" si="0"/>
        <v>6</v>
      </c>
      <c r="B14" s="17" t="s">
        <v>604</v>
      </c>
      <c r="C14" s="6"/>
      <c r="D14" s="5" t="s">
        <v>601</v>
      </c>
      <c r="E14" s="431">
        <v>170000</v>
      </c>
    </row>
    <row r="15" spans="1:5" ht="18.75" customHeight="1" x14ac:dyDescent="0.25">
      <c r="A15" s="5">
        <f t="shared" si="0"/>
        <v>7</v>
      </c>
      <c r="B15" s="17" t="s">
        <v>605</v>
      </c>
      <c r="C15" s="6"/>
      <c r="D15" s="5" t="s">
        <v>601</v>
      </c>
      <c r="E15" s="431">
        <v>125000</v>
      </c>
    </row>
    <row r="16" spans="1:5" ht="18.75" customHeight="1" x14ac:dyDescent="0.25">
      <c r="A16" s="5">
        <f t="shared" si="0"/>
        <v>8</v>
      </c>
      <c r="B16" s="17" t="s">
        <v>629</v>
      </c>
      <c r="C16" s="6"/>
      <c r="D16" s="5" t="s">
        <v>601</v>
      </c>
      <c r="E16" s="431">
        <v>95000</v>
      </c>
    </row>
    <row r="17" spans="1:5" ht="18.75" customHeight="1" x14ac:dyDescent="0.25">
      <c r="A17" s="5">
        <f t="shared" si="0"/>
        <v>9</v>
      </c>
      <c r="B17" s="17" t="s">
        <v>1720</v>
      </c>
      <c r="C17" s="6"/>
      <c r="D17" s="5" t="s">
        <v>601</v>
      </c>
      <c r="E17" s="431">
        <v>93000</v>
      </c>
    </row>
    <row r="18" spans="1:5" ht="18.75" customHeight="1" x14ac:dyDescent="0.25">
      <c r="A18" s="5">
        <f t="shared" si="0"/>
        <v>10</v>
      </c>
      <c r="B18" s="17" t="s">
        <v>606</v>
      </c>
      <c r="C18" s="6"/>
      <c r="D18" s="5" t="s">
        <v>601</v>
      </c>
      <c r="E18" s="431">
        <v>110000</v>
      </c>
    </row>
    <row r="19" spans="1:5" ht="18.75" customHeight="1" x14ac:dyDescent="0.25">
      <c r="A19" s="5">
        <f t="shared" si="0"/>
        <v>11</v>
      </c>
      <c r="B19" s="17" t="s">
        <v>607</v>
      </c>
      <c r="C19" s="6"/>
      <c r="D19" s="5" t="s">
        <v>11</v>
      </c>
      <c r="E19" s="431">
        <v>83000</v>
      </c>
    </row>
    <row r="20" spans="1:5" ht="18.75" customHeight="1" x14ac:dyDescent="0.25">
      <c r="A20" s="5">
        <f t="shared" si="0"/>
        <v>12</v>
      </c>
      <c r="B20" s="17" t="s">
        <v>609</v>
      </c>
      <c r="C20" s="6"/>
      <c r="D20" s="5" t="s">
        <v>546</v>
      </c>
      <c r="E20" s="431">
        <v>85000</v>
      </c>
    </row>
    <row r="21" spans="1:5" ht="18.75" customHeight="1" x14ac:dyDescent="0.25">
      <c r="A21" s="5">
        <f t="shared" si="0"/>
        <v>13</v>
      </c>
      <c r="B21" s="17" t="s">
        <v>610</v>
      </c>
      <c r="C21" s="6"/>
      <c r="D21" s="5" t="s">
        <v>136</v>
      </c>
      <c r="E21" s="431">
        <v>100000</v>
      </c>
    </row>
    <row r="22" spans="1:5" ht="18.75" customHeight="1" x14ac:dyDescent="0.25">
      <c r="A22" s="5"/>
      <c r="B22" s="6"/>
      <c r="C22" s="6"/>
      <c r="D22" s="5"/>
      <c r="E22" s="6"/>
    </row>
    <row r="23" spans="1:5" ht="18.75" customHeight="1" x14ac:dyDescent="0.25">
      <c r="A23" s="11"/>
      <c r="B23" s="12"/>
      <c r="C23" s="12"/>
      <c r="D23" s="11"/>
      <c r="E23" s="12"/>
    </row>
  </sheetData>
  <mergeCells count="7">
    <mergeCell ref="A1:E1"/>
    <mergeCell ref="A2:E2"/>
    <mergeCell ref="A4:A6"/>
    <mergeCell ref="B4:B6"/>
    <mergeCell ref="C4:C6"/>
    <mergeCell ref="D4:D6"/>
    <mergeCell ref="E4:E6"/>
  </mergeCells>
  <pageMargins left="0.25" right="0.25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1BDB0-AC6B-48C3-A2E0-28DD2697D6FA}">
  <sheetPr>
    <tabColor theme="5"/>
  </sheetPr>
  <dimension ref="A1:E533"/>
  <sheetViews>
    <sheetView showGridLines="0" zoomScaleNormal="100" workbookViewId="0">
      <selection sqref="A1:C1"/>
    </sheetView>
  </sheetViews>
  <sheetFormatPr defaultColWidth="9.140625" defaultRowHeight="18.75" customHeight="1" x14ac:dyDescent="0.25"/>
  <cols>
    <col min="1" max="1" width="6.7109375" style="374" customWidth="1"/>
    <col min="2" max="2" width="102.28515625" style="2" bestFit="1" customWidth="1"/>
    <col min="3" max="3" width="17.28515625" style="164" bestFit="1" customWidth="1"/>
    <col min="4" max="4" width="9.140625" style="2"/>
    <col min="5" max="5" width="18.85546875" style="433" bestFit="1" customWidth="1"/>
    <col min="6" max="16384" width="9.140625" style="2"/>
  </cols>
  <sheetData>
    <row r="1" spans="1:3" ht="18.75" customHeight="1" x14ac:dyDescent="0.25">
      <c r="A1" s="609" t="s">
        <v>1476</v>
      </c>
      <c r="B1" s="609"/>
      <c r="C1" s="609"/>
    </row>
    <row r="2" spans="1:3" ht="18.75" customHeight="1" x14ac:dyDescent="0.25">
      <c r="A2" s="610" t="s">
        <v>615</v>
      </c>
      <c r="B2" s="610"/>
      <c r="C2" s="610"/>
    </row>
    <row r="3" spans="1:3" ht="18.75" customHeight="1" x14ac:dyDescent="0.25">
      <c r="C3" s="4"/>
    </row>
    <row r="4" spans="1:3" ht="18.75" customHeight="1" x14ac:dyDescent="0.25">
      <c r="A4" s="611" t="s">
        <v>0</v>
      </c>
      <c r="B4" s="612" t="s">
        <v>1</v>
      </c>
      <c r="C4" s="613" t="s">
        <v>599</v>
      </c>
    </row>
    <row r="5" spans="1:3" ht="18.75" customHeight="1" x14ac:dyDescent="0.25">
      <c r="A5" s="611"/>
      <c r="B5" s="612"/>
      <c r="C5" s="613"/>
    </row>
    <row r="6" spans="1:3" ht="18.75" customHeight="1" x14ac:dyDescent="0.25">
      <c r="A6" s="611"/>
      <c r="B6" s="612"/>
      <c r="C6" s="613"/>
    </row>
    <row r="7" spans="1:3" ht="18.75" customHeight="1" thickBot="1" x14ac:dyDescent="0.3">
      <c r="A7" s="375">
        <v>1</v>
      </c>
      <c r="B7" s="16">
        <v>2</v>
      </c>
      <c r="C7" s="163">
        <v>3</v>
      </c>
    </row>
    <row r="8" spans="1:3" ht="15.75" thickTop="1" x14ac:dyDescent="0.25">
      <c r="A8" s="376" t="str">
        <f>'Analisa RAB'!A4</f>
        <v>I.</v>
      </c>
      <c r="B8" s="3" t="str">
        <f>'Analisa RAB'!B4</f>
        <v>HARGA SATUAN PEKERJAAN PERSIAPAN</v>
      </c>
      <c r="C8" s="470"/>
    </row>
    <row r="9" spans="1:3" ht="18.75" customHeight="1" x14ac:dyDescent="0.25">
      <c r="A9" s="316">
        <f>'Analisa RAB'!B6</f>
        <v>1</v>
      </c>
      <c r="B9" s="583" t="str">
        <f>'Analisa RAB'!C6</f>
        <v xml:space="preserve"> Pembuatan 1 m2 Pagar Sementara dari kayu tinggi 2 meter</v>
      </c>
      <c r="C9" s="317">
        <f>'Analisa RAB'!H30</f>
        <v>478800</v>
      </c>
    </row>
    <row r="10" spans="1:3" ht="18.75" customHeight="1" x14ac:dyDescent="0.25">
      <c r="A10" s="316">
        <f>'Analisa RAB'!B33</f>
        <v>2</v>
      </c>
      <c r="B10" s="583" t="str">
        <f>'Analisa RAB'!C33</f>
        <v xml:space="preserve"> Pembuatan 1 m2 Pagar Sementara dari seng gelombang tinggi 2 meter</v>
      </c>
      <c r="C10" s="317">
        <f>'Analisa RAB'!H59</f>
        <v>534700</v>
      </c>
    </row>
    <row r="11" spans="1:3" ht="18.75" customHeight="1" x14ac:dyDescent="0.25">
      <c r="A11" s="316">
        <f>'Analisa RAB'!B62</f>
        <v>3</v>
      </c>
      <c r="B11" s="583" t="str">
        <f>'Analisa RAB'!C62</f>
        <v xml:space="preserve"> Pembuatan 1 m2 Pagar Sementara dari kawat duri  tinggi 1,8 meter</v>
      </c>
      <c r="C11" s="317">
        <f>'Analisa RAB'!H88</f>
        <v>944400</v>
      </c>
    </row>
    <row r="12" spans="1:3" ht="18.75" customHeight="1" x14ac:dyDescent="0.25">
      <c r="A12" s="316">
        <f>'Analisa RAB'!B91</f>
        <v>4</v>
      </c>
      <c r="B12" s="583" t="str">
        <f>'Analisa RAB'!C91</f>
        <v>Pengukuran dan pemasangan 1m1 bouwplank</v>
      </c>
      <c r="C12" s="317">
        <f>'Analisa RAB'!H113</f>
        <v>36600</v>
      </c>
    </row>
    <row r="13" spans="1:3" ht="18.75" customHeight="1" x14ac:dyDescent="0.25">
      <c r="A13" s="316">
        <f>'Analisa RAB'!B116</f>
        <v>5</v>
      </c>
      <c r="B13" s="583" t="str">
        <f>'Analisa RAB'!C116</f>
        <v>Pembuatan 1 m2 kantor sementara lantai plesteran</v>
      </c>
      <c r="C13" s="317">
        <f>'Analisa RAB'!H150</f>
        <v>1817900</v>
      </c>
    </row>
    <row r="14" spans="1:3" ht="18.75" customHeight="1" x14ac:dyDescent="0.25">
      <c r="A14" s="316">
        <f>'Analisa RAB'!B153</f>
        <v>6</v>
      </c>
      <c r="B14" s="583" t="str">
        <f>'Analisa RAB'!C153</f>
        <v>Pembuatan 1 m2 rumah jaga (konstruksi kayu)</v>
      </c>
      <c r="C14" s="317">
        <f>'Analisa RAB'!H176</f>
        <v>1689300</v>
      </c>
    </row>
    <row r="15" spans="1:3" ht="18.75" customHeight="1" x14ac:dyDescent="0.25">
      <c r="A15" s="316">
        <f>'Analisa RAB'!B179</f>
        <v>7</v>
      </c>
      <c r="B15" s="583" t="str">
        <f>'Analisa RAB'!C179</f>
        <v>Pembuatan 1 m2 gudang semen dan peralatan</v>
      </c>
      <c r="C15" s="317">
        <f>'Analisa RAB'!H207</f>
        <v>1494500</v>
      </c>
    </row>
    <row r="16" spans="1:3" ht="18.75" customHeight="1" x14ac:dyDescent="0.25">
      <c r="A16" s="316">
        <f>'Analisa RAB'!B210</f>
        <v>8</v>
      </c>
      <c r="B16" s="583" t="str">
        <f>'Analisa RAB'!C210</f>
        <v>Pembuatan 1 m2 bedeng pekerja</v>
      </c>
      <c r="C16" s="317">
        <f>'Analisa RAB'!H238</f>
        <v>1502400</v>
      </c>
    </row>
    <row r="17" spans="1:3" ht="18.75" customHeight="1" x14ac:dyDescent="0.25">
      <c r="A17" s="316">
        <f>'Analisa RAB'!B241</f>
        <v>9</v>
      </c>
      <c r="B17" s="583" t="str">
        <f>'Analisa RAB'!C241</f>
        <v>Pembersihan 1 m2 lapangan dan perataan</v>
      </c>
      <c r="C17" s="317">
        <f>'Analisa RAB'!H260</f>
        <v>113940</v>
      </c>
    </row>
    <row r="18" spans="1:3" ht="18.75" customHeight="1" x14ac:dyDescent="0.25">
      <c r="A18" s="316">
        <f>'Analisa RAB'!B263</f>
        <v>10</v>
      </c>
      <c r="B18" s="583" t="str">
        <f>'Analisa RAB'!C263</f>
        <v>Pembuatan 1 m2 steger/perancah dari bambu</v>
      </c>
      <c r="C18" s="317">
        <f>'Analisa RAB'!H284</f>
        <v>409700</v>
      </c>
    </row>
    <row r="19" spans="1:3" ht="18.75" customHeight="1" x14ac:dyDescent="0.25">
      <c r="A19" s="316">
        <f>'Analisa RAB'!B287</f>
        <v>11</v>
      </c>
      <c r="B19" s="583" t="str">
        <f>'Analisa RAB'!C287</f>
        <v>Pembuatan 1 buah kotak adukan ukuran 40cm x 50cm x 25cm</v>
      </c>
      <c r="C19" s="317">
        <f>'Analisa RAB'!H308</f>
        <v>589000</v>
      </c>
    </row>
    <row r="20" spans="1:3" ht="18.75" customHeight="1" x14ac:dyDescent="0.25">
      <c r="A20" s="316">
        <f>'Analisa RAB'!B311</f>
        <v>12</v>
      </c>
      <c r="B20" s="583" t="str">
        <f>'Analisa RAB'!C311</f>
        <v>Pembuatan 1 m2 jalan sementara</v>
      </c>
      <c r="C20" s="317">
        <f>'Analisa RAB'!H332</f>
        <v>199400</v>
      </c>
    </row>
    <row r="21" spans="1:3" ht="18.75" customHeight="1" x14ac:dyDescent="0.25">
      <c r="A21" s="316">
        <f>'Analisa RAB'!B335</f>
        <v>13</v>
      </c>
      <c r="B21" s="583" t="str">
        <f>'Analisa RAB'!C335</f>
        <v>Pembongkaran 1 m3 beton bertulang</v>
      </c>
      <c r="C21" s="317">
        <f>'Analisa RAB'!H354</f>
        <v>1468800</v>
      </c>
    </row>
    <row r="22" spans="1:3" ht="18.75" customHeight="1" x14ac:dyDescent="0.25">
      <c r="A22" s="316">
        <f>'Analisa RAB'!B357</f>
        <v>14</v>
      </c>
      <c r="B22" s="583" t="str">
        <f>'Analisa RAB'!C357</f>
        <v>Pembongkaran 1 m3 dinding tembok bata</v>
      </c>
      <c r="C22" s="317">
        <f>'Analisa RAB'!H375</f>
        <v>734400</v>
      </c>
    </row>
    <row r="23" spans="1:3" ht="18.75" customHeight="1" x14ac:dyDescent="0.25">
      <c r="A23" s="316">
        <f>'Analisa RAB'!B378</f>
        <v>15</v>
      </c>
      <c r="B23" s="583" t="str">
        <f>'Analisa RAB'!C378</f>
        <v>Pemasangan 1 m2 pagar kawat jaring galvanis panjang 240 cm</v>
      </c>
      <c r="C23" s="317">
        <f>'Analisa RAB'!H399</f>
        <v>26800</v>
      </c>
    </row>
    <row r="25" spans="1:3" ht="18.75" customHeight="1" x14ac:dyDescent="0.25">
      <c r="A25" s="377" t="str">
        <f>'Analisa RAB'!A403</f>
        <v>II.</v>
      </c>
      <c r="B25" s="319" t="str">
        <f>'Analisa RAB'!B403</f>
        <v>HARGA SATUAN PEKERJAAN TANAH</v>
      </c>
      <c r="C25" s="320"/>
    </row>
    <row r="26" spans="1:3" ht="18.75" customHeight="1" x14ac:dyDescent="0.25">
      <c r="A26" s="316">
        <f>'Analisa RAB'!B405</f>
        <v>1</v>
      </c>
      <c r="B26" s="316" t="str">
        <f>'Analisa RAB'!C405</f>
        <v>Penggalian 1 m3 tanah biasa sedalam 1 m</v>
      </c>
      <c r="C26" s="317">
        <f>'Analisa RAB'!H423</f>
        <v>80800</v>
      </c>
    </row>
    <row r="27" spans="1:3" ht="18.75" customHeight="1" x14ac:dyDescent="0.25">
      <c r="A27" s="316">
        <f>'Analisa RAB'!B426</f>
        <v>2</v>
      </c>
      <c r="B27" s="316" t="str">
        <f>'Analisa RAB'!C426</f>
        <v>Penggalian 1 m3 tanah biasa sedalam 2 m</v>
      </c>
      <c r="C27" s="317">
        <f>'Analisa RAB'!H445</f>
        <v>99200</v>
      </c>
    </row>
    <row r="28" spans="1:3" ht="18.75" customHeight="1" x14ac:dyDescent="0.25">
      <c r="A28" s="316">
        <f>'Analisa RAB'!B448</f>
        <v>3</v>
      </c>
      <c r="B28" s="316" t="str">
        <f>'Analisa RAB'!C448</f>
        <v>Penggalian 1 m3 tanah biasa sedalam 3 m</v>
      </c>
      <c r="C28" s="317">
        <f>'Analisa RAB'!H467</f>
        <v>117900</v>
      </c>
    </row>
    <row r="29" spans="1:3" ht="18.75" customHeight="1" x14ac:dyDescent="0.25">
      <c r="A29" s="316">
        <f>'Analisa RAB'!B470</f>
        <v>4</v>
      </c>
      <c r="B29" s="316" t="str">
        <f>'Analisa RAB'!C470</f>
        <v>Menggali 1 m3 tanah keras sedalam 1 m</v>
      </c>
      <c r="C29" s="317">
        <f>'Analisa RAB'!H488</f>
        <v>107500</v>
      </c>
    </row>
    <row r="30" spans="1:3" ht="18.75" customHeight="1" x14ac:dyDescent="0.25">
      <c r="A30" s="316">
        <f>'Analisa RAB'!B491</f>
        <v>5</v>
      </c>
      <c r="B30" s="316" t="str">
        <f>'Analisa RAB'!C491</f>
        <v>Menggali 1 m3 tanah cadas sedalam 1 m</v>
      </c>
      <c r="C30" s="317">
        <f>'Analisa RAB'!H509</f>
        <v>107500</v>
      </c>
    </row>
    <row r="31" spans="1:3" ht="18.75" customHeight="1" x14ac:dyDescent="0.25">
      <c r="A31" s="316">
        <f>'Analisa RAB'!B512</f>
        <v>6</v>
      </c>
      <c r="B31" s="316" t="str">
        <f>'Analisa RAB'!C512</f>
        <v>Menggali 1 m3 tanah lumpur sedalam 1 m</v>
      </c>
      <c r="C31" s="317">
        <f>'Analisa RAB'!H530</f>
        <v>130000</v>
      </c>
    </row>
    <row r="32" spans="1:3" ht="18.75" customHeight="1" x14ac:dyDescent="0.25">
      <c r="A32" s="316">
        <f>'Analisa RAB'!B533</f>
        <v>7</v>
      </c>
      <c r="B32" s="316" t="str">
        <f>'Analisa RAB'!C533</f>
        <v>Pengerjaan stripping 1 m2 tebing setinggi 1 meter</v>
      </c>
      <c r="C32" s="317">
        <f>'Analisa RAB'!H552</f>
        <v>5900</v>
      </c>
    </row>
    <row r="33" spans="1:3" ht="18.75" customHeight="1" x14ac:dyDescent="0.25">
      <c r="A33" s="316">
        <f>'Analisa RAB'!B555</f>
        <v>8</v>
      </c>
      <c r="B33" s="316" t="str">
        <f>'Analisa RAB'!C555</f>
        <v>Pembuangan 1 m3 tanah sejauh 30 meter</v>
      </c>
      <c r="C33" s="317">
        <f>'Analisa RAB'!H574</f>
        <v>35400</v>
      </c>
    </row>
    <row r="34" spans="1:3" ht="18.75" customHeight="1" x14ac:dyDescent="0.25">
      <c r="A34" s="316">
        <f>'Analisa RAB'!B577</f>
        <v>9</v>
      </c>
      <c r="B34" s="316" t="str">
        <f>'Analisa RAB'!C577</f>
        <v>Pembuangan 1 m3 tanah sejauh 150 meter</v>
      </c>
      <c r="C34" s="317">
        <f>'Analisa RAB'!H595</f>
        <v>60800</v>
      </c>
    </row>
    <row r="35" spans="1:3" ht="18.75" customHeight="1" x14ac:dyDescent="0.25">
      <c r="A35" s="316">
        <f>'Analisa RAB'!B598</f>
        <v>10</v>
      </c>
      <c r="B35" s="316" t="str">
        <f>'Analisa RAB'!C598</f>
        <v>Pengurugan kembali 1 m3 galian tanah</v>
      </c>
      <c r="C35" s="317">
        <f>'Analisa RAB'!H617</f>
        <v>58900</v>
      </c>
    </row>
    <row r="36" spans="1:3" ht="18.75" customHeight="1" x14ac:dyDescent="0.25">
      <c r="A36" s="316">
        <f>'Analisa RAB'!B620</f>
        <v>11</v>
      </c>
      <c r="B36" s="316" t="str">
        <f>'Analisa RAB'!C620</f>
        <v>Pemadatan tanah 1 m3 tanah ( per 20 cm )</v>
      </c>
      <c r="C36" s="317">
        <f>'Analisa RAB'!H638</f>
        <v>62700</v>
      </c>
    </row>
    <row r="37" spans="1:3" ht="18.75" customHeight="1" x14ac:dyDescent="0.25">
      <c r="A37" s="316">
        <f>'Analisa RAB'!B641</f>
        <v>12</v>
      </c>
      <c r="B37" s="316" t="str">
        <f>'Analisa RAB'!C641</f>
        <v>Pengurugan 1 m3 dengan pasir urug</v>
      </c>
      <c r="C37" s="317">
        <f>'Analisa RAB'!H660</f>
        <v>268200</v>
      </c>
    </row>
    <row r="38" spans="1:3" ht="18.75" customHeight="1" x14ac:dyDescent="0.25">
      <c r="A38" s="316">
        <f>'Analisa RAB'!B663</f>
        <v>13</v>
      </c>
      <c r="B38" s="316" t="str">
        <f>'Analisa RAB'!C663</f>
        <v xml:space="preserve">Urugan Tanah </v>
      </c>
      <c r="C38" s="317">
        <f>'Analisa RAB'!H682</f>
        <v>224700</v>
      </c>
    </row>
    <row r="39" spans="1:3" ht="18.75" customHeight="1" x14ac:dyDescent="0.25">
      <c r="A39" s="316">
        <f>'Analisa RAB'!B685</f>
        <v>14</v>
      </c>
      <c r="B39" s="316" t="str">
        <f>'Analisa RAB'!C685</f>
        <v>Pemasangan 1 m2 lapisan ijuk tebal 10 cm untuk bidang resapan</v>
      </c>
      <c r="C39" s="317">
        <f>'Analisa RAB'!H704</f>
        <v>406500</v>
      </c>
    </row>
    <row r="40" spans="1:3" ht="18.75" customHeight="1" x14ac:dyDescent="0.25">
      <c r="A40" s="316">
        <f>'Analisa RAB'!B707</f>
        <v>15</v>
      </c>
      <c r="B40" s="316" t="str">
        <f>'Analisa RAB'!C707</f>
        <v>Pengurugan 1 m3 sirtu padat</v>
      </c>
      <c r="C40" s="317">
        <f>'Analisa RAB'!H726</f>
        <v>297800</v>
      </c>
    </row>
    <row r="41" spans="1:3" ht="18.75" customHeight="1" x14ac:dyDescent="0.25">
      <c r="A41" s="316">
        <f>'Analisa RAB'!B729</f>
        <v>16</v>
      </c>
      <c r="B41" s="316" t="str">
        <f>'Analisa RAB'!C729</f>
        <v>Pengurugan 1 m3 Lime stone</v>
      </c>
      <c r="C41" s="317">
        <f>'Analisa RAB'!H748</f>
        <v>372900</v>
      </c>
    </row>
    <row r="43" spans="1:3" ht="18.75" customHeight="1" x14ac:dyDescent="0.25">
      <c r="A43" s="377" t="str">
        <f>'Analisa RAB'!A752</f>
        <v>III.</v>
      </c>
      <c r="B43" s="319" t="str">
        <f>'Analisa RAB'!B752</f>
        <v>HARGA SATUAN PEKERJAAN PONDASI</v>
      </c>
      <c r="C43" s="320"/>
    </row>
    <row r="44" spans="1:3" ht="18.75" customHeight="1" x14ac:dyDescent="0.25">
      <c r="A44" s="316">
        <f>'Analisa RAB'!B754</f>
        <v>1</v>
      </c>
      <c r="B44" s="316" t="str">
        <f>'Analisa RAB'!C754</f>
        <v>Pemasangan 1 m3 pondasi batu belah/batu kali campuran 1SP : 3PP</v>
      </c>
      <c r="C44" s="317">
        <f>'Analisa RAB'!H777</f>
        <v>1156800</v>
      </c>
    </row>
    <row r="45" spans="1:3" ht="18.75" customHeight="1" x14ac:dyDescent="0.25">
      <c r="A45" s="316">
        <f>'Analisa RAB'!B780</f>
        <v>2</v>
      </c>
      <c r="B45" s="316" t="str">
        <f>'Analisa RAB'!C780</f>
        <v>Pemasangan 1 m3 pondasi batu belah/batu kali  campuran 1SP : 4PP</v>
      </c>
      <c r="C45" s="317">
        <f>'Analisa RAB'!H802</f>
        <v>1093900</v>
      </c>
    </row>
    <row r="46" spans="1:3" ht="18.75" customHeight="1" x14ac:dyDescent="0.25">
      <c r="A46" s="316">
        <f>'Analisa RAB'!B805</f>
        <v>3</v>
      </c>
      <c r="B46" s="316" t="str">
        <f>'Analisa RAB'!C805</f>
        <v>Pemasangan 1 m3 pondasi batu belah/batu kali campuran 1SP : 5PP</v>
      </c>
      <c r="C46" s="317">
        <f>'Analisa RAB'!H828</f>
        <v>1050300</v>
      </c>
    </row>
    <row r="47" spans="1:3" ht="18.75" customHeight="1" x14ac:dyDescent="0.25">
      <c r="A47" s="316">
        <f>'Analisa RAB'!B831</f>
        <v>4</v>
      </c>
      <c r="B47" s="316" t="str">
        <f>'Analisa RAB'!C831</f>
        <v>Pemasangan 1 m3 pondasi batu belah/batu kali campuran 1SP : 6PP</v>
      </c>
      <c r="C47" s="317">
        <f>'Analisa RAB'!H854</f>
        <v>1019600</v>
      </c>
    </row>
    <row r="48" spans="1:3" ht="18.75" customHeight="1" x14ac:dyDescent="0.25">
      <c r="A48" s="316">
        <f>'Analisa RAB'!B858</f>
        <v>5</v>
      </c>
      <c r="B48" s="316" t="str">
        <f>'Analisa RAB'!C858</f>
        <v>Pemasangan 1 m3 pondasi batu kosong (anstamping)</v>
      </c>
      <c r="C48" s="317">
        <f>'Analisa RAB'!H880</f>
        <v>623800</v>
      </c>
    </row>
    <row r="49" spans="1:3" ht="18.75" customHeight="1" x14ac:dyDescent="0.25">
      <c r="A49" s="316">
        <f>'Analisa RAB'!B883</f>
        <v>6</v>
      </c>
      <c r="B49" s="318" t="str">
        <f>'Analisa RAB'!C883</f>
        <v>Pemasangan 1 m3 pondasi siklop, 60% beton campuran 1SP : 2PB : 3Kr dan 40% batu belah</v>
      </c>
      <c r="C49" s="317">
        <f>'Analisa RAB'!H908</f>
        <v>1132200</v>
      </c>
    </row>
    <row r="50" spans="1:3" ht="18.75" customHeight="1" x14ac:dyDescent="0.25">
      <c r="A50" s="316">
        <f>'Analisa RAB'!B911</f>
        <v>7</v>
      </c>
      <c r="B50" s="316" t="str">
        <f>'Analisa RAB'!C911</f>
        <v>Pemasangan 1 m3 pondasi sumuran, diameter 100 cm</v>
      </c>
      <c r="C50" s="317">
        <f>'Analisa RAB'!H935</f>
        <v>1122900</v>
      </c>
    </row>
    <row r="51" spans="1:3" ht="18.75" customHeight="1" x14ac:dyDescent="0.25">
      <c r="A51" s="316">
        <f>'Analisa RAB'!B938</f>
        <v>8</v>
      </c>
      <c r="B51" s="316" t="str">
        <f>'Analisa RAB'!C938</f>
        <v>1m1 Pondasi Bored Pile Diameter 30 cm</v>
      </c>
      <c r="C51" s="317">
        <f>'Analisa RAB'!H1004</f>
        <v>478600</v>
      </c>
    </row>
    <row r="52" spans="1:3" ht="18.75" customHeight="1" x14ac:dyDescent="0.25">
      <c r="A52" s="316">
        <f>'Analisa RAB'!B1007</f>
        <v>9</v>
      </c>
      <c r="B52" s="316" t="str">
        <f>'Analisa RAB'!C1007</f>
        <v>Pemasangan 1 m3 tiang pancang 35 x 35 cm</v>
      </c>
      <c r="C52" s="317">
        <f>'Analisa RAB'!H1037</f>
        <v>872000</v>
      </c>
    </row>
    <row r="53" spans="1:3" ht="18.75" customHeight="1" x14ac:dyDescent="0.25">
      <c r="A53" s="316">
        <f>'Analisa RAB'!B1040</f>
        <v>10</v>
      </c>
      <c r="B53" s="316" t="str">
        <f>'Analisa RAB'!C1040</f>
        <v>Pemasangan 1 m3 tiang pancang 40 x 40 cm</v>
      </c>
      <c r="C53" s="317">
        <f>'Analisa RAB'!H1069</f>
        <v>1093800</v>
      </c>
    </row>
    <row r="55" spans="1:3" ht="18.75" customHeight="1" x14ac:dyDescent="0.25">
      <c r="A55" s="377" t="str">
        <f>'Analisa RAB'!A1073</f>
        <v>IV.</v>
      </c>
      <c r="B55" s="319" t="str">
        <f>'Analisa RAB'!B1073</f>
        <v>HARGA SATUAN PEKERJAAN BETON</v>
      </c>
      <c r="C55" s="326"/>
    </row>
    <row r="56" spans="1:3" ht="18.75" customHeight="1" x14ac:dyDescent="0.25">
      <c r="A56" s="316">
        <f>'Analisa RAB'!B1075</f>
        <v>1</v>
      </c>
      <c r="B56" s="316" t="str">
        <f>'Analisa RAB'!C1075</f>
        <v>Membuat 1 m3 beton mutu f'c = 7,4 Mpa (K100), slump (12 ± 2) cm, w/c = 0.87</v>
      </c>
      <c r="C56" s="317">
        <f>'Analisa RAB'!H1099</f>
        <v>1093700</v>
      </c>
    </row>
    <row r="57" spans="1:3" ht="18.75" customHeight="1" x14ac:dyDescent="0.25">
      <c r="A57" s="316">
        <f>'Analisa RAB'!B1102</f>
        <v>2</v>
      </c>
      <c r="B57" s="316" t="str">
        <f>'Analisa RAB'!C1102</f>
        <v>Membuat 1 m3 beton mutu f'c = 9,8 Mpa (K125), slump (12 ± 2) cm, w/c = 0.78</v>
      </c>
      <c r="C57" s="317">
        <f>'Analisa RAB'!H1125</f>
        <v>1143400</v>
      </c>
    </row>
    <row r="58" spans="1:3" ht="18.75" customHeight="1" x14ac:dyDescent="0.25">
      <c r="A58" s="316">
        <f>'Analisa RAB'!B1128</f>
        <v>3</v>
      </c>
      <c r="B58" s="316" t="str">
        <f>'Analisa RAB'!C1128</f>
        <v>Membuat 1 m3 beton mutu f'c = 12,2 Mpa (K150), slump (12 ± 2) cm, w/c = 0.72</v>
      </c>
      <c r="C58" s="317">
        <f>'Analisa RAB'!H1151</f>
        <v>1182000</v>
      </c>
    </row>
    <row r="59" spans="1:3" ht="18.75" customHeight="1" x14ac:dyDescent="0.25">
      <c r="A59" s="316">
        <f>'Analisa RAB'!B1157</f>
        <v>4</v>
      </c>
      <c r="B59" s="318" t="str">
        <f>'Analisa RAB'!C1157</f>
        <v>Membuat 1 m3 lantai kerja beton mutu f'c = 7,4 Mpa (K100), slump (3-6) cm, w/c = 0.87</v>
      </c>
      <c r="C59" s="317">
        <f>'Analisa RAB'!H1180</f>
        <v>1016800</v>
      </c>
    </row>
    <row r="60" spans="1:3" ht="18.75" customHeight="1" x14ac:dyDescent="0.25">
      <c r="A60" s="316">
        <f>'Analisa RAB'!B1183</f>
        <v>5</v>
      </c>
      <c r="B60" s="318" t="str">
        <f>'Analisa RAB'!C1183</f>
        <v>Membuat 1 m3 lantai kerja beton mutu f'c = 14,5 Mpa (K175), slump (12 ± 2) cm, w/c = 0.66</v>
      </c>
      <c r="C60" s="317">
        <f>'Analisa RAB'!H1207</f>
        <v>1228100</v>
      </c>
    </row>
    <row r="61" spans="1:3" ht="18.75" customHeight="1" x14ac:dyDescent="0.25">
      <c r="A61" s="316">
        <f>'Analisa RAB'!B1210</f>
        <v>6</v>
      </c>
      <c r="B61" s="318" t="str">
        <f>'Analisa RAB'!C1210</f>
        <v>Membuat 1 m3 lantai kerja beton mutu f'c = 16,9 Mpa (K200), slump (12 ± 2) cm, w/c = 0.61</v>
      </c>
      <c r="C61" s="317">
        <f>'Analisa RAB'!H1234</f>
        <v>1271300</v>
      </c>
    </row>
    <row r="62" spans="1:3" ht="18.75" customHeight="1" x14ac:dyDescent="0.25">
      <c r="A62" s="316">
        <f>'Analisa RAB'!B1237</f>
        <v>7</v>
      </c>
      <c r="B62" s="318" t="str">
        <f>'Analisa RAB'!C1237</f>
        <v>Membuat 1 m3 lantai kerja beton mutu f'c = 19,3 Mpa (K225), slump (12 ± 2) cm, w/c = 0.58</v>
      </c>
      <c r="C62" s="317">
        <f>'Analisa RAB'!H1262</f>
        <v>1304800</v>
      </c>
    </row>
    <row r="63" spans="1:3" ht="18.75" customHeight="1" x14ac:dyDescent="0.25">
      <c r="A63" s="316">
        <f>'Analisa RAB'!B1265</f>
        <v>8</v>
      </c>
      <c r="B63" s="318" t="str">
        <f>'Analisa RAB'!C1265</f>
        <v>Membuat 1 m3 lantai kerja beton mutu f'c = 21,7 Mpa (K250), slump (12 ± 2) cm, w/c = 0.56</v>
      </c>
      <c r="C63" s="317">
        <f>'Analisa RAB'!H1289</f>
        <v>1325500</v>
      </c>
    </row>
    <row r="64" spans="1:3" ht="18.75" customHeight="1" x14ac:dyDescent="0.25">
      <c r="A64" s="316">
        <f>'Analisa RAB'!B1292</f>
        <v>9</v>
      </c>
      <c r="B64" s="318" t="str">
        <f>'Analisa RAB'!C1292</f>
        <v>Membuat 1 m3 lantai kerja beton mutu f'c = 24,0 Mpa (K275), slump (12 ± 2) cm, w/c = 0.53</v>
      </c>
      <c r="C64" s="317">
        <f>'Analisa RAB'!H1316</f>
        <v>1361000</v>
      </c>
    </row>
    <row r="65" spans="1:3" ht="18.75" customHeight="1" x14ac:dyDescent="0.25">
      <c r="A65" s="316">
        <f>'Analisa RAB'!B1319</f>
        <v>10</v>
      </c>
      <c r="B65" s="318" t="str">
        <f>'Analisa RAB'!C1319</f>
        <v>Membuat 1 m3 lantai kerja beton mutu f'c = 26,4 Mpa (K300), slump (12 ± 2) cm, w/c = 0.52</v>
      </c>
      <c r="C65" s="317">
        <f>'Analisa RAB'!H1343</f>
        <v>1372000</v>
      </c>
    </row>
    <row r="66" spans="1:3" ht="18.75" customHeight="1" x14ac:dyDescent="0.25">
      <c r="A66" s="316">
        <f>'Analisa RAB'!B1346</f>
        <v>11</v>
      </c>
      <c r="B66" s="318" t="str">
        <f>'Analisa RAB'!C1346</f>
        <v>Membuat 1 m3 lantai kerja beton mutu f'c = 28,8 Mpa (K325), slump (12 ± 2) cm, w/c = 0.49</v>
      </c>
      <c r="C66" s="317">
        <f>'Analisa RAB'!H1370</f>
        <v>1473000</v>
      </c>
    </row>
    <row r="67" spans="1:3" ht="18.75" customHeight="1" x14ac:dyDescent="0.25">
      <c r="A67" s="316">
        <f>'Analisa RAB'!B1373</f>
        <v>12</v>
      </c>
      <c r="B67" s="318" t="str">
        <f>'Analisa RAB'!C1373</f>
        <v>Membuat 1 m3 lantai kerja beton mutu f'c = 31,2 Mpa (K350), slump (12 ± 2) cm, w/c = 0.48</v>
      </c>
      <c r="C67" s="317">
        <f>'Analisa RAB'!H1396</f>
        <v>1487400</v>
      </c>
    </row>
    <row r="68" spans="1:3" ht="18.75" customHeight="1" x14ac:dyDescent="0.25">
      <c r="A68" s="316">
        <f>'Analisa RAB'!B1399</f>
        <v>13</v>
      </c>
      <c r="B68" s="316" t="str">
        <f>'Analisa RAB'!C1399</f>
        <v>Membuat 1 m3 beton kedap air dengan strorox - 100</v>
      </c>
      <c r="C68" s="317">
        <f>'Analisa RAB'!H1423</f>
        <v>1423600</v>
      </c>
    </row>
    <row r="69" spans="1:3" ht="18.75" customHeight="1" x14ac:dyDescent="0.25">
      <c r="A69" s="316">
        <f>'Analisa RAB'!B1426</f>
        <v>14</v>
      </c>
      <c r="B69" s="316" t="str">
        <f>'Analisa RAB'!C1426</f>
        <v>Pembesian 10 kg dengan besi polos atau besi ulir</v>
      </c>
      <c r="C69" s="317">
        <f>'Analisa RAB'!H1448</f>
        <v>144300</v>
      </c>
    </row>
    <row r="70" spans="1:3" ht="18.75" customHeight="1" x14ac:dyDescent="0.25">
      <c r="A70" s="316">
        <f>'Analisa RAB'!B1451</f>
        <v>15</v>
      </c>
      <c r="B70" s="316" t="str">
        <f>'Analisa RAB'!C1451</f>
        <v>Pemasangan 10 kg kabel presstressed polos/strands</v>
      </c>
      <c r="C70" s="317">
        <f>'Analisa RAB'!H1473</f>
        <v>144100</v>
      </c>
    </row>
    <row r="71" spans="1:3" ht="18.75" customHeight="1" x14ac:dyDescent="0.25">
      <c r="A71" s="316">
        <f>'Analisa RAB'!B1476</f>
        <v>16</v>
      </c>
      <c r="B71" s="316" t="str">
        <f>'Analisa RAB'!C1476</f>
        <v>Pemasangan 10 kg jaring kawat baja (wiremesh)</v>
      </c>
      <c r="C71" s="317">
        <f>'Analisa RAB'!H1498</f>
        <v>350700</v>
      </c>
    </row>
    <row r="72" spans="1:3" ht="18.75" customHeight="1" x14ac:dyDescent="0.25">
      <c r="A72" s="316">
        <f>'Analisa RAB'!B1501</f>
        <v>17</v>
      </c>
      <c r="B72" s="316" t="str">
        <f>'Analisa RAB'!C1501</f>
        <v>Pemasangan 1 m2 bekisting untuk pondasi</v>
      </c>
      <c r="C72" s="317">
        <f>'Analisa RAB'!H1524</f>
        <v>270500</v>
      </c>
    </row>
    <row r="73" spans="1:3" ht="18.75" customHeight="1" x14ac:dyDescent="0.25">
      <c r="A73" s="316">
        <f>'Analisa RAB'!B1527</f>
        <v>18</v>
      </c>
      <c r="B73" s="316" t="str">
        <f>'Analisa RAB'!C1527</f>
        <v>Pemasangan 1 m2 bekisting untuk sloof</v>
      </c>
      <c r="C73" s="317">
        <f>'Analisa RAB'!H1550</f>
        <v>291600</v>
      </c>
    </row>
    <row r="74" spans="1:3" ht="18.75" customHeight="1" x14ac:dyDescent="0.25">
      <c r="A74" s="316">
        <f>'Analisa RAB'!B1553</f>
        <v>19</v>
      </c>
      <c r="B74" s="316" t="str">
        <f>'Analisa RAB'!C1553</f>
        <v>Pemasangan 1 m2 bekisting untuk kolom</v>
      </c>
      <c r="C74" s="317">
        <f>'Analisa RAB'!H1579</f>
        <v>500100</v>
      </c>
    </row>
    <row r="75" spans="1:3" ht="18.75" customHeight="1" x14ac:dyDescent="0.25">
      <c r="A75" s="316">
        <f>'Analisa RAB'!B1582</f>
        <v>20</v>
      </c>
      <c r="B75" s="316" t="str">
        <f>'Analisa RAB'!C1582</f>
        <v>Pemasangan 1 m2 bekisting untuk balok</v>
      </c>
      <c r="C75" s="317">
        <f>'Analisa RAB'!H1608</f>
        <v>513800</v>
      </c>
    </row>
    <row r="76" spans="1:3" ht="18.75" customHeight="1" x14ac:dyDescent="0.25">
      <c r="A76" s="316">
        <f>'Analisa RAB'!B1611</f>
        <v>21</v>
      </c>
      <c r="B76" s="316" t="str">
        <f>'Analisa RAB'!C1611</f>
        <v>Pemasangan 1 m2 bekisting untuk lantai</v>
      </c>
      <c r="C76" s="317">
        <f>'Analisa RAB'!H1637</f>
        <v>649100</v>
      </c>
    </row>
    <row r="77" spans="1:3" ht="18.75" customHeight="1" x14ac:dyDescent="0.25">
      <c r="A77" s="316">
        <f>'Analisa RAB'!B1641</f>
        <v>22</v>
      </c>
      <c r="B77" s="316" t="str">
        <f>'Analisa RAB'!C1641</f>
        <v>Pemasangan 1 m2 bekisting untuk dinding</v>
      </c>
      <c r="C77" s="317">
        <f>'Analisa RAB'!H1668</f>
        <v>539600</v>
      </c>
    </row>
    <row r="78" spans="1:3" ht="18.75" customHeight="1" x14ac:dyDescent="0.25">
      <c r="A78" s="316">
        <f>'Analisa RAB'!B1671</f>
        <v>23</v>
      </c>
      <c r="B78" s="316" t="str">
        <f>'Analisa RAB'!C1671</f>
        <v>Pemasangan 1 m2 bekisting untuk tangga</v>
      </c>
      <c r="C78" s="317">
        <f>'Analisa RAB'!H1697</f>
        <v>456700</v>
      </c>
    </row>
    <row r="79" spans="1:3" ht="18.75" customHeight="1" x14ac:dyDescent="0.25">
      <c r="A79" s="316" t="str">
        <f>'Analisa RAB'!B1700</f>
        <v>24.1</v>
      </c>
      <c r="B79" s="316" t="str">
        <f>'Analisa RAB'!C1700</f>
        <v xml:space="preserve">Pas. Beton Cor 1 : 3 : 5 </v>
      </c>
      <c r="C79" s="317">
        <f>'Analisa RAB'!H1726</f>
        <v>1025900</v>
      </c>
    </row>
    <row r="80" spans="1:3" ht="18.75" customHeight="1" x14ac:dyDescent="0.25">
      <c r="A80" s="316" t="str">
        <f>'Analisa RAB'!B1701</f>
        <v>24.2</v>
      </c>
      <c r="B80" s="316" t="str">
        <f>'Analisa RAB'!C1701</f>
        <v xml:space="preserve">Beton bertulang cor 1 : 2 : 3 </v>
      </c>
      <c r="C80" s="317">
        <f>'Analisa RAB'!H1730</f>
        <v>1048600</v>
      </c>
    </row>
    <row r="81" spans="1:3" ht="18.75" customHeight="1" x14ac:dyDescent="0.25">
      <c r="A81" s="316">
        <f>'Analisa RAB'!B1733</f>
        <v>25</v>
      </c>
      <c r="B81" s="316" t="str">
        <f>'Analisa RAB'!C1733</f>
        <v>Pas. Beton bertulang 1 : 1.5: 2.5</v>
      </c>
      <c r="C81" s="317">
        <f>'Analisa RAB'!H1756</f>
        <v>1321900</v>
      </c>
    </row>
    <row r="82" spans="1:3" ht="18.75" customHeight="1" x14ac:dyDescent="0.25">
      <c r="A82" s="316">
        <f>'Analisa RAB'!B1759</f>
        <v>26</v>
      </c>
      <c r="B82" s="316" t="str">
        <f>'Analisa RAB'!C1759</f>
        <v>Membuat 1 m1 kolom praktis beton bertulang (11x11) cm</v>
      </c>
      <c r="C82" s="317">
        <f>'Analisa RAB'!H1789</f>
        <v>102600</v>
      </c>
    </row>
    <row r="83" spans="1:3" ht="18.75" customHeight="1" x14ac:dyDescent="0.25">
      <c r="A83" s="316">
        <f>'Analisa RAB'!B1792</f>
        <v>27</v>
      </c>
      <c r="B83" s="316" t="str">
        <f>'Analisa RAB'!C1792</f>
        <v>Membuat 1 m1 ring balok beton bertulang (10 x 15) cm</v>
      </c>
      <c r="C83" s="317">
        <f>'Analisa RAB'!H1821</f>
        <v>122600</v>
      </c>
    </row>
    <row r="84" spans="1:3" ht="18.75" customHeight="1" x14ac:dyDescent="0.25">
      <c r="A84" s="316">
        <f>'Analisa RAB'!B1824</f>
        <v>28</v>
      </c>
      <c r="B84" s="316" t="str">
        <f>'Analisa RAB'!C1824</f>
        <v>Membuat 1 m2 Perancah / Steger (menggunakan Buruh)</v>
      </c>
      <c r="C84" s="317">
        <f>'Analisa RAB'!H1845</f>
        <v>138000</v>
      </c>
    </row>
    <row r="85" spans="1:3" ht="18.75" customHeight="1" x14ac:dyDescent="0.25">
      <c r="A85" s="316">
        <f>'Analisa RAB'!B1848</f>
        <v>29</v>
      </c>
      <c r="B85" s="316" t="str">
        <f>'Analisa RAB'!C1848</f>
        <v>1 m3 cor Beton Basement k 300</v>
      </c>
      <c r="C85" s="317">
        <f>'Analisa RAB'!H1865</f>
        <v>3263800</v>
      </c>
    </row>
    <row r="86" spans="1:3" ht="18.75" customHeight="1" x14ac:dyDescent="0.25">
      <c r="A86" s="316">
        <f>'Analisa RAB'!B1868</f>
        <v>30</v>
      </c>
      <c r="B86" s="468" t="str">
        <f>'Analisa RAB'!C1868</f>
        <v>1 m3 cor Beton Pondasi k 100- 350 fe 125</v>
      </c>
      <c r="C86" s="467"/>
    </row>
    <row r="87" spans="1:3" ht="18.75" customHeight="1" x14ac:dyDescent="0.25">
      <c r="A87" s="316" t="s">
        <v>1519</v>
      </c>
      <c r="B87" s="327" t="str">
        <f>'Analisa RAB'!C1896</f>
        <v>Harga Satuan Pekerjaan Beton (k 100) Fe 125</v>
      </c>
      <c r="C87" s="317">
        <f>'Analisa RAB'!H1896</f>
        <v>3821200</v>
      </c>
    </row>
    <row r="88" spans="1:3" ht="18.75" customHeight="1" x14ac:dyDescent="0.25">
      <c r="A88" s="436" t="s">
        <v>1520</v>
      </c>
      <c r="B88" s="437" t="str">
        <f>'Analisa RAB'!C1897</f>
        <v>Harga satuan pekerjaan Beton ( K 125 )  FE  125</v>
      </c>
      <c r="C88" s="438">
        <f>'Analisa RAB'!H1897</f>
        <v>3870900</v>
      </c>
    </row>
    <row r="89" spans="1:3" ht="18.75" customHeight="1" x14ac:dyDescent="0.25">
      <c r="A89" s="436" t="s">
        <v>1522</v>
      </c>
      <c r="B89" s="437" t="str">
        <f>'Analisa RAB'!C1898</f>
        <v>Harga Satuan Pekerjaan Beton ( K 150 )  FE  125</v>
      </c>
      <c r="C89" s="438">
        <f>'Analisa RAB'!H1898</f>
        <v>3909500</v>
      </c>
    </row>
    <row r="90" spans="1:3" ht="18.75" customHeight="1" x14ac:dyDescent="0.25">
      <c r="A90" s="436" t="s">
        <v>1524</v>
      </c>
      <c r="B90" s="437" t="str">
        <f>'Analisa RAB'!C1899</f>
        <v>Harga Satuan Pekerjaan Beton ( K 175 )  FE  125</v>
      </c>
      <c r="C90" s="438">
        <f>'Analisa RAB'!H1899</f>
        <v>3955600</v>
      </c>
    </row>
    <row r="91" spans="1:3" ht="18.75" customHeight="1" x14ac:dyDescent="0.25">
      <c r="A91" s="436" t="s">
        <v>1525</v>
      </c>
      <c r="B91" s="437" t="str">
        <f>'Analisa RAB'!C1900</f>
        <v>Harga Satuan Pekerjaan Beton ( K 200 )  FE  125</v>
      </c>
      <c r="C91" s="438">
        <f>'Analisa RAB'!H1900</f>
        <v>3998800</v>
      </c>
    </row>
    <row r="92" spans="1:3" ht="18.75" customHeight="1" x14ac:dyDescent="0.25">
      <c r="A92" s="436" t="s">
        <v>1526</v>
      </c>
      <c r="B92" s="437" t="str">
        <f>'Analisa RAB'!C1901</f>
        <v>Harga Satuan Pekerjaan Beton ( K 225 )  FE  125</v>
      </c>
      <c r="C92" s="438">
        <f>'Analisa RAB'!H1901</f>
        <v>4032300</v>
      </c>
    </row>
    <row r="93" spans="1:3" ht="18.75" customHeight="1" x14ac:dyDescent="0.25">
      <c r="A93" s="436" t="s">
        <v>1527</v>
      </c>
      <c r="B93" s="437" t="str">
        <f>'Analisa RAB'!C1902</f>
        <v>Harga Satuan Pekerjaan Beton ( K 250 )  FE  125</v>
      </c>
      <c r="C93" s="438">
        <f>'Analisa RAB'!H1902</f>
        <v>4053000</v>
      </c>
    </row>
    <row r="94" spans="1:3" ht="18.75" customHeight="1" x14ac:dyDescent="0.25">
      <c r="A94" s="436" t="s">
        <v>1528</v>
      </c>
      <c r="B94" s="437" t="str">
        <f>'Analisa RAB'!C1903</f>
        <v>Harga Satuan Pekerjaan Beton ( K 275 )  FE  125</v>
      </c>
      <c r="C94" s="438">
        <f>'Analisa RAB'!H1903</f>
        <v>4088500</v>
      </c>
    </row>
    <row r="95" spans="1:3" ht="18.75" customHeight="1" x14ac:dyDescent="0.25">
      <c r="A95" s="436" t="s">
        <v>1529</v>
      </c>
      <c r="B95" s="437" t="str">
        <f>'Analisa RAB'!C1904</f>
        <v>Harga Satuan Pekerjaan Beton ( K 300 )  FE  125</v>
      </c>
      <c r="C95" s="438">
        <f>'Analisa RAB'!H1904</f>
        <v>4099500</v>
      </c>
    </row>
    <row r="96" spans="1:3" ht="18.75" customHeight="1" x14ac:dyDescent="0.25">
      <c r="A96" s="436" t="s">
        <v>1530</v>
      </c>
      <c r="B96" s="437" t="str">
        <f>'Analisa RAB'!C1905</f>
        <v>Harga Satuan Pekerjaan Beton ( K 325 )  FE  125</v>
      </c>
      <c r="C96" s="438">
        <f>'Analisa RAB'!H1905</f>
        <v>4200500</v>
      </c>
    </row>
    <row r="97" spans="1:3" ht="18.75" customHeight="1" x14ac:dyDescent="0.25">
      <c r="A97" s="436" t="s">
        <v>1531</v>
      </c>
      <c r="B97" s="437" t="str">
        <f>'Analisa RAB'!C1906</f>
        <v>Harga Satuan Pekerjaan Beton ( K 350)  FE 125</v>
      </c>
      <c r="C97" s="438">
        <f>'Analisa RAB'!H1906</f>
        <v>4214900</v>
      </c>
    </row>
    <row r="98" spans="1:3" ht="18.75" customHeight="1" x14ac:dyDescent="0.25">
      <c r="A98" s="436">
        <f>'Analisa RAB'!B1909</f>
        <v>31</v>
      </c>
      <c r="B98" s="468" t="str">
        <f>'Analisa RAB'!C1909</f>
        <v>1 m3 cor Beton Dinding k 100-350 fe 150</v>
      </c>
      <c r="C98" s="469"/>
    </row>
    <row r="99" spans="1:3" ht="18.75" customHeight="1" x14ac:dyDescent="0.25">
      <c r="A99" s="436" t="s">
        <v>1532</v>
      </c>
      <c r="B99" s="437" t="str">
        <f>'Analisa RAB'!C1937</f>
        <v>Harga Satuan Pekerjaan Beton (k 100) Fe 150</v>
      </c>
      <c r="C99" s="438">
        <f>'Analisa RAB'!H1937</f>
        <v>7060500</v>
      </c>
    </row>
    <row r="100" spans="1:3" ht="18.75" customHeight="1" x14ac:dyDescent="0.25">
      <c r="A100" s="436" t="s">
        <v>1533</v>
      </c>
      <c r="B100" s="437" t="str">
        <f>'Analisa RAB'!C1938</f>
        <v>Harga satuan pekerjaan Beton ( K 125 )  FE  150</v>
      </c>
      <c r="C100" s="438">
        <f>'Analisa RAB'!H1938</f>
        <v>7110200</v>
      </c>
    </row>
    <row r="101" spans="1:3" ht="18.75" customHeight="1" x14ac:dyDescent="0.25">
      <c r="A101" s="436" t="s">
        <v>1534</v>
      </c>
      <c r="B101" s="437" t="str">
        <f>'Analisa RAB'!C1939</f>
        <v>Harga satuan pekerjaan Beton ( K 150 )  FE  150</v>
      </c>
      <c r="C101" s="438">
        <f>'Analisa RAB'!H1939</f>
        <v>7148800</v>
      </c>
    </row>
    <row r="102" spans="1:3" ht="18.75" customHeight="1" x14ac:dyDescent="0.25">
      <c r="A102" s="436" t="s">
        <v>1535</v>
      </c>
      <c r="B102" s="437" t="str">
        <f>'Analisa RAB'!C1940</f>
        <v>Harga Satuan Pekerjaan Beton ( K 175 )  FE  150</v>
      </c>
      <c r="C102" s="438">
        <f>'Analisa RAB'!H1940</f>
        <v>7194900</v>
      </c>
    </row>
    <row r="103" spans="1:3" ht="18.75" customHeight="1" x14ac:dyDescent="0.25">
      <c r="A103" s="436" t="s">
        <v>1536</v>
      </c>
      <c r="B103" s="437" t="str">
        <f>'Analisa RAB'!C1941</f>
        <v>Harga Satuan Pekerjaan Beton ( K 200 )  FE  150</v>
      </c>
      <c r="C103" s="438">
        <f>'Analisa RAB'!H1941</f>
        <v>7238100</v>
      </c>
    </row>
    <row r="104" spans="1:3" ht="18.75" customHeight="1" x14ac:dyDescent="0.25">
      <c r="A104" s="436" t="s">
        <v>1537</v>
      </c>
      <c r="B104" s="437" t="str">
        <f>'Analisa RAB'!C1942</f>
        <v>Harga Satuan Pekerjaan Beton ( K 225 )  FE  150</v>
      </c>
      <c r="C104" s="438">
        <f>'Analisa RAB'!H1942</f>
        <v>7271600</v>
      </c>
    </row>
    <row r="105" spans="1:3" ht="18.75" customHeight="1" x14ac:dyDescent="0.25">
      <c r="A105" s="436" t="s">
        <v>1538</v>
      </c>
      <c r="B105" s="437" t="str">
        <f>'Analisa RAB'!C1943</f>
        <v>Harga Satuan Pekerjaan Beton ( K 250 )  FE  150</v>
      </c>
      <c r="C105" s="438">
        <f>'Analisa RAB'!H1943</f>
        <v>7292300</v>
      </c>
    </row>
    <row r="106" spans="1:3" ht="18.75" customHeight="1" x14ac:dyDescent="0.25">
      <c r="A106" s="436" t="s">
        <v>1539</v>
      </c>
      <c r="B106" s="437" t="str">
        <f>'Analisa RAB'!C1944</f>
        <v>Harga Satuan Pekerjaan Beton ( K 275 )  FE  150</v>
      </c>
      <c r="C106" s="438">
        <f>'Analisa RAB'!H1944</f>
        <v>7327800</v>
      </c>
    </row>
    <row r="107" spans="1:3" ht="18.75" customHeight="1" x14ac:dyDescent="0.25">
      <c r="A107" s="436" t="s">
        <v>1540</v>
      </c>
      <c r="B107" s="437" t="str">
        <f>'Analisa RAB'!C1945</f>
        <v>Harga Satuan Pekerjaan Beton ( K 300 )  FE  150</v>
      </c>
      <c r="C107" s="438">
        <f>'Analisa RAB'!H1945</f>
        <v>7338800</v>
      </c>
    </row>
    <row r="108" spans="1:3" ht="18.75" customHeight="1" x14ac:dyDescent="0.25">
      <c r="A108" s="436" t="s">
        <v>1542</v>
      </c>
      <c r="B108" s="437" t="str">
        <f>'Analisa RAB'!C1946</f>
        <v>Harga Satuan Pekerjaan Beton ( K 325 )  FE  150</v>
      </c>
      <c r="C108" s="438">
        <f>'Analisa RAB'!H1946</f>
        <v>7439800</v>
      </c>
    </row>
    <row r="109" spans="1:3" ht="18.75" customHeight="1" x14ac:dyDescent="0.25">
      <c r="A109" s="436" t="s">
        <v>1541</v>
      </c>
      <c r="B109" s="437" t="str">
        <f>'Analisa RAB'!C1947</f>
        <v>Harga Satuan Pekerjaan Beton ( K 350)  FE 150</v>
      </c>
      <c r="C109" s="438">
        <f>'Analisa RAB'!H1947</f>
        <v>7454200</v>
      </c>
    </row>
    <row r="110" spans="1:3" ht="18.75" customHeight="1" x14ac:dyDescent="0.25">
      <c r="A110" s="436">
        <f>'Analisa RAB'!B1950</f>
        <v>32</v>
      </c>
      <c r="B110" s="468" t="str">
        <f>'Analisa RAB'!C1950</f>
        <v>1 m3 cor Beton Sloof k 100 - 350  fe 150</v>
      </c>
      <c r="C110" s="469"/>
    </row>
    <row r="111" spans="1:3" ht="18.75" customHeight="1" x14ac:dyDescent="0.25">
      <c r="A111" s="436" t="s">
        <v>1551</v>
      </c>
      <c r="B111" s="437" t="str">
        <f>'Analisa RAB'!C1978</f>
        <v>Harga Satuan Pekerjaan Beton (k 100) Fe 150</v>
      </c>
      <c r="C111" s="438">
        <f>'Analisa RAB'!H1978</f>
        <v>4493300</v>
      </c>
    </row>
    <row r="112" spans="1:3" ht="18.75" customHeight="1" x14ac:dyDescent="0.25">
      <c r="A112" s="436" t="s">
        <v>1543</v>
      </c>
      <c r="B112" s="437" t="str">
        <f>'Analisa RAB'!C1979</f>
        <v>Harga satuan pekerjaan Beton ( K 125 )  FE  150</v>
      </c>
      <c r="C112" s="438">
        <f>'Analisa RAB'!H1979</f>
        <v>4543000</v>
      </c>
    </row>
    <row r="113" spans="1:3" ht="18.75" customHeight="1" x14ac:dyDescent="0.25">
      <c r="A113" s="436" t="s">
        <v>1544</v>
      </c>
      <c r="B113" s="437" t="str">
        <f>'Analisa RAB'!C1980</f>
        <v>Harga satuan pekerjaan Beton ( K 150 )  FE  150</v>
      </c>
      <c r="C113" s="438">
        <f>'Analisa RAB'!H1980</f>
        <v>4581600</v>
      </c>
    </row>
    <row r="114" spans="1:3" ht="18.75" customHeight="1" x14ac:dyDescent="0.25">
      <c r="A114" s="436" t="s">
        <v>1545</v>
      </c>
      <c r="B114" s="437" t="str">
        <f>'Analisa RAB'!C1981</f>
        <v>Harga Satuan Pekerjaan Beton ( K 175 )  FE  150</v>
      </c>
      <c r="C114" s="438">
        <f>'Analisa RAB'!H1981</f>
        <v>4627700</v>
      </c>
    </row>
    <row r="115" spans="1:3" ht="18.75" customHeight="1" x14ac:dyDescent="0.25">
      <c r="A115" s="436" t="s">
        <v>1546</v>
      </c>
      <c r="B115" s="437" t="str">
        <f>'Analisa RAB'!C1982</f>
        <v>Harga Satuan Pekerjaan Beton ( K 200 )  FE  150</v>
      </c>
      <c r="C115" s="438">
        <f>'Analisa RAB'!H1982</f>
        <v>4670900</v>
      </c>
    </row>
    <row r="116" spans="1:3" ht="18.75" customHeight="1" x14ac:dyDescent="0.25">
      <c r="A116" s="436" t="s">
        <v>1547</v>
      </c>
      <c r="B116" s="437" t="str">
        <f>'Analisa RAB'!C1983</f>
        <v>Harga Satuan Pekerjaan Beton ( K 225 )  FE  150</v>
      </c>
      <c r="C116" s="438">
        <f>'Analisa RAB'!H1983</f>
        <v>4704400</v>
      </c>
    </row>
    <row r="117" spans="1:3" ht="18.75" customHeight="1" x14ac:dyDescent="0.25">
      <c r="A117" s="436" t="s">
        <v>1548</v>
      </c>
      <c r="B117" s="437" t="str">
        <f>'Analisa RAB'!C1984</f>
        <v>Harga Satuan Pekerjaan Beton ( K 250 )  FE  150</v>
      </c>
      <c r="C117" s="438">
        <f>'Analisa RAB'!H1984</f>
        <v>4725100</v>
      </c>
    </row>
    <row r="118" spans="1:3" ht="18.75" customHeight="1" x14ac:dyDescent="0.25">
      <c r="A118" s="436" t="s">
        <v>1549</v>
      </c>
      <c r="B118" s="437" t="str">
        <f>'Analisa RAB'!C1985</f>
        <v>Harga Satuan Pekerjaan Beton ( K 275 )  FE  150</v>
      </c>
      <c r="C118" s="438">
        <f>'Analisa RAB'!H1985</f>
        <v>4760600</v>
      </c>
    </row>
    <row r="119" spans="1:3" ht="18.75" customHeight="1" x14ac:dyDescent="0.25">
      <c r="A119" s="436" t="s">
        <v>1550</v>
      </c>
      <c r="B119" s="437" t="str">
        <f>'Analisa RAB'!C1986</f>
        <v>Harga Satuan Pekerjaan Beton ( K 300 )  FE  150</v>
      </c>
      <c r="C119" s="438">
        <f>'Analisa RAB'!H1986</f>
        <v>4771600</v>
      </c>
    </row>
    <row r="120" spans="1:3" ht="18.75" customHeight="1" x14ac:dyDescent="0.25">
      <c r="A120" s="436" t="s">
        <v>1552</v>
      </c>
      <c r="B120" s="437" t="str">
        <f>'Analisa RAB'!C1987</f>
        <v>Harga Satuan Pekerjaan Beton ( K 325 )  FE  150</v>
      </c>
      <c r="C120" s="438">
        <f>'Analisa RAB'!H1987</f>
        <v>4872600</v>
      </c>
    </row>
    <row r="121" spans="1:3" ht="18.75" customHeight="1" x14ac:dyDescent="0.25">
      <c r="A121" s="436" t="s">
        <v>1553</v>
      </c>
      <c r="B121" s="437" t="str">
        <f>'Analisa RAB'!C1988</f>
        <v>Harga Satuan Pekerjaan Beton ( K 350)  FE 150</v>
      </c>
      <c r="C121" s="438">
        <f>'Analisa RAB'!H1988</f>
        <v>4887000</v>
      </c>
    </row>
    <row r="122" spans="1:3" ht="18.75" customHeight="1" x14ac:dyDescent="0.25">
      <c r="A122" s="436">
        <f>'Analisa RAB'!B1991</f>
        <v>33</v>
      </c>
      <c r="B122" s="468" t="str">
        <f>'Analisa RAB'!C1991</f>
        <v>1 m3 cor Beton Lantai k 100 - 350 fe 110</v>
      </c>
      <c r="C122" s="469"/>
    </row>
    <row r="123" spans="1:3" ht="18.75" customHeight="1" x14ac:dyDescent="0.25">
      <c r="A123" s="436" t="s">
        <v>1554</v>
      </c>
      <c r="B123" s="437" t="str">
        <f>'Analisa RAB'!C2020</f>
        <v>Harga Satuan Pekerjaan (D+E) (k 100) Fe 110</v>
      </c>
      <c r="C123" s="438">
        <f>'Analisa RAB'!H2020</f>
        <v>7119500</v>
      </c>
    </row>
    <row r="124" spans="1:3" ht="18.75" customHeight="1" x14ac:dyDescent="0.25">
      <c r="A124" s="436" t="s">
        <v>1564</v>
      </c>
      <c r="B124" s="437" t="str">
        <f>'Analisa RAB'!C2021</f>
        <v>Harga satuan pekerjaan Beton ( K 125 )  FE  110</v>
      </c>
      <c r="C124" s="438">
        <f>'Analisa RAB'!H2021</f>
        <v>7169200</v>
      </c>
    </row>
    <row r="125" spans="1:3" ht="18.75" customHeight="1" x14ac:dyDescent="0.25">
      <c r="A125" s="436" t="s">
        <v>1555</v>
      </c>
      <c r="B125" s="437" t="str">
        <f>'Analisa RAB'!C2022</f>
        <v>Harga satuan pekerjaan Beton ( K 150 )  FE  110</v>
      </c>
      <c r="C125" s="438">
        <f>'Analisa RAB'!H2022</f>
        <v>7207800</v>
      </c>
    </row>
    <row r="126" spans="1:3" ht="18.75" customHeight="1" x14ac:dyDescent="0.25">
      <c r="A126" s="436" t="s">
        <v>1556</v>
      </c>
      <c r="B126" s="437" t="str">
        <f>'Analisa RAB'!C2023</f>
        <v>Harga Satuan Pekerjaan Beton ( K 175 )  FE  110</v>
      </c>
      <c r="C126" s="438">
        <f>'Analisa RAB'!H2023</f>
        <v>7253900</v>
      </c>
    </row>
    <row r="127" spans="1:3" ht="18.75" customHeight="1" x14ac:dyDescent="0.25">
      <c r="A127" s="436" t="s">
        <v>1557</v>
      </c>
      <c r="B127" s="437" t="str">
        <f>'Analisa RAB'!C2024</f>
        <v>Harga Satuan Pekerjaan Beton ( K 200 )  FE  110</v>
      </c>
      <c r="C127" s="438">
        <f>'Analisa RAB'!H2024</f>
        <v>7297100</v>
      </c>
    </row>
    <row r="128" spans="1:3" ht="18.75" customHeight="1" x14ac:dyDescent="0.25">
      <c r="A128" s="436" t="s">
        <v>1558</v>
      </c>
      <c r="B128" s="437" t="str">
        <f>'Analisa RAB'!C2025</f>
        <v>Harga Satuan Pekerjaan Beton ( K 225 )  FE  110</v>
      </c>
      <c r="C128" s="438">
        <f>'Analisa RAB'!H2025</f>
        <v>7330600</v>
      </c>
    </row>
    <row r="129" spans="1:3" ht="18.75" customHeight="1" x14ac:dyDescent="0.25">
      <c r="A129" s="436" t="s">
        <v>1559</v>
      </c>
      <c r="B129" s="437" t="str">
        <f>'Analisa RAB'!C2026</f>
        <v>Harga Satuan Pekerjaan Beton ( K 250 )  FE  110</v>
      </c>
      <c r="C129" s="438">
        <f>'Analisa RAB'!H2026</f>
        <v>7351300</v>
      </c>
    </row>
    <row r="130" spans="1:3" ht="18.75" customHeight="1" x14ac:dyDescent="0.25">
      <c r="A130" s="436" t="s">
        <v>1560</v>
      </c>
      <c r="B130" s="437" t="str">
        <f>'Analisa RAB'!C2027</f>
        <v>Harga Satuan Pekerjaan Beton ( K 275 )  FE  110</v>
      </c>
      <c r="C130" s="438">
        <f>'Analisa RAB'!H2027</f>
        <v>7386800</v>
      </c>
    </row>
    <row r="131" spans="1:3" ht="18.75" customHeight="1" x14ac:dyDescent="0.25">
      <c r="A131" s="436" t="s">
        <v>1561</v>
      </c>
      <c r="B131" s="437" t="str">
        <f>'Analisa RAB'!C2028</f>
        <v>Harga Satuan Pekerjaan Beton ( K 300 )  FE  110</v>
      </c>
      <c r="C131" s="438">
        <f>'Analisa RAB'!H2028</f>
        <v>7397800</v>
      </c>
    </row>
    <row r="132" spans="1:3" ht="18.75" customHeight="1" x14ac:dyDescent="0.25">
      <c r="A132" s="436" t="s">
        <v>1562</v>
      </c>
      <c r="B132" s="437" t="str">
        <f>'Analisa RAB'!C2029</f>
        <v>Harga Satuan Pekerjaan Beton ( K 325 )  FE  110</v>
      </c>
      <c r="C132" s="438">
        <f>'Analisa RAB'!H2029</f>
        <v>7498800</v>
      </c>
    </row>
    <row r="133" spans="1:3" ht="18.75" customHeight="1" x14ac:dyDescent="0.25">
      <c r="A133" s="436" t="s">
        <v>1563</v>
      </c>
      <c r="B133" s="437" t="str">
        <f>'Analisa RAB'!C2030</f>
        <v>Harga Satuan Pekerjaan Beton ( K 350)  FE 110</v>
      </c>
      <c r="C133" s="438">
        <f>'Analisa RAB'!H2030</f>
        <v>7513200</v>
      </c>
    </row>
    <row r="134" spans="1:3" ht="18.75" customHeight="1" x14ac:dyDescent="0.25">
      <c r="A134" s="436">
        <f>'Analisa RAB'!B2033</f>
        <v>34</v>
      </c>
      <c r="B134" s="468" t="str">
        <f>'Analisa RAB'!C2033</f>
        <v>1 m3 cor Beton Kolom k 100- 350 fe 175</v>
      </c>
      <c r="C134" s="469"/>
    </row>
    <row r="135" spans="1:3" ht="18.75" customHeight="1" x14ac:dyDescent="0.25">
      <c r="A135" s="436" t="s">
        <v>1565</v>
      </c>
      <c r="B135" s="437" t="str">
        <f>'Analisa RAB'!C2061</f>
        <v>Harga Satuan Pekerjaan (D+E) (k 100) Fe 175</v>
      </c>
      <c r="C135" s="438">
        <f>'Analisa RAB'!H2061</f>
        <v>8019700</v>
      </c>
    </row>
    <row r="136" spans="1:3" s="433" customFormat="1" ht="18.75" customHeight="1" x14ac:dyDescent="0.25">
      <c r="A136" s="436" t="s">
        <v>1566</v>
      </c>
      <c r="B136" s="437" t="str">
        <f>'Analisa RAB'!C2062</f>
        <v>Harga satuan pekerjaan Beton ( K 125 )  FE  175</v>
      </c>
      <c r="C136" s="438">
        <f>'Analisa RAB'!H2062</f>
        <v>8069400</v>
      </c>
    </row>
    <row r="137" spans="1:3" ht="18.75" customHeight="1" x14ac:dyDescent="0.25">
      <c r="A137" s="436" t="s">
        <v>1567</v>
      </c>
      <c r="B137" s="437" t="str">
        <f>'Analisa RAB'!C2063</f>
        <v>Harga satuan pekerjaan Beton ( K 150 )  FE  175</v>
      </c>
      <c r="C137" s="438">
        <f>'Analisa RAB'!H2063</f>
        <v>8108000</v>
      </c>
    </row>
    <row r="138" spans="1:3" ht="18.75" customHeight="1" x14ac:dyDescent="0.25">
      <c r="A138" s="436" t="s">
        <v>1568</v>
      </c>
      <c r="B138" s="437" t="str">
        <f>'Analisa RAB'!C2064</f>
        <v>Harga Satuan Pekerjaan Beton ( K 175 )  FE  175</v>
      </c>
      <c r="C138" s="438">
        <f>'Analisa RAB'!H2064</f>
        <v>8154100</v>
      </c>
    </row>
    <row r="139" spans="1:3" ht="18.75" customHeight="1" x14ac:dyDescent="0.25">
      <c r="A139" s="436" t="s">
        <v>1569</v>
      </c>
      <c r="B139" s="437" t="str">
        <f>'Analisa RAB'!C2065</f>
        <v>Harga Satuan Pekerjaan Beton ( K 200 )  FE  175</v>
      </c>
      <c r="C139" s="438">
        <f>'Analisa RAB'!H2065</f>
        <v>8197300</v>
      </c>
    </row>
    <row r="140" spans="1:3" ht="18.75" customHeight="1" x14ac:dyDescent="0.25">
      <c r="A140" s="436" t="s">
        <v>1570</v>
      </c>
      <c r="B140" s="437" t="str">
        <f>'Analisa RAB'!C2066</f>
        <v>Harga Satuan Pekerjaan Beton ( K 225 )  FE  175</v>
      </c>
      <c r="C140" s="438">
        <f>'Analisa RAB'!H2066</f>
        <v>8230800</v>
      </c>
    </row>
    <row r="141" spans="1:3" ht="18.75" customHeight="1" x14ac:dyDescent="0.25">
      <c r="A141" s="436" t="s">
        <v>1571</v>
      </c>
      <c r="B141" s="437" t="str">
        <f>'Analisa RAB'!C2067</f>
        <v>Harga Satuan Pekerjaan Beton ( K 250 )  FE  175</v>
      </c>
      <c r="C141" s="438">
        <f>'Analisa RAB'!H2067</f>
        <v>8251500</v>
      </c>
    </row>
    <row r="142" spans="1:3" ht="18.75" customHeight="1" x14ac:dyDescent="0.25">
      <c r="A142" s="436" t="s">
        <v>1572</v>
      </c>
      <c r="B142" s="437" t="str">
        <f>'Analisa RAB'!C2068</f>
        <v>Harga Satuan Pekerjaan Beton ( K 275 )  FE  175</v>
      </c>
      <c r="C142" s="438">
        <f>'Analisa RAB'!H2068</f>
        <v>8287000</v>
      </c>
    </row>
    <row r="143" spans="1:3" ht="18.75" customHeight="1" x14ac:dyDescent="0.25">
      <c r="A143" s="436" t="s">
        <v>1573</v>
      </c>
      <c r="B143" s="437" t="str">
        <f>'Analisa RAB'!C2069</f>
        <v>Harga Satuan Pekerjaan Beton ( K 300 )  FE  175</v>
      </c>
      <c r="C143" s="438">
        <f>'Analisa RAB'!H2069</f>
        <v>8298000</v>
      </c>
    </row>
    <row r="144" spans="1:3" ht="18.75" customHeight="1" x14ac:dyDescent="0.25">
      <c r="A144" s="436" t="s">
        <v>1574</v>
      </c>
      <c r="B144" s="437" t="str">
        <f>'Analisa RAB'!C2070</f>
        <v>Harga Satuan Pekerjaan Beton ( K 325 )  FE  175</v>
      </c>
      <c r="C144" s="438">
        <f>'Analisa RAB'!H2070</f>
        <v>8399000</v>
      </c>
    </row>
    <row r="145" spans="1:3" ht="18.75" customHeight="1" x14ac:dyDescent="0.25">
      <c r="A145" s="436" t="s">
        <v>1575</v>
      </c>
      <c r="B145" s="437" t="str">
        <f>'Analisa RAB'!C2071</f>
        <v>Harga Satuan Pekerjaan Beton ( K 350)  FE 175</v>
      </c>
      <c r="C145" s="438">
        <f>'Analisa RAB'!H2071</f>
        <v>8413400</v>
      </c>
    </row>
    <row r="146" spans="1:3" ht="18.75" customHeight="1" x14ac:dyDescent="0.25">
      <c r="A146" s="436">
        <f>'Analisa RAB'!B2074</f>
        <v>35</v>
      </c>
      <c r="B146" s="468" t="str">
        <f>'Analisa RAB'!C2074</f>
        <v>1 m3 cor Beton Balok k 100-350 fe 200</v>
      </c>
      <c r="C146" s="469"/>
    </row>
    <row r="147" spans="1:3" ht="18.75" customHeight="1" x14ac:dyDescent="0.25">
      <c r="A147" s="436" t="s">
        <v>1576</v>
      </c>
      <c r="B147" s="437" t="str">
        <f>'Analisa RAB'!C2103</f>
        <v>Harga Satuan Pekerjaan (D+E) (k 100) Fe 200</v>
      </c>
      <c r="C147" s="438">
        <f>'Analisa RAB'!H2103</f>
        <v>7526400</v>
      </c>
    </row>
    <row r="148" spans="1:3" ht="18.75" customHeight="1" x14ac:dyDescent="0.25">
      <c r="A148" s="436" t="s">
        <v>1577</v>
      </c>
      <c r="B148" s="437" t="str">
        <f>'Analisa RAB'!C2104</f>
        <v>Harga satuan pekerjaan Beton ( K 125 )  FE  200</v>
      </c>
      <c r="C148" s="438">
        <f>'Analisa RAB'!H2104</f>
        <v>7576100</v>
      </c>
    </row>
    <row r="149" spans="1:3" ht="18.75" customHeight="1" x14ac:dyDescent="0.25">
      <c r="A149" s="436" t="s">
        <v>1523</v>
      </c>
      <c r="B149" s="437" t="str">
        <f>'Analisa RAB'!C2105</f>
        <v>Harga satuan pekerjaan Beton ( K 150 )  FE  200</v>
      </c>
      <c r="C149" s="438">
        <f>'Analisa RAB'!H2105</f>
        <v>7614700</v>
      </c>
    </row>
    <row r="150" spans="1:3" ht="18.75" customHeight="1" x14ac:dyDescent="0.25">
      <c r="A150" s="436" t="s">
        <v>1584</v>
      </c>
      <c r="B150" s="437" t="str">
        <f>'Analisa RAB'!C2106</f>
        <v>Harga Satuan Pekerjaan Beton ( K 175 )  FE  200</v>
      </c>
      <c r="C150" s="438">
        <f>'Analisa RAB'!H2106</f>
        <v>7660800</v>
      </c>
    </row>
    <row r="151" spans="1:3" ht="18.75" customHeight="1" x14ac:dyDescent="0.25">
      <c r="A151" s="436" t="s">
        <v>1578</v>
      </c>
      <c r="B151" s="437" t="str">
        <f>'Analisa RAB'!C2107</f>
        <v>Harga Satuan Pekerjaan Beton ( K 200 )  FE  200</v>
      </c>
      <c r="C151" s="438">
        <f>'Analisa RAB'!H2107</f>
        <v>7704000</v>
      </c>
    </row>
    <row r="152" spans="1:3" ht="18.75" customHeight="1" x14ac:dyDescent="0.25">
      <c r="A152" s="436" t="s">
        <v>1579</v>
      </c>
      <c r="B152" s="437" t="str">
        <f>'Analisa RAB'!C2108</f>
        <v>Harga Satuan Pekerjaan Beton ( K 225 )  FE  200</v>
      </c>
      <c r="C152" s="438">
        <f>'Analisa RAB'!H2108</f>
        <v>7737500</v>
      </c>
    </row>
    <row r="153" spans="1:3" ht="18.75" customHeight="1" x14ac:dyDescent="0.25">
      <c r="A153" s="436" t="s">
        <v>1521</v>
      </c>
      <c r="B153" s="437" t="str">
        <f>'Analisa RAB'!C2109</f>
        <v>Harga Satuan Pekerjaan Beton ( K 250 )  FE  200</v>
      </c>
      <c r="C153" s="438">
        <f>'Analisa RAB'!H2109</f>
        <v>7758200</v>
      </c>
    </row>
    <row r="154" spans="1:3" ht="18.75" customHeight="1" x14ac:dyDescent="0.25">
      <c r="A154" s="436" t="s">
        <v>1580</v>
      </c>
      <c r="B154" s="437" t="str">
        <f>'Analisa RAB'!C2110</f>
        <v>Harga Satuan Pekerjaan Beton ( K 275 )  FE  200</v>
      </c>
      <c r="C154" s="438">
        <f>'Analisa RAB'!H2110</f>
        <v>7793700</v>
      </c>
    </row>
    <row r="155" spans="1:3" ht="18.75" customHeight="1" x14ac:dyDescent="0.25">
      <c r="A155" s="436" t="s">
        <v>1581</v>
      </c>
      <c r="B155" s="437" t="str">
        <f>'Analisa RAB'!C2111</f>
        <v>Harga Satuan Pekerjaan Beton ( K 300 )  FE  200</v>
      </c>
      <c r="C155" s="438">
        <f>'Analisa RAB'!H2111</f>
        <v>7804700</v>
      </c>
    </row>
    <row r="156" spans="1:3" ht="18.75" customHeight="1" x14ac:dyDescent="0.25">
      <c r="A156" s="436" t="s">
        <v>1582</v>
      </c>
      <c r="B156" s="437" t="str">
        <f>'Analisa RAB'!C2112</f>
        <v>Harga Satuan Pekerjaan Beton ( K 325 )  FE  200</v>
      </c>
      <c r="C156" s="438">
        <f>'Analisa RAB'!H2112</f>
        <v>7905700</v>
      </c>
    </row>
    <row r="157" spans="1:3" ht="18.75" customHeight="1" x14ac:dyDescent="0.25">
      <c r="A157" s="436" t="s">
        <v>1583</v>
      </c>
      <c r="B157" s="437" t="str">
        <f>'Analisa RAB'!C2113</f>
        <v>Harga Satuan Pekerjaan Beton ( K 350)  FE 200</v>
      </c>
      <c r="C157" s="438">
        <f>'Analisa RAB'!H2113</f>
        <v>7920100</v>
      </c>
    </row>
    <row r="158" spans="1:3" ht="18.75" customHeight="1" x14ac:dyDescent="0.25">
      <c r="A158" s="436">
        <f>'Analisa RAB'!B2116</f>
        <v>36</v>
      </c>
      <c r="B158" s="468" t="str">
        <f>'Analisa RAB'!C2116</f>
        <v>1 m3 cor Beton Tangga k 100-350 fe 110</v>
      </c>
      <c r="C158" s="469"/>
    </row>
    <row r="159" spans="1:3" ht="18.75" customHeight="1" x14ac:dyDescent="0.25">
      <c r="A159" s="436" t="s">
        <v>1585</v>
      </c>
      <c r="B159" s="437" t="str">
        <f>'Analisa RAB'!C2144</f>
        <v>Harga Satuan Pekerjaan (D+E) (k 100) Fe 110</v>
      </c>
      <c r="C159" s="438">
        <f>'Analisa RAB'!H2144</f>
        <v>5500600</v>
      </c>
    </row>
    <row r="160" spans="1:3" ht="18.75" customHeight="1" x14ac:dyDescent="0.25">
      <c r="A160" s="436" t="s">
        <v>1586</v>
      </c>
      <c r="B160" s="437" t="str">
        <f>'Analisa RAB'!C2145</f>
        <v>Harga satuan pekerjaan Beton ( K 125 )  FE  110</v>
      </c>
      <c r="C160" s="438">
        <f>'Analisa RAB'!H2145</f>
        <v>5550300</v>
      </c>
    </row>
    <row r="161" spans="1:3" ht="18.75" customHeight="1" x14ac:dyDescent="0.25">
      <c r="A161" s="436" t="s">
        <v>1587</v>
      </c>
      <c r="B161" s="437" t="str">
        <f>'Analisa RAB'!C2146</f>
        <v>Harga satuan pekerjaan Beton ( K 150 )  FE  110</v>
      </c>
      <c r="C161" s="438">
        <f>'Analisa RAB'!H2146</f>
        <v>5588900</v>
      </c>
    </row>
    <row r="162" spans="1:3" ht="18.75" customHeight="1" x14ac:dyDescent="0.25">
      <c r="A162" s="436" t="s">
        <v>1588</v>
      </c>
      <c r="B162" s="437" t="str">
        <f>'Analisa RAB'!C2147</f>
        <v>Harga Satuan Pekerjaan Beton ( K 175 )  FE  110</v>
      </c>
      <c r="C162" s="438">
        <f>'Analisa RAB'!H2147</f>
        <v>5635000</v>
      </c>
    </row>
    <row r="163" spans="1:3" ht="18.75" customHeight="1" x14ac:dyDescent="0.25">
      <c r="A163" s="436" t="s">
        <v>1595</v>
      </c>
      <c r="B163" s="437" t="str">
        <f>'Analisa RAB'!C2148</f>
        <v>Harga Satuan Pekerjaan Beton ( K 200 )  FE  110</v>
      </c>
      <c r="C163" s="438">
        <f>'Analisa RAB'!H2148</f>
        <v>5678200</v>
      </c>
    </row>
    <row r="164" spans="1:3" ht="18.75" customHeight="1" x14ac:dyDescent="0.25">
      <c r="A164" s="436" t="s">
        <v>1589</v>
      </c>
      <c r="B164" s="437" t="str">
        <f>'Analisa RAB'!C2149</f>
        <v>Harga Satuan Pekerjaan Beton ( K 225 )  FE  110</v>
      </c>
      <c r="C164" s="438">
        <f>'Analisa RAB'!H2149</f>
        <v>5711700</v>
      </c>
    </row>
    <row r="165" spans="1:3" ht="18.75" customHeight="1" x14ac:dyDescent="0.25">
      <c r="A165" s="436" t="s">
        <v>1590</v>
      </c>
      <c r="B165" s="437" t="str">
        <f>'Analisa RAB'!C2150</f>
        <v>Harga Satuan Pekerjaan Beton ( K 250 )  FE  110</v>
      </c>
      <c r="C165" s="438">
        <f>'Analisa RAB'!H2150</f>
        <v>5732400</v>
      </c>
    </row>
    <row r="166" spans="1:3" ht="18.75" customHeight="1" x14ac:dyDescent="0.25">
      <c r="A166" s="436" t="s">
        <v>1591</v>
      </c>
      <c r="B166" s="437" t="str">
        <f>'Analisa RAB'!C2151</f>
        <v>Harga Satuan Pekerjaan Beton ( K 275 )  FE  110</v>
      </c>
      <c r="C166" s="438">
        <f>'Analisa RAB'!H2151</f>
        <v>5767900</v>
      </c>
    </row>
    <row r="167" spans="1:3" ht="18.75" customHeight="1" x14ac:dyDescent="0.25">
      <c r="A167" s="436" t="s">
        <v>1592</v>
      </c>
      <c r="B167" s="437" t="str">
        <f>'Analisa RAB'!C2152</f>
        <v>Harga Satuan Pekerjaan Beton ( K 300 )  FE  110</v>
      </c>
      <c r="C167" s="438">
        <f>'Analisa RAB'!H2152</f>
        <v>5778900</v>
      </c>
    </row>
    <row r="168" spans="1:3" ht="18.75" customHeight="1" x14ac:dyDescent="0.25">
      <c r="A168" s="436" t="s">
        <v>1593</v>
      </c>
      <c r="B168" s="437" t="str">
        <f>'Analisa RAB'!C2153</f>
        <v>Harga Satuan Pekerjaan Beton ( K 325 )  FE  110</v>
      </c>
      <c r="C168" s="438">
        <f>'Analisa RAB'!H2153</f>
        <v>5879900</v>
      </c>
    </row>
    <row r="169" spans="1:3" ht="18.75" customHeight="1" x14ac:dyDescent="0.25">
      <c r="A169" s="436" t="s">
        <v>1594</v>
      </c>
      <c r="B169" s="437" t="str">
        <f>'Analisa RAB'!C2154</f>
        <v>Harga Satuan Pekerjaan Beton ( K 350)  FE 110</v>
      </c>
      <c r="C169" s="438">
        <f>'Analisa RAB'!H2154</f>
        <v>5894300</v>
      </c>
    </row>
    <row r="171" spans="1:3" ht="18.75" customHeight="1" x14ac:dyDescent="0.25">
      <c r="A171" s="377" t="str">
        <f>'Analisa RAB'!A2157</f>
        <v>V.</v>
      </c>
      <c r="B171" s="319" t="str">
        <f>'Analisa RAB'!B2157</f>
        <v>HARGA SATUAN PEKERJAAN BESI DAN ALUMINIUM</v>
      </c>
      <c r="C171" s="320"/>
    </row>
    <row r="172" spans="1:3" ht="18.75" customHeight="1" x14ac:dyDescent="0.25">
      <c r="A172" s="316">
        <f>'Analisa RAB'!B2159</f>
        <v>1</v>
      </c>
      <c r="B172" s="316" t="str">
        <f>'Analisa RAB'!C2159</f>
        <v>Pemasangan 1 kg besi profil</v>
      </c>
      <c r="C172" s="317">
        <f>'Analisa RAB'!H2180</f>
        <v>51400</v>
      </c>
    </row>
    <row r="173" spans="1:3" ht="18.75" customHeight="1" x14ac:dyDescent="0.25">
      <c r="A173" s="316" t="str">
        <f>'Analisa RAB'!B2183</f>
        <v>2.1.</v>
      </c>
      <c r="B173" s="316" t="str">
        <f>'Analisa RAB'!C2183</f>
        <v>Pemasangan 1 kg rangka kuda-kuda IWF 250 dengan cat menie</v>
      </c>
      <c r="C173" s="317">
        <f>'Analisa RAB'!H2219</f>
        <v>41800</v>
      </c>
    </row>
    <row r="174" spans="1:3" ht="18.75" customHeight="1" x14ac:dyDescent="0.25">
      <c r="A174" s="316" t="str">
        <f>'Analisa RAB'!B2184</f>
        <v>2.2.</v>
      </c>
      <c r="B174" s="316" t="str">
        <f>'Analisa RAB'!C2184</f>
        <v>Pemasangan 1 kg rangka kuda-kuda IWF 200 dengan cat menie</v>
      </c>
      <c r="C174" s="317">
        <f>'Analisa RAB'!H2220</f>
        <v>40500</v>
      </c>
    </row>
    <row r="175" spans="1:3" ht="18.75" customHeight="1" x14ac:dyDescent="0.25">
      <c r="A175" s="316" t="str">
        <f>'Analisa RAB'!B2185</f>
        <v>2.3.</v>
      </c>
      <c r="B175" s="316" t="str">
        <f>'Analisa RAB'!C2185</f>
        <v>Pemasangan 1 kg rangka kuda-kuda IWF 150 dengan cat menie</v>
      </c>
      <c r="C175" s="317">
        <f>'Analisa RAB'!H2221</f>
        <v>39300</v>
      </c>
    </row>
    <row r="176" spans="1:3" ht="18.75" customHeight="1" x14ac:dyDescent="0.25">
      <c r="A176" s="316" t="str">
        <f>'Analisa RAB'!B2186</f>
        <v>2.4.</v>
      </c>
      <c r="B176" s="316" t="str">
        <f>'Analisa RAB'!C2186</f>
        <v>Pemasangan 1 kg rangka kuda-kuda IWF 150 dengan cat menie</v>
      </c>
      <c r="C176" s="317">
        <f>'Analisa RAB'!H2222</f>
        <v>38700</v>
      </c>
    </row>
    <row r="177" spans="1:3" ht="18.75" customHeight="1" x14ac:dyDescent="0.25">
      <c r="A177" s="316">
        <f>'Analisa RAB'!B2225</f>
        <v>3</v>
      </c>
      <c r="B177" s="316" t="str">
        <f>'Analisa RAB'!C2225</f>
        <v>Pengerjaan 100 kg pekerjaan perakitan</v>
      </c>
      <c r="C177" s="317">
        <f>'Analisa RAB'!H2248</f>
        <v>97500</v>
      </c>
    </row>
    <row r="178" spans="1:3" ht="18.75" customHeight="1" x14ac:dyDescent="0.25">
      <c r="A178" s="316">
        <f>'Analisa RAB'!B2251</f>
        <v>4</v>
      </c>
      <c r="B178" s="316" t="str">
        <f>'Analisa RAB'!C2251</f>
        <v>Pembuatan 1 m2 pintu besi plat baja tebal 2 mm rangkap,rangka baja siku</v>
      </c>
      <c r="C178" s="317">
        <f>'Analisa RAB'!H2275</f>
        <v>3644000</v>
      </c>
    </row>
    <row r="179" spans="1:3" ht="18.75" customHeight="1" x14ac:dyDescent="0.25">
      <c r="A179" s="316">
        <f>'Analisa RAB'!B2278</f>
        <v>5</v>
      </c>
      <c r="B179" s="316" t="str">
        <f>'Analisa RAB'!C2278</f>
        <v>Pengerjaan 10 cm pengelasan dengan las listrik</v>
      </c>
      <c r="C179" s="317">
        <f>'Analisa RAB'!H2302</f>
        <v>43100</v>
      </c>
    </row>
    <row r="180" spans="1:3" ht="18.75" customHeight="1" x14ac:dyDescent="0.25">
      <c r="A180" s="316">
        <f>'Analisa RAB'!B2305</f>
        <v>6</v>
      </c>
      <c r="B180" s="316" t="str">
        <f>'Analisa RAB'!C2305</f>
        <v>Pembuatan 1 m2 rangka jendela besi scuare tube (25 x 5) cm</v>
      </c>
      <c r="C180" s="317">
        <f>'Analisa RAB'!H2328</f>
        <v>565200</v>
      </c>
    </row>
    <row r="181" spans="1:3" ht="18.75" customHeight="1" x14ac:dyDescent="0.25">
      <c r="A181" s="316">
        <f>'Analisa RAB'!B2331</f>
        <v>7</v>
      </c>
      <c r="B181" s="316" t="str">
        <f>'Analisa RAB'!C2331</f>
        <v>Pemasangan 1 m2 pintu rolling door besi/ pintu harmonika</v>
      </c>
      <c r="C181" s="317">
        <f>'Analisa RAB'!H2352</f>
        <v>1566700</v>
      </c>
    </row>
    <row r="182" spans="1:3" ht="18.75" customHeight="1" x14ac:dyDescent="0.25">
      <c r="A182" s="316">
        <f>'Analisa RAB'!B2355</f>
        <v>8</v>
      </c>
      <c r="B182" s="316" t="str">
        <f>'Analisa RAB'!C2355</f>
        <v>Pemasangan 1 m2 pintu rolling door aluminium</v>
      </c>
      <c r="C182" s="317">
        <f>'Analisa RAB'!H2376</f>
        <v>990400</v>
      </c>
    </row>
    <row r="183" spans="1:3" ht="18.75" customHeight="1" x14ac:dyDescent="0.25">
      <c r="A183" s="316">
        <f>'Analisa RAB'!B2380</f>
        <v>9</v>
      </c>
      <c r="B183" s="316" t="str">
        <f>'Analisa RAB'!C2380</f>
        <v>Pemasangan 1 m2 sunscreen alluminium</v>
      </c>
      <c r="C183" s="317">
        <f>'Analisa RAB'!H2401</f>
        <v>257500</v>
      </c>
    </row>
    <row r="184" spans="1:3" ht="18.75" customHeight="1" x14ac:dyDescent="0.25">
      <c r="A184" s="316" t="str">
        <f>'Analisa RAB'!B2404</f>
        <v>10.1</v>
      </c>
      <c r="B184" s="316" t="str">
        <f>'Analisa RAB'!C2404</f>
        <v>Pemasangan 1 m kusen alluminium fropil aluminium 4"</v>
      </c>
      <c r="C184" s="317">
        <f>'Analisa RAB'!H2430</f>
        <v>158900</v>
      </c>
    </row>
    <row r="185" spans="1:3" ht="18.75" customHeight="1" x14ac:dyDescent="0.25">
      <c r="A185" s="316" t="str">
        <f>'Analisa RAB'!B2405</f>
        <v>10.2</v>
      </c>
      <c r="B185" s="316" t="str">
        <f>'Analisa RAB'!C2405</f>
        <v>Pemasangan 1 m kusen alluminium fropil aluminium 3"</v>
      </c>
      <c r="C185" s="317">
        <f>'Analisa RAB'!H2431</f>
        <v>134700</v>
      </c>
    </row>
    <row r="186" spans="1:3" ht="18.75" customHeight="1" x14ac:dyDescent="0.25">
      <c r="A186" s="316">
        <f>'Analisa RAB'!B2434</f>
        <v>11</v>
      </c>
      <c r="B186" s="316" t="str">
        <f>'Analisa RAB'!C2434</f>
        <v xml:space="preserve">Pemasangan 1 m² pintu alluminium strip lebar 8 cm </v>
      </c>
      <c r="C186" s="317">
        <f>'Analisa RAB'!H2456</f>
        <v>476500</v>
      </c>
    </row>
    <row r="187" spans="1:3" ht="18.75" customHeight="1" x14ac:dyDescent="0.25">
      <c r="A187" s="316">
        <f>'Analisa RAB'!B2459</f>
        <v>12</v>
      </c>
      <c r="B187" s="316" t="str">
        <f>'Analisa RAB'!C2459</f>
        <v>Pemasangan 1 m² pintu kaca rangka alluminium 2'. 0,75 mm</v>
      </c>
      <c r="C187" s="317">
        <f>'Analisa RAB'!H2482</f>
        <v>2203700</v>
      </c>
    </row>
    <row r="188" spans="1:3" ht="18.75" customHeight="1" x14ac:dyDescent="0.25">
      <c r="A188" s="316">
        <f>'Analisa RAB'!B2485</f>
        <v>13</v>
      </c>
      <c r="B188" s="316" t="str">
        <f>'Analisa RAB'!C2485</f>
        <v>Pemasangan 1 m² venetions blinds dan vertical blinds</v>
      </c>
      <c r="C188" s="317">
        <f>'Analisa RAB'!H2506</f>
        <v>176400</v>
      </c>
    </row>
    <row r="189" spans="1:3" ht="18.75" customHeight="1" x14ac:dyDescent="0.25">
      <c r="A189" s="316">
        <f>'Analisa RAB'!B2509</f>
        <v>14</v>
      </c>
      <c r="B189" s="316" t="str">
        <f>'Analisa RAB'!C2509</f>
        <v>Pemasangan 1 m² terali besi strip (2x3) mm</v>
      </c>
      <c r="C189" s="317">
        <f>'Analisa RAB'!H2531</f>
        <v>941800</v>
      </c>
    </row>
    <row r="190" spans="1:3" ht="18.75" customHeight="1" x14ac:dyDescent="0.25">
      <c r="A190" s="316">
        <f>'Analisa RAB'!B2534</f>
        <v>15</v>
      </c>
      <c r="B190" s="316" t="str">
        <f>'Analisa RAB'!C2534</f>
        <v>Pemasangan 1 m² kawat nyamuk</v>
      </c>
      <c r="C190" s="317">
        <f>'Analisa RAB'!H2557</f>
        <v>279000</v>
      </c>
    </row>
    <row r="191" spans="1:3" ht="18.75" customHeight="1" x14ac:dyDescent="0.25">
      <c r="A191" s="316">
        <f>'Analisa RAB'!B2560</f>
        <v>16</v>
      </c>
      <c r="B191" s="316" t="str">
        <f>'Analisa RAB'!C2560</f>
        <v>Pemasangan 1 m² jendela nako &amp; tralis</v>
      </c>
      <c r="C191" s="317">
        <f>'Analisa RAB'!H2584</f>
        <v>930400</v>
      </c>
    </row>
    <row r="192" spans="1:3" ht="18.75" customHeight="1" x14ac:dyDescent="0.25">
      <c r="A192" s="316">
        <f>'Analisa RAB'!B2587</f>
        <v>17</v>
      </c>
      <c r="B192" s="316" t="str">
        <f>'Analisa RAB'!C2587</f>
        <v>Pemasangan 1 m1 talang datar ,seng BJLS 28 lebar 90</v>
      </c>
      <c r="C192" s="317">
        <f>'Analisa RAB'!H2610</f>
        <v>345900</v>
      </c>
    </row>
    <row r="193" spans="1:5" ht="18.75" customHeight="1" x14ac:dyDescent="0.25">
      <c r="A193" s="316">
        <f>'Analisa RAB'!B2613</f>
        <v>18</v>
      </c>
      <c r="B193" s="316" t="str">
        <f>'Analisa RAB'!C2613</f>
        <v>Pemasangan 1 m talang 1/2 lingkaran dia. 15 cm, Seng BJLS 20</v>
      </c>
      <c r="C193" s="317">
        <f>'Analisa RAB'!H2635</f>
        <v>166200</v>
      </c>
    </row>
    <row r="194" spans="1:5" ht="18.75" customHeight="1" x14ac:dyDescent="0.25">
      <c r="A194" s="316">
        <f>'Analisa RAB'!B2638</f>
        <v>19</v>
      </c>
      <c r="B194" s="316" t="str">
        <f>'Analisa RAB'!C2638</f>
        <v>Pemasangan 1 m1 Pasang Talang Karet</v>
      </c>
      <c r="C194" s="317">
        <f>'Analisa RAB'!H2660</f>
        <v>221400</v>
      </c>
    </row>
    <row r="195" spans="1:5" ht="18.75" customHeight="1" x14ac:dyDescent="0.25">
      <c r="A195" s="316">
        <f>'Analisa RAB'!B2663</f>
        <v>20</v>
      </c>
      <c r="B195" s="318" t="str">
        <f>'Analisa RAB'!C2663</f>
        <v>Pemasangan 1 m² rangka besi hollow 1x40.40.2 mm, modul 60x120 cm dinding partisi</v>
      </c>
      <c r="C195" s="317">
        <f>'Analisa RAB'!H2685</f>
        <v>157700</v>
      </c>
    </row>
    <row r="196" spans="1:5" ht="18.75" customHeight="1" x14ac:dyDescent="0.25">
      <c r="A196" s="316">
        <f>'Analisa RAB'!B2688</f>
        <v>21</v>
      </c>
      <c r="B196" s="316" t="str">
        <f>'Analisa RAB'!C2688</f>
        <v>Pemasangan 1 m² rangka kap baja C   utk penutup genteng metal</v>
      </c>
      <c r="C196" s="317">
        <f>'Analisa RAB'!H2713</f>
        <v>215200</v>
      </c>
    </row>
    <row r="197" spans="1:5" ht="18.75" customHeight="1" x14ac:dyDescent="0.25">
      <c r="A197" s="316">
        <f>'Analisa RAB'!B2716</f>
        <v>22</v>
      </c>
      <c r="B197" s="316" t="str">
        <f>'Analisa RAB'!C2716</f>
        <v>Pemasangan 1 m² rangka kap baja C  utk penutup genteng tanah</v>
      </c>
      <c r="C197" s="317">
        <f>'Analisa RAB'!H2740</f>
        <v>215200</v>
      </c>
    </row>
    <row r="198" spans="1:5" ht="18.75" customHeight="1" x14ac:dyDescent="0.25">
      <c r="A198" s="316">
        <f>'Analisa RAB'!B2743</f>
        <v>23</v>
      </c>
      <c r="B198" s="316" t="str">
        <f>'Analisa RAB'!C2743</f>
        <v>Pemasangan 1 m² rangka kap baja   UK  utk penutup genteng tanah</v>
      </c>
      <c r="C198" s="317">
        <f>'Analisa RAB'!H2768</f>
        <v>309900</v>
      </c>
    </row>
    <row r="199" spans="1:5" ht="18.75" customHeight="1" x14ac:dyDescent="0.25">
      <c r="A199" s="316">
        <f>'Analisa RAB'!B2771</f>
        <v>24</v>
      </c>
      <c r="B199" s="316" t="str">
        <f>'Analisa RAB'!C2771</f>
        <v>Pemasangan 1 m² rangka kap baja   UK  utk penutup genteng metal</v>
      </c>
      <c r="C199" s="317">
        <f>'Analisa RAB'!H2795</f>
        <v>309900</v>
      </c>
    </row>
    <row r="201" spans="1:5" ht="18.75" customHeight="1" x14ac:dyDescent="0.25">
      <c r="A201" s="377" t="str">
        <f>'Analisa RAB'!A2799</f>
        <v>VI.</v>
      </c>
      <c r="B201" s="319" t="str">
        <f>'Analisa RAB'!B2799</f>
        <v>HARGA SATUAN PEKERJAAN PASANGAN DINDING</v>
      </c>
      <c r="C201" s="320"/>
    </row>
    <row r="202" spans="1:5" ht="18.75" customHeight="1" x14ac:dyDescent="0.25">
      <c r="A202" s="316">
        <f>'Analisa RAB'!B2801</f>
        <v>1</v>
      </c>
      <c r="B202" s="383" t="str">
        <f>'Analisa RAB'!C2801</f>
        <v>Pemasangan 1 m² dinding bata merah (5x11x12) cm tebal 1 bata campuran 1 SP : 2 PP</v>
      </c>
      <c r="C202" s="317">
        <f>'Analisa RAB'!H2824</f>
        <v>749900</v>
      </c>
    </row>
    <row r="203" spans="1:5" ht="18.75" customHeight="1" x14ac:dyDescent="0.25">
      <c r="A203" s="316">
        <f>'Analisa RAB'!B2827</f>
        <v>2</v>
      </c>
      <c r="B203" s="383" t="str">
        <f>'Analisa RAB'!C2827</f>
        <v>Pemasangan 1 m² dinding bata merah (5x11x12) cm tebal 1 bata campuran 1 SP : 3 PP</v>
      </c>
      <c r="C203" s="317">
        <f>'Analisa RAB'!H2850</f>
        <v>737400</v>
      </c>
    </row>
    <row r="204" spans="1:5" ht="18.75" customHeight="1" x14ac:dyDescent="0.25">
      <c r="A204" s="316">
        <f>'Analisa RAB'!B2853</f>
        <v>3</v>
      </c>
      <c r="B204" s="383" t="str">
        <f>'Analisa RAB'!C2853</f>
        <v>Pemasangan 1 m² dinding bata merah (5x11x12) cm tebal 1 bata campuran 1 SP : 4 PP</v>
      </c>
      <c r="C204" s="317">
        <f>'Analisa RAB'!H2876</f>
        <v>726100</v>
      </c>
    </row>
    <row r="205" spans="1:5" ht="18.75" customHeight="1" x14ac:dyDescent="0.25">
      <c r="A205" s="316">
        <f>'Analisa RAB'!B2879</f>
        <v>4</v>
      </c>
      <c r="B205" s="383" t="str">
        <f>'Analisa RAB'!C2879</f>
        <v>Pemasangan 1 m² dinding bata merah (5x11x12) cm tebal 1 bata campuran 1 SP : 5 PP</v>
      </c>
      <c r="C205" s="317">
        <f>'Analisa RAB'!H2902</f>
        <v>720400</v>
      </c>
    </row>
    <row r="206" spans="1:5" ht="18.75" customHeight="1" x14ac:dyDescent="0.25">
      <c r="A206" s="316">
        <f>'Analisa RAB'!B2905</f>
        <v>5</v>
      </c>
      <c r="B206" s="383" t="str">
        <f>'Analisa RAB'!C2905</f>
        <v>Pemasangan 1 m² dinding bata merah (5x11x12) cm tebal 1 bata campuran 1 SP : 6 PP</v>
      </c>
      <c r="C206" s="317">
        <f>'Analisa RAB'!H2928</f>
        <v>718500</v>
      </c>
    </row>
    <row r="207" spans="1:5" s="378" customFormat="1" ht="18.75" customHeight="1" x14ac:dyDescent="0.25">
      <c r="A207" s="381">
        <f>'Analisa RAB'!B2931</f>
        <v>6</v>
      </c>
      <c r="B207" s="379" t="str">
        <f>'Analisa RAB'!C2931</f>
        <v>Pemasangan 1 m² dinding bata merah (5x11x12) cm tebal 1 bata campuran 1 SP : 3KP : 10 PP</v>
      </c>
      <c r="C207" s="380">
        <f>'Analisa RAB'!H2955</f>
        <v>699500</v>
      </c>
      <c r="E207" s="644"/>
    </row>
    <row r="208" spans="1:5" ht="18.75" customHeight="1" x14ac:dyDescent="0.25">
      <c r="A208" s="316">
        <f>'Analisa RAB'!B2958</f>
        <v>7</v>
      </c>
      <c r="B208" s="383" t="str">
        <f>'Analisa RAB'!C2958</f>
        <v>Pemasangan 1 m² dinding bata merah (5x11x12) cm tebal ½ bata campuran 1 SP : 2 PP</v>
      </c>
      <c r="C208" s="317">
        <f>'Analisa RAB'!H2981</f>
        <v>374000</v>
      </c>
    </row>
    <row r="209" spans="1:5" ht="18.75" customHeight="1" x14ac:dyDescent="0.25">
      <c r="A209" s="316">
        <f>'Analisa RAB'!B2984</f>
        <v>8</v>
      </c>
      <c r="B209" s="383" t="str">
        <f>'Analisa RAB'!C2984</f>
        <v>Pemasangan 1 m² dinding bata merah (5x11x12) cm tebal ½ bata campuran 1 SP : 3 PP</v>
      </c>
      <c r="C209" s="317">
        <f>'Analisa RAB'!H3007</f>
        <v>374700</v>
      </c>
    </row>
    <row r="210" spans="1:5" ht="18.75" customHeight="1" x14ac:dyDescent="0.25">
      <c r="A210" s="316">
        <f>'Analisa RAB'!B3010</f>
        <v>9</v>
      </c>
      <c r="B210" s="383" t="str">
        <f>'Analisa RAB'!C3010</f>
        <v>Pemasangan 1 m² dinding bata merah (5x11x12) cm tebal ½ bata campuran 1 SP : 4 PP</v>
      </c>
      <c r="C210" s="317">
        <f>'Analisa RAB'!H3033</f>
        <v>369500</v>
      </c>
    </row>
    <row r="211" spans="1:5" ht="18.75" customHeight="1" x14ac:dyDescent="0.25">
      <c r="A211" s="316">
        <f>'Analisa RAB'!B3036</f>
        <v>10</v>
      </c>
      <c r="B211" s="383" t="str">
        <f>'Analisa RAB'!C3036</f>
        <v>Pemasangan 1 m² dinding bata merah (5x11x12) cm tebal ½ bata campuran 1 SP : 5 PP</v>
      </c>
      <c r="C211" s="317">
        <f>'Analisa RAB'!H3058</f>
        <v>365800</v>
      </c>
    </row>
    <row r="212" spans="1:5" ht="18.75" customHeight="1" x14ac:dyDescent="0.25">
      <c r="A212" s="316">
        <f>'Analisa RAB'!B3061</f>
        <v>11</v>
      </c>
      <c r="B212" s="383" t="str">
        <f>'Analisa RAB'!C3061</f>
        <v>Pemasangan 1 m² dinding bata merah (5x11x12) cm tebal ½ bata campuran 1 SP : 6 PP</v>
      </c>
      <c r="C212" s="317">
        <f>'Analisa RAB'!H3084</f>
        <v>363800</v>
      </c>
    </row>
    <row r="213" spans="1:5" ht="18.75" customHeight="1" x14ac:dyDescent="0.25">
      <c r="A213" s="316">
        <f>'Analisa RAB'!B3087</f>
        <v>12</v>
      </c>
      <c r="B213" s="383" t="str">
        <f>'Analisa RAB'!C3087</f>
        <v>Pemasangan 1 m² dinding bata merah (5x11x12) cm tebal ½ batu campuran 1 SP : 8 PP</v>
      </c>
      <c r="C213" s="317">
        <f>'Analisa RAB'!H3110</f>
        <v>341500</v>
      </c>
    </row>
    <row r="214" spans="1:5" s="378" customFormat="1" ht="18.75" customHeight="1" x14ac:dyDescent="0.25">
      <c r="A214" s="381">
        <f>'Analisa RAB'!B3113</f>
        <v>13</v>
      </c>
      <c r="B214" s="379" t="str">
        <f>'Analisa RAB'!C3113</f>
        <v>Pemasangan 1 m² dinding bata merah (5x11x12) cm tebal ½ bata campuran 1 SM : 1 KP : 1 PP</v>
      </c>
      <c r="C214" s="380">
        <f>'Analisa RAB'!H3137</f>
        <v>336700</v>
      </c>
      <c r="E214" s="644"/>
    </row>
    <row r="215" spans="1:5" s="378" customFormat="1" ht="18.75" customHeight="1" x14ac:dyDescent="0.25">
      <c r="A215" s="381">
        <f>'Analisa RAB'!B3140</f>
        <v>14</v>
      </c>
      <c r="B215" s="379" t="str">
        <f>'Analisa RAB'!C3140</f>
        <v>Pemasangan 1 m² dinding bata merah (5x11x12) cm tebal ½ batu campuran 1 SM : 1 KP : 2 PP</v>
      </c>
      <c r="C215" s="380">
        <f>'Analisa RAB'!H3164</f>
        <v>338800</v>
      </c>
      <c r="E215" s="644"/>
    </row>
    <row r="216" spans="1:5" ht="18.75" customHeight="1" x14ac:dyDescent="0.25">
      <c r="A216" s="316">
        <f>'Analisa RAB'!B3167</f>
        <v>15</v>
      </c>
      <c r="B216" s="382" t="str">
        <f>'Analisa RAB'!C3167</f>
        <v>Pemasangan 1 m² dinding conblock HB20 campuran 1 SP : 3 PP</v>
      </c>
      <c r="C216" s="317">
        <f>'Analisa RAB'!H3191</f>
        <v>700400</v>
      </c>
    </row>
    <row r="217" spans="1:5" ht="18.75" customHeight="1" x14ac:dyDescent="0.25">
      <c r="A217" s="316">
        <f>'Analisa RAB'!B3194</f>
        <v>16</v>
      </c>
      <c r="B217" s="382" t="str">
        <f>'Analisa RAB'!C3194</f>
        <v>Pemasangan 1 m² dinding conblock HB20 campuran 1 SP : 4 PP</v>
      </c>
      <c r="C217" s="317">
        <f>'Analisa RAB'!H3218</f>
        <v>700200</v>
      </c>
    </row>
    <row r="218" spans="1:5" ht="18.75" customHeight="1" x14ac:dyDescent="0.25">
      <c r="A218" s="316">
        <f>'Analisa RAB'!B3221</f>
        <v>17</v>
      </c>
      <c r="B218" s="382" t="str">
        <f>'Analisa RAB'!C3221</f>
        <v>Pemasangan 1 m² dinding conblock HB15 campuran 1 SP : 3 PP</v>
      </c>
      <c r="C218" s="317">
        <f>'Analisa RAB'!H3245</f>
        <v>567500</v>
      </c>
    </row>
    <row r="219" spans="1:5" ht="18.75" customHeight="1" x14ac:dyDescent="0.25">
      <c r="A219" s="316">
        <f>'Analisa RAB'!B3248</f>
        <v>18</v>
      </c>
      <c r="B219" s="382" t="str">
        <f>'Analisa RAB'!C3248</f>
        <v>Pemasangan 1 m² dinding conblock HB15 campuran 1 SP : 4 PP</v>
      </c>
      <c r="C219" s="317">
        <f>'Analisa RAB'!H3271</f>
        <v>567100</v>
      </c>
    </row>
    <row r="220" spans="1:5" ht="18.75" customHeight="1" x14ac:dyDescent="0.25">
      <c r="A220" s="316">
        <f>'Analisa RAB'!B3274</f>
        <v>19</v>
      </c>
      <c r="B220" s="382" t="str">
        <f>'Analisa RAB'!C3274</f>
        <v>Pemasangan 1 m² dinding conblock HB10 campuran 1 SP : 3 PP</v>
      </c>
      <c r="C220" s="317">
        <f>'Analisa RAB'!H3298</f>
        <v>435000</v>
      </c>
    </row>
    <row r="221" spans="1:5" ht="18.75" customHeight="1" x14ac:dyDescent="0.25">
      <c r="A221" s="316">
        <f>'Analisa RAB'!B3301</f>
        <v>20</v>
      </c>
      <c r="B221" s="382" t="str">
        <f>'Analisa RAB'!C3301</f>
        <v>Pemasangan 1 m² dinding conblock HB10 campuran 1 SP : 4 PP</v>
      </c>
      <c r="C221" s="317">
        <f>'Analisa RAB'!H3325</f>
        <v>435400</v>
      </c>
    </row>
    <row r="222" spans="1:5" ht="18.75" customHeight="1" x14ac:dyDescent="0.25">
      <c r="A222" s="316" t="str">
        <f>'Analisa RAB'!B3329</f>
        <v>21.1</v>
      </c>
      <c r="B222" s="382" t="str">
        <f>'Analisa RAB'!C3329</f>
        <v>Pemasangan 1 m² dinding Batako buntu 1 SP : 4 PP</v>
      </c>
      <c r="C222" s="317">
        <f>'Analisa RAB'!H3355</f>
        <v>594900</v>
      </c>
    </row>
    <row r="223" spans="1:5" ht="18.75" customHeight="1" x14ac:dyDescent="0.25">
      <c r="A223" s="316" t="str">
        <f>'Analisa RAB'!B3330</f>
        <v>21.2</v>
      </c>
      <c r="B223" s="382" t="str">
        <f>'Analisa RAB'!C3330</f>
        <v>Pemasangan 1 m² dinding batako berlubang 1 SP : 4 PP</v>
      </c>
      <c r="C223" s="317">
        <f>'Analisa RAB'!H3359</f>
        <v>589500</v>
      </c>
    </row>
    <row r="224" spans="1:5" ht="18.75" customHeight="1" x14ac:dyDescent="0.25">
      <c r="A224" s="316">
        <f>'Analisa RAB'!B3362</f>
        <v>22</v>
      </c>
      <c r="B224" s="383" t="str">
        <f>'Analisa RAB'!C3362</f>
        <v>Pemasangan 1 m² dinding kerawang (rooster bata) 12x11x24 campuran 1 SP : 3 PP</v>
      </c>
      <c r="C224" s="317">
        <f>'Analisa RAB'!H3385</f>
        <v>1052600</v>
      </c>
    </row>
    <row r="225" spans="1:3" ht="18.75" customHeight="1" x14ac:dyDescent="0.25">
      <c r="A225" s="316">
        <f>'Analisa RAB'!B3388</f>
        <v>23</v>
      </c>
      <c r="B225" s="383" t="str">
        <f>'Analisa RAB'!C3388</f>
        <v>Pemasangan 1 m² dinding kerawang (rooster) 12x11x24 campuran 1 SP : 4 PP</v>
      </c>
      <c r="C225" s="317">
        <f>'Analisa RAB'!H3411</f>
        <v>1050400</v>
      </c>
    </row>
    <row r="226" spans="1:3" ht="18.75" customHeight="1" x14ac:dyDescent="0.25">
      <c r="A226" s="316">
        <f>'Analisa RAB'!B3414</f>
        <v>24</v>
      </c>
      <c r="B226" s="379" t="str">
        <f>'Analisa RAB'!C3414</f>
        <v>Pemasangan 1 m² dinding bata berongga ekspose (roster kerawang pc) campuran 1 SP : 3 PP</v>
      </c>
      <c r="C226" s="317">
        <f>'Analisa RAB'!H3437</f>
        <v>1133100</v>
      </c>
    </row>
    <row r="228" spans="1:3" ht="18.75" customHeight="1" x14ac:dyDescent="0.25">
      <c r="A228" s="377" t="str">
        <f>'Analisa RAB'!A3441</f>
        <v>VII.</v>
      </c>
      <c r="B228" s="319" t="str">
        <f>'Analisa RAB'!B3441</f>
        <v>HARGA SATUAN PEKERJAAN PLESTERAN</v>
      </c>
      <c r="C228" s="320"/>
    </row>
    <row r="229" spans="1:3" ht="18.75" customHeight="1" x14ac:dyDescent="0.25">
      <c r="A229" s="316">
        <f>'Analisa RAB'!B3443</f>
        <v>1</v>
      </c>
      <c r="B229" s="382" t="str">
        <f>'Analisa RAB'!C3443</f>
        <v>Pemasangan 1 m² plesteran 1 SP : 1 PP tebal 15 mm</v>
      </c>
      <c r="C229" s="317">
        <f>'Analisa RAB'!H3465</f>
        <v>85200</v>
      </c>
    </row>
    <row r="230" spans="1:3" ht="18.75" customHeight="1" x14ac:dyDescent="0.25">
      <c r="A230" s="316">
        <f>'Analisa RAB'!B3468</f>
        <v>2</v>
      </c>
      <c r="B230" s="382" t="str">
        <f>'Analisa RAB'!C3468</f>
        <v>Pemasangan 1 m² plesteran 1 SP : 2 PP tebal 15 mm</v>
      </c>
      <c r="C230" s="317">
        <f>'Analisa RAB'!H3489</f>
        <v>76500</v>
      </c>
    </row>
    <row r="231" spans="1:3" ht="18.75" customHeight="1" x14ac:dyDescent="0.25">
      <c r="A231" s="316">
        <f>'Analisa RAB'!B3492</f>
        <v>3</v>
      </c>
      <c r="B231" s="382" t="str">
        <f>'Analisa RAB'!C3492</f>
        <v>Pemasangan 1 m² plesteran 1 SP : 3 PP tebal 15 mm</v>
      </c>
      <c r="C231" s="317">
        <f>'Analisa RAB'!H3514</f>
        <v>72800</v>
      </c>
    </row>
    <row r="232" spans="1:3" ht="18.75" customHeight="1" x14ac:dyDescent="0.25">
      <c r="A232" s="316">
        <f>'Analisa RAB'!B3517</f>
        <v>4</v>
      </c>
      <c r="B232" s="382" t="str">
        <f>'Analisa RAB'!C3517</f>
        <v>Pemasangan 1 m² plesteran 1 SP : 4 PP tebal 15 mm</v>
      </c>
      <c r="C232" s="317">
        <f>'Analisa RAB'!H3539</f>
        <v>64200</v>
      </c>
    </row>
    <row r="233" spans="1:3" ht="18.75" customHeight="1" x14ac:dyDescent="0.25">
      <c r="A233" s="316">
        <f>'Analisa RAB'!B3542</f>
        <v>5</v>
      </c>
      <c r="B233" s="382" t="str">
        <f>'Analisa RAB'!C3542</f>
        <v>Pemasangan 1 m² plesteran 1 SP : 5 PP tebal 15 mm</v>
      </c>
      <c r="C233" s="317">
        <f>'Analisa RAB'!H3564</f>
        <v>68800</v>
      </c>
    </row>
    <row r="234" spans="1:3" ht="18.75" customHeight="1" x14ac:dyDescent="0.25">
      <c r="A234" s="316">
        <f>'Analisa RAB'!B3567</f>
        <v>6</v>
      </c>
      <c r="B234" s="382" t="str">
        <f>'Analisa RAB'!C3567</f>
        <v>Pemasangan 1 m² plesteran 1 SP : 6 PP tebal 15 mm</v>
      </c>
      <c r="C234" s="317">
        <f>'Analisa RAB'!H3589</f>
        <v>67600</v>
      </c>
    </row>
    <row r="235" spans="1:3" ht="18.75" customHeight="1" x14ac:dyDescent="0.25">
      <c r="A235" s="316">
        <f>'Analisa RAB'!B3592</f>
        <v>7</v>
      </c>
      <c r="B235" s="382" t="str">
        <f>'Analisa RAB'!C3592</f>
        <v>Pemasangan 1 m² plesteran 1 SP : 7 PP tebal 15 mm</v>
      </c>
      <c r="C235" s="317">
        <f>'Analisa RAB'!H3614</f>
        <v>59900</v>
      </c>
    </row>
    <row r="236" spans="1:3" ht="18.75" customHeight="1" x14ac:dyDescent="0.25">
      <c r="A236" s="316">
        <f>'Analisa RAB'!B3617</f>
        <v>8</v>
      </c>
      <c r="B236" s="382" t="str">
        <f>'Analisa RAB'!C3617</f>
        <v>Pemasangan 1 m² plesteran 1 SP : 8 PP tebal 15 mm</v>
      </c>
      <c r="C236" s="317">
        <f>'Analisa RAB'!H3639</f>
        <v>64100</v>
      </c>
    </row>
    <row r="237" spans="1:3" ht="18.75" customHeight="1" x14ac:dyDescent="0.25">
      <c r="A237" s="316">
        <f>'Analisa RAB'!B3642</f>
        <v>9</v>
      </c>
      <c r="B237" s="382" t="str">
        <f>'Analisa RAB'!C3642</f>
        <v>Pemasangan 1 m² plesteran 1 SP : ½ KP : 3 PP tebal 15 mm</v>
      </c>
      <c r="C237" s="317">
        <f>'Analisa RAB'!H3665</f>
        <v>66000</v>
      </c>
    </row>
    <row r="238" spans="1:3" ht="18.75" customHeight="1" x14ac:dyDescent="0.25">
      <c r="A238" s="316">
        <f>'Analisa RAB'!B3668</f>
        <v>10</v>
      </c>
      <c r="B238" s="382" t="str">
        <f>'Analisa RAB'!C3668</f>
        <v>Pemasangan 1 m² plesteran 1 SP : 2 KP : 8 PP tebal 15 mm</v>
      </c>
      <c r="C238" s="317">
        <f>'Analisa RAB'!H3691</f>
        <v>61000</v>
      </c>
    </row>
    <row r="239" spans="1:3" ht="18.75" customHeight="1" x14ac:dyDescent="0.25">
      <c r="A239" s="316">
        <f>'Analisa RAB'!B3694</f>
        <v>11</v>
      </c>
      <c r="B239" s="382" t="str">
        <f>'Analisa RAB'!C3694</f>
        <v>Pemasangan 1 m² plesteran 1 SM : 1 KP : 1 PP tebal 15 mm</v>
      </c>
      <c r="C239" s="317">
        <f>'Analisa RAB'!H3717</f>
        <v>60500</v>
      </c>
    </row>
    <row r="240" spans="1:3" ht="18.75" customHeight="1" x14ac:dyDescent="0.25">
      <c r="A240" s="316">
        <f>'Analisa RAB'!B3720</f>
        <v>12</v>
      </c>
      <c r="B240" s="382" t="str">
        <f>'Analisa RAB'!C3720</f>
        <v>Pemasangan 1 m² plesteran 1 SM : 1 KP : 2 PP tebal 15 mm</v>
      </c>
      <c r="C240" s="317">
        <f>'Analisa RAB'!H3743</f>
        <v>60200</v>
      </c>
    </row>
    <row r="241" spans="1:3" ht="18.75" customHeight="1" x14ac:dyDescent="0.25">
      <c r="A241" s="316">
        <f>'Analisa RAB'!B3746</f>
        <v>13</v>
      </c>
      <c r="B241" s="382" t="str">
        <f>'Analisa RAB'!C3746</f>
        <v>Pemasangan 1 m² plesteran 1 SP : 1 PP tebal 20 mm</v>
      </c>
      <c r="C241" s="317">
        <f>'Analisa RAB'!H3768</f>
        <v>102400</v>
      </c>
    </row>
    <row r="242" spans="1:3" ht="18.75" customHeight="1" x14ac:dyDescent="0.25">
      <c r="A242" s="316">
        <f>'Analisa RAB'!B3771</f>
        <v>14</v>
      </c>
      <c r="B242" s="382" t="str">
        <f>'Analisa RAB'!C3771</f>
        <v>Pemasangan 1 m² plesteran 1 SP : 3 PP tebal 20 mm</v>
      </c>
      <c r="C242" s="317">
        <f>'Analisa RAB'!H3793</f>
        <v>81700</v>
      </c>
    </row>
    <row r="243" spans="1:3" ht="18.75" customHeight="1" x14ac:dyDescent="0.25">
      <c r="A243" s="316">
        <f>'Analisa RAB'!B3796</f>
        <v>15</v>
      </c>
      <c r="B243" s="382" t="str">
        <f>'Analisa RAB'!C3796</f>
        <v>Pemasangan 1 m² plesteran 1 SP : 4 PP tebal 20 mm</v>
      </c>
      <c r="C243" s="317">
        <f>'Analisa RAB'!H3818</f>
        <v>93900</v>
      </c>
    </row>
    <row r="244" spans="1:3" ht="18.75" customHeight="1" x14ac:dyDescent="0.25">
      <c r="A244" s="316">
        <f>'Analisa RAB'!B3821</f>
        <v>16</v>
      </c>
      <c r="B244" s="382" t="str">
        <f>'Analisa RAB'!C3821</f>
        <v>Pemasangan 1 m² plesteran 1 SP : 5 PP tebal 20 mm</v>
      </c>
      <c r="C244" s="317">
        <f>'Analisa RAB'!H3843</f>
        <v>92000</v>
      </c>
    </row>
    <row r="245" spans="1:3" ht="18.75" customHeight="1" x14ac:dyDescent="0.25">
      <c r="A245" s="316">
        <f>'Analisa RAB'!B3846</f>
        <v>17</v>
      </c>
      <c r="B245" s="382" t="str">
        <f>'Analisa RAB'!C3846</f>
        <v>Pemasangan 1 m² plesteran 1 SP : 6 PP tebal 20 mm</v>
      </c>
      <c r="C245" s="317">
        <f>'Analisa RAB'!H3868</f>
        <v>90400</v>
      </c>
    </row>
    <row r="246" spans="1:3" ht="18.75" customHeight="1" x14ac:dyDescent="0.25">
      <c r="A246" s="316">
        <f>'Analisa RAB'!B3871</f>
        <v>18</v>
      </c>
      <c r="B246" s="382" t="str">
        <f>'Analisa RAB'!C3871</f>
        <v>Pemasangan 1 m² plesteran 1 SM : 1 KP : 2 PP tebal 20 mm</v>
      </c>
      <c r="C246" s="317">
        <f>'Analisa RAB'!H3894</f>
        <v>77500</v>
      </c>
    </row>
    <row r="247" spans="1:3" ht="18.75" customHeight="1" x14ac:dyDescent="0.25">
      <c r="A247" s="316">
        <f>'Analisa RAB'!B3897</f>
        <v>19</v>
      </c>
      <c r="B247" s="382" t="str">
        <f>'Analisa RAB'!C3897</f>
        <v>Pemasangan 1 m² Plesteran beton 1 pc : 2 ps</v>
      </c>
      <c r="C247" s="317">
        <f>'Analisa RAB'!H3919</f>
        <v>76500</v>
      </c>
    </row>
    <row r="248" spans="1:3" ht="18.75" customHeight="1" x14ac:dyDescent="0.25">
      <c r="A248" s="316">
        <f>'Analisa RAB'!B3922</f>
        <v>20</v>
      </c>
      <c r="B248" s="382" t="str">
        <f>'Analisa RAB'!C3922</f>
        <v>Pemasangan 1 m1 plesteran skoning 1 SP : 3 PP lebar 10 mm</v>
      </c>
      <c r="C248" s="317">
        <f>'Analisa RAB'!H3944</f>
        <v>66600</v>
      </c>
    </row>
    <row r="249" spans="1:3" ht="18.75" customHeight="1" x14ac:dyDescent="0.25">
      <c r="A249" s="316">
        <f>'Analisa RAB'!B3947</f>
        <v>21</v>
      </c>
      <c r="B249" s="382" t="str">
        <f>'Analisa RAB'!C3947</f>
        <v>Pemasangan 1 m² plesteran granit 1 SP : 2 Granit tebal 1 cm</v>
      </c>
      <c r="C249" s="317">
        <f>'Analisa RAB'!H3969</f>
        <v>97600</v>
      </c>
    </row>
    <row r="250" spans="1:3" ht="18.75" customHeight="1" x14ac:dyDescent="0.25">
      <c r="A250" s="316">
        <f>'Analisa RAB'!B3972</f>
        <v>22</v>
      </c>
      <c r="B250" s="382" t="str">
        <f>'Analisa RAB'!C3972</f>
        <v>Pemasangan 1 m² plesteran traso 1 SP : 2 Traso tebal 1 cm</v>
      </c>
      <c r="C250" s="317">
        <f>'Analisa RAB'!H3993</f>
        <v>97600</v>
      </c>
    </row>
    <row r="251" spans="1:3" ht="18.75" customHeight="1" x14ac:dyDescent="0.25">
      <c r="A251" s="316">
        <f>'Analisa RAB'!B3996</f>
        <v>23</v>
      </c>
      <c r="B251" s="382" t="str">
        <f>'Analisa RAB'!C3996</f>
        <v>Pemasangan 1 m² Acian dengan Mill / ngelabur</v>
      </c>
      <c r="C251" s="317">
        <f>'Analisa RAB'!H4018</f>
        <v>22900</v>
      </c>
    </row>
    <row r="252" spans="1:3" ht="18.75" customHeight="1" x14ac:dyDescent="0.25">
      <c r="A252" s="316">
        <f>'Analisa RAB'!B4021</f>
        <v>24</v>
      </c>
      <c r="B252" s="382" t="str">
        <f>'Analisa RAB'!C4021</f>
        <v>Pemasangan 1 m² finishing siar pasangan bata merah</v>
      </c>
      <c r="C252" s="317">
        <f>'Analisa RAB'!H4042</f>
        <v>32300</v>
      </c>
    </row>
    <row r="253" spans="1:3" ht="18.75" customHeight="1" x14ac:dyDescent="0.25">
      <c r="A253" s="316">
        <f>'Analisa RAB'!B4045</f>
        <v>25</v>
      </c>
      <c r="B253" s="382" t="str">
        <f>'Analisa RAB'!C4045</f>
        <v>Pemasangan 1 m² finishing siar pasangan conblock ekspose</v>
      </c>
      <c r="C253" s="317">
        <f>'Analisa RAB'!H4065</f>
        <v>15400</v>
      </c>
    </row>
    <row r="254" spans="1:3" ht="18.75" customHeight="1" x14ac:dyDescent="0.25">
      <c r="A254" s="316">
        <f>'Analisa RAB'!B4068</f>
        <v>26</v>
      </c>
      <c r="B254" s="382" t="str">
        <f>'Analisa RAB'!C4068</f>
        <v>Pemasangan 1 m² finishing siar pasangan batu kali , campuran 1 SP : 2 PP</v>
      </c>
      <c r="C254" s="317">
        <f>'Analisa RAB'!H4088</f>
        <v>67400</v>
      </c>
    </row>
    <row r="255" spans="1:3" ht="18.75" customHeight="1" x14ac:dyDescent="0.25">
      <c r="A255" s="316">
        <f>'Analisa RAB'!B4091</f>
        <v>27</v>
      </c>
      <c r="B255" s="382" t="str">
        <f>'Analisa RAB'!C4091</f>
        <v>Pemasangan 1 m² acian dengan semen</v>
      </c>
      <c r="C255" s="317">
        <f>'Analisa RAB'!H4111</f>
        <v>41200</v>
      </c>
    </row>
    <row r="257" spans="1:3" ht="18.75" customHeight="1" x14ac:dyDescent="0.25">
      <c r="A257" s="377" t="str">
        <f>'Analisa RAB'!A4115</f>
        <v>VIII.</v>
      </c>
      <c r="B257" s="319" t="str">
        <f>'Analisa RAB'!B4115</f>
        <v>HARGA SATUAN PEKERJAAN PENUTUP LANTAI DAN PENUTUP DINDING</v>
      </c>
      <c r="C257" s="320"/>
    </row>
    <row r="258" spans="1:3" ht="18.75" customHeight="1" x14ac:dyDescent="0.25">
      <c r="A258" s="316">
        <f>'Analisa RAB'!B4117</f>
        <v>1</v>
      </c>
      <c r="B258" s="382" t="str">
        <f>'Analisa RAB'!C4117</f>
        <v>Pemasangan 1 m² lantai ubin PC abu-abu ukuran 40 cmx 40 cm</v>
      </c>
      <c r="C258" s="317">
        <f>'Analisa RAB'!H4140</f>
        <v>184000</v>
      </c>
    </row>
    <row r="259" spans="1:3" ht="18.75" customHeight="1" x14ac:dyDescent="0.25">
      <c r="A259" s="316">
        <f>'Analisa RAB'!B4143</f>
        <v>2</v>
      </c>
      <c r="B259" s="382" t="str">
        <f>'Analisa RAB'!C4143</f>
        <v>Pemasangan 1 m² lantai ubin PC abu-abu ukuran 30 cmx 30 cm</v>
      </c>
      <c r="C259" s="317">
        <f>'Analisa RAB'!H4165</f>
        <v>185100</v>
      </c>
    </row>
    <row r="260" spans="1:3" ht="18.75" customHeight="1" x14ac:dyDescent="0.25">
      <c r="A260" s="316">
        <f>'Analisa RAB'!B4168</f>
        <v>3</v>
      </c>
      <c r="B260" s="382" t="str">
        <f>'Analisa RAB'!C4168</f>
        <v>Pemasangan 1 m² lantai ubin PC abu-abu ukuran 20 cmx 20 cm</v>
      </c>
      <c r="C260" s="317">
        <f>'Analisa RAB'!H4191</f>
        <v>246500</v>
      </c>
    </row>
    <row r="261" spans="1:3" ht="18.75" customHeight="1" x14ac:dyDescent="0.25">
      <c r="A261" s="316">
        <f>'Analisa RAB'!B4194</f>
        <v>4</v>
      </c>
      <c r="B261" s="382" t="str">
        <f>'Analisa RAB'!C4194</f>
        <v>Pemasangan 1 m² lantai ubin warna ukuran 40 cmx 40 cm</v>
      </c>
      <c r="C261" s="317">
        <f>'Analisa RAB'!H4217</f>
        <v>203200</v>
      </c>
    </row>
    <row r="262" spans="1:3" ht="18.75" customHeight="1" x14ac:dyDescent="0.25">
      <c r="A262" s="316">
        <f>'Analisa RAB'!B4220</f>
        <v>5</v>
      </c>
      <c r="B262" s="382" t="str">
        <f>'Analisa RAB'!C4220</f>
        <v>Pemasangan 1 m² lantai ubin warna ukuran 30 cmx 30 cm</v>
      </c>
      <c r="C262" s="317">
        <f>'Analisa RAB'!H4244</f>
        <v>209000</v>
      </c>
    </row>
    <row r="263" spans="1:3" ht="18.75" customHeight="1" x14ac:dyDescent="0.25">
      <c r="A263" s="316">
        <f>'Analisa RAB'!B4247</f>
        <v>6</v>
      </c>
      <c r="B263" s="382" t="str">
        <f>'Analisa RAB'!C4247</f>
        <v>Pemasangan 1 m² lantai ubin warna ukuran 20 cmx 20 cm</v>
      </c>
      <c r="C263" s="317">
        <f>'Analisa RAB'!H4271</f>
        <v>270100</v>
      </c>
    </row>
    <row r="264" spans="1:3" ht="18.75" customHeight="1" x14ac:dyDescent="0.25">
      <c r="A264" s="316">
        <f>'Analisa RAB'!B4274</f>
        <v>7</v>
      </c>
      <c r="B264" s="382" t="str">
        <f>'Analisa RAB'!C4274</f>
        <v>Pemasangan 1 m² lantai ubin teraso ukuran 40 cmx 40 cm</v>
      </c>
      <c r="C264" s="317">
        <f>'Analisa RAB'!H4298</f>
        <v>172300</v>
      </c>
    </row>
    <row r="265" spans="1:3" ht="18.75" customHeight="1" x14ac:dyDescent="0.25">
      <c r="A265" s="316">
        <f>'Analisa RAB'!B4301</f>
        <v>8</v>
      </c>
      <c r="B265" s="382" t="str">
        <f>'Analisa RAB'!C4301</f>
        <v>Pemasangan 1 m² lantai ubin teraso ukuran 30 cmx 30 cm</v>
      </c>
      <c r="C265" s="317">
        <f>'Analisa RAB'!H4325</f>
        <v>178000</v>
      </c>
    </row>
    <row r="266" spans="1:3" ht="18.75" customHeight="1" x14ac:dyDescent="0.25">
      <c r="A266" s="316">
        <f>'Analisa RAB'!B4328</f>
        <v>9</v>
      </c>
      <c r="B266" s="382" t="str">
        <f>'Analisa RAB'!C4328</f>
        <v>Pemasangan 1 m² lantai ubin granit ukuran 40 cmx 40 cm</v>
      </c>
      <c r="C266" s="317">
        <f>'Analisa RAB'!H4352</f>
        <v>749200</v>
      </c>
    </row>
    <row r="267" spans="1:3" ht="18.75" customHeight="1" x14ac:dyDescent="0.25">
      <c r="A267" s="316">
        <f>'Analisa RAB'!B4355</f>
        <v>10</v>
      </c>
      <c r="B267" s="382" t="str">
        <f>'Analisa RAB'!C4355</f>
        <v>Pemasangan 1 m² lantai ubin granit ukuran 30 cmx 30 cm</v>
      </c>
      <c r="C267" s="317">
        <f>'Analisa RAB'!H4379</f>
        <v>754400</v>
      </c>
    </row>
    <row r="268" spans="1:3" ht="18.75" customHeight="1" x14ac:dyDescent="0.25">
      <c r="A268" s="316">
        <f>'Analisa RAB'!B4382</f>
        <v>11</v>
      </c>
      <c r="B268" s="382" t="str">
        <f>'Analisa RAB'!C4382</f>
        <v>Pemasangan 1 m² lantai ubin teralux marmer ukuran 60 cmx 60 cm</v>
      </c>
      <c r="C268" s="317">
        <f>'Analisa RAB'!H4406</f>
        <v>169100</v>
      </c>
    </row>
    <row r="269" spans="1:3" ht="18.75" customHeight="1" x14ac:dyDescent="0.25">
      <c r="A269" s="316">
        <f>'Analisa RAB'!B4409</f>
        <v>12</v>
      </c>
      <c r="B269" s="382" t="str">
        <f>'Analisa RAB'!C4409</f>
        <v>Pemasangan 1 m² lantai ubin teralux marmer ukuran 40 cmx 40 cm</v>
      </c>
      <c r="C269" s="317">
        <f>'Analisa RAB'!H4433</f>
        <v>168200</v>
      </c>
    </row>
    <row r="270" spans="1:3" ht="18.75" customHeight="1" x14ac:dyDescent="0.25">
      <c r="A270" s="316">
        <f>'Analisa RAB'!B4436</f>
        <v>13</v>
      </c>
      <c r="B270" s="382" t="str">
        <f>'Analisa RAB'!C4436</f>
        <v>Pemasangan 1 m² lantai ubin teralux marmer ukuran 30 cmx 30 cm</v>
      </c>
      <c r="C270" s="317">
        <f>'Analisa RAB'!H4460</f>
        <v>173300</v>
      </c>
    </row>
    <row r="271" spans="1:3" ht="18.75" customHeight="1" x14ac:dyDescent="0.25">
      <c r="A271" s="316">
        <f>'Analisa RAB'!B4463</f>
        <v>14</v>
      </c>
      <c r="B271" s="382" t="str">
        <f>'Analisa RAB'!C4463</f>
        <v>Pemasangan 1 m1 plint ubin PC abu-abu ukuran 15 cmx 20 cm</v>
      </c>
      <c r="C271" s="317">
        <f>'Analisa RAB'!H4486</f>
        <v>41000</v>
      </c>
    </row>
    <row r="272" spans="1:3" ht="18.75" customHeight="1" x14ac:dyDescent="0.25">
      <c r="A272" s="316">
        <f>'Analisa RAB'!B4489</f>
        <v>15</v>
      </c>
      <c r="B272" s="382" t="str">
        <f>'Analisa RAB'!C4489</f>
        <v>Pemasangan 1 m1 plint ubin PC abu-abu ukuran 10 cmx 30 cm</v>
      </c>
      <c r="C272" s="317">
        <f>'Analisa RAB'!H4512</f>
        <v>35200</v>
      </c>
    </row>
    <row r="273" spans="1:3" ht="18.75" customHeight="1" x14ac:dyDescent="0.25">
      <c r="A273" s="316">
        <f>'Analisa RAB'!B4515</f>
        <v>16</v>
      </c>
      <c r="B273" s="382" t="str">
        <f>'Analisa RAB'!C4515</f>
        <v>Pemasangan 1 m1 plint ubin PC abu-abu ukuran 10 cmx 40 cm</v>
      </c>
      <c r="C273" s="317">
        <f>'Analisa RAB'!H4538</f>
        <v>35200</v>
      </c>
    </row>
    <row r="274" spans="1:3" ht="18.75" customHeight="1" x14ac:dyDescent="0.25">
      <c r="A274" s="316">
        <f>'Analisa RAB'!B4541</f>
        <v>17</v>
      </c>
      <c r="B274" s="382" t="str">
        <f>'Analisa RAB'!C4541</f>
        <v>Pemasangan 1 m1 plint ubin warna ukuran 10 cmx 20 cm</v>
      </c>
      <c r="C274" s="317">
        <f>'Analisa RAB'!H4565</f>
        <v>31300</v>
      </c>
    </row>
    <row r="275" spans="1:3" ht="18.75" customHeight="1" x14ac:dyDescent="0.25">
      <c r="A275" s="316">
        <f>'Analisa RAB'!B4568</f>
        <v>18</v>
      </c>
      <c r="B275" s="382" t="str">
        <f>'Analisa RAB'!C4568</f>
        <v>Pemasangan 1 m1 plint ubin warna ukuran 10 cmx 30 cm</v>
      </c>
      <c r="C275" s="317">
        <f>'Analisa RAB'!H4592</f>
        <v>26000</v>
      </c>
    </row>
    <row r="276" spans="1:3" ht="18.75" customHeight="1" x14ac:dyDescent="0.25">
      <c r="A276" s="316">
        <f>'Analisa RAB'!B4595</f>
        <v>19</v>
      </c>
      <c r="B276" s="382" t="str">
        <f>'Analisa RAB'!C4595</f>
        <v>Pemasangan 1 m1 plint ubin warna ukuran 10 cmx 40 cm</v>
      </c>
      <c r="C276" s="317">
        <f>'Analisa RAB'!H4619</f>
        <v>36400</v>
      </c>
    </row>
    <row r="277" spans="1:3" ht="18.75" customHeight="1" x14ac:dyDescent="0.25">
      <c r="A277" s="316">
        <f>'Analisa RAB'!B4622</f>
        <v>20</v>
      </c>
      <c r="B277" s="382" t="str">
        <f>'Analisa RAB'!C4622</f>
        <v>Pemasangan 1 m1 plint ubin teraso ukuran 10 cmx 30 cm</v>
      </c>
      <c r="C277" s="317">
        <f>'Analisa RAB'!H4646</f>
        <v>33300</v>
      </c>
    </row>
    <row r="278" spans="1:3" ht="18.75" customHeight="1" x14ac:dyDescent="0.25">
      <c r="A278" s="316">
        <f>'Analisa RAB'!B4649</f>
        <v>21</v>
      </c>
      <c r="B278" s="382" t="str">
        <f>'Analisa RAB'!C4649</f>
        <v>Pemasangan 1 m1 plint ubin teraso ukuran 10 cmx 40 cm</v>
      </c>
      <c r="C278" s="317">
        <f>'Analisa RAB'!H4673</f>
        <v>33400</v>
      </c>
    </row>
    <row r="279" spans="1:3" ht="18.75" customHeight="1" x14ac:dyDescent="0.25">
      <c r="A279" s="316">
        <f>'Analisa RAB'!B4676</f>
        <v>22</v>
      </c>
      <c r="B279" s="382" t="str">
        <f>'Analisa RAB'!C4676</f>
        <v>Pemasangan 1 m1 plint ubin granit ukuran 10 cmx 40 cm</v>
      </c>
      <c r="C279" s="317">
        <f>'Analisa RAB'!H4700</f>
        <v>66900</v>
      </c>
    </row>
    <row r="280" spans="1:3" ht="18.75" customHeight="1" x14ac:dyDescent="0.25">
      <c r="A280" s="316">
        <f>'Analisa RAB'!B4703</f>
        <v>23</v>
      </c>
      <c r="B280" s="382" t="str">
        <f>'Analisa RAB'!C4703</f>
        <v>Pemasangan 1 m1 plint ubin granit ukuran 10 cmx 30 cm</v>
      </c>
      <c r="C280" s="317">
        <f>'Analisa RAB'!H4727</f>
        <v>26300</v>
      </c>
    </row>
    <row r="281" spans="1:3" ht="18.75" customHeight="1" x14ac:dyDescent="0.25">
      <c r="A281" s="316">
        <f>'Analisa RAB'!B4730</f>
        <v>24</v>
      </c>
      <c r="B281" s="382" t="str">
        <f>'Analisa RAB'!C4730</f>
        <v>Pemasangan 1 m1 plint ubin teralux kerang ukuran 10 cmx 40 cm</v>
      </c>
      <c r="C281" s="317">
        <f>'Analisa RAB'!H4754</f>
        <v>33300</v>
      </c>
    </row>
    <row r="282" spans="1:3" ht="18.75" customHeight="1" x14ac:dyDescent="0.25">
      <c r="A282" s="316">
        <f>'Analisa RAB'!B4757</f>
        <v>25</v>
      </c>
      <c r="B282" s="382" t="str">
        <f>'Analisa RAB'!C4757</f>
        <v>Pemasangan 1 m1 plint ubin teralux kerang ukuran 10 cmx 30 cm</v>
      </c>
      <c r="C282" s="317">
        <f>'Analisa RAB'!H4781</f>
        <v>33300</v>
      </c>
    </row>
    <row r="283" spans="1:3" ht="18.75" customHeight="1" x14ac:dyDescent="0.25">
      <c r="A283" s="316">
        <f>'Analisa RAB'!B4784</f>
        <v>26</v>
      </c>
      <c r="B283" s="382" t="str">
        <f>'Analisa RAB'!C4784</f>
        <v>Pemasangan 1 m1 plint ubin teralux marmer ukuran 10 cmx 60 cm</v>
      </c>
      <c r="C283" s="317">
        <f>'Analisa RAB'!H4808</f>
        <v>33100</v>
      </c>
    </row>
    <row r="284" spans="1:3" ht="18.75" customHeight="1" x14ac:dyDescent="0.25">
      <c r="A284" s="316">
        <f>'Analisa RAB'!B4811</f>
        <v>27</v>
      </c>
      <c r="B284" s="382" t="str">
        <f>'Analisa RAB'!C4811</f>
        <v>Pemasangan 1 m1 plint ubin teralux marmer ukuran 10 cmx 40 cm</v>
      </c>
      <c r="C284" s="317">
        <f>'Analisa RAB'!H4835</f>
        <v>33400</v>
      </c>
    </row>
    <row r="285" spans="1:3" ht="18.75" customHeight="1" x14ac:dyDescent="0.25">
      <c r="A285" s="316">
        <f>'Analisa RAB'!B4838</f>
        <v>28</v>
      </c>
      <c r="B285" s="382" t="str">
        <f>'Analisa RAB'!C4838</f>
        <v>Pemasangan 1 m1 plint ubin teralux marmer ukuran 10 cmx 30 cm</v>
      </c>
      <c r="C285" s="317">
        <f>'Analisa RAB'!H4862</f>
        <v>33300</v>
      </c>
    </row>
    <row r="286" spans="1:3" ht="18.75" customHeight="1" x14ac:dyDescent="0.25">
      <c r="A286" s="316">
        <f>'Analisa RAB'!B4865</f>
        <v>29</v>
      </c>
      <c r="B286" s="382" t="str">
        <f>'Analisa RAB'!C4865</f>
        <v>Pemasangan 1 m² lantai teraso cor di tempat, tebal 3 cm</v>
      </c>
      <c r="C286" s="317">
        <f>'Analisa RAB'!H4887</f>
        <v>68800</v>
      </c>
    </row>
    <row r="287" spans="1:3" ht="18.75" customHeight="1" x14ac:dyDescent="0.25">
      <c r="A287" s="316">
        <f>'Analisa RAB'!B4890</f>
        <v>30</v>
      </c>
      <c r="B287" s="382" t="str">
        <f>'Analisa RAB'!C4890</f>
        <v>Pemasangan 1 m² lantai keramik artistik 10 cm x 20 cm</v>
      </c>
      <c r="C287" s="317">
        <f>'Analisa RAB'!H4913</f>
        <v>406000</v>
      </c>
    </row>
    <row r="288" spans="1:3" ht="18.75" customHeight="1" x14ac:dyDescent="0.25">
      <c r="A288" s="316">
        <f>'Analisa RAB'!B4916</f>
        <v>31</v>
      </c>
      <c r="B288" s="382" t="str">
        <f>'Analisa RAB'!C4916</f>
        <v>Pemasangan 1 m² lantai keramik artistik 10 cm x 10 cm atau 5cm x 20 cm</v>
      </c>
      <c r="C288" s="317">
        <f>'Analisa RAB'!H4939</f>
        <v>413100</v>
      </c>
    </row>
    <row r="289" spans="1:3" ht="18.75" customHeight="1" x14ac:dyDescent="0.25">
      <c r="A289" s="316">
        <f>'Analisa RAB'!B4942</f>
        <v>32</v>
      </c>
      <c r="B289" s="382" t="str">
        <f>'Analisa RAB'!C4942</f>
        <v>Pemasangan 1 m² lantai keramik ukuran 33 cm x 33 cm</v>
      </c>
      <c r="C289" s="317">
        <f>'Analisa RAB'!H4966</f>
        <v>253100</v>
      </c>
    </row>
    <row r="290" spans="1:3" ht="18.75" customHeight="1" x14ac:dyDescent="0.25">
      <c r="A290" s="316" t="str">
        <f>'Analisa RAB'!B4969</f>
        <v>33.1</v>
      </c>
      <c r="B290" s="382" t="str">
        <f>'Analisa RAB'!C4969</f>
        <v xml:space="preserve">Pemasangan 1 m² lantai keramik ukuran 40 cm x 40 cm </v>
      </c>
      <c r="C290" s="317">
        <f>'Analisa RAB'!H4996</f>
        <v>217700</v>
      </c>
    </row>
    <row r="291" spans="1:3" ht="18.75" customHeight="1" x14ac:dyDescent="0.25">
      <c r="A291" s="316" t="str">
        <f>'Analisa RAB'!B4970</f>
        <v>33.2</v>
      </c>
      <c r="B291" s="382" t="str">
        <f>'Analisa RAB'!C4970</f>
        <v>Pemasangan 1 m² lantai keramik ukuran 40 cm x 40 cm anti slip</v>
      </c>
      <c r="C291" s="317">
        <f>'Analisa RAB'!H5000</f>
        <v>223700</v>
      </c>
    </row>
    <row r="292" spans="1:3" ht="18.75" customHeight="1" x14ac:dyDescent="0.25">
      <c r="A292" s="316" t="str">
        <f>'Analisa RAB'!B5003</f>
        <v>34.1</v>
      </c>
      <c r="B292" s="382" t="str">
        <f>'Analisa RAB'!C5003</f>
        <v xml:space="preserve">Pemasangan 1 m² lantai keramik ukuran 20 cm x 20 cm </v>
      </c>
      <c r="C292" s="317">
        <f>'Analisa RAB'!H5030</f>
        <v>238300</v>
      </c>
    </row>
    <row r="293" spans="1:3" ht="18.75" customHeight="1" x14ac:dyDescent="0.25">
      <c r="A293" s="316" t="str">
        <f>'Analisa RAB'!B5004</f>
        <v>34.2</v>
      </c>
      <c r="B293" s="382" t="str">
        <f>'Analisa RAB'!C5004</f>
        <v>Pemasangan 1 m² lantai keramik ukuran 20 cm x 20 cm anti slip</v>
      </c>
      <c r="C293" s="317">
        <f>'Analisa RAB'!H5034</f>
        <v>243700</v>
      </c>
    </row>
    <row r="294" spans="1:3" ht="18.75" customHeight="1" x14ac:dyDescent="0.25">
      <c r="A294" s="316">
        <f>'Analisa RAB'!B5037</f>
        <v>35</v>
      </c>
      <c r="B294" s="382" t="str">
        <f>'Analisa RAB'!C5037</f>
        <v xml:space="preserve">Pemasangan 1 m² lantai keramik ukuran 10 cm x 40 cm untuk variasi /border </v>
      </c>
      <c r="C294" s="317">
        <f>'Analisa RAB'!H5061</f>
        <v>382600</v>
      </c>
    </row>
    <row r="295" spans="1:3" ht="18.75" customHeight="1" x14ac:dyDescent="0.25">
      <c r="A295" s="316" t="str">
        <f>'Analisa RAB'!B5064</f>
        <v>36.1</v>
      </c>
      <c r="B295" s="382" t="str">
        <f>'Analisa RAB'!C5064</f>
        <v>Pemasangan 1 m² lantai keramik ukuran 30 cm x 30 cm</v>
      </c>
      <c r="C295" s="317">
        <f>'Analisa RAB'!H5093</f>
        <v>259300</v>
      </c>
    </row>
    <row r="296" spans="1:3" ht="18.75" customHeight="1" x14ac:dyDescent="0.25">
      <c r="A296" s="316" t="str">
        <f>'Analisa RAB'!B5065</f>
        <v>36.2</v>
      </c>
      <c r="B296" s="382" t="str">
        <f>'Analisa RAB'!C5065</f>
        <v>Pemasangan 1 m² lantai keramik ukuran 30 cm x 30 cm Anti Slip</v>
      </c>
      <c r="C296" s="317">
        <f>'Analisa RAB'!H5097</f>
        <v>247000</v>
      </c>
    </row>
    <row r="297" spans="1:3" ht="18.75" customHeight="1" x14ac:dyDescent="0.25">
      <c r="A297" s="316" t="str">
        <f>'Analisa RAB'!B5100</f>
        <v>37.1</v>
      </c>
      <c r="B297" s="382" t="str">
        <f>'Analisa RAB'!C5100</f>
        <v>Pemasangan 1 m1 plint keramik ukuran 10 cm x 30 cm</v>
      </c>
      <c r="C297" s="317">
        <f>'Analisa RAB'!H5126</f>
        <v>27600</v>
      </c>
    </row>
    <row r="298" spans="1:3" ht="18.75" customHeight="1" x14ac:dyDescent="0.25">
      <c r="A298" s="316" t="str">
        <f>'Analisa RAB'!B5101</f>
        <v>37.2</v>
      </c>
      <c r="B298" s="382" t="str">
        <f>'Analisa RAB'!C5101</f>
        <v xml:space="preserve">Pemasangan 1 m1 plint keramik ukuran 10 cm x 20 cm </v>
      </c>
      <c r="C298" s="317">
        <f>'Analisa RAB'!H5130</f>
        <v>22800</v>
      </c>
    </row>
    <row r="299" spans="1:3" ht="18.75" customHeight="1" x14ac:dyDescent="0.25">
      <c r="A299" s="316">
        <f>'Analisa RAB'!B5133</f>
        <v>38</v>
      </c>
      <c r="B299" s="382" t="str">
        <f>'Analisa RAB'!C5133</f>
        <v xml:space="preserve">Pemasangan 1 m1 plint kayu ukuran 2 cm x 10 cm </v>
      </c>
      <c r="C299" s="317">
        <f>'Analisa RAB'!H5154</f>
        <v>159300</v>
      </c>
    </row>
    <row r="300" spans="1:3" ht="18.75" customHeight="1" x14ac:dyDescent="0.25">
      <c r="A300" s="316">
        <f>'Analisa RAB'!B5157</f>
        <v>39</v>
      </c>
      <c r="B300" s="382" t="str">
        <f>'Analisa RAB'!C5157</f>
        <v xml:space="preserve">Pemasangan 1 m1 plint keramik ukuran 5 cm x 20 cm </v>
      </c>
      <c r="C300" s="317">
        <f>'Analisa RAB'!H5181</f>
        <v>30100</v>
      </c>
    </row>
    <row r="301" spans="1:3" ht="18.75" customHeight="1" x14ac:dyDescent="0.25">
      <c r="A301" s="316">
        <f>'Analisa RAB'!B5184</f>
        <v>40</v>
      </c>
      <c r="B301" s="382" t="str">
        <f>'Analisa RAB'!C5184</f>
        <v xml:space="preserve">Pemasangan 1 m² lantai marmer ukuran 100 cm x 100 cm </v>
      </c>
      <c r="C301" s="317">
        <f>'Analisa RAB'!H5208</f>
        <v>396000</v>
      </c>
    </row>
    <row r="302" spans="1:3" ht="18.75" customHeight="1" x14ac:dyDescent="0.25">
      <c r="A302" s="316">
        <f>'Analisa RAB'!B5211</f>
        <v>41</v>
      </c>
      <c r="B302" s="382" t="str">
        <f>'Analisa RAB'!C5211</f>
        <v xml:space="preserve">Pemasangan 1 m² lantai karpet </v>
      </c>
      <c r="C302" s="317">
        <f>'Analisa RAB'!H5232</f>
        <v>392700</v>
      </c>
    </row>
    <row r="303" spans="1:3" ht="18.75" customHeight="1" x14ac:dyDescent="0.25">
      <c r="A303" s="316">
        <f>'Analisa RAB'!B5235</f>
        <v>42</v>
      </c>
      <c r="B303" s="382" t="str">
        <f>'Analisa RAB'!C5235</f>
        <v xml:space="preserve">Pemasangan 1 m² lantai parquet kayu </v>
      </c>
      <c r="C303" s="317">
        <f>'Analisa RAB'!H5257</f>
        <v>208900</v>
      </c>
    </row>
    <row r="304" spans="1:3" ht="18.75" customHeight="1" x14ac:dyDescent="0.25">
      <c r="A304" s="316">
        <f>'Analisa RAB'!B5260</f>
        <v>43</v>
      </c>
      <c r="B304" s="382" t="str">
        <f>'Analisa RAB'!C5260</f>
        <v xml:space="preserve">Pemasangan 1 m² lantai kayu gymfloor </v>
      </c>
      <c r="C304" s="317">
        <f>'Analisa RAB'!H5282</f>
        <v>208900</v>
      </c>
    </row>
    <row r="305" spans="1:3" ht="18.75" customHeight="1" x14ac:dyDescent="0.25">
      <c r="A305" s="316">
        <f>'Analisa RAB'!B5285</f>
        <v>44</v>
      </c>
      <c r="B305" s="382" t="str">
        <f>'Analisa RAB'!C5285</f>
        <v>Pemasangan 1 m² dinding porselin 11 cm x 11 cm</v>
      </c>
      <c r="C305" s="317">
        <f>'Analisa RAB'!H5309</f>
        <v>301200</v>
      </c>
    </row>
    <row r="306" spans="1:3" ht="18.75" customHeight="1" x14ac:dyDescent="0.25">
      <c r="A306" s="316">
        <f>'Analisa RAB'!B5312</f>
        <v>45</v>
      </c>
      <c r="B306" s="382" t="str">
        <f>'Analisa RAB'!C5312</f>
        <v>Pemasangan 1 m² dinding porselin 10 cm x 20 cm</v>
      </c>
      <c r="C306" s="317">
        <f>'Analisa RAB'!H5336</f>
        <v>304700</v>
      </c>
    </row>
    <row r="307" spans="1:3" ht="18.75" customHeight="1" x14ac:dyDescent="0.25">
      <c r="A307" s="316">
        <f>'Analisa RAB'!B5339</f>
        <v>46</v>
      </c>
      <c r="B307" s="382" t="str">
        <f>'Analisa RAB'!C5339</f>
        <v>Pemasangan 1 m² dinding porselin 20 cm x 20 cm</v>
      </c>
      <c r="C307" s="317">
        <f>'Analisa RAB'!H5363</f>
        <v>292000</v>
      </c>
    </row>
    <row r="308" spans="1:3" ht="18.75" customHeight="1" x14ac:dyDescent="0.25">
      <c r="A308" s="316">
        <f>'Analisa RAB'!B5366</f>
        <v>47</v>
      </c>
      <c r="B308" s="382" t="str">
        <f>'Analisa RAB'!C5366</f>
        <v>Pemasangan 1 m² dinding keramik artistik 10 cm x 20 cm</v>
      </c>
      <c r="C308" s="317">
        <f>'Analisa RAB'!H5390</f>
        <v>425700</v>
      </c>
    </row>
    <row r="309" spans="1:3" ht="18.75" customHeight="1" x14ac:dyDescent="0.25">
      <c r="A309" s="316">
        <f>'Analisa RAB'!B5393</f>
        <v>48</v>
      </c>
      <c r="B309" s="382" t="str">
        <f>'Analisa RAB'!C5393</f>
        <v>Pemasangan 1 m² dinding keramik artistik 5 cm x 20 cm</v>
      </c>
      <c r="C309" s="317">
        <f>'Analisa RAB'!H5417</f>
        <v>428000</v>
      </c>
    </row>
    <row r="310" spans="1:3" ht="18.75" customHeight="1" x14ac:dyDescent="0.25">
      <c r="A310" s="316">
        <f>'Analisa RAB'!B5420</f>
        <v>49</v>
      </c>
      <c r="B310" s="382" t="str">
        <f>'Analisa RAB'!C5420</f>
        <v>Pemasangan 1 m² dinding keramik 10 cm x 20 cm</v>
      </c>
      <c r="C310" s="317">
        <f>'Analisa RAB'!H5444</f>
        <v>425700</v>
      </c>
    </row>
    <row r="311" spans="1:3" ht="18.75" customHeight="1" x14ac:dyDescent="0.25">
      <c r="A311" s="316">
        <f>'Analisa RAB'!B5447</f>
        <v>50</v>
      </c>
      <c r="B311" s="382" t="str">
        <f>'Analisa RAB'!C5447</f>
        <v>Pemasangan 1 m² dinding keramik 20 cm x 20 cm</v>
      </c>
      <c r="C311" s="317">
        <f>'Analisa RAB'!H5471</f>
        <v>288500</v>
      </c>
    </row>
    <row r="312" spans="1:3" ht="18.75" customHeight="1" x14ac:dyDescent="0.25">
      <c r="A312" s="316">
        <f>'Analisa RAB'!B5474</f>
        <v>51</v>
      </c>
      <c r="B312" s="382" t="str">
        <f>'Analisa RAB'!C5474</f>
        <v>Pemasangan 1 m² dinding marmer 100 cm x 100 cm</v>
      </c>
      <c r="C312" s="317">
        <f>'Analisa RAB'!H5499</f>
        <v>506200</v>
      </c>
    </row>
    <row r="313" spans="1:3" ht="18.75" customHeight="1" x14ac:dyDescent="0.25">
      <c r="A313" s="316">
        <f>'Analisa RAB'!B5502</f>
        <v>52</v>
      </c>
      <c r="B313" s="382" t="str">
        <f>'Analisa RAB'!C5502</f>
        <v xml:space="preserve">Pemasangan 1 m² dinding bata pelapis </v>
      </c>
      <c r="C313" s="317">
        <f>'Analisa RAB'!H5526</f>
        <v>510000</v>
      </c>
    </row>
    <row r="314" spans="1:3" ht="18.75" customHeight="1" x14ac:dyDescent="0.25">
      <c r="A314" s="316">
        <f>'Analisa RAB'!B5529</f>
        <v>53</v>
      </c>
      <c r="B314" s="382" t="str">
        <f>'Analisa RAB'!C5529</f>
        <v xml:space="preserve">Pemasangan 1 m² dinding batu paras sarwagenep </v>
      </c>
      <c r="C314" s="317">
        <f>'Analisa RAB'!H5550</f>
        <v>179500</v>
      </c>
    </row>
    <row r="315" spans="1:3" ht="18.75" customHeight="1" x14ac:dyDescent="0.25">
      <c r="A315" s="316">
        <f>'Analisa RAB'!B5553</f>
        <v>54</v>
      </c>
      <c r="B315" s="382" t="str">
        <f>'Analisa RAB'!C5553</f>
        <v xml:space="preserve">Pemasangan 1 m² dinding batu tempel hitam </v>
      </c>
      <c r="C315" s="317">
        <f>'Analisa RAB'!H5575</f>
        <v>480100</v>
      </c>
    </row>
    <row r="316" spans="1:3" ht="18.75" customHeight="1" x14ac:dyDescent="0.25">
      <c r="A316" s="316">
        <f>'Analisa RAB'!B5578</f>
        <v>55</v>
      </c>
      <c r="B316" s="382" t="str">
        <f>'Analisa RAB'!C5578</f>
        <v>Pemasangan 1 m² dindig batu bali green</v>
      </c>
      <c r="C316" s="317">
        <f>'Analisa RAB'!H5599</f>
        <v>285200</v>
      </c>
    </row>
    <row r="318" spans="1:3" ht="18.75" customHeight="1" x14ac:dyDescent="0.25">
      <c r="A318" s="377" t="str">
        <f>'Analisa RAB'!A5602</f>
        <v>IX.</v>
      </c>
      <c r="B318" s="319" t="str">
        <f>'Analisa RAB'!B5602</f>
        <v>SATUAN PEKERJAAN LANGIT-LANGIT (PLAFOND)</v>
      </c>
      <c r="C318" s="320"/>
    </row>
    <row r="319" spans="1:3" ht="18.75" customHeight="1" x14ac:dyDescent="0.25">
      <c r="A319" s="316">
        <f>'Analisa RAB'!B5604</f>
        <v>1</v>
      </c>
      <c r="B319" s="316" t="str">
        <f>'Analisa RAB'!C5604</f>
        <v>Pemasangan 1 m² langit-langit asbes 1 x 1 m/3.2 ( tanpa rangka ) semen tebal 4 mm, 5 mm, 6 mm</v>
      </c>
      <c r="C319" s="317">
        <f>'Analisa RAB'!H5625</f>
        <v>62200</v>
      </c>
    </row>
    <row r="320" spans="1:3" ht="18.75" customHeight="1" x14ac:dyDescent="0.25">
      <c r="A320" s="316">
        <f>'Analisa RAB'!B5628</f>
        <v>2</v>
      </c>
      <c r="B320" s="382" t="str">
        <f>'Analisa RAB'!C5628</f>
        <v>Pemasangan 1 m² rangka langit-langit 50 x 1 m</v>
      </c>
      <c r="C320" s="317">
        <f>'Analisa RAB'!H5650</f>
        <v>140100</v>
      </c>
    </row>
    <row r="321" spans="1:3" ht="18.75" customHeight="1" x14ac:dyDescent="0.25">
      <c r="A321" s="316">
        <f>'Analisa RAB'!B5653</f>
        <v>3</v>
      </c>
      <c r="B321" s="382" t="str">
        <f>'Analisa RAB'!C5653</f>
        <v>Pemasangan 1 m² langit-langit akustik ukuran 60 x 120cm</v>
      </c>
      <c r="C321" s="317">
        <f>'Analisa RAB'!H5675</f>
        <v>118600</v>
      </c>
    </row>
    <row r="322" spans="1:3" ht="18.75" customHeight="1" x14ac:dyDescent="0.25">
      <c r="A322" s="316">
        <f>'Analisa RAB'!B5678</f>
        <v>4</v>
      </c>
      <c r="B322" s="382" t="str">
        <f>'Analisa RAB'!C5678</f>
        <v xml:space="preserve">Pemasangan 1 m² langit-langit plywood 30x60 cm/4mm tanpa rangka </v>
      </c>
      <c r="C322" s="317">
        <f>'Analisa RAB'!H5699</f>
        <v>66100</v>
      </c>
    </row>
    <row r="323" spans="1:3" ht="18.75" customHeight="1" x14ac:dyDescent="0.25">
      <c r="A323" s="316">
        <f>'Analisa RAB'!B5702</f>
        <v>5</v>
      </c>
      <c r="B323" s="382" t="str">
        <f>'Analisa RAB'!C5702</f>
        <v xml:space="preserve">Pemasangan 1 m² langit-langit plywood 30x60 cm/4mm + rangka </v>
      </c>
      <c r="C323" s="317">
        <f>'Analisa RAB'!H5725</f>
        <v>206500</v>
      </c>
    </row>
    <row r="324" spans="1:3" ht="18.75" customHeight="1" x14ac:dyDescent="0.25">
      <c r="A324" s="316">
        <f>'Analisa RAB'!B5728</f>
        <v>6</v>
      </c>
      <c r="B324" s="382" t="str">
        <f>'Analisa RAB'!C5728</f>
        <v xml:space="preserve">Pemasangan 1 m² langit-langit asbes + rangka </v>
      </c>
      <c r="C324" s="317">
        <f>'Analisa RAB'!H5751</f>
        <v>145700</v>
      </c>
    </row>
    <row r="325" spans="1:3" ht="18.75" customHeight="1" x14ac:dyDescent="0.25">
      <c r="A325" s="316">
        <f>'Analisa RAB'!B5754</f>
        <v>7</v>
      </c>
      <c r="B325" s="382" t="str">
        <f>'Analisa RAB'!C5754</f>
        <v>Pemasangan 1 m² langit-langit gypsum board ukuran (120 x 240 x 9 )mm, tebal 9 mm tanpa rangka</v>
      </c>
      <c r="C325" s="317">
        <f>'Analisa RAB'!H5776</f>
        <v>55800</v>
      </c>
    </row>
    <row r="326" spans="1:3" ht="18.75" customHeight="1" x14ac:dyDescent="0.25">
      <c r="A326" s="316">
        <f>'Analisa RAB'!B5779</f>
        <v>8</v>
      </c>
      <c r="B326" s="382" t="str">
        <f>'Analisa RAB'!C5779</f>
        <v>Pemasangan 1 m² langit-langit  klasiboard 1x1m + rangka</v>
      </c>
      <c r="C326" s="317">
        <f>'Analisa RAB'!H5801</f>
        <v>194300</v>
      </c>
    </row>
    <row r="327" spans="1:3" ht="18.75" customHeight="1" x14ac:dyDescent="0.25">
      <c r="A327" s="316">
        <f>'Analisa RAB'!B5804</f>
        <v>9</v>
      </c>
      <c r="B327" s="382" t="str">
        <f>'Analisa RAB'!C5804</f>
        <v>Pemasangan 1 m² langit-langit lambrisering  kayu , tebal 9 mm</v>
      </c>
      <c r="C327" s="317">
        <f>'Analisa RAB'!H5826</f>
        <v>314100</v>
      </c>
    </row>
    <row r="328" spans="1:3" ht="18.75" customHeight="1" x14ac:dyDescent="0.25">
      <c r="A328" s="316">
        <f>'Analisa RAB'!B5829</f>
        <v>10</v>
      </c>
      <c r="B328" s="382" t="str">
        <f>'Analisa RAB'!C5829</f>
        <v>Pas. 1 m² langit-langit rangka besi hollow 1 x 40.40.2mm, modul 60 x 60 cm</v>
      </c>
      <c r="C328" s="317">
        <f>'Analisa RAB'!H5851</f>
        <v>133900</v>
      </c>
    </row>
    <row r="329" spans="1:3" ht="18.75" customHeight="1" x14ac:dyDescent="0.25">
      <c r="A329" s="316">
        <f>'Analisa RAB'!B5854</f>
        <v>11</v>
      </c>
      <c r="B329" s="382" t="str">
        <f>'Analisa RAB'!C5854</f>
        <v>Pemasangan 1 m² langit-langit akustik ukuran (60 x 120) cm, berikut rangka alluminium</v>
      </c>
      <c r="C329" s="317">
        <f>'Analisa RAB'!H5878</f>
        <v>193800</v>
      </c>
    </row>
    <row r="330" spans="1:3" ht="18.75" customHeight="1" x14ac:dyDescent="0.25">
      <c r="A330" s="316" t="str">
        <f>'Analisa RAB'!B5881</f>
        <v>12.1</v>
      </c>
      <c r="B330" s="382" t="str">
        <f>'Analisa RAB'!C5881</f>
        <v>Pemasangan 1 m1 list langit-langit kayu profil</v>
      </c>
      <c r="C330" s="317">
        <f>'Analisa RAB'!H5906</f>
        <v>28600</v>
      </c>
    </row>
    <row r="331" spans="1:3" ht="18.75" customHeight="1" x14ac:dyDescent="0.25">
      <c r="A331" s="316" t="str">
        <f>'Analisa RAB'!B5882</f>
        <v>12.2</v>
      </c>
      <c r="B331" s="382" t="str">
        <f>'Analisa RAB'!C5882</f>
        <v>Pemasangan 1 m1 list langit-langit list gypsum</v>
      </c>
      <c r="C331" s="317">
        <f>'Analisa RAB'!H5910</f>
        <v>25100</v>
      </c>
    </row>
    <row r="332" spans="1:3" ht="18.75" customHeight="1" x14ac:dyDescent="0.25">
      <c r="A332" s="316">
        <f>'Analisa RAB'!B5913</f>
        <v>13</v>
      </c>
      <c r="B332" s="382" t="str">
        <f>'Analisa RAB'!C5913</f>
        <v>Pemasangan 1 m2 Langit - Langit Gedeg kulit + Rangka</v>
      </c>
      <c r="C332" s="317">
        <f>'Analisa RAB'!H5936</f>
        <v>671500</v>
      </c>
    </row>
    <row r="333" spans="1:3" ht="18.75" customHeight="1" x14ac:dyDescent="0.25">
      <c r="A333" s="316">
        <f>'Analisa RAB'!B5939</f>
        <v>14</v>
      </c>
      <c r="B333" s="382" t="str">
        <f>'Analisa RAB'!C5939</f>
        <v>Pemasangan 1 m2 Plafond Kalsiboard 4.5 mm</v>
      </c>
      <c r="C333" s="317">
        <f>'Analisa RAB'!H5961</f>
        <v>61700</v>
      </c>
    </row>
    <row r="335" spans="1:3" ht="18.75" customHeight="1" x14ac:dyDescent="0.25">
      <c r="A335" s="377" t="str">
        <f>'Analisa RAB'!A5964</f>
        <v>X.</v>
      </c>
      <c r="B335" s="319" t="str">
        <f>'Analisa RAB'!B5964</f>
        <v>HARGA SATUAN PEKERJAAN PENUTUP ATAP</v>
      </c>
      <c r="C335" s="320"/>
    </row>
    <row r="336" spans="1:3" ht="18.75" customHeight="1" x14ac:dyDescent="0.25">
      <c r="A336" s="316">
        <f>'Analisa RAB'!B5966</f>
        <v>1</v>
      </c>
      <c r="B336" s="316" t="str">
        <f>'Analisa RAB'!C5966</f>
        <v>Pemasangan 1 m² atap genteng press mini</v>
      </c>
      <c r="C336" s="317">
        <f>'Analisa RAB'!H5987</f>
        <v>88600</v>
      </c>
    </row>
    <row r="337" spans="1:3" ht="18.75" customHeight="1" x14ac:dyDescent="0.25">
      <c r="A337" s="316">
        <f>'Analisa RAB'!B5990</f>
        <v>2</v>
      </c>
      <c r="B337" s="316" t="str">
        <f>'Analisa RAB'!C5990</f>
        <v>Pemasangan 1 m² atap genteng kodok glazuur isi 25</v>
      </c>
      <c r="C337" s="317">
        <f>'Analisa RAB'!H6011</f>
        <v>256100</v>
      </c>
    </row>
    <row r="338" spans="1:3" ht="18.75" customHeight="1" x14ac:dyDescent="0.25">
      <c r="A338" s="316">
        <f>'Analisa RAB'!B6014</f>
        <v>3</v>
      </c>
      <c r="B338" s="316" t="str">
        <f>'Analisa RAB'!C6014</f>
        <v>Pemasangan 1 m² atap genteng pelentong kecil</v>
      </c>
      <c r="C338" s="317">
        <f>'Analisa RAB'!H6035</f>
        <v>117000</v>
      </c>
    </row>
    <row r="339" spans="1:3" ht="18.75" customHeight="1" x14ac:dyDescent="0.25">
      <c r="A339" s="316">
        <f>'Analisa RAB'!B6038</f>
        <v>4</v>
      </c>
      <c r="B339" s="316" t="str">
        <f>'Analisa RAB'!C6038</f>
        <v xml:space="preserve">Pemasangan 1 m1 bubungan genteng pelentong </v>
      </c>
      <c r="C339" s="317">
        <f>'Analisa RAB'!H6060</f>
        <v>125400</v>
      </c>
    </row>
    <row r="340" spans="1:3" ht="18.75" customHeight="1" x14ac:dyDescent="0.25">
      <c r="A340" s="316">
        <f>'Analisa RAB'!B6063</f>
        <v>5</v>
      </c>
      <c r="B340" s="316" t="str">
        <f>'Analisa RAB'!C6063</f>
        <v xml:space="preserve">Pemasangan 1 m1 bubung genteng kodok </v>
      </c>
      <c r="C340" s="317">
        <f>'Analisa RAB'!H6086</f>
        <v>209100</v>
      </c>
    </row>
    <row r="341" spans="1:3" ht="18.75" customHeight="1" x14ac:dyDescent="0.25">
      <c r="A341" s="316">
        <f>'Analisa RAB'!B6089</f>
        <v>6</v>
      </c>
      <c r="B341" s="316" t="str">
        <f>'Analisa RAB'!C6089</f>
        <v>Pemasangan 1 m1 bubungan  genteng pres mini</v>
      </c>
      <c r="C341" s="317">
        <f>'Analisa RAB'!H6112</f>
        <v>83800</v>
      </c>
    </row>
    <row r="342" spans="1:3" ht="18.75" customHeight="1" x14ac:dyDescent="0.25">
      <c r="A342" s="316">
        <f>'Analisa RAB'!B6115</f>
        <v>7</v>
      </c>
      <c r="B342" s="316" t="str">
        <f>'Analisa RAB'!C6115</f>
        <v xml:space="preserve">Pemasangan 1 m² roof light fibreglass 90 x 180 </v>
      </c>
      <c r="C342" s="317">
        <f>'Analisa RAB'!H6137</f>
        <v>51900</v>
      </c>
    </row>
    <row r="343" spans="1:3" ht="18.75" customHeight="1" x14ac:dyDescent="0.25">
      <c r="A343" s="316">
        <f>'Analisa RAB'!B6140</f>
        <v>8</v>
      </c>
      <c r="B343" s="316" t="str">
        <f>'Analisa RAB'!C6140</f>
        <v>Pemasangan 1 m² atap asbes gelombang 0,8 m  x 1,8 m x 4 mm</v>
      </c>
      <c r="C343" s="317">
        <f>'Analisa RAB'!H6162</f>
        <v>58300</v>
      </c>
    </row>
    <row r="344" spans="1:3" ht="18.75" customHeight="1" x14ac:dyDescent="0.25">
      <c r="A344" s="316">
        <f>'Analisa RAB'!B6165</f>
        <v>9</v>
      </c>
      <c r="B344" s="316" t="str">
        <f>'Analisa RAB'!C6165</f>
        <v xml:space="preserve">Pemasangan 1 m1 bubung steel gelombang </v>
      </c>
      <c r="C344" s="317">
        <f>'Analisa RAB'!H6187</f>
        <v>63500</v>
      </c>
    </row>
    <row r="345" spans="1:3" ht="18.75" customHeight="1" x14ac:dyDescent="0.25">
      <c r="A345" s="316">
        <f>'Analisa RAB'!B6190</f>
        <v>10</v>
      </c>
      <c r="B345" s="316" t="str">
        <f>'Analisa RAB'!C6190</f>
        <v>Pemasangan 1 m1 nok paten</v>
      </c>
      <c r="C345" s="317">
        <f>'Analisa RAB'!H6212</f>
        <v>113200</v>
      </c>
    </row>
    <row r="346" spans="1:3" ht="18.75" customHeight="1" x14ac:dyDescent="0.25">
      <c r="A346" s="316">
        <f>'Analisa RAB'!B6215</f>
        <v>11</v>
      </c>
      <c r="B346" s="316" t="str">
        <f>'Analisa RAB'!C6215</f>
        <v>Pemasangan 1 m1 nok genteng metal berpasir</v>
      </c>
      <c r="C346" s="317">
        <f>'Analisa RAB'!H6237</f>
        <v>139600</v>
      </c>
    </row>
    <row r="347" spans="1:3" ht="18.75" customHeight="1" x14ac:dyDescent="0.25">
      <c r="A347" s="316">
        <f>'Analisa RAB'!B6240</f>
        <v>12</v>
      </c>
      <c r="B347" s="316" t="str">
        <f>'Analisa RAB'!C6240</f>
        <v>Pemasangan 1 m² atap sirap kayu</v>
      </c>
      <c r="C347" s="317">
        <f>'Analisa RAB'!H6262</f>
        <v>315700</v>
      </c>
    </row>
    <row r="348" spans="1:3" ht="18.75" customHeight="1" x14ac:dyDescent="0.25">
      <c r="A348" s="316">
        <f>'Analisa RAB'!B6265</f>
        <v>13</v>
      </c>
      <c r="B348" s="316" t="str">
        <f>'Analisa RAB'!C6265</f>
        <v>Pemasangan 1 m1 nok genteng beton</v>
      </c>
      <c r="C348" s="317">
        <f>'Analisa RAB'!H6289</f>
        <v>574900</v>
      </c>
    </row>
    <row r="349" spans="1:3" ht="18.75" customHeight="1" x14ac:dyDescent="0.25">
      <c r="A349" s="316">
        <f>'Analisa RAB'!B6292</f>
        <v>14</v>
      </c>
      <c r="B349" s="316" t="str">
        <f>'Analisa RAB'!C6292</f>
        <v>Pemasangan 1 m1 nok atap sirap</v>
      </c>
      <c r="C349" s="317">
        <f>'Analisa RAB'!H6315</f>
        <v>149300</v>
      </c>
    </row>
    <row r="350" spans="1:3" ht="18.75" customHeight="1" x14ac:dyDescent="0.25">
      <c r="A350" s="316">
        <f>'Analisa RAB'!B6318</f>
        <v>15</v>
      </c>
      <c r="B350" s="316" t="str">
        <f>'Analisa RAB'!C6318</f>
        <v xml:space="preserve">Pemasangan 1 m2  genteng metal </v>
      </c>
      <c r="C350" s="317">
        <f>'Analisa RAB'!H6340</f>
        <v>214600</v>
      </c>
    </row>
    <row r="351" spans="1:3" ht="18.75" customHeight="1" x14ac:dyDescent="0.25">
      <c r="A351" s="316">
        <f>'Analisa RAB'!B6343</f>
        <v>16</v>
      </c>
      <c r="B351" s="316" t="str">
        <f>'Analisa RAB'!C6343</f>
        <v>Pemasangan 1 m2  genteng beton</v>
      </c>
      <c r="C351" s="317">
        <f>'Analisa RAB'!H6365</f>
        <v>214200</v>
      </c>
    </row>
    <row r="352" spans="1:3" ht="18.75" customHeight="1" x14ac:dyDescent="0.25">
      <c r="A352" s="316">
        <f>'Analisa RAB'!B6368</f>
        <v>17</v>
      </c>
      <c r="B352" s="316" t="str">
        <f>'Analisa RAB'!C6368</f>
        <v>Pemasangan 1 m2  bubungan genteng beton</v>
      </c>
      <c r="C352" s="317">
        <f>'Analisa RAB'!H6392</f>
        <v>531600</v>
      </c>
    </row>
    <row r="353" spans="1:3" ht="18.75" customHeight="1" x14ac:dyDescent="0.25">
      <c r="A353" s="316">
        <f>'Analisa RAB'!B6395</f>
        <v>18</v>
      </c>
      <c r="B353" s="316" t="str">
        <f>'Analisa RAB'!C6395</f>
        <v>Pemasangan 1 m1 atap seng gelombang</v>
      </c>
      <c r="C353" s="317">
        <f>'Analisa RAB'!H6417</f>
        <v>87700</v>
      </c>
    </row>
    <row r="354" spans="1:3" ht="18.75" customHeight="1" x14ac:dyDescent="0.25">
      <c r="A354" s="316">
        <f>'Analisa RAB'!B6420</f>
        <v>19</v>
      </c>
      <c r="B354" s="316" t="str">
        <f>'Analisa RAB'!C6420</f>
        <v xml:space="preserve">Pemasangan 1 m1 nok atap seng </v>
      </c>
      <c r="C354" s="317">
        <f>'Analisa RAB'!H6441</f>
        <v>53100</v>
      </c>
    </row>
    <row r="355" spans="1:3" ht="18.75" customHeight="1" x14ac:dyDescent="0.25">
      <c r="A355" s="316">
        <f>'Analisa RAB'!B6444</f>
        <v>20</v>
      </c>
      <c r="B355" s="316" t="str">
        <f>'Analisa RAB'!C6444</f>
        <v xml:space="preserve">Pemasangan 1 m1 atap aluminium/spandek 3mm </v>
      </c>
      <c r="C355" s="317">
        <f>'Analisa RAB'!H6465</f>
        <v>204400</v>
      </c>
    </row>
    <row r="356" spans="1:3" ht="18.75" customHeight="1" x14ac:dyDescent="0.25">
      <c r="A356" s="316">
        <f>'Analisa RAB'!B6468</f>
        <v>21</v>
      </c>
      <c r="B356" s="316" t="str">
        <f>'Analisa RAB'!C6468</f>
        <v xml:space="preserve">Pemasangan 1 m1 nok aluminium </v>
      </c>
      <c r="C356" s="317">
        <f>'Analisa RAB'!H6489</f>
        <v>267700</v>
      </c>
    </row>
    <row r="357" spans="1:3" ht="18.75" customHeight="1" x14ac:dyDescent="0.25">
      <c r="A357" s="316">
        <f>'Analisa RAB'!B6492</f>
        <v>22</v>
      </c>
      <c r="B357" s="316" t="str">
        <f>'Analisa RAB'!C6492</f>
        <v xml:space="preserve">Pemasangan 1 m² aluminium foil </v>
      </c>
      <c r="C357" s="317">
        <f>'Analisa RAB'!H6512</f>
        <v>54500</v>
      </c>
    </row>
    <row r="359" spans="1:3" ht="18.75" customHeight="1" x14ac:dyDescent="0.25">
      <c r="A359" s="377" t="str">
        <f>'Analisa RAB'!A6515</f>
        <v>XI.</v>
      </c>
      <c r="B359" s="434" t="str">
        <f>'Analisa RAB'!B6515</f>
        <v>HARGA SATUAN PEKERJAAN KAYU</v>
      </c>
      <c r="C359" s="320"/>
    </row>
    <row r="360" spans="1:3" ht="18.75" customHeight="1" x14ac:dyDescent="0.25">
      <c r="A360" s="316">
        <f>'Analisa RAB'!B6517</f>
        <v>1</v>
      </c>
      <c r="B360" s="316" t="str">
        <f>'Analisa RAB'!C6517</f>
        <v>Pembuatan dan pemasangan 1 m³ kusen pintu dan kusen jendela , kayu klas I.</v>
      </c>
      <c r="C360" s="317">
        <f>'Analisa RAB'!H6540</f>
        <v>18842500</v>
      </c>
    </row>
    <row r="361" spans="1:3" ht="18.75" customHeight="1" x14ac:dyDescent="0.25">
      <c r="A361" s="316">
        <f>'Analisa RAB'!B6543</f>
        <v>2</v>
      </c>
      <c r="B361" s="316" t="str">
        <f>'Analisa RAB'!C6543</f>
        <v>Pembuatan dan pemasangan 1 m³ kusen pintu dan kusen jendela , kayu klas II</v>
      </c>
      <c r="C361" s="317">
        <f>'Analisa RAB'!H6566</f>
        <v>15190500</v>
      </c>
    </row>
    <row r="362" spans="1:3" ht="18.75" customHeight="1" x14ac:dyDescent="0.25">
      <c r="A362" s="316">
        <f>'Analisa RAB'!B6569</f>
        <v>3</v>
      </c>
      <c r="B362" s="316" t="str">
        <f>'Analisa RAB'!C6569</f>
        <v>Pembuatan dan pemasangan 1 m² pintu klamp standard , kayu klas II</v>
      </c>
      <c r="C362" s="317">
        <f>'Analisa RAB'!H6591</f>
        <v>976300</v>
      </c>
    </row>
    <row r="363" spans="1:3" ht="18.75" customHeight="1" x14ac:dyDescent="0.25">
      <c r="A363" s="316">
        <f>'Analisa RAB'!B6594</f>
        <v>4</v>
      </c>
      <c r="B363" s="316" t="str">
        <f>'Analisa RAB'!C6594</f>
        <v>Pembuatan pekerjaan raam kayu kamper</v>
      </c>
      <c r="C363" s="317">
        <f>'Analisa RAB'!H6616</f>
        <v>661600</v>
      </c>
    </row>
    <row r="364" spans="1:3" ht="18.75" customHeight="1" x14ac:dyDescent="0.25">
      <c r="A364" s="316">
        <f>'Analisa RAB'!B6619</f>
        <v>5</v>
      </c>
      <c r="B364" s="316" t="str">
        <f>'Analisa RAB'!C6619</f>
        <v>1 m2 Pekerjaan Jaro bubut diameter 3 cm Kamper</v>
      </c>
      <c r="C364" s="317">
        <f>'Analisa RAB'!H6642</f>
        <v>412100</v>
      </c>
    </row>
    <row r="365" spans="1:3" ht="18.75" customHeight="1" x14ac:dyDescent="0.25">
      <c r="A365" s="316">
        <f>'Analisa RAB'!B6645</f>
        <v>6</v>
      </c>
      <c r="B365" s="316" t="str">
        <f>'Analisa RAB'!C6645</f>
        <v xml:space="preserve">Pembuatan dan pemasangan 1 m² daun pintu panel, kayu klas I atau kelas II </v>
      </c>
      <c r="C365" s="317">
        <f>'Analisa RAB'!H6667</f>
        <v>1637600</v>
      </c>
    </row>
    <row r="366" spans="1:3" ht="18.75" customHeight="1" x14ac:dyDescent="0.25">
      <c r="A366" s="316">
        <f>'Analisa RAB'!B6670</f>
        <v>7</v>
      </c>
      <c r="B366" s="316" t="str">
        <f>'Analisa RAB'!C6670</f>
        <v>Pembuatan dan pemasangan 1 m² pintu dan jendela kaca, kayu klas I atau klas II</v>
      </c>
      <c r="C366" s="317">
        <f>'Analisa RAB'!H6693</f>
        <v>1040200</v>
      </c>
    </row>
    <row r="367" spans="1:3" ht="18.75" customHeight="1" x14ac:dyDescent="0.25">
      <c r="A367" s="316">
        <f>'Analisa RAB'!B6696</f>
        <v>8</v>
      </c>
      <c r="B367" s="316" t="str">
        <f>'Analisa RAB'!C6696</f>
        <v>Pembuatan dan pemasangan 1 m² pintu plywood lapisan aluminium rangka kayu klas I atau klas 2</v>
      </c>
      <c r="C367" s="317">
        <f>'Analisa RAB'!H6721</f>
        <v>760300</v>
      </c>
    </row>
    <row r="368" spans="1:3" ht="18.75" customHeight="1" x14ac:dyDescent="0.25">
      <c r="A368" s="316">
        <f>'Analisa RAB'!B6724</f>
        <v>9</v>
      </c>
      <c r="B368" s="316" t="str">
        <f>'Analisa RAB'!C6724</f>
        <v>Pembuatan 1 m² daun pintu teakwood rangkap , rangka kayu klas I atau klas 2</v>
      </c>
      <c r="C368" s="317">
        <f>'Analisa RAB'!H6748</f>
        <v>930600</v>
      </c>
    </row>
    <row r="369" spans="1:3" ht="18.75" customHeight="1" x14ac:dyDescent="0.25">
      <c r="A369" s="316">
        <f>'Analisa RAB'!B6751</f>
        <v>10</v>
      </c>
      <c r="B369" s="316" t="str">
        <f>'Analisa RAB'!C6751</f>
        <v>Pembuatan 1 m² daun pintu plywood rangkap , rangka expose kayu klas I atau II</v>
      </c>
      <c r="C369" s="317">
        <f>'Analisa RAB'!H6775</f>
        <v>898600</v>
      </c>
    </row>
    <row r="370" spans="1:3" ht="18.75" customHeight="1" x14ac:dyDescent="0.25">
      <c r="A370" s="316">
        <f>'Analisa RAB'!B6778</f>
        <v>10</v>
      </c>
      <c r="B370" s="316" t="str">
        <f>'Analisa RAB'!C6778</f>
        <v>Pemasangan 1 m² jalusi kusen , kayu klas  II</v>
      </c>
      <c r="C370" s="317">
        <f>'Analisa RAB'!H6799</f>
        <v>1395000</v>
      </c>
    </row>
    <row r="371" spans="1:3" ht="18.75" customHeight="1" x14ac:dyDescent="0.25">
      <c r="A371" s="316">
        <f>'Analisa RAB'!B6802</f>
        <v>11</v>
      </c>
      <c r="B371" s="316" t="str">
        <f>'Analisa RAB'!C6802</f>
        <v>Pemasangan 1 m² teakwood rangkap, rangka expose kayu klas I atau klas 2</v>
      </c>
      <c r="C371" s="317">
        <f>'Analisa RAB'!H6826</f>
        <v>966200</v>
      </c>
    </row>
    <row r="372" spans="1:3" ht="18.75" customHeight="1" x14ac:dyDescent="0.25">
      <c r="A372" s="316">
        <f>'Analisa RAB'!B6829</f>
        <v>12</v>
      </c>
      <c r="B372" s="316" t="str">
        <f>'Analisa RAB'!C6829</f>
        <v>Pemasangan 1 m² teakwood rangkap lapis formika , rangka expose kayu klas II</v>
      </c>
      <c r="C372" s="317">
        <f>'Analisa RAB'!H6853</f>
        <v>900400</v>
      </c>
    </row>
    <row r="373" spans="1:3" ht="18.75" customHeight="1" x14ac:dyDescent="0.25">
      <c r="A373" s="316" t="str">
        <f>'Analisa RAB'!B6856</f>
        <v>13.1</v>
      </c>
      <c r="B373" s="316" t="str">
        <f>'Analisa RAB'!C6856</f>
        <v>Pemasangan 1 m³ konstruksi kuda-kuda konvensional, kayu klas I</v>
      </c>
      <c r="C373" s="317">
        <f>'Analisa RAB'!H6885</f>
        <v>17675300</v>
      </c>
    </row>
    <row r="374" spans="1:3" ht="18.75" customHeight="1" x14ac:dyDescent="0.25">
      <c r="A374" s="316" t="str">
        <f>'Analisa RAB'!B6857</f>
        <v>13.2</v>
      </c>
      <c r="B374" s="316" t="str">
        <f>'Analisa RAB'!C6857</f>
        <v>Pemasangan 1 m³ konstruksi kuda-kuda konvensional, kayu klas II</v>
      </c>
      <c r="C374" s="317">
        <f>'Analisa RAB'!H6889</f>
        <v>13517300</v>
      </c>
    </row>
    <row r="375" spans="1:3" ht="18.75" customHeight="1" x14ac:dyDescent="0.25">
      <c r="A375" s="316" t="str">
        <f>'Analisa RAB'!B6858</f>
        <v>13.3</v>
      </c>
      <c r="B375" s="316" t="str">
        <f>'Analisa RAB'!C6858</f>
        <v>Pemasangan 1 m³ konstruksi kuda-kuda konvensional, kayu klas III</v>
      </c>
      <c r="C375" s="317">
        <f>'Analisa RAB'!H6893</f>
        <v>10725500</v>
      </c>
    </row>
    <row r="376" spans="1:3" ht="18.75" customHeight="1" x14ac:dyDescent="0.25">
      <c r="A376" s="316" t="str">
        <f>'Analisa RAB'!B6896</f>
        <v>14.1</v>
      </c>
      <c r="B376" s="316" t="str">
        <f>'Analisa RAB'!C6896</f>
        <v>Pemasangan 1 m³ konstruksi kuda-kuda expose, kayu klas I</v>
      </c>
      <c r="C376" s="317">
        <f>'Analisa RAB'!H6925</f>
        <v>20423400</v>
      </c>
    </row>
    <row r="377" spans="1:3" ht="18.75" customHeight="1" x14ac:dyDescent="0.25">
      <c r="A377" s="316" t="str">
        <f>'Analisa RAB'!B6897</f>
        <v>14.2</v>
      </c>
      <c r="B377" s="316" t="str">
        <f>'Analisa RAB'!C6897</f>
        <v>Pemasangan 1 m³ konstruksi kuda-kuda expose, kayu klas II</v>
      </c>
      <c r="C377" s="317">
        <f>'Analisa RAB'!H6929</f>
        <v>15887400</v>
      </c>
    </row>
    <row r="378" spans="1:3" ht="18.75" customHeight="1" x14ac:dyDescent="0.25">
      <c r="A378" s="316" t="str">
        <f>'Analisa RAB'!B6898</f>
        <v>14.3</v>
      </c>
      <c r="B378" s="316" t="str">
        <f>'Analisa RAB'!C6898</f>
        <v>Pemasangan 1 m³ konstruksi kuda-kuda expose, kayu klas III</v>
      </c>
      <c r="C378" s="317">
        <f>'Analisa RAB'!H6933</f>
        <v>12841800</v>
      </c>
    </row>
    <row r="379" spans="1:3" ht="18.75" customHeight="1" x14ac:dyDescent="0.25">
      <c r="A379" s="316">
        <f>'Analisa RAB'!B6936</f>
        <v>15</v>
      </c>
      <c r="B379" s="316" t="str">
        <f>'Analisa RAB'!C6936</f>
        <v>Pemasangan 1 m2 Reng / rangka atap genteng keramik kayu klas 2</v>
      </c>
      <c r="C379" s="317">
        <f>'Analisa RAB'!H6958</f>
        <v>608700</v>
      </c>
    </row>
    <row r="380" spans="1:3" ht="18.75" customHeight="1" x14ac:dyDescent="0.25">
      <c r="A380" s="316">
        <f>'Analisa RAB'!B6961</f>
        <v>16</v>
      </c>
      <c r="B380" s="316" t="str">
        <f>'Analisa RAB'!C6961</f>
        <v>Pemasangan 1 m²  pasang usuk kamfer + reng  kayu  kamper utk genteng beton</v>
      </c>
      <c r="C380" s="317">
        <f>'Analisa RAB'!H6984</f>
        <v>1069400</v>
      </c>
    </row>
    <row r="381" spans="1:3" ht="18.75" customHeight="1" x14ac:dyDescent="0.25">
      <c r="A381" s="316">
        <f>'Analisa RAB'!B6987</f>
        <v>17</v>
      </c>
      <c r="B381" s="316" t="str">
        <f>'Analisa RAB'!C6987</f>
        <v>Pemasangan 1 m²  pasang usuk kruing + reng  kayu  kamper utk genteng beton</v>
      </c>
      <c r="C381" s="317">
        <f>'Analisa RAB'!H7010</f>
        <v>1015500</v>
      </c>
    </row>
    <row r="382" spans="1:3" ht="18.75" customHeight="1" x14ac:dyDescent="0.25">
      <c r="A382" s="316">
        <f>'Analisa RAB'!B7013</f>
        <v>18</v>
      </c>
      <c r="B382" s="316" t="str">
        <f>'Analisa RAB'!C7013</f>
        <v>Pemasangan 1 m²  pasang usuk kamfer</v>
      </c>
      <c r="C382" s="317">
        <f>'Analisa RAB'!H7035</f>
        <v>183800</v>
      </c>
    </row>
    <row r="383" spans="1:3" ht="18.75" customHeight="1" x14ac:dyDescent="0.25">
      <c r="A383" s="316">
        <f>'Analisa RAB'!B7038</f>
        <v>19</v>
      </c>
      <c r="B383" s="316" t="str">
        <f>'Analisa RAB'!C7038</f>
        <v>Pemasangan 1 m²  pasang usuk  kayu  kruing</v>
      </c>
      <c r="C383" s="317">
        <f>'Analisa RAB'!H7060</f>
        <v>129800</v>
      </c>
    </row>
    <row r="384" spans="1:3" ht="18.75" customHeight="1" x14ac:dyDescent="0.25">
      <c r="A384" s="316">
        <f>'Analisa RAB'!B7063</f>
        <v>20</v>
      </c>
      <c r="B384" s="316" t="str">
        <f>'Analisa RAB'!C7063</f>
        <v>Pemasangan 1 m²  pasang reng kayu kamfer</v>
      </c>
      <c r="C384" s="317">
        <f>'Analisa RAB'!H7085</f>
        <v>55900</v>
      </c>
    </row>
    <row r="385" spans="1:3" ht="18.75" customHeight="1" x14ac:dyDescent="0.25">
      <c r="A385" s="316" t="str">
        <f>'Analisa RAB'!B7088</f>
        <v>21.1</v>
      </c>
      <c r="B385" s="316" t="str">
        <f>'Analisa RAB'!C7088</f>
        <v>Pemasangan 1 m²  usuk ekspose kayu kamfer + reng (teakwood)</v>
      </c>
      <c r="C385" s="317">
        <f>'Analisa RAB'!H7115</f>
        <v>248900</v>
      </c>
    </row>
    <row r="386" spans="1:3" ht="18.75" customHeight="1" x14ac:dyDescent="0.25">
      <c r="A386" s="316" t="str">
        <f>'Analisa RAB'!B7089</f>
        <v>21.2</v>
      </c>
      <c r="B386" s="316" t="str">
        <f>'Analisa RAB'!C7089</f>
        <v>Pemasangan 1 m²  usuk ekspose kayu kamfer + reng (gedeg kulit)</v>
      </c>
      <c r="C386" s="317">
        <f>'Analisa RAB'!H7119</f>
        <v>244100</v>
      </c>
    </row>
    <row r="387" spans="1:3" ht="18.75" customHeight="1" x14ac:dyDescent="0.25">
      <c r="A387" s="316">
        <f>'Analisa RAB'!B7122</f>
        <v>22</v>
      </c>
      <c r="B387" s="316" t="str">
        <f>'Analisa RAB'!C7122</f>
        <v>Pemasangan 1 m² rangka atap sirap kayu klas II</v>
      </c>
      <c r="C387" s="317">
        <f>'Analisa RAB'!H7144</f>
        <v>170700</v>
      </c>
    </row>
    <row r="388" spans="1:3" ht="18.75" customHeight="1" x14ac:dyDescent="0.25">
      <c r="A388" s="316">
        <f>'Analisa RAB'!B7147</f>
        <v>23</v>
      </c>
      <c r="B388" s="316" t="str">
        <f>'Analisa RAB'!C7147</f>
        <v>Pemasangan 1 m² rangka langit-langit (50x100) cm, kayu klas II atau III</v>
      </c>
      <c r="C388" s="317">
        <f>'Analisa RAB'!H7169</f>
        <v>143400</v>
      </c>
    </row>
    <row r="389" spans="1:3" ht="18.75" customHeight="1" x14ac:dyDescent="0.25">
      <c r="A389" s="316">
        <f>'Analisa RAB'!B7172</f>
        <v>24</v>
      </c>
      <c r="B389" s="316" t="str">
        <f>'Analisa RAB'!C7172</f>
        <v>Pemasangan 1 m² rangka langit-langit (60x60) cm, kayu klas II atau III</v>
      </c>
      <c r="C389" s="317">
        <f>'Analisa RAB'!H7194</f>
        <v>142500</v>
      </c>
    </row>
    <row r="390" spans="1:3" ht="18.75" customHeight="1" x14ac:dyDescent="0.25">
      <c r="A390" s="316" t="str">
        <f>'Analisa RAB'!B7197</f>
        <v>25.1</v>
      </c>
      <c r="B390" s="316" t="str">
        <f>'Analisa RAB'!C7197</f>
        <v>Pemasangan 1 m² list plank ukuran 3 x 20  cm</v>
      </c>
      <c r="C390" s="317">
        <f>'Analisa RAB'!H7223</f>
        <v>200900</v>
      </c>
    </row>
    <row r="391" spans="1:3" ht="18.75" customHeight="1" x14ac:dyDescent="0.25">
      <c r="A391" s="316" t="str">
        <f>'Analisa RAB'!B7198</f>
        <v>25.2</v>
      </c>
      <c r="B391" s="316" t="str">
        <f>'Analisa RAB'!C7198</f>
        <v>Pemasangan 1 m² list plank ukuran 3 x 30  cm</v>
      </c>
      <c r="C391" s="317">
        <f>'Analisa RAB'!H7227</f>
        <v>203900</v>
      </c>
    </row>
    <row r="392" spans="1:3" ht="18.75" customHeight="1" x14ac:dyDescent="0.25">
      <c r="A392" s="316">
        <f>'Analisa RAB'!B7230</f>
        <v>26</v>
      </c>
      <c r="B392" s="316" t="str">
        <f>'Analisa RAB'!C7230</f>
        <v>Pemasangan 1 m² list plank double ukuran 2 x(2x30) cm , kayu kamper</v>
      </c>
      <c r="C392" s="317">
        <f>'Analisa RAB'!H7252</f>
        <v>263700</v>
      </c>
    </row>
    <row r="393" spans="1:3" ht="18.75" customHeight="1" x14ac:dyDescent="0.25">
      <c r="A393" s="316">
        <f>'Analisa RAB'!B7255</f>
        <v>27</v>
      </c>
      <c r="B393" s="316" t="str">
        <f>'Analisa RAB'!C7255</f>
        <v>Pemasangan 1 m1 Listplank 2 x 25 conwood teksture /plain</v>
      </c>
      <c r="C393" s="317">
        <f>'Analisa RAB'!H7278</f>
        <v>111500</v>
      </c>
    </row>
    <row r="394" spans="1:3" ht="18.75" customHeight="1" x14ac:dyDescent="0.25">
      <c r="A394" s="316">
        <f>'Analisa RAB'!B7281</f>
        <v>28</v>
      </c>
      <c r="B394" s="316" t="str">
        <f>'Analisa RAB'!C7281</f>
        <v>Pemasangan 1 m² list palnk 2 x 25 (2in1) double conwood teksture/plain</v>
      </c>
      <c r="C394" s="317">
        <f>'Analisa RAB'!H7304</f>
        <v>181900</v>
      </c>
    </row>
    <row r="395" spans="1:3" ht="18.75" customHeight="1" x14ac:dyDescent="0.25">
      <c r="A395" s="316">
        <f>'Analisa RAB'!B7307</f>
        <v>29</v>
      </c>
      <c r="B395" s="316" t="str">
        <f>'Analisa RAB'!C7307</f>
        <v>Pemasangan 1 m² dinding pemisah teakwood rangkap , kayu kruing</v>
      </c>
      <c r="C395" s="317">
        <f>'Analisa RAB'!H7331</f>
        <v>634400</v>
      </c>
    </row>
    <row r="396" spans="1:3" ht="18.75" customHeight="1" x14ac:dyDescent="0.25">
      <c r="A396" s="316">
        <f>'Analisa RAB'!B7334</f>
        <v>30</v>
      </c>
      <c r="B396" s="316" t="str">
        <f>'Analisa RAB'!C7334</f>
        <v>Pemasangan 1 m² dinding pemisah plywood rangkap , kayu kruing</v>
      </c>
      <c r="C396" s="317">
        <f>'Analisa RAB'!H7358</f>
        <v>499200</v>
      </c>
    </row>
    <row r="397" spans="1:3" ht="18.75" customHeight="1" x14ac:dyDescent="0.25">
      <c r="A397" s="316">
        <f>'Analisa RAB'!B7361</f>
        <v>31</v>
      </c>
      <c r="B397" s="316" t="str">
        <f>'Analisa RAB'!C7361</f>
        <v>Pemasangan 1 m² dinding lambrisering dari papan kayu kelas I atau kelas 2</v>
      </c>
      <c r="C397" s="317">
        <f>'Analisa RAB'!H7384</f>
        <v>414300</v>
      </c>
    </row>
    <row r="398" spans="1:3" ht="18.75" customHeight="1" x14ac:dyDescent="0.25">
      <c r="A398" s="316">
        <f>'Analisa RAB'!B7387</f>
        <v>32</v>
      </c>
      <c r="B398" s="316" t="str">
        <f>'Analisa RAB'!C7387</f>
        <v>Pemasangan 1 m² dinding lambrisering dari plywood ukuran (120 x 240) cm</v>
      </c>
      <c r="C398" s="317">
        <f>'Analisa RAB'!H7409</f>
        <v>86000</v>
      </c>
    </row>
    <row r="399" spans="1:3" ht="18.75" customHeight="1" x14ac:dyDescent="0.25">
      <c r="A399" s="316">
        <f>'Analisa RAB'!B7412</f>
        <v>33</v>
      </c>
      <c r="B399" s="316" t="str">
        <f>'Analisa RAB'!C7412</f>
        <v>Pemasangan 1 m² dinding bilik ,rangka kayu III atau IV</v>
      </c>
      <c r="C399" s="317">
        <f>'Analisa RAB'!H7436</f>
        <v>36000</v>
      </c>
    </row>
    <row r="400" spans="1:3" ht="18.75" customHeight="1" x14ac:dyDescent="0.25">
      <c r="A400" s="316">
        <f>'Analisa RAB'!B7439</f>
        <v>34</v>
      </c>
      <c r="B400" s="316" t="str">
        <f>'Analisa RAB'!C7439</f>
        <v>Pemasangan 1 m² Rangka Dinding Pemisah Teakwood Rangkap, Rangka Holo</v>
      </c>
      <c r="C400" s="317">
        <f>'Analisa RAB'!H7463</f>
        <v>240500</v>
      </c>
    </row>
    <row r="401" spans="1:3" ht="18.75" customHeight="1" x14ac:dyDescent="0.25">
      <c r="A401" s="316">
        <f>'Analisa RAB'!B7466</f>
        <v>35</v>
      </c>
      <c r="B401" s="316" t="str">
        <f>'Analisa RAB'!C7466</f>
        <v>Pemasangan 1 m² Rangka Dinding Pemisah Plywood Rangkap, Rangka Holo</v>
      </c>
      <c r="C401" s="317">
        <f>'Analisa RAB'!H7490</f>
        <v>187800</v>
      </c>
    </row>
    <row r="402" spans="1:3" ht="18.75" customHeight="1" x14ac:dyDescent="0.25">
      <c r="A402" s="316">
        <f>'Analisa RAB'!B7493</f>
        <v>36</v>
      </c>
      <c r="B402" s="316" t="str">
        <f>'Analisa RAB'!C7493</f>
        <v>Membuat 1 BT Saka Jati 11x11 cm</v>
      </c>
      <c r="C402" s="317">
        <f>'Analisa RAB'!H7514</f>
        <v>1159700</v>
      </c>
    </row>
    <row r="403" spans="1:3" ht="18.75" customHeight="1" x14ac:dyDescent="0.25">
      <c r="A403" s="316">
        <f>'Analisa RAB'!B7517</f>
        <v>37</v>
      </c>
      <c r="B403" s="316" t="str">
        <f>'Analisa RAB'!C7517</f>
        <v>Membuat 1 BT Canggawang Jati 5/18</v>
      </c>
      <c r="C403" s="317">
        <f>'Analisa RAB'!H7538</f>
        <v>457200</v>
      </c>
    </row>
    <row r="404" spans="1:3" ht="18.75" customHeight="1" x14ac:dyDescent="0.25">
      <c r="A404" s="316">
        <f>'Analisa RAB'!B7541</f>
        <v>38</v>
      </c>
      <c r="B404" s="316" t="str">
        <f>'Analisa RAB'!C7541</f>
        <v xml:space="preserve"> Membuat 1 m1 Lambang Mayang 11/12 kayu jati</v>
      </c>
      <c r="C404" s="317">
        <f>'Analisa RAB'!H7562</f>
        <v>1498300</v>
      </c>
    </row>
    <row r="405" spans="1:3" ht="18.75" customHeight="1" x14ac:dyDescent="0.25">
      <c r="A405" s="316">
        <f>'Analisa RAB'!B7565</f>
        <v>39</v>
      </c>
      <c r="B405" s="316" t="str">
        <f>'Analisa RAB'!C7565</f>
        <v>Pas. m1 Kayu kamper Diatas Lambang Mayeng 6/12</v>
      </c>
      <c r="C405" s="317">
        <f>'Analisa RAB'!H7588</f>
        <v>93800</v>
      </c>
    </row>
    <row r="406" spans="1:3" ht="18.75" customHeight="1" x14ac:dyDescent="0.25">
      <c r="A406" s="316">
        <f>'Analisa RAB'!B7591</f>
        <v>40</v>
      </c>
      <c r="B406" s="316" t="str">
        <f>'Analisa RAB'!C7591</f>
        <v>Membuat 1 Bh Bintang Aring (60x60 cm )</v>
      </c>
      <c r="C406" s="317">
        <f>'Analisa RAB'!H7616</f>
        <v>848100</v>
      </c>
    </row>
    <row r="407" spans="1:3" ht="18.75" customHeight="1" x14ac:dyDescent="0.25">
      <c r="A407" s="316">
        <f>'Analisa RAB'!B7619</f>
        <v>41</v>
      </c>
      <c r="B407" s="316" t="str">
        <f>'Analisa RAB'!C7619</f>
        <v>Membuat 1 BT Saka Tugeh Jati 7x7cm</v>
      </c>
      <c r="C407" s="317">
        <f>'Analisa RAB'!H7640</f>
        <v>368300</v>
      </c>
    </row>
    <row r="408" spans="1:3" ht="18.75" customHeight="1" x14ac:dyDescent="0.25">
      <c r="A408" s="316">
        <f>'Analisa RAB'!B7643</f>
        <v>42</v>
      </c>
      <c r="B408" s="316" t="str">
        <f>'Analisa RAB'!C7643</f>
        <v xml:space="preserve">Membuat 1 Bh Sendi Tugeh Jati </v>
      </c>
      <c r="C408" s="317">
        <f>'Analisa RAB'!H7664</f>
        <v>242400</v>
      </c>
    </row>
    <row r="409" spans="1:3" ht="18.75" customHeight="1" x14ac:dyDescent="0.25">
      <c r="A409" s="316">
        <f>'Analisa RAB'!B7667</f>
        <v>43</v>
      </c>
      <c r="B409" s="316" t="str">
        <f>'Analisa RAB'!C7667</f>
        <v>Pas. m1 ring-Ring Kamfer 2/12</v>
      </c>
      <c r="C409" s="317">
        <f>'Analisa RAB'!H7690</f>
        <v>94900</v>
      </c>
    </row>
    <row r="410" spans="1:3" ht="18.75" customHeight="1" x14ac:dyDescent="0.25">
      <c r="A410" s="316">
        <f>'Analisa RAB'!B7693</f>
        <v>44</v>
      </c>
      <c r="B410" s="316" t="str">
        <f>'Analisa RAB'!C7693</f>
        <v xml:space="preserve">Pas. m2 Reng Kamfer </v>
      </c>
      <c r="C410" s="317">
        <f>'Analisa RAB'!H7715</f>
        <v>131500</v>
      </c>
    </row>
    <row r="411" spans="1:3" ht="18.75" customHeight="1" x14ac:dyDescent="0.25">
      <c r="A411" s="316">
        <f>'Analisa RAB'!B7718</f>
        <v>45</v>
      </c>
      <c r="B411" s="316" t="str">
        <f>'Analisa RAB'!C7718</f>
        <v>Pas. m1 Gigin Barong Kamfer 3/9</v>
      </c>
      <c r="C411" s="317">
        <f>'Analisa RAB'!H7739</f>
        <v>97400</v>
      </c>
    </row>
    <row r="412" spans="1:3" ht="18.75" customHeight="1" x14ac:dyDescent="0.25">
      <c r="A412" s="316">
        <f>'Analisa RAB'!B7742</f>
        <v>46</v>
      </c>
      <c r="B412" s="316" t="str">
        <f>'Analisa RAB'!C7742</f>
        <v>Pas. m1 Kamfer Dililit Tali Ijuk 3/9</v>
      </c>
      <c r="C412" s="317">
        <f>'Analisa RAB'!H7764</f>
        <v>141500</v>
      </c>
    </row>
    <row r="413" spans="1:3" ht="18.75" customHeight="1" x14ac:dyDescent="0.25">
      <c r="A413" s="316">
        <f>'Analisa RAB'!B7767</f>
        <v>47</v>
      </c>
      <c r="B413" s="316" t="str">
        <f>'Analisa RAB'!C7767</f>
        <v>Pas. m1 Pemade/Pemucu Diketam Kamfer  6/12</v>
      </c>
      <c r="C413" s="317">
        <f>'Analisa RAB'!H7791</f>
        <v>182800</v>
      </c>
    </row>
    <row r="414" spans="1:3" ht="18.75" customHeight="1" x14ac:dyDescent="0.25">
      <c r="A414" s="316">
        <f>'Analisa RAB'!B7794</f>
        <v>48</v>
      </c>
      <c r="B414" s="316" t="str">
        <f>'Analisa RAB'!C7794</f>
        <v>Pas. m2 Usuk/Gerantang Expose Kamfer  5/7</v>
      </c>
      <c r="C414" s="317">
        <f>'Analisa RAB'!H7817</f>
        <v>1326500</v>
      </c>
    </row>
    <row r="415" spans="1:3" ht="18.75" customHeight="1" x14ac:dyDescent="0.25">
      <c r="A415" s="316">
        <f>'Analisa RAB'!B7820</f>
        <v>49</v>
      </c>
      <c r="B415" s="316" t="str">
        <f>'Analisa RAB'!C7820</f>
        <v>Pas. m2 Usuk Maling Kamfer  5/7</v>
      </c>
      <c r="C415" s="317">
        <f>'Analisa RAB'!H7841</f>
        <v>143300</v>
      </c>
    </row>
    <row r="416" spans="1:3" ht="18.75" customHeight="1" x14ac:dyDescent="0.25">
      <c r="A416" s="316">
        <f>'Analisa RAB'!B7844</f>
        <v>50</v>
      </c>
      <c r="B416" s="316" t="str">
        <f>'Analisa RAB'!C7844</f>
        <v xml:space="preserve">Pas. m1 Tatab Kamfer  </v>
      </c>
      <c r="C416" s="317">
        <f>'Analisa RAB'!H7867</f>
        <v>169600</v>
      </c>
    </row>
    <row r="417" spans="1:3" ht="18.75" customHeight="1" x14ac:dyDescent="0.25">
      <c r="A417" s="316">
        <f>'Analisa RAB'!B7870</f>
        <v>51</v>
      </c>
      <c r="B417" s="316" t="str">
        <f>'Analisa RAB'!C7870</f>
        <v>Pas. m1 Bingkai Praba Kayu Jati</v>
      </c>
      <c r="C417" s="317">
        <f>'Analisa RAB'!H7891</f>
        <v>216600</v>
      </c>
    </row>
    <row r="418" spans="1:3" ht="18.75" customHeight="1" x14ac:dyDescent="0.25">
      <c r="A418" s="316">
        <f>'Analisa RAB'!B7895</f>
        <v>52</v>
      </c>
      <c r="B418" s="316" t="str">
        <f>'Analisa RAB'!C7895</f>
        <v>Pekerjaan 1 Bt Ukiran Saka</v>
      </c>
      <c r="C418" s="317">
        <f>'Analisa RAB'!H7914</f>
        <v>571800</v>
      </c>
    </row>
    <row r="419" spans="1:3" ht="18.75" customHeight="1" x14ac:dyDescent="0.25">
      <c r="A419" s="316">
        <f>'Analisa RAB'!B7917</f>
        <v>53</v>
      </c>
      <c r="B419" s="316" t="str">
        <f>'Analisa RAB'!C7917</f>
        <v>Pekerjaan 1 Bt Ukiran Tugeh</v>
      </c>
      <c r="C419" s="317">
        <f>'Analisa RAB'!H7936</f>
        <v>430400</v>
      </c>
    </row>
    <row r="420" spans="1:3" ht="18.75" customHeight="1" x14ac:dyDescent="0.25">
      <c r="A420" s="316">
        <f>'Analisa RAB'!B7939</f>
        <v>54</v>
      </c>
      <c r="B420" s="316" t="str">
        <f>'Analisa RAB'!C7939</f>
        <v>Pekerjaan 1 Bt Ukiran  Canggah Wang</v>
      </c>
      <c r="C420" s="317">
        <f>'Analisa RAB'!H7958</f>
        <v>929300</v>
      </c>
    </row>
    <row r="421" spans="1:3" ht="18.75" customHeight="1" x14ac:dyDescent="0.25">
      <c r="A421" s="316">
        <f>'Analisa RAB'!B7961</f>
        <v>55</v>
      </c>
      <c r="B421" s="316" t="str">
        <f>'Analisa RAB'!C7961</f>
        <v>Pekerjaan 1 Bt Ukiran  Kapu-kapu</v>
      </c>
      <c r="C421" s="317">
        <f>'Analisa RAB'!H7980</f>
        <v>797800</v>
      </c>
    </row>
    <row r="422" spans="1:3" ht="18.75" customHeight="1" x14ac:dyDescent="0.25">
      <c r="A422" s="316">
        <f>'Analisa RAB'!B7983</f>
        <v>56</v>
      </c>
      <c r="B422" s="316" t="str">
        <f>'Analisa RAB'!C7983</f>
        <v>Pekerjaan 1 Bt Ukiran  Kincut</v>
      </c>
      <c r="C422" s="317">
        <f>'Analisa RAB'!H8002</f>
        <v>641500</v>
      </c>
    </row>
    <row r="423" spans="1:3" ht="18.75" customHeight="1" x14ac:dyDescent="0.25">
      <c r="A423" s="316">
        <f>'Analisa RAB'!B8005</f>
        <v>57</v>
      </c>
      <c r="B423" s="316" t="str">
        <f>'Analisa RAB'!C8005</f>
        <v>Pekerjaan 1 Bt Ukiran  Lambang Mayeng</v>
      </c>
      <c r="C423" s="317">
        <f>'Analisa RAB'!H8024</f>
        <v>1650500</v>
      </c>
    </row>
    <row r="424" spans="1:3" ht="18.75" customHeight="1" x14ac:dyDescent="0.25">
      <c r="A424" s="316">
        <f>'Analisa RAB'!B8027</f>
        <v>58</v>
      </c>
      <c r="B424" s="316" t="str">
        <f>'Analisa RAB'!C8027</f>
        <v>Pekerjaan 1 Bh Ukiran  Petaka</v>
      </c>
      <c r="C424" s="317">
        <f>'Analisa RAB'!H8046</f>
        <v>1263000</v>
      </c>
    </row>
    <row r="425" spans="1:3" ht="18.75" customHeight="1" x14ac:dyDescent="0.25">
      <c r="A425" s="316">
        <f>'Analisa RAB'!B8049</f>
        <v>59</v>
      </c>
      <c r="B425" s="316" t="str">
        <f>'Analisa RAB'!C8049</f>
        <v>Pekerjaan 1 m1 Ukiran  Papan Listplang Type Patra Masir T</v>
      </c>
      <c r="C425" s="317">
        <f>'Analisa RAB'!H8068</f>
        <v>329200</v>
      </c>
    </row>
    <row r="426" spans="1:3" ht="18.75" customHeight="1" x14ac:dyDescent="0.25">
      <c r="A426" s="316">
        <f>'Analisa RAB'!B8071</f>
        <v>60</v>
      </c>
      <c r="B426" s="316" t="str">
        <f>'Analisa RAB'!C8071</f>
        <v>Pekerjaan 1 m1 Ukiran  Bingkai</v>
      </c>
      <c r="C426" s="317">
        <f>'Analisa RAB'!H8091</f>
        <v>329200</v>
      </c>
    </row>
    <row r="427" spans="1:3" ht="18.75" customHeight="1" x14ac:dyDescent="0.25">
      <c r="A427" s="316">
        <f>'Analisa RAB'!B8094</f>
        <v>61</v>
      </c>
      <c r="B427" s="316" t="str">
        <f>'Analisa RAB'!C8094</f>
        <v>Pekerjaan 1 bh Ukiran  Ring-ring Sudut</v>
      </c>
      <c r="C427" s="317">
        <f>'Analisa RAB'!H8113</f>
        <v>228200</v>
      </c>
    </row>
    <row r="428" spans="1:3" ht="18.75" customHeight="1" x14ac:dyDescent="0.25">
      <c r="A428" s="316">
        <f>'Analisa RAB'!B8116</f>
        <v>62</v>
      </c>
      <c r="B428" s="316" t="str">
        <f>'Analisa RAB'!C8116</f>
        <v xml:space="preserve">Pekerjaan 1 m1 Ukiran  Ring-ring  </v>
      </c>
      <c r="C428" s="317">
        <f>'Analisa RAB'!H8135</f>
        <v>322000</v>
      </c>
    </row>
    <row r="429" spans="1:3" ht="18.75" customHeight="1" x14ac:dyDescent="0.25">
      <c r="A429" s="316">
        <f>'Analisa RAB'!B8138</f>
        <v>63</v>
      </c>
      <c r="B429" s="316" t="str">
        <f>'Analisa RAB'!C8138</f>
        <v>Pekerjaan 1 m1 Ukiran  Klurak (lebar 6cm)</v>
      </c>
      <c r="C429" s="317">
        <f>'Analisa RAB'!H8157</f>
        <v>291900</v>
      </c>
    </row>
    <row r="430" spans="1:3" ht="18.75" customHeight="1" x14ac:dyDescent="0.25">
      <c r="A430" s="316">
        <f>'Analisa RAB'!B8160</f>
        <v>64</v>
      </c>
      <c r="B430" s="316" t="str">
        <f>'Analisa RAB'!C8160</f>
        <v>Pekerjaan 1 m1 Ukiran  Mas-masan (lebar 3 cm)</v>
      </c>
      <c r="C430" s="317">
        <f>'Analisa RAB'!H8179</f>
        <v>203800</v>
      </c>
    </row>
    <row r="431" spans="1:3" ht="18.75" customHeight="1" x14ac:dyDescent="0.25">
      <c r="A431" s="316">
        <f>'Analisa RAB'!B8182</f>
        <v>65</v>
      </c>
      <c r="B431" s="316" t="str">
        <f>'Analisa RAB'!C8182</f>
        <v>Pekerjaan 1 m1 Ukiran Tempelan Listplang Type Samblung (lebar 10 Cm)</v>
      </c>
      <c r="C431" s="317">
        <f>'Analisa RAB'!H8201</f>
        <v>382700</v>
      </c>
    </row>
    <row r="432" spans="1:3" ht="18.75" customHeight="1" x14ac:dyDescent="0.25">
      <c r="A432" s="316">
        <f>'Analisa RAB'!B8204</f>
        <v>66</v>
      </c>
      <c r="B432" s="316" t="str">
        <f>'Analisa RAB'!C8204</f>
        <v>Pekerjaan 1 m2 Ukiran Panil</v>
      </c>
      <c r="C432" s="317">
        <f>'Analisa RAB'!H8223</f>
        <v>2794400</v>
      </c>
    </row>
    <row r="434" spans="1:3" ht="18.75" customHeight="1" x14ac:dyDescent="0.25">
      <c r="A434" s="377" t="str">
        <f>'Analisa RAB'!A8227</f>
        <v>XII.</v>
      </c>
      <c r="B434" s="434" t="str">
        <f>'Analisa RAB'!B8227</f>
        <v>HARGA SATUAN PEKERJAAN KUNCI DAN KACA</v>
      </c>
      <c r="C434" s="320"/>
    </row>
    <row r="435" spans="1:3" ht="18.75" customHeight="1" x14ac:dyDescent="0.25">
      <c r="A435" s="316">
        <f>'Analisa RAB'!B8229</f>
        <v>1</v>
      </c>
      <c r="B435" s="316" t="str">
        <f>'Analisa RAB'!C8229</f>
        <v>Pemasangan 1 buah kunci tanam  biasa</v>
      </c>
      <c r="C435" s="317">
        <f>'Analisa RAB'!H8250</f>
        <v>223600</v>
      </c>
    </row>
    <row r="436" spans="1:3" ht="18.75" customHeight="1" x14ac:dyDescent="0.25">
      <c r="A436" s="316">
        <f>'Analisa RAB'!B8253</f>
        <v>2</v>
      </c>
      <c r="B436" s="316" t="str">
        <f>'Analisa RAB'!C8253</f>
        <v>Pemasangan 1 buah kunci  kamar mandi</v>
      </c>
      <c r="C436" s="317">
        <f>'Analisa RAB'!H8274</f>
        <v>212300</v>
      </c>
    </row>
    <row r="437" spans="1:3" ht="18.75" customHeight="1" x14ac:dyDescent="0.25">
      <c r="A437" s="316">
        <f>'Analisa RAB'!B8277</f>
        <v>3</v>
      </c>
      <c r="B437" s="316" t="str">
        <f>'Analisa RAB'!C8277</f>
        <v>Pemasangan 1 buah kunci lemari</v>
      </c>
      <c r="C437" s="317">
        <f>'Analisa RAB'!H8298</f>
        <v>58500</v>
      </c>
    </row>
    <row r="438" spans="1:3" ht="18.75" customHeight="1" x14ac:dyDescent="0.25">
      <c r="A438" s="316">
        <f>'Analisa RAB'!B8301</f>
        <v>4</v>
      </c>
      <c r="B438" s="316" t="str">
        <f>'Analisa RAB'!C8301</f>
        <v>Pemasangan 1 buah kunci silinder</v>
      </c>
      <c r="C438" s="317">
        <f>'Analisa RAB'!H8322</f>
        <v>100700</v>
      </c>
    </row>
    <row r="439" spans="1:3" ht="18.75" customHeight="1" x14ac:dyDescent="0.25">
      <c r="A439" s="316">
        <f>'Analisa RAB'!B8325</f>
        <v>5</v>
      </c>
      <c r="B439" s="316" t="str">
        <f>'Analisa RAB'!C8325</f>
        <v>Pemasangan 1 pasang engsel pintu</v>
      </c>
      <c r="C439" s="317">
        <f>'Analisa RAB'!H8346</f>
        <v>59200</v>
      </c>
    </row>
    <row r="440" spans="1:3" ht="18.75" customHeight="1" x14ac:dyDescent="0.25">
      <c r="A440" s="316">
        <f>'Analisa RAB'!B8349</f>
        <v>6</v>
      </c>
      <c r="B440" s="316" t="str">
        <f>'Analisa RAB'!C8349</f>
        <v>Pemasangan 1 ps engsel jendela kupu-kupu</v>
      </c>
      <c r="C440" s="317">
        <f>'Analisa RAB'!H8370</f>
        <v>48000</v>
      </c>
    </row>
    <row r="441" spans="1:3" ht="18.75" customHeight="1" x14ac:dyDescent="0.25">
      <c r="A441" s="316">
        <f>'Analisa RAB'!B8373</f>
        <v>7</v>
      </c>
      <c r="B441" s="316" t="str">
        <f>'Analisa RAB'!C8373</f>
        <v>Pemasangan 1 buah engsel angin</v>
      </c>
      <c r="C441" s="317">
        <f>'Analisa RAB'!H8394</f>
        <v>54300</v>
      </c>
    </row>
    <row r="442" spans="1:3" ht="18.75" customHeight="1" x14ac:dyDescent="0.25">
      <c r="A442" s="316">
        <f>'Analisa RAB'!B8397</f>
        <v>8</v>
      </c>
      <c r="B442" s="316" t="str">
        <f>'Analisa RAB'!C8397</f>
        <v>Pemasangan 1 buah kunci slot</v>
      </c>
      <c r="C442" s="317">
        <f>'Analisa RAB'!H8418</f>
        <v>188300</v>
      </c>
    </row>
    <row r="443" spans="1:3" ht="18.75" customHeight="1" x14ac:dyDescent="0.25">
      <c r="A443" s="316">
        <f>'Analisa RAB'!B8421</f>
        <v>9</v>
      </c>
      <c r="B443" s="316" t="str">
        <f>'Analisa RAB'!C8421</f>
        <v>Pemasangan 1 buah kait angin</v>
      </c>
      <c r="C443" s="317">
        <f>'Analisa RAB'!H8442</f>
        <v>48400</v>
      </c>
    </row>
    <row r="444" spans="1:3" ht="18.75" customHeight="1" x14ac:dyDescent="0.25">
      <c r="A444" s="316">
        <f>'Analisa RAB'!B8445</f>
        <v>10</v>
      </c>
      <c r="B444" s="316" t="str">
        <f>'Analisa RAB'!C8445</f>
        <v>Pemasangan 1 set espagnoleth</v>
      </c>
      <c r="C444" s="317">
        <f>'Analisa RAB'!H8465</f>
        <v>206100</v>
      </c>
    </row>
    <row r="445" spans="1:3" ht="18.75" customHeight="1" x14ac:dyDescent="0.25">
      <c r="A445" s="316">
        <f>'Analisa RAB'!B8468</f>
        <v>11</v>
      </c>
      <c r="B445" s="316" t="str">
        <f>'Analisa RAB'!C8468</f>
        <v>Pemasangan 1 buah door holder</v>
      </c>
      <c r="C445" s="317">
        <f>'Analisa RAB'!H8489</f>
        <v>114700</v>
      </c>
    </row>
    <row r="446" spans="1:3" ht="18.75" customHeight="1" x14ac:dyDescent="0.25">
      <c r="A446" s="316">
        <f>'Analisa RAB'!B8492</f>
        <v>12</v>
      </c>
      <c r="B446" s="316" t="str">
        <f>'Analisa RAB'!C8492</f>
        <v>Pemasangan 1 buah door closer</v>
      </c>
      <c r="C446" s="317">
        <f>'Analisa RAB'!H8513</f>
        <v>146700</v>
      </c>
    </row>
    <row r="447" spans="1:3" ht="18.75" customHeight="1" x14ac:dyDescent="0.25">
      <c r="A447" s="316">
        <f>'Analisa RAB'!B8516</f>
        <v>13</v>
      </c>
      <c r="B447" s="316" t="str">
        <f>'Analisa RAB'!C8516</f>
        <v>Pemasangan 1 buah rel pintu sorong</v>
      </c>
      <c r="C447" s="317">
        <f>'Analisa RAB'!H8537</f>
        <v>320600</v>
      </c>
    </row>
    <row r="448" spans="1:3" ht="18.75" customHeight="1" x14ac:dyDescent="0.25">
      <c r="A448" s="316">
        <f>'Analisa RAB'!B8540</f>
        <v>14</v>
      </c>
      <c r="B448" s="316" t="str">
        <f>'Analisa RAB'!C8540</f>
        <v>Pemasangan 1 m² kaca tebal 3 mm</v>
      </c>
      <c r="C448" s="317">
        <f>'Analisa RAB'!H8562</f>
        <v>144600</v>
      </c>
    </row>
    <row r="449" spans="1:3" ht="18.75" customHeight="1" x14ac:dyDescent="0.25">
      <c r="A449" s="316">
        <f>'Analisa RAB'!B8565</f>
        <v>15</v>
      </c>
      <c r="B449" s="316" t="str">
        <f>'Analisa RAB'!C8565</f>
        <v>Pemasangan 1 m² kaca tebal 5 mm</v>
      </c>
      <c r="C449" s="317">
        <f>'Analisa RAB'!H8587</f>
        <v>220700</v>
      </c>
    </row>
    <row r="450" spans="1:3" ht="18.75" customHeight="1" x14ac:dyDescent="0.25">
      <c r="A450" s="316">
        <f>'Analisa RAB'!B8590</f>
        <v>16</v>
      </c>
      <c r="B450" s="316" t="str">
        <f>'Analisa RAB'!C8590</f>
        <v>Pemasangan 1 m² kaca tebal 8 mm</v>
      </c>
      <c r="C450" s="317">
        <f>'Analisa RAB'!H8612</f>
        <v>415200</v>
      </c>
    </row>
    <row r="451" spans="1:3" ht="18.75" customHeight="1" x14ac:dyDescent="0.25">
      <c r="A451" s="316">
        <f>'Analisa RAB'!B8615</f>
        <v>17</v>
      </c>
      <c r="B451" s="316" t="str">
        <f>'Analisa RAB'!C8615</f>
        <v>Pemasangan 1 m² kaca buram tebal 12 mm</v>
      </c>
      <c r="C451" s="317">
        <f>'Analisa RAB'!H8637</f>
        <v>451400</v>
      </c>
    </row>
    <row r="452" spans="1:3" ht="18.75" customHeight="1" x14ac:dyDescent="0.25">
      <c r="A452" s="316">
        <f>'Analisa RAB'!B8640</f>
        <v>18</v>
      </c>
      <c r="B452" s="316" t="str">
        <f>'Analisa RAB'!C8640</f>
        <v>Pemasangan 1 m² kaca cermin tebal 5 mm</v>
      </c>
      <c r="C452" s="317">
        <f>'Analisa RAB'!H8661</f>
        <v>396700</v>
      </c>
    </row>
    <row r="453" spans="1:3" ht="18.75" customHeight="1" x14ac:dyDescent="0.25">
      <c r="A453" s="316">
        <f>'Analisa RAB'!B8664</f>
        <v>19</v>
      </c>
      <c r="B453" s="316" t="str">
        <f>'Analisa RAB'!C8664</f>
        <v>Pemasangan 1 m² kaca cermin tebal 8 mm</v>
      </c>
      <c r="C453" s="317">
        <f>'Analisa RAB'!H8685</f>
        <v>427000</v>
      </c>
    </row>
    <row r="454" spans="1:3" ht="18.75" customHeight="1" x14ac:dyDescent="0.25">
      <c r="A454" s="316">
        <f>'Analisa RAB'!B8688</f>
        <v>20</v>
      </c>
      <c r="B454" s="316" t="str">
        <f>'Analisa RAB'!C8688</f>
        <v>Pemasangan 1 m² kaca wireglassed tebal 5 mm</v>
      </c>
      <c r="C454" s="317">
        <f>'Analisa RAB'!H8709</f>
        <v>117500</v>
      </c>
    </row>
    <row r="455" spans="1:3" ht="18.75" customHeight="1" x14ac:dyDescent="0.25">
      <c r="A455" s="316">
        <f>'Analisa RAB'!B8712</f>
        <v>21</v>
      </c>
      <c r="B455" s="316" t="str">
        <f>'Analisa RAB'!C8712</f>
        <v>Pemasangan 1 m² kaca patri tebal 5 mm</v>
      </c>
      <c r="C455" s="317">
        <f>'Analisa RAB'!H8734</f>
        <v>170600</v>
      </c>
    </row>
    <row r="456" spans="1:3" ht="18.75" customHeight="1" x14ac:dyDescent="0.25">
      <c r="A456" s="316">
        <f>'Analisa RAB'!B8737</f>
        <v>22</v>
      </c>
      <c r="B456" s="316" t="str">
        <f>'Analisa RAB'!C8737</f>
        <v>Pemasangan 1 m² kaca buram  tebal 12 mm</v>
      </c>
      <c r="C456" s="317">
        <f>'Analisa RAB'!H8759</f>
        <v>403500</v>
      </c>
    </row>
    <row r="458" spans="1:3" ht="18.75" customHeight="1" x14ac:dyDescent="0.25">
      <c r="A458" s="377" t="str">
        <f>'Analisa RAB'!A8762</f>
        <v>XIII.</v>
      </c>
      <c r="B458" s="434" t="str">
        <f>'Analisa RAB'!B8762</f>
        <v>HARGA SATUAN PEKERJAAN PENGECATAN</v>
      </c>
      <c r="C458" s="320"/>
    </row>
    <row r="459" spans="1:3" ht="18.75" customHeight="1" x14ac:dyDescent="0.25">
      <c r="A459" s="316">
        <f>'Analisa RAB'!B8764</f>
        <v>1</v>
      </c>
      <c r="B459" s="316" t="str">
        <f>'Analisa RAB'!C8764</f>
        <v>1 M² Pengikisan  / pengerokan permukaan cat lama</v>
      </c>
      <c r="C459" s="317">
        <f>'Analisa RAB'!H8783</f>
        <v>17300</v>
      </c>
    </row>
    <row r="460" spans="1:3" ht="18.75" customHeight="1" x14ac:dyDescent="0.25">
      <c r="A460" s="316">
        <f>'Analisa RAB'!B8786</f>
        <v>2</v>
      </c>
      <c r="B460" s="316" t="str">
        <f>'Analisa RAB'!C8786</f>
        <v>1 M² Pencucian bidang permukaan tembok yang pernah di cat</v>
      </c>
      <c r="C460" s="317">
        <f>'Analisa RAB'!H8805</f>
        <v>16800</v>
      </c>
    </row>
    <row r="461" spans="1:3" ht="18.75" customHeight="1" x14ac:dyDescent="0.25">
      <c r="A461" s="316">
        <f>'Analisa RAB'!B8808</f>
        <v>3</v>
      </c>
      <c r="B461" s="316" t="str">
        <f>'Analisa RAB'!C8808</f>
        <v>1 M² Pengerokan karat pada permukaan baja secara manual</v>
      </c>
      <c r="C461" s="317">
        <f>'Analisa RAB'!H8827</f>
        <v>17500</v>
      </c>
    </row>
    <row r="462" spans="1:3" ht="18.75" customHeight="1" x14ac:dyDescent="0.25">
      <c r="A462" s="316" t="str">
        <f>'Analisa RAB'!B8830</f>
        <v>4.1</v>
      </c>
      <c r="B462" s="316" t="str">
        <f>'Analisa RAB'!C8830</f>
        <v>1 M² Pengecatan bidang kayu baru (1 lapis plamier, 1 lapis cat dasar, 2 lapis cat penutup)</v>
      </c>
      <c r="C462" s="317">
        <f>'Analisa RAB'!H8859</f>
        <v>64700</v>
      </c>
    </row>
    <row r="463" spans="1:3" ht="18.75" customHeight="1" x14ac:dyDescent="0.25">
      <c r="A463" s="316" t="str">
        <f>'Analisa RAB'!B8831</f>
        <v>4.2</v>
      </c>
      <c r="B463" s="316" t="str">
        <f>'Analisa RAB'!C8831</f>
        <v>1 M² Pengecatan bidang kayu lama (1 lapis plamier, 1 lapis cat dasar, 2 lapis cat penutup)</v>
      </c>
      <c r="C463" s="317">
        <f>'Analisa RAB'!H8863</f>
        <v>52800</v>
      </c>
    </row>
    <row r="464" spans="1:3" ht="18.75" customHeight="1" x14ac:dyDescent="0.25">
      <c r="A464" s="316">
        <f>'Analisa RAB'!B8866</f>
        <v>5</v>
      </c>
      <c r="B464" s="316" t="str">
        <f>'Analisa RAB'!C8866</f>
        <v>Pengecatan 1 M² bidang kayu baru (1 lapis plamier, 1 lapis cat dasar, 3 lapis cat penutup)</v>
      </c>
      <c r="C464" s="317">
        <f>'Analisa RAB'!H8893</f>
        <v>72500</v>
      </c>
    </row>
    <row r="465" spans="1:3" ht="18.75" customHeight="1" x14ac:dyDescent="0.25">
      <c r="A465" s="316">
        <f>'Analisa RAB'!B8896</f>
        <v>6</v>
      </c>
      <c r="B465" s="316" t="str">
        <f>'Analisa RAB'!C8896</f>
        <v>Pelaburan 1 M² bidang kayu dengan teak oil</v>
      </c>
      <c r="C465" s="317">
        <f>'Analisa RAB'!H8917</f>
        <v>52900</v>
      </c>
    </row>
    <row r="466" spans="1:3" ht="18.75" customHeight="1" x14ac:dyDescent="0.25">
      <c r="A466" s="316">
        <f>'Analisa RAB'!B8920</f>
        <v>7</v>
      </c>
      <c r="B466" s="316" t="str">
        <f>'Analisa RAB'!C8920</f>
        <v>Pelaburan 1 M² bidang kayu dengan politur</v>
      </c>
      <c r="C466" s="317">
        <f>'Analisa RAB'!H8943</f>
        <v>75100</v>
      </c>
    </row>
    <row r="467" spans="1:3" ht="18.75" customHeight="1" x14ac:dyDescent="0.25">
      <c r="A467" s="316">
        <f>'Analisa RAB'!B8946</f>
        <v>8</v>
      </c>
      <c r="B467" s="316" t="str">
        <f>'Analisa RAB'!C8946</f>
        <v>Pelaburan 1 M² bidang kayu dengan cat residu dan ter</v>
      </c>
      <c r="C467" s="317">
        <f>'Analisa RAB'!H8966</f>
        <v>26500</v>
      </c>
    </row>
    <row r="468" spans="1:3" ht="18.75" customHeight="1" x14ac:dyDescent="0.25">
      <c r="A468" s="316">
        <f>'Analisa RAB'!B8969</f>
        <v>9</v>
      </c>
      <c r="B468" s="316" t="str">
        <f>'Analisa RAB'!C8969</f>
        <v>Pelaburan 1 M² bidang kayu dengan vernis</v>
      </c>
      <c r="C468" s="317">
        <f>'Analisa RAB'!H8992</f>
        <v>52100</v>
      </c>
    </row>
    <row r="469" spans="1:3" ht="18.75" customHeight="1" x14ac:dyDescent="0.25">
      <c r="A469" s="316">
        <f>'Analisa RAB'!B8995</f>
        <v>10</v>
      </c>
      <c r="B469" s="316" t="str">
        <f>'Analisa RAB'!C8995</f>
        <v>Pengecatan 1 M² tembok baru (1 lapis plamuur, 1 lapis cat dasar, 2 lapis cat penutup)</v>
      </c>
      <c r="C469" s="317">
        <f>'Analisa RAB'!H9018</f>
        <v>31900</v>
      </c>
    </row>
    <row r="470" spans="1:3" ht="18.75" customHeight="1" x14ac:dyDescent="0.25">
      <c r="A470" s="316">
        <f>'Analisa RAB'!B9021</f>
        <v>11</v>
      </c>
      <c r="B470" s="316" t="str">
        <f>'Analisa RAB'!C9021</f>
        <v>Pengecatan 1 M² tembok lama (1 lapis cat dasar, 2 lapis cat penutup)</v>
      </c>
      <c r="C470" s="317">
        <f>'Analisa RAB'!H9043</f>
        <v>27400</v>
      </c>
    </row>
    <row r="471" spans="1:3" ht="18.75" customHeight="1" x14ac:dyDescent="0.25">
      <c r="A471" s="316">
        <f>'Analisa RAB'!B9046</f>
        <v>12</v>
      </c>
      <c r="B471" s="316" t="str">
        <f>'Analisa RAB'!C9046</f>
        <v>Pelaburan 1 M² tembok dengan kalkarium</v>
      </c>
      <c r="C471" s="317">
        <f>'Analisa RAB'!H9067</f>
        <v>14700</v>
      </c>
    </row>
    <row r="472" spans="1:3" ht="18.75" customHeight="1" x14ac:dyDescent="0.25">
      <c r="A472" s="316">
        <f>'Analisa RAB'!B9070</f>
        <v>13</v>
      </c>
      <c r="B472" s="316" t="str">
        <f>'Analisa RAB'!C9070</f>
        <v>Pelaburan 1 M² tembok dengan kapur sirih</v>
      </c>
      <c r="C472" s="317">
        <f>'Analisa RAB'!H9093</f>
        <v>40200</v>
      </c>
    </row>
    <row r="473" spans="1:3" ht="18.75" customHeight="1" x14ac:dyDescent="0.25">
      <c r="A473" s="316">
        <f>'Analisa RAB'!B9096</f>
        <v>14</v>
      </c>
      <c r="B473" s="316" t="str">
        <f>'Analisa RAB'!C9096</f>
        <v>Pelaburan 1 M² tembok lama dengan kapur sirih (pemeliharaan)</v>
      </c>
      <c r="C473" s="317">
        <f>'Analisa RAB'!H9119</f>
        <v>37100</v>
      </c>
    </row>
    <row r="474" spans="1:3" ht="18.75" customHeight="1" x14ac:dyDescent="0.25">
      <c r="A474" s="316">
        <f>'Analisa RAB'!B9122</f>
        <v>15</v>
      </c>
      <c r="B474" s="316" t="str">
        <f>'Analisa RAB'!C9122</f>
        <v>Pemasangan 1 M² wallpaper</v>
      </c>
      <c r="C474" s="317">
        <f>'Analisa RAB'!H9144</f>
        <v>336500</v>
      </c>
    </row>
    <row r="475" spans="1:3" ht="18.75" customHeight="1" x14ac:dyDescent="0.25">
      <c r="A475" s="316">
        <f>'Analisa RAB'!B9147</f>
        <v>16</v>
      </c>
      <c r="B475" s="316" t="str">
        <f>'Analisa RAB'!C9147</f>
        <v>Pengecatan 1 M² permukaan baja dengan menie besi dengan perancah</v>
      </c>
      <c r="C475" s="317">
        <f>'Analisa RAB'!H9171</f>
        <v>69300</v>
      </c>
    </row>
    <row r="476" spans="1:3" ht="18.75" customHeight="1" x14ac:dyDescent="0.25">
      <c r="A476" s="316">
        <f>'Analisa RAB'!B9174</f>
        <v>17</v>
      </c>
      <c r="B476" s="316" t="str">
        <f>'Analisa RAB'!C9174</f>
        <v>Pengecatan 1 M² permukaan bidang kayu dengan mowilek</v>
      </c>
      <c r="C476" s="317">
        <f>'Analisa RAB'!H9197</f>
        <v>33900</v>
      </c>
    </row>
    <row r="477" spans="1:3" ht="18.75" customHeight="1" x14ac:dyDescent="0.25">
      <c r="A477" s="316">
        <f>'Analisa RAB'!B9200</f>
        <v>18</v>
      </c>
      <c r="B477" s="316" t="str">
        <f>'Analisa RAB'!C9200</f>
        <v>Pengecatan 1 M² pelapisan batu alam (Coathing)</v>
      </c>
      <c r="C477" s="317">
        <f>'Analisa RAB'!H9223</f>
        <v>36900</v>
      </c>
    </row>
    <row r="478" spans="1:3" ht="18.75" customHeight="1" x14ac:dyDescent="0.25">
      <c r="A478" s="316">
        <f>'Analisa RAB'!B9226</f>
        <v>19</v>
      </c>
      <c r="B478" s="316" t="str">
        <f>'Analisa RAB'!C9226</f>
        <v>Pengecatan 1 M² permukaan tembok dengan KCA</v>
      </c>
      <c r="C478" s="317">
        <f>'Analisa RAB'!H9249</f>
        <v>44600</v>
      </c>
    </row>
    <row r="479" spans="1:3" ht="18.75" customHeight="1" x14ac:dyDescent="0.25">
      <c r="A479" s="316">
        <f>'Analisa RAB'!B9252</f>
        <v>20</v>
      </c>
      <c r="B479" s="316" t="str">
        <f>'Analisa RAB'!C9252</f>
        <v xml:space="preserve">Pengecatan 1 M² permukaan baja galvanis secara manual sistem 3 lapis </v>
      </c>
      <c r="C479" s="317">
        <f>'Analisa RAB'!H9277</f>
        <v>159000</v>
      </c>
    </row>
    <row r="480" spans="1:3" ht="18.75" customHeight="1" x14ac:dyDescent="0.25">
      <c r="A480" s="316">
        <f>'Analisa RAB'!B9280</f>
        <v>21</v>
      </c>
      <c r="B480" s="316" t="str">
        <f>'Analisa RAB'!C9280</f>
        <v>Pengecatan 1 M² permukaan tembok dengan waterproofing</v>
      </c>
      <c r="C480" s="317">
        <f>'Analisa RAB'!H9303</f>
        <v>74600</v>
      </c>
    </row>
    <row r="481" spans="1:3" ht="18.75" customHeight="1" x14ac:dyDescent="0.25">
      <c r="A481" s="316">
        <f>'Analisa RAB'!B9306</f>
        <v>22</v>
      </c>
      <c r="B481" s="316" t="str">
        <f>'Analisa RAB'!C9306</f>
        <v>Pengecatan 1 M² permukaan baja galvanis  secara manual 4 lapis</v>
      </c>
      <c r="C481" s="317">
        <f>'Analisa RAB'!H9331</f>
        <v>74800</v>
      </c>
    </row>
    <row r="483" spans="1:3" ht="18.75" customHeight="1" x14ac:dyDescent="0.25">
      <c r="A483" s="377" t="str">
        <f>'Analisa RAB'!A9334</f>
        <v>XIV.</v>
      </c>
      <c r="B483" s="434" t="str">
        <f>'Analisa RAB'!B9334</f>
        <v>HARGA SATUAN PEKERJAAN SANITASI DALAM GEDUNG</v>
      </c>
      <c r="C483" s="320"/>
    </row>
    <row r="484" spans="1:3" ht="18.75" customHeight="1" x14ac:dyDescent="0.25">
      <c r="A484" s="316">
        <f>'Analisa RAB'!B9336</f>
        <v>1</v>
      </c>
      <c r="B484" s="316" t="str">
        <f>'Analisa RAB'!C9336</f>
        <v>Pemasangan 1 buah closet duduk</v>
      </c>
      <c r="C484" s="317">
        <f>'Analisa RAB'!H9358</f>
        <v>2881400</v>
      </c>
    </row>
    <row r="485" spans="1:3" ht="18.75" customHeight="1" x14ac:dyDescent="0.25">
      <c r="A485" s="316">
        <f>'Analisa RAB'!B9361</f>
        <v>2</v>
      </c>
      <c r="B485" s="316" t="str">
        <f>'Analisa RAB'!C9361</f>
        <v>Pengerjaan 1 buah closet jongkok</v>
      </c>
      <c r="C485" s="317">
        <f>'Analisa RAB'!H9385</f>
        <v>557900</v>
      </c>
    </row>
    <row r="486" spans="1:3" ht="18.75" customHeight="1" x14ac:dyDescent="0.25">
      <c r="A486" s="316">
        <f>'Analisa RAB'!B9388</f>
        <v>3</v>
      </c>
      <c r="B486" s="316" t="str">
        <f>'Analisa RAB'!C9388</f>
        <v>Pemasangan 1 buah urinoir setara KIA</v>
      </c>
      <c r="C486" s="317">
        <f>'Analisa RAB'!H9412</f>
        <v>1637900</v>
      </c>
    </row>
    <row r="487" spans="1:3" ht="18.75" customHeight="1" x14ac:dyDescent="0.25">
      <c r="A487" s="316">
        <f>'Analisa RAB'!B9415</f>
        <v>4</v>
      </c>
      <c r="B487" s="316" t="str">
        <f>'Analisa RAB'!C9415</f>
        <v>Pemasangan 1 buah wastafel</v>
      </c>
      <c r="C487" s="317">
        <f>'Analisa RAB'!H9439</f>
        <v>899800</v>
      </c>
    </row>
    <row r="488" spans="1:3" ht="18.75" customHeight="1" x14ac:dyDescent="0.25">
      <c r="A488" s="316">
        <f>'Analisa RAB'!B9442</f>
        <v>5</v>
      </c>
      <c r="B488" s="316" t="str">
        <f>'Analisa RAB'!C9442</f>
        <v>Pemasangan 1 buah tempat sabun</v>
      </c>
      <c r="C488" s="317">
        <f>'Analisa RAB'!H9465</f>
        <v>94000</v>
      </c>
    </row>
    <row r="489" spans="1:3" ht="18.75" customHeight="1" x14ac:dyDescent="0.25">
      <c r="A489" s="316">
        <f>'Analisa RAB'!B9468</f>
        <v>6</v>
      </c>
      <c r="B489" s="316" t="str">
        <f>'Analisa RAB'!C9468</f>
        <v>Pemasangan 1 buah bak fibreglass vol 1 m3</v>
      </c>
      <c r="C489" s="317">
        <f>'Analisa RAB'!H9490</f>
        <v>509900</v>
      </c>
    </row>
    <row r="490" spans="1:3" ht="18.75" customHeight="1" x14ac:dyDescent="0.25">
      <c r="A490" s="316">
        <f>'Analisa RAB'!B9493</f>
        <v>7</v>
      </c>
      <c r="B490" s="316" t="str">
        <f>'Analisa RAB'!C9493</f>
        <v>Pemasangan 1 buah bak mandi batu bata vol.0,3 m3</v>
      </c>
      <c r="C490" s="317">
        <f>'Analisa RAB'!H9518</f>
        <v>2332600</v>
      </c>
    </row>
    <row r="491" spans="1:3" ht="18.75" customHeight="1" x14ac:dyDescent="0.25">
      <c r="A491" s="316">
        <f>'Analisa RAB'!B9521</f>
        <v>8</v>
      </c>
      <c r="B491" s="316" t="str">
        <f>'Analisa RAB'!C9521</f>
        <v xml:space="preserve">Pemasangan 1 buah bak mandi teraso </v>
      </c>
      <c r="C491" s="317">
        <f>'Analisa RAB'!H9543</f>
        <v>1069100</v>
      </c>
    </row>
    <row r="492" spans="1:3" ht="18.75" customHeight="1" x14ac:dyDescent="0.25">
      <c r="A492" s="316">
        <f>'Analisa RAB'!B9546</f>
        <v>9</v>
      </c>
      <c r="B492" s="316" t="str">
        <f>'Analisa RAB'!C9546</f>
        <v>Pemasangan 1 buah bak beton vol 1 m3</v>
      </c>
      <c r="C492" s="317">
        <f>'Analisa RAB'!H9571</f>
        <v>5894600</v>
      </c>
    </row>
    <row r="493" spans="1:3" ht="18.75" customHeight="1" x14ac:dyDescent="0.25">
      <c r="A493" s="316">
        <f>'Analisa RAB'!B9574</f>
        <v>10</v>
      </c>
      <c r="B493" s="316" t="str">
        <f>'Analisa RAB'!C9574</f>
        <v>Pemasangan 1 buah bak cuci piring stainless steel</v>
      </c>
      <c r="C493" s="317">
        <f>'Analisa RAB'!H9596</f>
        <v>638800</v>
      </c>
    </row>
    <row r="494" spans="1:3" ht="18.75" customHeight="1" x14ac:dyDescent="0.25">
      <c r="A494" s="316">
        <f>'Analisa RAB'!B9599</f>
        <v>11</v>
      </c>
      <c r="B494" s="316" t="str">
        <f>'Analisa RAB'!C9599</f>
        <v>Pemasangan 1 buah bak cuci piring teraso</v>
      </c>
      <c r="C494" s="317">
        <f>'Analisa RAB'!H9623</f>
        <v>705800</v>
      </c>
    </row>
    <row r="495" spans="1:3" ht="18.75" customHeight="1" x14ac:dyDescent="0.25">
      <c r="A495" s="316">
        <f>'Analisa RAB'!B9626</f>
        <v>12</v>
      </c>
      <c r="B495" s="316" t="str">
        <f>'Analisa RAB'!C9626</f>
        <v>Pemasangan 1 buah floor drain</v>
      </c>
      <c r="C495" s="317">
        <f>'Analisa RAB'!H9647</f>
        <v>68300</v>
      </c>
    </row>
    <row r="496" spans="1:3" ht="18.75" customHeight="1" x14ac:dyDescent="0.25">
      <c r="A496" s="316">
        <f>'Analisa RAB'!B9650</f>
        <v>13</v>
      </c>
      <c r="B496" s="316" t="str">
        <f>'Analisa RAB'!C9650</f>
        <v>Pemasangan 1 buah bak kontrol pasangan bata 30 x 30 tinggi 35 cm</v>
      </c>
      <c r="C496" s="317">
        <f>'Analisa RAB'!H9676</f>
        <v>727100</v>
      </c>
    </row>
    <row r="497" spans="1:3" ht="18.75" customHeight="1" x14ac:dyDescent="0.25">
      <c r="A497" s="316">
        <f>'Analisa RAB'!B9679</f>
        <v>14</v>
      </c>
      <c r="B497" s="316" t="str">
        <f>'Analisa RAB'!C9679</f>
        <v>Pemasangan 1 buah bak kontrol pasangan bata 45cm x 45cm tinggi 50 cm</v>
      </c>
      <c r="C497" s="317">
        <f>'Analisa RAB'!H9705</f>
        <v>986400</v>
      </c>
    </row>
    <row r="498" spans="1:3" ht="18.75" customHeight="1" x14ac:dyDescent="0.25">
      <c r="A498" s="316">
        <f>'Analisa RAB'!B9708</f>
        <v>15</v>
      </c>
      <c r="B498" s="316" t="str">
        <f>'Analisa RAB'!C9708</f>
        <v>Pemasangan 1 buah bak kontrol pasangan bata 60cm x 60cm tinggi 65 cm</v>
      </c>
      <c r="C498" s="317">
        <f>'Analisa RAB'!H9734</f>
        <v>1321300</v>
      </c>
    </row>
    <row r="499" spans="1:3" ht="18.75" customHeight="1" x14ac:dyDescent="0.25">
      <c r="A499" s="316">
        <f>'Analisa RAB'!B9737</f>
        <v>16</v>
      </c>
      <c r="B499" s="316" t="str">
        <f>'Analisa RAB'!C9737</f>
        <v>Pemasangan 1 buah kran diameter ½ " atau ¾ " (0.75 -0.5)</v>
      </c>
      <c r="C499" s="317">
        <f>'Analisa RAB'!H9759</f>
        <v>97000</v>
      </c>
    </row>
    <row r="500" spans="1:3" ht="18.75" customHeight="1" x14ac:dyDescent="0.25">
      <c r="A500" s="316">
        <f>'Analisa RAB'!B9762</f>
        <v>17</v>
      </c>
      <c r="B500" s="316" t="str">
        <f>'Analisa RAB'!C9762</f>
        <v>Pemasangan 1 m1 pipa galvanis diameter 1/2"</v>
      </c>
      <c r="C500" s="317">
        <f>'Analisa RAB'!H9784</f>
        <v>48000</v>
      </c>
    </row>
    <row r="501" spans="1:3" ht="18.75" customHeight="1" x14ac:dyDescent="0.25">
      <c r="A501" s="316">
        <f>'Analisa RAB'!B9787</f>
        <v>18</v>
      </c>
      <c r="B501" s="316" t="str">
        <f>'Analisa RAB'!C9787</f>
        <v>Pemasangan 1 m1 pipa galvanis diameter  1"</v>
      </c>
      <c r="C501" s="317">
        <f>'Analisa RAB'!H9809</f>
        <v>65500</v>
      </c>
    </row>
    <row r="502" spans="1:3" ht="18.75" customHeight="1" x14ac:dyDescent="0.25">
      <c r="A502" s="316">
        <f>'Analisa RAB'!B9812</f>
        <v>19</v>
      </c>
      <c r="B502" s="316" t="str">
        <f>'Analisa RAB'!C9812</f>
        <v>Pemasangan 1 m1 pipa galvanis diameter  1,5"</v>
      </c>
      <c r="C502" s="317">
        <f>'Analisa RAB'!H9834</f>
        <v>169700</v>
      </c>
    </row>
    <row r="503" spans="1:3" ht="18.75" customHeight="1" x14ac:dyDescent="0.25">
      <c r="A503" s="316">
        <f>'Analisa RAB'!B9837</f>
        <v>20</v>
      </c>
      <c r="B503" s="316" t="str">
        <f>'Analisa RAB'!C9837</f>
        <v>Pemasangan 1 m1 pipa galvanis diameter  3"</v>
      </c>
      <c r="C503" s="317">
        <f>'Analisa RAB'!H9859</f>
        <v>178700</v>
      </c>
    </row>
    <row r="504" spans="1:3" ht="18.75" customHeight="1" x14ac:dyDescent="0.25">
      <c r="A504" s="316">
        <f>'Analisa RAB'!B9862</f>
        <v>21</v>
      </c>
      <c r="B504" s="316" t="str">
        <f>'Analisa RAB'!C9862</f>
        <v>Pemasangan 1 m1 pipa galvanis diameter  4"</v>
      </c>
      <c r="C504" s="317">
        <f>'Analisa RAB'!H9884</f>
        <v>231500</v>
      </c>
    </row>
    <row r="505" spans="1:3" ht="18.75" customHeight="1" x14ac:dyDescent="0.25">
      <c r="A505" s="316">
        <f>'Analisa RAB'!B9887</f>
        <v>22</v>
      </c>
      <c r="B505" s="316" t="str">
        <f>'Analisa RAB'!C9887</f>
        <v>Pemasangan 1 m1 pipa PVC tipe AW diameter  ½  "</v>
      </c>
      <c r="C505" s="317">
        <f>'Analisa RAB'!H9909</f>
        <v>25800</v>
      </c>
    </row>
    <row r="506" spans="1:3" ht="18.75" customHeight="1" x14ac:dyDescent="0.25">
      <c r="A506" s="316">
        <f>'Analisa RAB'!B9912</f>
        <v>23</v>
      </c>
      <c r="B506" s="316" t="str">
        <f>'Analisa RAB'!C9912</f>
        <v>Pemasangan 1 m1 pipa PVC tipe AW diameter  ¾ "</v>
      </c>
      <c r="C506" s="317">
        <f>'Analisa RAB'!H9934</f>
        <v>29200</v>
      </c>
    </row>
    <row r="507" spans="1:3" ht="18.75" customHeight="1" x14ac:dyDescent="0.25">
      <c r="A507" s="316">
        <f>'Analisa RAB'!B9937</f>
        <v>24</v>
      </c>
      <c r="B507" s="316" t="str">
        <f>'Analisa RAB'!C9937</f>
        <v>Pemasangan 1 m1 pipa PVC tipe AW diameter  1 "</v>
      </c>
      <c r="C507" s="317">
        <f>'Analisa RAB'!H9959</f>
        <v>32100</v>
      </c>
    </row>
    <row r="508" spans="1:3" ht="18.75" customHeight="1" x14ac:dyDescent="0.25">
      <c r="A508" s="316">
        <f>'Analisa RAB'!B9962</f>
        <v>25</v>
      </c>
      <c r="B508" s="316" t="str">
        <f>'Analisa RAB'!C9962</f>
        <v>Pemasangan 1 m1 pipa PVC tipe AW diameter  1½ "</v>
      </c>
      <c r="C508" s="317">
        <f>'Analisa RAB'!H9985</f>
        <v>43700</v>
      </c>
    </row>
    <row r="509" spans="1:3" ht="18.75" customHeight="1" x14ac:dyDescent="0.25">
      <c r="A509" s="316">
        <f>'Analisa RAB'!B9988</f>
        <v>26</v>
      </c>
      <c r="B509" s="316" t="str">
        <f>'Analisa RAB'!C9988</f>
        <v>Pemasangan 1 m1 pipa PVC tipe AW diameter  2 "</v>
      </c>
      <c r="C509" s="317">
        <f>'Analisa RAB'!H10010</f>
        <v>59800</v>
      </c>
    </row>
    <row r="510" spans="1:3" ht="18.75" customHeight="1" x14ac:dyDescent="0.25">
      <c r="A510" s="316">
        <f>'Analisa RAB'!B10013</f>
        <v>27</v>
      </c>
      <c r="B510" s="316" t="str">
        <f>'Analisa RAB'!C10013</f>
        <v>Pemasangan 1 m1 pipa PVC tipe AW diameter  3 "</v>
      </c>
      <c r="C510" s="317">
        <f>'Analisa RAB'!H10035</f>
        <v>89500</v>
      </c>
    </row>
    <row r="512" spans="1:3" ht="18.75" customHeight="1" x14ac:dyDescent="0.25">
      <c r="A512" s="377" t="str">
        <f>'Analisa RAB'!A10038</f>
        <v>XV.</v>
      </c>
      <c r="B512" s="434" t="str">
        <f>'Analisa RAB'!B10038</f>
        <v>HARGA SATUAN PEKERJAAN LISTRIK</v>
      </c>
      <c r="C512" s="320"/>
    </row>
    <row r="513" spans="1:3" ht="18.75" customHeight="1" x14ac:dyDescent="0.25">
      <c r="A513" s="316">
        <f>'Analisa RAB'!B10040</f>
        <v>1</v>
      </c>
      <c r="B513" s="316" t="str">
        <f>'Analisa RAB'!C10040</f>
        <v>Pemasangan 1 instalasi Stopkontak, Lampu, Exhaustpan, dan celling fan</v>
      </c>
      <c r="C513" s="317">
        <f>'Analisa RAB'!H10066</f>
        <v>338400</v>
      </c>
    </row>
    <row r="514" spans="1:3" ht="18.75" customHeight="1" x14ac:dyDescent="0.25">
      <c r="A514" s="316">
        <f>'Analisa RAB'!B10069</f>
        <v>2</v>
      </c>
      <c r="B514" s="316" t="str">
        <f>'Analisa RAB'!C10069</f>
        <v>Pemasangan 1 instalasi AC</v>
      </c>
      <c r="C514" s="317">
        <f>'Analisa RAB'!H10096</f>
        <v>390400</v>
      </c>
    </row>
    <row r="516" spans="1:3" ht="18.75" customHeight="1" x14ac:dyDescent="0.25">
      <c r="A516" s="377" t="str">
        <f>'Analisa RAB'!A10099</f>
        <v>XVI.</v>
      </c>
      <c r="B516" s="434" t="str">
        <f>'Analisa RAB'!B10099</f>
        <v>HARGA SATUAN PEKERJAAN LANDSCAPE</v>
      </c>
      <c r="C516" s="320"/>
    </row>
    <row r="517" spans="1:3" ht="18.75" customHeight="1" x14ac:dyDescent="0.25">
      <c r="A517" s="316" t="str">
        <f>'Analisa RAB'!B10101</f>
        <v>1.1</v>
      </c>
      <c r="B517" s="316" t="str">
        <f>'Analisa RAB'!C10101</f>
        <v>Pemasangan Paving Beton tebal 8 cm  k 175</v>
      </c>
      <c r="C517" s="317">
        <f>'Analisa RAB'!H10126</f>
        <v>217000</v>
      </c>
    </row>
    <row r="518" spans="1:3" ht="18.75" customHeight="1" x14ac:dyDescent="0.25">
      <c r="A518" s="316" t="str">
        <f>'Analisa RAB'!B10102</f>
        <v>1.2</v>
      </c>
      <c r="B518" s="316" t="str">
        <f>'Analisa RAB'!C10102</f>
        <v>Pemasangan Paving Beton tebal 8 cm  k 225</v>
      </c>
      <c r="C518" s="317">
        <f>'Analisa RAB'!H10130</f>
        <v>254800</v>
      </c>
    </row>
    <row r="519" spans="1:3" ht="18.75" customHeight="1" x14ac:dyDescent="0.25">
      <c r="A519" s="316">
        <f>'Analisa RAB'!B10133</f>
        <v>2</v>
      </c>
      <c r="B519" s="316" t="str">
        <f>'Analisa RAB'!C10133</f>
        <v>Pasangan Grass Block</v>
      </c>
      <c r="C519" s="317">
        <f>'Analisa RAB'!H10155</f>
        <v>284000</v>
      </c>
    </row>
    <row r="520" spans="1:3" ht="18.75" customHeight="1" x14ac:dyDescent="0.25">
      <c r="A520" s="316">
        <f>'Analisa RAB'!B10158</f>
        <v>3</v>
      </c>
      <c r="B520" s="316" t="str">
        <f>'Analisa RAB'!C10158</f>
        <v>1m2 Pasangan Koral sikat</v>
      </c>
      <c r="C520" s="317">
        <f>'Analisa RAB'!H10181</f>
        <v>206300</v>
      </c>
    </row>
    <row r="521" spans="1:3" ht="18.75" customHeight="1" x14ac:dyDescent="0.25">
      <c r="A521" s="316">
        <f>'Analisa RAB'!B10184</f>
        <v>4</v>
      </c>
      <c r="B521" s="316" t="str">
        <f>'Analisa RAB'!C10184</f>
        <v xml:space="preserve">1m1 Kanstein polos </v>
      </c>
      <c r="C521" s="317">
        <f>'Analisa RAB'!H10207</f>
        <v>201900</v>
      </c>
    </row>
    <row r="522" spans="1:3" ht="18.75" customHeight="1" x14ac:dyDescent="0.25">
      <c r="A522" s="316">
        <f>'Analisa RAB'!B10210</f>
        <v>5</v>
      </c>
      <c r="B522" s="316" t="str">
        <f>'Analisa RAB'!C10210</f>
        <v>1m2 Pengecetan Kanstein</v>
      </c>
      <c r="C522" s="317">
        <f>'Analisa RAB'!H10232</f>
        <v>60900</v>
      </c>
    </row>
    <row r="523" spans="1:3" ht="18.75" customHeight="1" x14ac:dyDescent="0.25">
      <c r="A523" s="316">
        <f>'Analisa RAB'!B10235</f>
        <v>6</v>
      </c>
      <c r="B523" s="316" t="str">
        <f>'Analisa RAB'!C10235</f>
        <v>1m2 Pengecetan Kanstein seanding seaker</v>
      </c>
      <c r="C523" s="317">
        <f>'Analisa RAB'!H10257</f>
        <v>43800</v>
      </c>
    </row>
    <row r="525" spans="1:3" ht="18.75" customHeight="1" x14ac:dyDescent="0.25">
      <c r="A525" s="377" t="str">
        <f>'Analisa RAB'!A10261</f>
        <v>XVII.</v>
      </c>
      <c r="B525" s="434" t="str">
        <f>'Analisa RAB'!B10261</f>
        <v>HARGA SATUAN PEKERJAAN ORNAMEN BATA DAN PARAS UTK PEK. STYLE BALI</v>
      </c>
      <c r="C525" s="320"/>
    </row>
    <row r="526" spans="1:3" ht="18.75" customHeight="1" x14ac:dyDescent="0.25">
      <c r="A526" s="316">
        <f>'Analisa RAB'!B10263</f>
        <v>1</v>
      </c>
      <c r="B526" s="316" t="str">
        <f>'Analisa RAB'!C10263</f>
        <v>Pekerjaan 1m2 Pasangan Style Bali Paras Bata 1 muka</v>
      </c>
      <c r="C526" s="317">
        <f>'Analisa RAB'!H10287</f>
        <v>1654100</v>
      </c>
    </row>
    <row r="527" spans="1:3" ht="18.75" customHeight="1" x14ac:dyDescent="0.25">
      <c r="A527" s="316">
        <f>'Analisa RAB'!B10290</f>
        <v>2</v>
      </c>
      <c r="B527" s="316" t="str">
        <f>'Analisa RAB'!C10290</f>
        <v>Pekerjaan 1m2 Pasangan Bata Pripian Pres 1 muka</v>
      </c>
      <c r="C527" s="317">
        <f>'Analisa RAB'!H10313</f>
        <v>1508800</v>
      </c>
    </row>
    <row r="528" spans="1:3" ht="18.75" customHeight="1" x14ac:dyDescent="0.25">
      <c r="A528" s="316">
        <f>'Analisa RAB'!B10316</f>
        <v>3</v>
      </c>
      <c r="B528" s="316" t="str">
        <f>'Analisa RAB'!C10316</f>
        <v>Pekerjaan 1m2 Pasangan Paras Pripian 1 muka</v>
      </c>
      <c r="C528" s="317">
        <f>'Analisa RAB'!H10339</f>
        <v>1622700</v>
      </c>
    </row>
    <row r="529" spans="1:3" ht="18.75" customHeight="1" x14ac:dyDescent="0.25">
      <c r="A529" s="316">
        <f>'Analisa RAB'!B10342</f>
        <v>4</v>
      </c>
      <c r="B529" s="316" t="str">
        <f>'Analisa RAB'!C10342</f>
        <v>Pekerjaan 1m2 Pasangan Sarwa Genep Kombinasi</v>
      </c>
      <c r="C529" s="317">
        <f>'Analisa RAB'!H10365</f>
        <v>1225800</v>
      </c>
    </row>
    <row r="530" spans="1:3" ht="18.75" customHeight="1" x14ac:dyDescent="0.25">
      <c r="A530" s="316">
        <f>'Analisa RAB'!B10368</f>
        <v>5</v>
      </c>
      <c r="B530" s="316" t="str">
        <f>'Analisa RAB'!C10368</f>
        <v>Pekerjaan 1m2 Pasangan Paras Jogja 1 muka</v>
      </c>
      <c r="C530" s="317">
        <f>'Analisa RAB'!H10391</f>
        <v>1265900</v>
      </c>
    </row>
    <row r="531" spans="1:3" ht="18.75" customHeight="1" x14ac:dyDescent="0.25">
      <c r="A531" s="316">
        <f>'Analisa RAB'!B10394</f>
        <v>6</v>
      </c>
      <c r="B531" s="316" t="str">
        <f>'Analisa RAB'!C10394</f>
        <v>Pekerjaan 1m2 Pasangan Batu Palimanan 1 muka</v>
      </c>
      <c r="C531" s="317">
        <f>'Analisa RAB'!H10417</f>
        <v>1251700</v>
      </c>
    </row>
    <row r="532" spans="1:3" ht="18.75" customHeight="1" x14ac:dyDescent="0.25">
      <c r="A532" s="316">
        <f>'Analisa RAB'!B10420</f>
        <v>7</v>
      </c>
      <c r="B532" s="316" t="str">
        <f>'Analisa RAB'!C10420</f>
        <v xml:space="preserve">Pekerjaan 1m2 Pasangan Batu Candi </v>
      </c>
      <c r="C532" s="317">
        <f>'Analisa RAB'!H10443</f>
        <v>1623800</v>
      </c>
    </row>
    <row r="533" spans="1:3" ht="18.75" customHeight="1" x14ac:dyDescent="0.25">
      <c r="A533" s="316">
        <f>'Analisa RAB'!B10446</f>
        <v>8</v>
      </c>
      <c r="B533" s="316" t="str">
        <f>'Analisa RAB'!C10446</f>
        <v>Pekerjaan 1m2 Pasangan Batu Tabas Karangasem 1 muka</v>
      </c>
      <c r="C533" s="317">
        <f>'Analisa RAB'!H10468</f>
        <v>2207200</v>
      </c>
    </row>
  </sheetData>
  <mergeCells count="5">
    <mergeCell ref="A1:C1"/>
    <mergeCell ref="A2:C2"/>
    <mergeCell ref="A4:A6"/>
    <mergeCell ref="B4:B6"/>
    <mergeCell ref="C4:C6"/>
  </mergeCells>
  <pageMargins left="0.11811023622047245" right="7.874015748031496E-2" top="0.74803149606299213" bottom="0.74803149606299213" header="0.31496062992125984" footer="0.31496062992125984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51713-3028-405C-BF26-6FF7AD88B9A0}">
  <sheetPr>
    <tabColor theme="5"/>
  </sheetPr>
  <dimension ref="A1:D532"/>
  <sheetViews>
    <sheetView showGridLines="0" zoomScale="80" zoomScaleNormal="80" workbookViewId="0">
      <selection sqref="A1:C1"/>
    </sheetView>
  </sheetViews>
  <sheetFormatPr defaultColWidth="9.140625" defaultRowHeight="15" x14ac:dyDescent="0.25"/>
  <cols>
    <col min="1" max="1" width="6.7109375" style="374" customWidth="1"/>
    <col min="2" max="2" width="90" style="2" bestFit="1" customWidth="1"/>
    <col min="3" max="3" width="17.28515625" style="478" customWidth="1"/>
    <col min="4" max="4" width="17.28515625" style="487" customWidth="1"/>
    <col min="5" max="16384" width="9.140625" style="2"/>
  </cols>
  <sheetData>
    <row r="1" spans="1:4" ht="18.75" customHeight="1" x14ac:dyDescent="0.25">
      <c r="A1" s="609" t="s">
        <v>1476</v>
      </c>
      <c r="B1" s="609"/>
      <c r="C1" s="609"/>
    </row>
    <row r="2" spans="1:4" ht="18.75" customHeight="1" x14ac:dyDescent="0.25">
      <c r="A2" s="610" t="s">
        <v>615</v>
      </c>
      <c r="B2" s="610"/>
      <c r="C2" s="610"/>
    </row>
    <row r="3" spans="1:4" ht="18.75" customHeight="1" x14ac:dyDescent="0.25"/>
    <row r="4" spans="1:4" ht="18.75" customHeight="1" x14ac:dyDescent="0.25">
      <c r="A4" s="641" t="s">
        <v>0</v>
      </c>
      <c r="B4" s="641" t="s">
        <v>1</v>
      </c>
      <c r="C4" s="646" t="s">
        <v>599</v>
      </c>
      <c r="D4" s="646"/>
    </row>
    <row r="5" spans="1:4" ht="18.75" customHeight="1" x14ac:dyDescent="0.25">
      <c r="A5" s="642"/>
      <c r="B5" s="642"/>
      <c r="C5" s="479" t="s">
        <v>1721</v>
      </c>
      <c r="D5" s="488" t="s">
        <v>1722</v>
      </c>
    </row>
    <row r="6" spans="1:4" ht="18.75" customHeight="1" thickBot="1" x14ac:dyDescent="0.3">
      <c r="A6" s="466">
        <v>1</v>
      </c>
      <c r="B6" s="466">
        <v>2</v>
      </c>
      <c r="C6" s="647">
        <v>3</v>
      </c>
      <c r="D6" s="648"/>
    </row>
    <row r="7" spans="1:4" ht="15.75" thickTop="1" x14ac:dyDescent="0.25">
      <c r="A7" s="464" t="str">
        <f>'Analisa RAB'!A4</f>
        <v>I.</v>
      </c>
      <c r="B7" s="465" t="str">
        <f>'Analisa RAB'!B4</f>
        <v>HARGA SATUAN PEKERJAAN PERSIAPAN</v>
      </c>
      <c r="C7" s="480"/>
      <c r="D7" s="489"/>
    </row>
    <row r="8" spans="1:4" ht="18.75" customHeight="1" x14ac:dyDescent="0.25">
      <c r="A8" s="316">
        <f>'Analisa RAB'!B6</f>
        <v>1</v>
      </c>
      <c r="B8" s="316" t="str">
        <f>'Analisa RAB'!C6</f>
        <v xml:space="preserve"> Pembuatan 1 m2 Pagar Sementara dari kayu tinggi 2 meter</v>
      </c>
      <c r="C8" s="481">
        <f>'Analisa RAB'!H14</f>
        <v>65100</v>
      </c>
      <c r="D8" s="490">
        <f>ROUNDUP(C8/100,0)*100</f>
        <v>65100</v>
      </c>
    </row>
    <row r="9" spans="1:4" ht="18.75" customHeight="1" x14ac:dyDescent="0.25">
      <c r="A9" s="316">
        <f>'Analisa RAB'!B33</f>
        <v>2</v>
      </c>
      <c r="B9" s="316" t="str">
        <f>'Analisa RAB'!C33</f>
        <v xml:space="preserve"> Pembuatan 1 m2 Pagar Sementara dari seng gelombang tinggi 2 meter</v>
      </c>
      <c r="C9" s="481">
        <f>'Analisa RAB'!H42</f>
        <v>68100</v>
      </c>
      <c r="D9" s="490">
        <f>ROUNDUP(C9/100,0)*100</f>
        <v>68100</v>
      </c>
    </row>
    <row r="10" spans="1:4" ht="18.75" customHeight="1" x14ac:dyDescent="0.25">
      <c r="A10" s="316">
        <f>'Analisa RAB'!B62</f>
        <v>3</v>
      </c>
      <c r="B10" s="316" t="str">
        <f>'Analisa RAB'!C62</f>
        <v xml:space="preserve"> Pembuatan 1 m2 Pagar Sementara dari kawat duri  tinggi 1,8 meter</v>
      </c>
      <c r="C10" s="481">
        <f>'Analisa RAB'!H71</f>
        <v>57100</v>
      </c>
      <c r="D10" s="490">
        <f>ROUNDUP(C10/100,0)*100</f>
        <v>57100</v>
      </c>
    </row>
    <row r="11" spans="1:4" ht="18.75" customHeight="1" x14ac:dyDescent="0.25">
      <c r="A11" s="316">
        <f>'Analisa RAB'!B91</f>
        <v>4</v>
      </c>
      <c r="B11" s="316" t="str">
        <f>'Analisa RAB'!C91</f>
        <v>Pengukuran dan pemasangan 1m1 bouwplank</v>
      </c>
      <c r="C11" s="481">
        <f>'Analisa RAB'!H100</f>
        <v>22350</v>
      </c>
      <c r="D11" s="490">
        <f>ROUNDUP(C11/100,0)*100</f>
        <v>22400</v>
      </c>
    </row>
    <row r="12" spans="1:4" ht="18.75" customHeight="1" x14ac:dyDescent="0.25">
      <c r="A12" s="316">
        <f>'Analisa RAB'!B116</f>
        <v>5</v>
      </c>
      <c r="B12" s="316" t="str">
        <f>'Analisa RAB'!C116</f>
        <v>Pembuatan 1 m2 kantor sementara lantai plesteran</v>
      </c>
      <c r="C12" s="481">
        <f>'Analisa RAB'!H126</f>
        <v>561500</v>
      </c>
      <c r="D12" s="490">
        <f>ROUNDUP(C12/100,0)*100</f>
        <v>561500</v>
      </c>
    </row>
    <row r="13" spans="1:4" ht="18.75" customHeight="1" x14ac:dyDescent="0.25">
      <c r="A13" s="316">
        <f>'Analisa RAB'!B153</f>
        <v>6</v>
      </c>
      <c r="B13" s="316" t="str">
        <f>'Analisa RAB'!C153</f>
        <v>Pembuatan 1 m2 rumah jaga (konstruksi kayu)</v>
      </c>
      <c r="C13" s="481">
        <f>'Analisa RAB'!H162</f>
        <v>284250</v>
      </c>
      <c r="D13" s="490">
        <f>ROUNDUP(C13/100,0)*100</f>
        <v>284300</v>
      </c>
    </row>
    <row r="14" spans="1:4" ht="18.75" customHeight="1" x14ac:dyDescent="0.25">
      <c r="A14" s="316">
        <f>'Analisa RAB'!B179</f>
        <v>7</v>
      </c>
      <c r="B14" s="316" t="str">
        <f>'Analisa RAB'!C179</f>
        <v>Pembuatan 1 m2 gudang semen dan peralatan</v>
      </c>
      <c r="C14" s="481">
        <f>'Analisa RAB'!H188</f>
        <v>345000</v>
      </c>
      <c r="D14" s="490">
        <f>ROUNDUP(C14/100,0)*100</f>
        <v>345000</v>
      </c>
    </row>
    <row r="15" spans="1:4" ht="18.75" customHeight="1" x14ac:dyDescent="0.25">
      <c r="A15" s="316">
        <f>'Analisa RAB'!B210</f>
        <v>8</v>
      </c>
      <c r="B15" s="316" t="str">
        <f>'Analisa RAB'!C210</f>
        <v>Pembuatan 1 m2 bedeng pekerja</v>
      </c>
      <c r="C15" s="481">
        <f>'Analisa RAB'!H219</f>
        <v>345000</v>
      </c>
      <c r="D15" s="490">
        <f>ROUNDUP(C15/100,0)*100</f>
        <v>345000</v>
      </c>
    </row>
    <row r="16" spans="1:4" ht="18.75" customHeight="1" x14ac:dyDescent="0.25">
      <c r="A16" s="316">
        <f>'Analisa RAB'!B241</f>
        <v>9</v>
      </c>
      <c r="B16" s="316" t="str">
        <f>'Analisa RAB'!C241</f>
        <v>Pembersihan 1 m2 lapangan dan perataan</v>
      </c>
      <c r="C16" s="481">
        <f>'Analisa RAB'!H248</f>
        <v>105500</v>
      </c>
      <c r="D16" s="490">
        <f>ROUNDUP(C16/100,0)*100</f>
        <v>105500</v>
      </c>
    </row>
    <row r="17" spans="1:4" ht="18.75" customHeight="1" x14ac:dyDescent="0.25">
      <c r="A17" s="316">
        <f>'Analisa RAB'!B263</f>
        <v>10</v>
      </c>
      <c r="B17" s="316" t="str">
        <f>'Analisa RAB'!C263</f>
        <v>Pembuatan 1 m2 steger/perancah dari bambu</v>
      </c>
      <c r="C17" s="481">
        <f>'Analisa RAB'!H272</f>
        <v>345000</v>
      </c>
      <c r="D17" s="490">
        <f>ROUNDUP(C17/100,0)*100</f>
        <v>345000</v>
      </c>
    </row>
    <row r="18" spans="1:4" ht="18.75" customHeight="1" x14ac:dyDescent="0.25">
      <c r="A18" s="316">
        <f>'Analisa RAB'!B287</f>
        <v>11</v>
      </c>
      <c r="B18" s="316" t="str">
        <f>'Analisa RAB'!C287</f>
        <v>Pembuatan 1 buah kotak adukan ukuran 40cm x 50cm x 25cm</v>
      </c>
      <c r="C18" s="481">
        <f>'Analisa RAB'!H294</f>
        <v>36450</v>
      </c>
      <c r="D18" s="490">
        <f>ROUNDUP(C18/100,0)*100</f>
        <v>36500</v>
      </c>
    </row>
    <row r="19" spans="1:4" ht="18.75" customHeight="1" x14ac:dyDescent="0.25">
      <c r="A19" s="316">
        <f>'Analisa RAB'!B311</f>
        <v>12</v>
      </c>
      <c r="B19" s="316" t="str">
        <f>'Analisa RAB'!C311</f>
        <v>Pembuatan 1 m2 jalan sementara</v>
      </c>
      <c r="C19" s="481">
        <f>'Analisa RAB'!H318</f>
        <v>102000</v>
      </c>
      <c r="D19" s="490">
        <f>ROUNDUP(C19/100,0)*100</f>
        <v>102000</v>
      </c>
    </row>
    <row r="20" spans="1:4" ht="18.75" customHeight="1" x14ac:dyDescent="0.25">
      <c r="A20" s="316">
        <f>'Analisa RAB'!B335</f>
        <v>13</v>
      </c>
      <c r="B20" s="316" t="str">
        <f>'Analisa RAB'!C335</f>
        <v>Pembongkaran 1 m3 beton bertulang</v>
      </c>
      <c r="C20" s="481">
        <f>'Analisa RAB'!H343</f>
        <v>1359970</v>
      </c>
      <c r="D20" s="490">
        <f>ROUNDUP(C20/100,0)*100</f>
        <v>1360000</v>
      </c>
    </row>
    <row r="21" spans="1:4" ht="18.75" customHeight="1" x14ac:dyDescent="0.25">
      <c r="A21" s="316">
        <f>'Analisa RAB'!B357</f>
        <v>14</v>
      </c>
      <c r="B21" s="316" t="str">
        <f>'Analisa RAB'!C357</f>
        <v>Pembongkaran 1 m3 dinding tembok bata</v>
      </c>
      <c r="C21" s="481">
        <f>'Analisa RAB'!H364</f>
        <v>679985</v>
      </c>
      <c r="D21" s="490">
        <f>ROUNDUP(C21/100,0)*100</f>
        <v>680000</v>
      </c>
    </row>
    <row r="22" spans="1:4" ht="18.75" customHeight="1" x14ac:dyDescent="0.25">
      <c r="A22" s="316">
        <f>'Analisa RAB'!B378</f>
        <v>15</v>
      </c>
      <c r="B22" s="316" t="str">
        <f>'Analisa RAB'!C378</f>
        <v>Pemasangan 1 m2 pagar kawat jaring galvanis panjang 240 cm</v>
      </c>
      <c r="C22" s="481">
        <f>'Analisa RAB'!H387</f>
        <v>18342</v>
      </c>
      <c r="D22" s="490">
        <f>ROUNDUP(C22/100,0)*100</f>
        <v>18400</v>
      </c>
    </row>
    <row r="24" spans="1:4" ht="18.75" customHeight="1" x14ac:dyDescent="0.25">
      <c r="A24" s="377" t="str">
        <f>'Analisa RAB'!A403</f>
        <v>II.</v>
      </c>
      <c r="B24" s="319" t="str">
        <f>'Analisa RAB'!B403</f>
        <v>HARGA SATUAN PEKERJAAN TANAH</v>
      </c>
      <c r="C24" s="482"/>
      <c r="D24" s="491"/>
    </row>
    <row r="25" spans="1:4" ht="18.75" customHeight="1" x14ac:dyDescent="0.25">
      <c r="A25" s="316">
        <f>'Analisa RAB'!B405</f>
        <v>1</v>
      </c>
      <c r="B25" s="316" t="str">
        <f>'Analisa RAB'!C405</f>
        <v>Penggalian 1 m3 tanah biasa sedalam 1 m</v>
      </c>
      <c r="C25" s="481">
        <f>'Analisa RAB'!H412</f>
        <v>74750</v>
      </c>
      <c r="D25" s="490">
        <f>ROUNDUP(C25/100,0)*100</f>
        <v>74800</v>
      </c>
    </row>
    <row r="26" spans="1:4" ht="18.75" customHeight="1" x14ac:dyDescent="0.25">
      <c r="A26" s="316">
        <f>'Analisa RAB'!B426</f>
        <v>2</v>
      </c>
      <c r="B26" s="316" t="str">
        <f>'Analisa RAB'!C426</f>
        <v>Penggalian 1 m3 tanah biasa sedalam 2 m</v>
      </c>
      <c r="C26" s="481">
        <f>'Analisa RAB'!H433</f>
        <v>91800</v>
      </c>
      <c r="D26" s="490">
        <f>ROUNDUP(C26/100,0)*100</f>
        <v>91800</v>
      </c>
    </row>
    <row r="27" spans="1:4" ht="18.75" customHeight="1" x14ac:dyDescent="0.25">
      <c r="A27" s="316">
        <f>'Analisa RAB'!B448</f>
        <v>3</v>
      </c>
      <c r="B27" s="316" t="str">
        <f>'Analisa RAB'!C448</f>
        <v>Penggalian 1 m3 tanah biasa sedalam 3 m</v>
      </c>
      <c r="C27" s="481">
        <f>'Analisa RAB'!H455</f>
        <v>109130</v>
      </c>
      <c r="D27" s="490">
        <f>ROUNDUP(C27/100,0)*100</f>
        <v>109200</v>
      </c>
    </row>
    <row r="28" spans="1:4" ht="18.75" customHeight="1" x14ac:dyDescent="0.25">
      <c r="A28" s="316">
        <f>'Analisa RAB'!B470</f>
        <v>4</v>
      </c>
      <c r="B28" s="316" t="str">
        <f>'Analisa RAB'!C470</f>
        <v>Menggali 1 m3 tanah keras sedalam 1 m</v>
      </c>
      <c r="C28" s="481">
        <f>'Analisa RAB'!H477</f>
        <v>99480</v>
      </c>
      <c r="D28" s="490">
        <f>ROUNDUP(C28/100,0)*100</f>
        <v>99500</v>
      </c>
    </row>
    <row r="29" spans="1:4" ht="18.75" customHeight="1" x14ac:dyDescent="0.25">
      <c r="A29" s="316">
        <f>'Analisa RAB'!B491</f>
        <v>5</v>
      </c>
      <c r="B29" s="316" t="str">
        <f>'Analisa RAB'!C491</f>
        <v>Menggali 1 m3 tanah cadas sedalam 1 m</v>
      </c>
      <c r="C29" s="481">
        <f>'Analisa RAB'!H498</f>
        <v>99480</v>
      </c>
      <c r="D29" s="490">
        <f>ROUNDUP(C29/100,0)*100</f>
        <v>99500</v>
      </c>
    </row>
    <row r="30" spans="1:4" ht="18.75" customHeight="1" x14ac:dyDescent="0.25">
      <c r="A30" s="316">
        <f>'Analisa RAB'!B512</f>
        <v>6</v>
      </c>
      <c r="B30" s="316" t="str">
        <f>'Analisa RAB'!C512</f>
        <v>Menggali 1 m3 tanah lumpur sedalam 1 m</v>
      </c>
      <c r="C30" s="481">
        <f>'Analisa RAB'!H519</f>
        <v>120300</v>
      </c>
      <c r="D30" s="490">
        <f>ROUNDUP(C30/100,0)*100</f>
        <v>120300</v>
      </c>
    </row>
    <row r="31" spans="1:4" ht="18.75" customHeight="1" x14ac:dyDescent="0.25">
      <c r="A31" s="316">
        <f>'Analisa RAB'!B533</f>
        <v>7</v>
      </c>
      <c r="B31" s="316" t="str">
        <f>'Analisa RAB'!C533</f>
        <v>Pengerjaan stripping 1 m2 tebing setinggi 1 meter</v>
      </c>
      <c r="C31" s="481">
        <f>'Analisa RAB'!H540</f>
        <v>5450</v>
      </c>
      <c r="D31" s="490">
        <f>ROUNDUP(C31/100,0)*100</f>
        <v>5500</v>
      </c>
    </row>
    <row r="32" spans="1:4" ht="18.75" customHeight="1" x14ac:dyDescent="0.25">
      <c r="A32" s="316">
        <f>'Analisa RAB'!B555</f>
        <v>8</v>
      </c>
      <c r="B32" s="316" t="str">
        <f>'Analisa RAB'!C555</f>
        <v>Pembuangan 1 m3 tanah sejauh 30 meter</v>
      </c>
      <c r="C32" s="481">
        <f>'Analisa RAB'!H562</f>
        <v>32750</v>
      </c>
      <c r="D32" s="490">
        <f>ROUNDUP(C32/100,0)*100</f>
        <v>32800</v>
      </c>
    </row>
    <row r="33" spans="1:4" ht="18.75" customHeight="1" x14ac:dyDescent="0.25">
      <c r="A33" s="316">
        <f>'Analisa RAB'!B577</f>
        <v>9</v>
      </c>
      <c r="B33" s="316" t="str">
        <f>'Analisa RAB'!C577</f>
        <v>Pembuangan 1 m3 tanah sejauh 150 meter</v>
      </c>
      <c r="C33" s="481">
        <f>'Analisa RAB'!H584</f>
        <v>56288</v>
      </c>
      <c r="D33" s="490">
        <f>ROUNDUP(C33/100,0)*100</f>
        <v>56300</v>
      </c>
    </row>
    <row r="34" spans="1:4" ht="18.75" customHeight="1" x14ac:dyDescent="0.25">
      <c r="A34" s="316">
        <f>'Analisa RAB'!B598</f>
        <v>10</v>
      </c>
      <c r="B34" s="316" t="str">
        <f>'Analisa RAB'!C598</f>
        <v>Pengurugan kembali 1 m3 galian tanah</v>
      </c>
      <c r="C34" s="481">
        <f>'Analisa RAB'!H606</f>
        <v>54500</v>
      </c>
      <c r="D34" s="490">
        <f>ROUNDUP(C34/100,0)*100</f>
        <v>54500</v>
      </c>
    </row>
    <row r="35" spans="1:4" ht="18.75" customHeight="1" x14ac:dyDescent="0.25">
      <c r="A35" s="316">
        <f>'Analisa RAB'!B620</f>
        <v>11</v>
      </c>
      <c r="B35" s="316" t="str">
        <f>'Analisa RAB'!C620</f>
        <v>Pemadatan tanah 1 m3 tanah ( per 20 cm )</v>
      </c>
      <c r="C35" s="481">
        <f>'Analisa RAB'!H627</f>
        <v>58000</v>
      </c>
      <c r="D35" s="490">
        <f>ROUNDUP(C35/100,0)*100</f>
        <v>58000</v>
      </c>
    </row>
    <row r="36" spans="1:4" ht="18.75" customHeight="1" x14ac:dyDescent="0.25">
      <c r="A36" s="316">
        <f>'Analisa RAB'!B641</f>
        <v>12</v>
      </c>
      <c r="B36" s="316" t="str">
        <f>'Analisa RAB'!C641</f>
        <v>Pengurugan 1 m3 dengan pasir urug</v>
      </c>
      <c r="C36" s="481">
        <f>'Analisa RAB'!H648</f>
        <v>29900</v>
      </c>
      <c r="D36" s="490">
        <f>ROUNDUP(C36/100,0)*100</f>
        <v>29900</v>
      </c>
    </row>
    <row r="37" spans="1:4" ht="18.75" customHeight="1" x14ac:dyDescent="0.25">
      <c r="A37" s="316">
        <f>'Analisa RAB'!B663</f>
        <v>13</v>
      </c>
      <c r="B37" s="316" t="str">
        <f>'Analisa RAB'!C663</f>
        <v xml:space="preserve">Urugan Tanah </v>
      </c>
      <c r="C37" s="481">
        <f>'Analisa RAB'!H670</f>
        <v>58000</v>
      </c>
      <c r="D37" s="490">
        <f>ROUNDUP(C37/100,0)*100</f>
        <v>58000</v>
      </c>
    </row>
    <row r="38" spans="1:4" ht="18.75" customHeight="1" x14ac:dyDescent="0.25">
      <c r="A38" s="316">
        <f>'Analisa RAB'!B685</f>
        <v>14</v>
      </c>
      <c r="B38" s="316" t="str">
        <f>'Analisa RAB'!C685</f>
        <v>Pemasangan 1 m2 lapisan ijuk tebal 10 cm untuk bidang resapan</v>
      </c>
      <c r="C38" s="481">
        <f>'Analisa RAB'!H692</f>
        <v>16350</v>
      </c>
      <c r="D38" s="490">
        <f>ROUNDUP(C38/100,0)*100</f>
        <v>16400</v>
      </c>
    </row>
    <row r="39" spans="1:4" ht="18.75" customHeight="1" x14ac:dyDescent="0.25">
      <c r="A39" s="316">
        <f>'Analisa RAB'!B707</f>
        <v>15</v>
      </c>
      <c r="B39" s="316" t="str">
        <f>'Analisa RAB'!C707</f>
        <v>Pengurugan 1 m3 sirtu padat</v>
      </c>
      <c r="C39" s="481">
        <f>'Analisa RAB'!H714</f>
        <v>27250</v>
      </c>
      <c r="D39" s="490">
        <f>ROUNDUP(C39/100,0)*100</f>
        <v>27300</v>
      </c>
    </row>
    <row r="40" spans="1:4" ht="18.75" customHeight="1" x14ac:dyDescent="0.25">
      <c r="A40" s="316">
        <f>'Analisa RAB'!B729</f>
        <v>16</v>
      </c>
      <c r="B40" s="316" t="str">
        <f>'Analisa RAB'!C729</f>
        <v>Pengurugan 1 m3 Lime stone</v>
      </c>
      <c r="C40" s="481">
        <f>'Analisa RAB'!H736</f>
        <v>27250</v>
      </c>
      <c r="D40" s="490">
        <f>ROUNDUP(C40/100,0)*100</f>
        <v>27300</v>
      </c>
    </row>
    <row r="42" spans="1:4" ht="18.75" customHeight="1" x14ac:dyDescent="0.25">
      <c r="A42" s="377" t="str">
        <f>'Analisa RAB'!A752</f>
        <v>III.</v>
      </c>
      <c r="B42" s="319" t="str">
        <f>'Analisa RAB'!B752</f>
        <v>HARGA SATUAN PEKERJAAN PONDASI</v>
      </c>
      <c r="C42" s="482"/>
      <c r="D42" s="491"/>
    </row>
    <row r="43" spans="1:4" ht="18.75" customHeight="1" x14ac:dyDescent="0.25">
      <c r="A43" s="316">
        <f>'Analisa RAB'!B754</f>
        <v>1</v>
      </c>
      <c r="B43" s="316" t="str">
        <f>'Analisa RAB'!C754</f>
        <v>Pemasangan 1 m3 pondasi batu belah/batu kali campuran 1SP : 3PP</v>
      </c>
      <c r="C43" s="481">
        <f>'Analisa RAB'!H763</f>
        <v>244125</v>
      </c>
      <c r="D43" s="490">
        <f>ROUNDUP(C43/100,0)*100</f>
        <v>244200</v>
      </c>
    </row>
    <row r="44" spans="1:4" ht="18.75" customHeight="1" x14ac:dyDescent="0.25">
      <c r="A44" s="316">
        <f>'Analisa RAB'!B780</f>
        <v>2</v>
      </c>
      <c r="B44" s="316" t="str">
        <f>'Analisa RAB'!C780</f>
        <v>Pemasangan 1 m3 pondasi batu belah/batu kali  campuran 1SP : 4PP</v>
      </c>
      <c r="C44" s="481">
        <f>'Analisa RAB'!H789</f>
        <v>244125</v>
      </c>
      <c r="D44" s="490">
        <f>ROUNDUP(C44/100,0)*100</f>
        <v>244200</v>
      </c>
    </row>
    <row r="45" spans="1:4" ht="18.75" customHeight="1" x14ac:dyDescent="0.25">
      <c r="A45" s="316">
        <f>'Analisa RAB'!B805</f>
        <v>3</v>
      </c>
      <c r="B45" s="316" t="str">
        <f>'Analisa RAB'!C805</f>
        <v>Pemasangan 1 m3 pondasi batu belah/batu kali campuran 1SP : 5PP</v>
      </c>
      <c r="C45" s="481">
        <f>'Analisa RAB'!H814</f>
        <v>244125</v>
      </c>
      <c r="D45" s="490">
        <f>ROUNDUP(C45/100,0)*100</f>
        <v>244200</v>
      </c>
    </row>
    <row r="46" spans="1:4" ht="18.75" customHeight="1" x14ac:dyDescent="0.25">
      <c r="A46" s="316">
        <f>'Analisa RAB'!B831</f>
        <v>4</v>
      </c>
      <c r="B46" s="316" t="str">
        <f>'Analisa RAB'!C831</f>
        <v>Pemasangan 1 m3 pondasi batu belah/batu kali campuran 1SP : 6PP</v>
      </c>
      <c r="C46" s="481">
        <f>'Analisa RAB'!H840</f>
        <v>244125</v>
      </c>
      <c r="D46" s="490">
        <f>ROUNDUP(C46/100,0)*100</f>
        <v>244200</v>
      </c>
    </row>
    <row r="47" spans="1:4" ht="18.75" customHeight="1" x14ac:dyDescent="0.25">
      <c r="A47" s="316">
        <f>'Analisa RAB'!B858</f>
        <v>5</v>
      </c>
      <c r="B47" s="316" t="str">
        <f>'Analisa RAB'!C858</f>
        <v>Pemasangan 1 m3 pondasi batu kosong (anstamping)</v>
      </c>
      <c r="C47" s="481">
        <f>'Analisa RAB'!H867</f>
        <v>126945</v>
      </c>
      <c r="D47" s="490">
        <f>ROUNDUP(C47/100,0)*100</f>
        <v>127000</v>
      </c>
    </row>
    <row r="48" spans="1:4" ht="18.75" customHeight="1" x14ac:dyDescent="0.25">
      <c r="A48" s="316">
        <f>'Analisa RAB'!B883</f>
        <v>6</v>
      </c>
      <c r="B48" s="318" t="str">
        <f>'Analisa RAB'!C883</f>
        <v>Pemasangan 1 m3 pondasi siklop, 60% beton campuran 1SP : 2PB : 3Kr dan 40% batu belah</v>
      </c>
      <c r="C48" s="481">
        <f>'Analisa RAB'!H892</f>
        <v>353382.5</v>
      </c>
      <c r="D48" s="490">
        <f>ROUNDUP(C48/100,0)*100</f>
        <v>353400</v>
      </c>
    </row>
    <row r="49" spans="1:4" ht="18.75" customHeight="1" x14ac:dyDescent="0.25">
      <c r="A49" s="316">
        <f>'Analisa RAB'!B911</f>
        <v>7</v>
      </c>
      <c r="B49" s="316" t="str">
        <f>'Analisa RAB'!C911</f>
        <v>Pemasangan 1 m3 pondasi sumuran, diameter 100 cm</v>
      </c>
      <c r="C49" s="481">
        <f>'Analisa RAB'!H920</f>
        <v>341860</v>
      </c>
      <c r="D49" s="490">
        <f>ROUNDUP(C49/100,0)*100</f>
        <v>341900</v>
      </c>
    </row>
    <row r="50" spans="1:4" ht="18.75" customHeight="1" x14ac:dyDescent="0.25">
      <c r="A50" s="316">
        <f>'Analisa RAB'!B938</f>
        <v>8</v>
      </c>
      <c r="B50" s="316" t="str">
        <f>'Analisa RAB'!C938</f>
        <v>1m1 Pondasi Bored Pile Diameter 30 cm</v>
      </c>
      <c r="C50" s="481">
        <f>'Analisa RAB'!H946</f>
        <v>21060</v>
      </c>
      <c r="D50" s="490">
        <f>ROUNDUP(C50/100,0)*100</f>
        <v>21100</v>
      </c>
    </row>
    <row r="51" spans="1:4" ht="18.75" customHeight="1" x14ac:dyDescent="0.25">
      <c r="A51" s="316">
        <f>'Analisa RAB'!B1007</f>
        <v>9</v>
      </c>
      <c r="B51" s="316" t="str">
        <f>'Analisa RAB'!C1007</f>
        <v>Pemasangan 1 m3 tiang pancang 35 x 35 cm</v>
      </c>
      <c r="C51" s="481">
        <f>'Analisa RAB'!H1016</f>
        <v>150125</v>
      </c>
      <c r="D51" s="490">
        <f>ROUNDUP(C51/100,0)*100</f>
        <v>150200</v>
      </c>
    </row>
    <row r="52" spans="1:4" ht="18.75" customHeight="1" x14ac:dyDescent="0.25">
      <c r="A52" s="316">
        <f>'Analisa RAB'!B1040</f>
        <v>10</v>
      </c>
      <c r="B52" s="316" t="str">
        <f>'Analisa RAB'!C1040</f>
        <v>Pemasangan 1 m3 tiang pancang 40 x 40 cm</v>
      </c>
      <c r="C52" s="481">
        <f>'Analisa RAB'!H1049</f>
        <v>187905.5</v>
      </c>
      <c r="D52" s="490">
        <f>ROUNDUP(C52/100,0)*100</f>
        <v>188000</v>
      </c>
    </row>
    <row r="54" spans="1:4" ht="18.75" customHeight="1" x14ac:dyDescent="0.25">
      <c r="A54" s="377" t="str">
        <f>'Analisa RAB'!A1073</f>
        <v>IV.</v>
      </c>
      <c r="B54" s="319" t="str">
        <f>'Analisa RAB'!B1073</f>
        <v>HARGA SATUAN PEKERJAAN BETON</v>
      </c>
      <c r="C54" s="483"/>
      <c r="D54" s="491"/>
    </row>
    <row r="55" spans="1:4" ht="18.75" customHeight="1" x14ac:dyDescent="0.25">
      <c r="A55" s="316">
        <f>'Analisa RAB'!B1075</f>
        <v>1</v>
      </c>
      <c r="B55" s="316" t="str">
        <f>'Analisa RAB'!C1075</f>
        <v>Membuat 1 m3 beton mutu f'c = 7,4 Mpa (K100), slump (12 ± 2) cm, w/c = 0.87</v>
      </c>
      <c r="C55" s="481">
        <f>'Analisa RAB'!H1084</f>
        <v>201840</v>
      </c>
      <c r="D55" s="490">
        <f>ROUNDUP(C55/100,0)*100</f>
        <v>201900</v>
      </c>
    </row>
    <row r="56" spans="1:4" ht="18.75" customHeight="1" x14ac:dyDescent="0.25">
      <c r="A56" s="316">
        <f>'Analisa RAB'!B1102</f>
        <v>2</v>
      </c>
      <c r="B56" s="316" t="str">
        <f>'Analisa RAB'!C1102</f>
        <v>Membuat 1 m3 beton mutu f'c = 9,8 Mpa (K125), slump (12 ± 2) cm, w/c = 0.78</v>
      </c>
      <c r="C56" s="481">
        <f>'Analisa RAB'!H1111</f>
        <v>201840</v>
      </c>
      <c r="D56" s="490">
        <f>ROUNDUP(C56/100,0)*100</f>
        <v>201900</v>
      </c>
    </row>
    <row r="57" spans="1:4" ht="18.75" customHeight="1" x14ac:dyDescent="0.25">
      <c r="A57" s="316">
        <f>'Analisa RAB'!B1128</f>
        <v>3</v>
      </c>
      <c r="B57" s="316" t="str">
        <f>'Analisa RAB'!C1128</f>
        <v>Membuat 1 m3 beton mutu f'c = 12,2 Mpa (K150), slump (12 ± 2) cm, w/c = 0.72</v>
      </c>
      <c r="C57" s="481">
        <f>'Analisa RAB'!H1137</f>
        <v>201840</v>
      </c>
      <c r="D57" s="490">
        <f>ROUNDUP(C57/100,0)*100</f>
        <v>201900</v>
      </c>
    </row>
    <row r="58" spans="1:4" ht="18.75" customHeight="1" x14ac:dyDescent="0.25">
      <c r="A58" s="316">
        <f>'Analisa RAB'!B1157</f>
        <v>4</v>
      </c>
      <c r="B58" s="318" t="str">
        <f>'Analisa RAB'!C1157</f>
        <v>Membuat 1 m3 lantai kerja beton mutu f'c = 7,4 Mpa (K100), slump (3-6) cm, w/c = 0.87</v>
      </c>
      <c r="C58" s="481">
        <f>'Analisa RAB'!H1166</f>
        <v>148800</v>
      </c>
      <c r="D58" s="490">
        <f>ROUNDUP(C58/100,0)*100</f>
        <v>148800</v>
      </c>
    </row>
    <row r="59" spans="1:4" ht="18.75" customHeight="1" x14ac:dyDescent="0.25">
      <c r="A59" s="316">
        <f>'Analisa RAB'!B1183</f>
        <v>5</v>
      </c>
      <c r="B59" s="318" t="str">
        <f>'Analisa RAB'!C1183</f>
        <v>Membuat 1 m3 lantai kerja beton mutu f'c = 14,5 Mpa (K175), slump (12 ± 2) cm, w/c = 0.66</v>
      </c>
      <c r="C59" s="481">
        <f>'Analisa RAB'!H1192</f>
        <v>201840</v>
      </c>
      <c r="D59" s="490">
        <f>ROUNDUP(C59/100,0)*100</f>
        <v>201900</v>
      </c>
    </row>
    <row r="60" spans="1:4" ht="18.75" customHeight="1" x14ac:dyDescent="0.25">
      <c r="A60" s="316">
        <f>'Analisa RAB'!B1210</f>
        <v>6</v>
      </c>
      <c r="B60" s="318" t="str">
        <f>'Analisa RAB'!C1210</f>
        <v>Membuat 1 m3 lantai kerja beton mutu f'c = 16,9 Mpa (K200), slump (12 ± 2) cm, w/c = 0.61</v>
      </c>
      <c r="C60" s="481">
        <f>'Analisa RAB'!H1219</f>
        <v>201840</v>
      </c>
      <c r="D60" s="490">
        <f>ROUNDUP(C60/100,0)*100</f>
        <v>201900</v>
      </c>
    </row>
    <row r="61" spans="1:4" ht="18.75" customHeight="1" x14ac:dyDescent="0.25">
      <c r="A61" s="316">
        <f>'Analisa RAB'!B1237</f>
        <v>7</v>
      </c>
      <c r="B61" s="318" t="str">
        <f>'Analisa RAB'!C1237</f>
        <v>Membuat 1 m3 lantai kerja beton mutu f'c = 19,3 Mpa (K225), slump (12 ± 2) cm, w/c = 0.58</v>
      </c>
      <c r="C61" s="481">
        <f>'Analisa RAB'!H1246</f>
        <v>201840</v>
      </c>
      <c r="D61" s="490">
        <f>ROUNDUP(C61/100,0)*100</f>
        <v>201900</v>
      </c>
    </row>
    <row r="62" spans="1:4" ht="18.75" customHeight="1" x14ac:dyDescent="0.25">
      <c r="A62" s="316">
        <f>'Analisa RAB'!B1265</f>
        <v>8</v>
      </c>
      <c r="B62" s="318" t="str">
        <f>'Analisa RAB'!C1265</f>
        <v>Membuat 1 m3 lantai kerja beton mutu f'c = 21,7 Mpa (K250), slump (12 ± 2) cm, w/c = 0.56</v>
      </c>
      <c r="C62" s="481">
        <f>'Analisa RAB'!H1274</f>
        <v>201840</v>
      </c>
      <c r="D62" s="490">
        <f>ROUNDUP(C62/100,0)*100</f>
        <v>201900</v>
      </c>
    </row>
    <row r="63" spans="1:4" ht="18.75" customHeight="1" x14ac:dyDescent="0.25">
      <c r="A63" s="316">
        <f>'Analisa RAB'!B1292</f>
        <v>9</v>
      </c>
      <c r="B63" s="318" t="str">
        <f>'Analisa RAB'!C1292</f>
        <v>Membuat 1 m3 lantai kerja beton mutu f'c = 24,0 Mpa (K275), slump (12 ± 2) cm, w/c = 0.53</v>
      </c>
      <c r="C63" s="481">
        <f>'Analisa RAB'!H1301</f>
        <v>201840</v>
      </c>
      <c r="D63" s="490">
        <f>ROUNDUP(C63/100,0)*100</f>
        <v>201900</v>
      </c>
    </row>
    <row r="64" spans="1:4" ht="18.75" customHeight="1" x14ac:dyDescent="0.25">
      <c r="A64" s="316">
        <f>'Analisa RAB'!B1319</f>
        <v>10</v>
      </c>
      <c r="B64" s="318" t="str">
        <f>'Analisa RAB'!C1319</f>
        <v>Membuat 1 m3 lantai kerja beton mutu f'c = 26,4 Mpa (K300), slump (12 ± 2) cm, w/c = 0.52</v>
      </c>
      <c r="C64" s="481">
        <f>'Analisa RAB'!H1328</f>
        <v>201840</v>
      </c>
      <c r="D64" s="490">
        <f>ROUNDUP(C64/100,0)*100</f>
        <v>201900</v>
      </c>
    </row>
    <row r="65" spans="1:4" ht="18.75" customHeight="1" x14ac:dyDescent="0.25">
      <c r="A65" s="316">
        <f>'Analisa RAB'!B1346</f>
        <v>11</v>
      </c>
      <c r="B65" s="318" t="str">
        <f>'Analisa RAB'!C1346</f>
        <v>Membuat 1 m3 lantai kerja beton mutu f'c = 28,8 Mpa (K325), slump (12 ± 2) cm, w/c = 0.49</v>
      </c>
      <c r="C65" s="481">
        <f>'Analisa RAB'!H1355</f>
        <v>256725</v>
      </c>
      <c r="D65" s="490">
        <f>ROUNDUP(C65/100,0)*100</f>
        <v>256800</v>
      </c>
    </row>
    <row r="66" spans="1:4" ht="18.75" customHeight="1" x14ac:dyDescent="0.25">
      <c r="A66" s="316">
        <f>'Analisa RAB'!B1373</f>
        <v>12</v>
      </c>
      <c r="B66" s="318" t="str">
        <f>'Analisa RAB'!C1373</f>
        <v>Membuat 1 m3 lantai kerja beton mutu f'c = 31,2 Mpa (K350), slump (12 ± 2) cm, w/c = 0.48</v>
      </c>
      <c r="C66" s="481">
        <f>'Analisa RAB'!H1382</f>
        <v>256725</v>
      </c>
      <c r="D66" s="490">
        <f>ROUNDUP(C66/100,0)*100</f>
        <v>256800</v>
      </c>
    </row>
    <row r="67" spans="1:4" ht="18.75" customHeight="1" x14ac:dyDescent="0.25">
      <c r="A67" s="316">
        <f>'Analisa RAB'!B1399</f>
        <v>13</v>
      </c>
      <c r="B67" s="316" t="str">
        <f>'Analisa RAB'!C1399</f>
        <v>Membuat 1 m3 beton kedap air dengan strorox - 100</v>
      </c>
      <c r="C67" s="481">
        <f>'Analisa RAB'!H1408</f>
        <v>256725</v>
      </c>
      <c r="D67" s="490">
        <f>ROUNDUP(C67/100,0)*100</f>
        <v>256800</v>
      </c>
    </row>
    <row r="68" spans="1:4" ht="18.75" customHeight="1" x14ac:dyDescent="0.25">
      <c r="A68" s="316">
        <f>'Analisa RAB'!B1426</f>
        <v>14</v>
      </c>
      <c r="B68" s="316" t="str">
        <f>'Analisa RAB'!C1426</f>
        <v>Pembesian 10 kg dengan besi polos atau besi ulir</v>
      </c>
      <c r="C68" s="481">
        <f>'Analisa RAB'!H1435</f>
        <v>15715.000000000002</v>
      </c>
      <c r="D68" s="490">
        <f>ROUNDUP(C68/100,0)*100</f>
        <v>15800</v>
      </c>
    </row>
    <row r="69" spans="1:4" ht="18.75" customHeight="1" x14ac:dyDescent="0.25">
      <c r="A69" s="316">
        <f>'Analisa RAB'!B1451</f>
        <v>15</v>
      </c>
      <c r="B69" s="316" t="str">
        <f>'Analisa RAB'!C1451</f>
        <v>Pemasangan 10 kg kabel presstressed polos/strands</v>
      </c>
      <c r="C69" s="481">
        <f>'Analisa RAB'!H1460</f>
        <v>16370</v>
      </c>
      <c r="D69" s="490">
        <f>ROUNDUP(C69/100,0)*100</f>
        <v>16400</v>
      </c>
    </row>
    <row r="70" spans="1:4" ht="18.75" customHeight="1" x14ac:dyDescent="0.25">
      <c r="A70" s="316">
        <f>'Analisa RAB'!B1476</f>
        <v>16</v>
      </c>
      <c r="B70" s="316" t="str">
        <f>'Analisa RAB'!C1476</f>
        <v>Pemasangan 10 kg jaring kawat baja (wiremesh)</v>
      </c>
      <c r="C70" s="481">
        <f>'Analisa RAB'!H1485</f>
        <v>8140</v>
      </c>
      <c r="D70" s="490">
        <f>ROUNDUP(C70/100,0)*100</f>
        <v>8200</v>
      </c>
    </row>
    <row r="71" spans="1:4" ht="18.75" customHeight="1" x14ac:dyDescent="0.25">
      <c r="A71" s="316">
        <f>'Analisa RAB'!B1501</f>
        <v>17</v>
      </c>
      <c r="B71" s="316" t="str">
        <f>'Analisa RAB'!C1501</f>
        <v>Pemasangan 1 m2 bekisting untuk pondasi</v>
      </c>
      <c r="C71" s="481">
        <f>'Analisa RAB'!H1510</f>
        <v>84630</v>
      </c>
      <c r="D71" s="490">
        <f>ROUNDUP(C71/100,0)*100</f>
        <v>84700</v>
      </c>
    </row>
    <row r="72" spans="1:4" ht="18.75" customHeight="1" x14ac:dyDescent="0.25">
      <c r="A72" s="316">
        <f>'Analisa RAB'!B1527</f>
        <v>18</v>
      </c>
      <c r="B72" s="316" t="str">
        <f>'Analisa RAB'!C1527</f>
        <v>Pemasangan 1 m2 bekisting untuk sloof</v>
      </c>
      <c r="C72" s="481">
        <f>'Analisa RAB'!H1536</f>
        <v>84630</v>
      </c>
      <c r="D72" s="490">
        <f>ROUNDUP(C72/100,0)*100</f>
        <v>84700</v>
      </c>
    </row>
    <row r="73" spans="1:4" ht="18.75" customHeight="1" x14ac:dyDescent="0.25">
      <c r="A73" s="316">
        <f>'Analisa RAB'!B1553</f>
        <v>19</v>
      </c>
      <c r="B73" s="316" t="str">
        <f>'Analisa RAB'!C1553</f>
        <v>Pemasangan 1 m2 bekisting untuk kolom</v>
      </c>
      <c r="C73" s="481">
        <f>'Analisa RAB'!H1562</f>
        <v>107415</v>
      </c>
      <c r="D73" s="490">
        <f>ROUNDUP(C73/100,0)*100</f>
        <v>107500</v>
      </c>
    </row>
    <row r="74" spans="1:4" ht="18.75" customHeight="1" x14ac:dyDescent="0.25">
      <c r="A74" s="316">
        <f>'Analisa RAB'!B1582</f>
        <v>20</v>
      </c>
      <c r="B74" s="316" t="str">
        <f>'Analisa RAB'!C1582</f>
        <v>Pemasangan 1 m2 bekisting untuk balok</v>
      </c>
      <c r="C74" s="481">
        <f>'Analisa RAB'!H1591</f>
        <v>107415</v>
      </c>
      <c r="D74" s="490">
        <f>ROUNDUP(C74/100,0)*100</f>
        <v>107500</v>
      </c>
    </row>
    <row r="75" spans="1:4" ht="18.75" customHeight="1" x14ac:dyDescent="0.25">
      <c r="A75" s="316">
        <f>'Analisa RAB'!B1611</f>
        <v>21</v>
      </c>
      <c r="B75" s="316" t="str">
        <f>'Analisa RAB'!C1611</f>
        <v>Pemasangan 1 m2 bekisting untuk lantai</v>
      </c>
      <c r="C75" s="481">
        <f>'Analisa RAB'!H1620</f>
        <v>107415</v>
      </c>
      <c r="D75" s="490">
        <f>ROUNDUP(C75/100,0)*100</f>
        <v>107500</v>
      </c>
    </row>
    <row r="76" spans="1:4" ht="18.75" customHeight="1" x14ac:dyDescent="0.25">
      <c r="A76" s="316">
        <f>'Analisa RAB'!B1641</f>
        <v>22</v>
      </c>
      <c r="B76" s="316" t="str">
        <f>'Analisa RAB'!C1641</f>
        <v>Pemasangan 1 m2 bekisting untuk dinding</v>
      </c>
      <c r="C76" s="481">
        <f>'Analisa RAB'!H1650</f>
        <v>107415</v>
      </c>
      <c r="D76" s="490">
        <f>ROUNDUP(C76/100,0)*100</f>
        <v>107500</v>
      </c>
    </row>
    <row r="77" spans="1:4" ht="18.75" customHeight="1" x14ac:dyDescent="0.25">
      <c r="A77" s="316">
        <f>'Analisa RAB'!B1671</f>
        <v>23</v>
      </c>
      <c r="B77" s="316" t="str">
        <f>'Analisa RAB'!C1671</f>
        <v>Pemasangan 1 m2 bekisting untuk tangga</v>
      </c>
      <c r="C77" s="481">
        <f>'Analisa RAB'!H1680</f>
        <v>107415</v>
      </c>
      <c r="D77" s="490">
        <f>ROUNDUP(C77/100,0)*100</f>
        <v>107500</v>
      </c>
    </row>
    <row r="78" spans="1:4" ht="18.75" customHeight="1" x14ac:dyDescent="0.25">
      <c r="A78" s="316" t="str">
        <f>'Analisa RAB'!B1700</f>
        <v>24.1</v>
      </c>
      <c r="B78" s="316" t="str">
        <f>'Analisa RAB'!C1700</f>
        <v xml:space="preserve">Pas. Beton Cor 1 : 3 : 5 </v>
      </c>
      <c r="C78" s="481">
        <f>'Analisa RAB'!H1710</f>
        <v>198325</v>
      </c>
      <c r="D78" s="490">
        <f>ROUNDUP(C78/100,0)*100</f>
        <v>198400</v>
      </c>
    </row>
    <row r="79" spans="1:4" ht="18.75" customHeight="1" x14ac:dyDescent="0.25">
      <c r="A79" s="316" t="str">
        <f>'Analisa RAB'!B1701</f>
        <v>24.2</v>
      </c>
      <c r="B79" s="316" t="str">
        <f>'Analisa RAB'!C1701</f>
        <v xml:space="preserve">Beton bertulang cor 1 : 2 : 3 </v>
      </c>
      <c r="C79" s="481">
        <f>C78</f>
        <v>198325</v>
      </c>
      <c r="D79" s="490">
        <f>ROUNDUP(C79/100,0)*100</f>
        <v>198400</v>
      </c>
    </row>
    <row r="80" spans="1:4" ht="18.75" customHeight="1" x14ac:dyDescent="0.25">
      <c r="A80" s="316">
        <f>'Analisa RAB'!B1733</f>
        <v>25</v>
      </c>
      <c r="B80" s="316" t="str">
        <f>'Analisa RAB'!C1733</f>
        <v>Pas. Beton bertulang 1 : 1.5: 2.5</v>
      </c>
      <c r="C80" s="481">
        <f>'Analisa RAB'!H1742</f>
        <v>198325</v>
      </c>
      <c r="D80" s="490">
        <f>ROUNDUP(C80/100,0)*100</f>
        <v>198400</v>
      </c>
    </row>
    <row r="81" spans="1:4" ht="18.75" customHeight="1" x14ac:dyDescent="0.25">
      <c r="A81" s="316">
        <f>'Analisa RAB'!B1759</f>
        <v>26</v>
      </c>
      <c r="B81" s="316" t="str">
        <f>'Analisa RAB'!C1759</f>
        <v>Membuat 1 m1 kolom praktis beton bertulang (11x11) cm</v>
      </c>
      <c r="C81" s="481">
        <f>'Analisa RAB'!H1770</f>
        <v>25650</v>
      </c>
      <c r="D81" s="490">
        <f>ROUNDUP(C81/100,0)*100</f>
        <v>25700</v>
      </c>
    </row>
    <row r="82" spans="1:4" ht="18.75" customHeight="1" x14ac:dyDescent="0.25">
      <c r="A82" s="316">
        <f>'Analisa RAB'!B1792</f>
        <v>27</v>
      </c>
      <c r="B82" s="316" t="str">
        <f>'Analisa RAB'!C1792</f>
        <v>Membuat 1 m1 ring balok beton bertulang (10 x 15) cm</v>
      </c>
      <c r="C82" s="481">
        <f>'Analisa RAB'!H1803</f>
        <v>42355</v>
      </c>
      <c r="D82" s="490">
        <f>ROUNDUP(C82/100,0)*100</f>
        <v>42400</v>
      </c>
    </row>
    <row r="83" spans="1:4" ht="18.75" customHeight="1" x14ac:dyDescent="0.25">
      <c r="A83" s="316">
        <f>'Analisa RAB'!B1824</f>
        <v>28</v>
      </c>
      <c r="B83" s="316" t="str">
        <f>'Analisa RAB'!C1824</f>
        <v>Membuat 1 m2 Perancah / Steger (menggunakan Buruh)</v>
      </c>
      <c r="C83" s="481">
        <f>'Analisa RAB'!H1832</f>
        <v>31020</v>
      </c>
      <c r="D83" s="490">
        <f>ROUNDUP(C83/100,0)*100</f>
        <v>31100</v>
      </c>
    </row>
    <row r="84" spans="1:4" ht="18.75" customHeight="1" x14ac:dyDescent="0.25">
      <c r="A84" s="316">
        <f>'Analisa RAB'!B1848</f>
        <v>29</v>
      </c>
      <c r="B84" s="316" t="str">
        <f>'Analisa RAB'!C1848</f>
        <v>1 m3 cor Beton Basement k 300</v>
      </c>
      <c r="C84" s="481">
        <f>'Analisa RAB'!H1328</f>
        <v>201840</v>
      </c>
      <c r="D84" s="490">
        <f>ROUNDUP(C84/100,0)*100</f>
        <v>201900</v>
      </c>
    </row>
    <row r="85" spans="1:4" ht="18.75" customHeight="1" x14ac:dyDescent="0.25">
      <c r="A85" s="316">
        <f>'Analisa RAB'!B1868</f>
        <v>30</v>
      </c>
      <c r="B85" s="468" t="str">
        <f>'Analisa RAB'!C1868</f>
        <v>1 m3 cor Beton Pondasi k 100- 350 fe 125</v>
      </c>
      <c r="C85" s="484"/>
      <c r="D85" s="492"/>
    </row>
    <row r="86" spans="1:4" ht="18.75" customHeight="1" x14ac:dyDescent="0.25">
      <c r="A86" s="316" t="s">
        <v>1519</v>
      </c>
      <c r="B86" s="327" t="str">
        <f>'Analisa RAB'!C1896</f>
        <v>Harga Satuan Pekerjaan Beton (k 100) Fe 125</v>
      </c>
      <c r="C86" s="481">
        <f>$C$71+$C$68/10*125+C55</f>
        <v>482907.5</v>
      </c>
      <c r="D86" s="490">
        <f>ROUNDUP(C86/100,0)*100</f>
        <v>483000</v>
      </c>
    </row>
    <row r="87" spans="1:4" ht="18.75" customHeight="1" x14ac:dyDescent="0.25">
      <c r="A87" s="436" t="s">
        <v>1520</v>
      </c>
      <c r="B87" s="437" t="str">
        <f>'Analisa RAB'!C1897</f>
        <v>Harga satuan pekerjaan Beton ( K 125 )  FE  125</v>
      </c>
      <c r="C87" s="481">
        <f t="shared" ref="C87:C88" si="0">$C$71+$C$68/10*125+C56</f>
        <v>482907.5</v>
      </c>
      <c r="D87" s="490">
        <f>ROUNDUP(C87/100,0)*100</f>
        <v>483000</v>
      </c>
    </row>
    <row r="88" spans="1:4" ht="18.75" customHeight="1" x14ac:dyDescent="0.25">
      <c r="A88" s="436" t="s">
        <v>1522</v>
      </c>
      <c r="B88" s="437" t="str">
        <f>'Analisa RAB'!C1898</f>
        <v>Harga Satuan Pekerjaan Beton ( K 150 )  FE  125</v>
      </c>
      <c r="C88" s="481">
        <f t="shared" si="0"/>
        <v>482907.5</v>
      </c>
      <c r="D88" s="490">
        <f>ROUNDUP(C88/100,0)*100</f>
        <v>483000</v>
      </c>
    </row>
    <row r="89" spans="1:4" ht="18.75" customHeight="1" x14ac:dyDescent="0.25">
      <c r="A89" s="436" t="s">
        <v>1524</v>
      </c>
      <c r="B89" s="437" t="str">
        <f>'Analisa RAB'!C1899</f>
        <v>Harga Satuan Pekerjaan Beton ( K 175 )  FE  125</v>
      </c>
      <c r="C89" s="481">
        <f>$C$71+$C$68/10*125+C59</f>
        <v>482907.5</v>
      </c>
      <c r="D89" s="490">
        <f>ROUNDUP(C89/100,0)*100</f>
        <v>483000</v>
      </c>
    </row>
    <row r="90" spans="1:4" ht="18.75" customHeight="1" x14ac:dyDescent="0.25">
      <c r="A90" s="436" t="s">
        <v>1525</v>
      </c>
      <c r="B90" s="437" t="str">
        <f>'Analisa RAB'!C1900</f>
        <v>Harga Satuan Pekerjaan Beton ( K 200 )  FE  125</v>
      </c>
      <c r="C90" s="481">
        <f t="shared" ref="C90:C96" si="1">$C$71+$C$68/10*125+C60</f>
        <v>482907.5</v>
      </c>
      <c r="D90" s="490">
        <f>ROUNDUP(C90/100,0)*100</f>
        <v>483000</v>
      </c>
    </row>
    <row r="91" spans="1:4" ht="18.75" customHeight="1" x14ac:dyDescent="0.25">
      <c r="A91" s="436" t="s">
        <v>1526</v>
      </c>
      <c r="B91" s="437" t="str">
        <f>'Analisa RAB'!C1901</f>
        <v>Harga Satuan Pekerjaan Beton ( K 225 )  FE  125</v>
      </c>
      <c r="C91" s="481">
        <f t="shared" si="1"/>
        <v>482907.5</v>
      </c>
      <c r="D91" s="490">
        <f>ROUNDUP(C91/100,0)*100</f>
        <v>483000</v>
      </c>
    </row>
    <row r="92" spans="1:4" ht="18.75" customHeight="1" x14ac:dyDescent="0.25">
      <c r="A92" s="436" t="s">
        <v>1527</v>
      </c>
      <c r="B92" s="437" t="str">
        <f>'Analisa RAB'!C1902</f>
        <v>Harga Satuan Pekerjaan Beton ( K 250 )  FE  125</v>
      </c>
      <c r="C92" s="481">
        <f t="shared" si="1"/>
        <v>482907.5</v>
      </c>
      <c r="D92" s="490">
        <f>ROUNDUP(C92/100,0)*100</f>
        <v>483000</v>
      </c>
    </row>
    <row r="93" spans="1:4" ht="18.75" customHeight="1" x14ac:dyDescent="0.25">
      <c r="A93" s="436" t="s">
        <v>1528</v>
      </c>
      <c r="B93" s="437" t="str">
        <f>'Analisa RAB'!C1903</f>
        <v>Harga Satuan Pekerjaan Beton ( K 275 )  FE  125</v>
      </c>
      <c r="C93" s="481">
        <f t="shared" si="1"/>
        <v>482907.5</v>
      </c>
      <c r="D93" s="490">
        <f>ROUNDUP(C93/100,0)*100</f>
        <v>483000</v>
      </c>
    </row>
    <row r="94" spans="1:4" ht="18.75" customHeight="1" x14ac:dyDescent="0.25">
      <c r="A94" s="436" t="s">
        <v>1529</v>
      </c>
      <c r="B94" s="437" t="str">
        <f>'Analisa RAB'!C1904</f>
        <v>Harga Satuan Pekerjaan Beton ( K 300 )  FE  125</v>
      </c>
      <c r="C94" s="481">
        <f t="shared" si="1"/>
        <v>482907.5</v>
      </c>
      <c r="D94" s="490">
        <f>ROUNDUP(C94/100,0)*100</f>
        <v>483000</v>
      </c>
    </row>
    <row r="95" spans="1:4" ht="18.75" customHeight="1" x14ac:dyDescent="0.25">
      <c r="A95" s="436" t="s">
        <v>1530</v>
      </c>
      <c r="B95" s="437" t="str">
        <f>'Analisa RAB'!C1905</f>
        <v>Harga Satuan Pekerjaan Beton ( K 325 )  FE  125</v>
      </c>
      <c r="C95" s="481">
        <f t="shared" si="1"/>
        <v>537792.5</v>
      </c>
      <c r="D95" s="490">
        <f>ROUNDUP(C95/100,0)*100</f>
        <v>537800</v>
      </c>
    </row>
    <row r="96" spans="1:4" ht="18.75" customHeight="1" x14ac:dyDescent="0.25">
      <c r="A96" s="436" t="s">
        <v>1531</v>
      </c>
      <c r="B96" s="437" t="str">
        <f>'Analisa RAB'!C1906</f>
        <v>Harga Satuan Pekerjaan Beton ( K 350)  FE 125</v>
      </c>
      <c r="C96" s="481">
        <f t="shared" si="1"/>
        <v>537792.5</v>
      </c>
      <c r="D96" s="490">
        <f>ROUNDUP(C96/100,0)*100</f>
        <v>537800</v>
      </c>
    </row>
    <row r="97" spans="1:4" ht="18.75" customHeight="1" x14ac:dyDescent="0.25">
      <c r="A97" s="436">
        <f>'Analisa RAB'!B1909</f>
        <v>31</v>
      </c>
      <c r="B97" s="468" t="str">
        <f>'Analisa RAB'!C1909</f>
        <v>1 m3 cor Beton Dinding k 100-350 fe 150</v>
      </c>
      <c r="C97" s="484"/>
      <c r="D97" s="493"/>
    </row>
    <row r="98" spans="1:4" ht="18.75" customHeight="1" x14ac:dyDescent="0.25">
      <c r="A98" s="436" t="s">
        <v>1532</v>
      </c>
      <c r="B98" s="437" t="str">
        <f>'Analisa RAB'!C1937</f>
        <v>Harga Satuan Pekerjaan Beton (k 100) Fe 150</v>
      </c>
      <c r="C98" s="485">
        <f>$C$76+150/10*$C$68+C55</f>
        <v>544980</v>
      </c>
      <c r="D98" s="490">
        <f>ROUNDUP(C98/100,0)*100</f>
        <v>545000</v>
      </c>
    </row>
    <row r="99" spans="1:4" ht="18.75" customHeight="1" x14ac:dyDescent="0.25">
      <c r="A99" s="436" t="s">
        <v>1533</v>
      </c>
      <c r="B99" s="437" t="str">
        <f>'Analisa RAB'!C1938</f>
        <v>Harga satuan pekerjaan Beton ( K 125 )  FE  150</v>
      </c>
      <c r="C99" s="485">
        <f t="shared" ref="C99:C100" si="2">$C$76+150/10*$C$68+C56</f>
        <v>544980</v>
      </c>
      <c r="D99" s="490">
        <f>ROUNDUP(C99/100,0)*100</f>
        <v>545000</v>
      </c>
    </row>
    <row r="100" spans="1:4" ht="18.75" customHeight="1" x14ac:dyDescent="0.25">
      <c r="A100" s="436" t="s">
        <v>1534</v>
      </c>
      <c r="B100" s="437" t="str">
        <f>'Analisa RAB'!C1939</f>
        <v>Harga satuan pekerjaan Beton ( K 150 )  FE  150</v>
      </c>
      <c r="C100" s="485">
        <f t="shared" si="2"/>
        <v>544980</v>
      </c>
      <c r="D100" s="490">
        <f>ROUNDUP(C100/100,0)*100</f>
        <v>545000</v>
      </c>
    </row>
    <row r="101" spans="1:4" ht="18.75" customHeight="1" x14ac:dyDescent="0.25">
      <c r="A101" s="436" t="s">
        <v>1535</v>
      </c>
      <c r="B101" s="437" t="str">
        <f>'Analisa RAB'!C1940</f>
        <v>Harga Satuan Pekerjaan Beton ( K 175 )  FE  150</v>
      </c>
      <c r="C101" s="485">
        <f>$C$76+150/10*$C$68+C59</f>
        <v>544980</v>
      </c>
      <c r="D101" s="490">
        <f>ROUNDUP(C101/100,0)*100</f>
        <v>545000</v>
      </c>
    </row>
    <row r="102" spans="1:4" ht="18.75" customHeight="1" x14ac:dyDescent="0.25">
      <c r="A102" s="436" t="s">
        <v>1536</v>
      </c>
      <c r="B102" s="437" t="str">
        <f>'Analisa RAB'!C1941</f>
        <v>Harga Satuan Pekerjaan Beton ( K 200 )  FE  150</v>
      </c>
      <c r="C102" s="485">
        <f t="shared" ref="C102:C108" si="3">$C$76+150/10*$C$68+C60</f>
        <v>544980</v>
      </c>
      <c r="D102" s="490">
        <f>ROUNDUP(C102/100,0)*100</f>
        <v>545000</v>
      </c>
    </row>
    <row r="103" spans="1:4" ht="18.75" customHeight="1" x14ac:dyDescent="0.25">
      <c r="A103" s="436" t="s">
        <v>1537</v>
      </c>
      <c r="B103" s="437" t="str">
        <f>'Analisa RAB'!C1942</f>
        <v>Harga Satuan Pekerjaan Beton ( K 225 )  FE  150</v>
      </c>
      <c r="C103" s="485">
        <f t="shared" si="3"/>
        <v>544980</v>
      </c>
      <c r="D103" s="490">
        <f>ROUNDUP(C103/100,0)*100</f>
        <v>545000</v>
      </c>
    </row>
    <row r="104" spans="1:4" ht="18.75" customHeight="1" x14ac:dyDescent="0.25">
      <c r="A104" s="436" t="s">
        <v>1538</v>
      </c>
      <c r="B104" s="437" t="str">
        <f>'Analisa RAB'!C1943</f>
        <v>Harga Satuan Pekerjaan Beton ( K 250 )  FE  150</v>
      </c>
      <c r="C104" s="485">
        <f t="shared" si="3"/>
        <v>544980</v>
      </c>
      <c r="D104" s="490">
        <f>ROUNDUP(C104/100,0)*100</f>
        <v>545000</v>
      </c>
    </row>
    <row r="105" spans="1:4" ht="18.75" customHeight="1" x14ac:dyDescent="0.25">
      <c r="A105" s="436" t="s">
        <v>1539</v>
      </c>
      <c r="B105" s="437" t="str">
        <f>'Analisa RAB'!C1944</f>
        <v>Harga Satuan Pekerjaan Beton ( K 275 )  FE  150</v>
      </c>
      <c r="C105" s="485">
        <f t="shared" si="3"/>
        <v>544980</v>
      </c>
      <c r="D105" s="490">
        <f>ROUNDUP(C105/100,0)*100</f>
        <v>545000</v>
      </c>
    </row>
    <row r="106" spans="1:4" ht="18.75" customHeight="1" x14ac:dyDescent="0.25">
      <c r="A106" s="436" t="s">
        <v>1540</v>
      </c>
      <c r="B106" s="437" t="str">
        <f>'Analisa RAB'!C1945</f>
        <v>Harga Satuan Pekerjaan Beton ( K 300 )  FE  150</v>
      </c>
      <c r="C106" s="485">
        <f t="shared" si="3"/>
        <v>544980</v>
      </c>
      <c r="D106" s="490">
        <f>ROUNDUP(C106/100,0)*100</f>
        <v>545000</v>
      </c>
    </row>
    <row r="107" spans="1:4" ht="18.75" customHeight="1" x14ac:dyDescent="0.25">
      <c r="A107" s="436" t="s">
        <v>1542</v>
      </c>
      <c r="B107" s="437" t="str">
        <f>'Analisa RAB'!C1946</f>
        <v>Harga Satuan Pekerjaan Beton ( K 325 )  FE  150</v>
      </c>
      <c r="C107" s="485">
        <f t="shared" si="3"/>
        <v>599865</v>
      </c>
      <c r="D107" s="490">
        <f>ROUNDUP(C107/100,0)*100</f>
        <v>599900</v>
      </c>
    </row>
    <row r="108" spans="1:4" ht="18.75" customHeight="1" x14ac:dyDescent="0.25">
      <c r="A108" s="436" t="s">
        <v>1541</v>
      </c>
      <c r="B108" s="437" t="str">
        <f>'Analisa RAB'!C1947</f>
        <v>Harga Satuan Pekerjaan Beton ( K 350)  FE 150</v>
      </c>
      <c r="C108" s="485">
        <f t="shared" si="3"/>
        <v>599865</v>
      </c>
      <c r="D108" s="490">
        <f>ROUNDUP(C108/100,0)*100</f>
        <v>599900</v>
      </c>
    </row>
    <row r="109" spans="1:4" ht="18.75" customHeight="1" x14ac:dyDescent="0.25">
      <c r="A109" s="436">
        <f>'Analisa RAB'!B1950</f>
        <v>32</v>
      </c>
      <c r="B109" s="468" t="str">
        <f>'Analisa RAB'!C1950</f>
        <v>1 m3 cor Beton Sloof k 100 - 350  fe 150</v>
      </c>
      <c r="C109" s="484"/>
      <c r="D109" s="493"/>
    </row>
    <row r="110" spans="1:4" ht="18.75" customHeight="1" x14ac:dyDescent="0.25">
      <c r="A110" s="436" t="s">
        <v>1551</v>
      </c>
      <c r="B110" s="437" t="str">
        <f>'Analisa RAB'!C1978</f>
        <v>Harga Satuan Pekerjaan Beton (k 100) Fe 150</v>
      </c>
      <c r="C110" s="485">
        <f t="shared" ref="C110:C111" si="4">$C$72+150/10*$C$68+C55</f>
        <v>522195</v>
      </c>
      <c r="D110" s="490">
        <f>ROUNDUP(C110/100,0)*100</f>
        <v>522200</v>
      </c>
    </row>
    <row r="111" spans="1:4" ht="18.75" customHeight="1" x14ac:dyDescent="0.25">
      <c r="A111" s="436" t="s">
        <v>1543</v>
      </c>
      <c r="B111" s="437" t="str">
        <f>'Analisa RAB'!C1979</f>
        <v>Harga satuan pekerjaan Beton ( K 125 )  FE  150</v>
      </c>
      <c r="C111" s="485">
        <f t="shared" si="4"/>
        <v>522195</v>
      </c>
      <c r="D111" s="490">
        <f>ROUNDUP(C111/100,0)*100</f>
        <v>522200</v>
      </c>
    </row>
    <row r="112" spans="1:4" ht="18.75" customHeight="1" x14ac:dyDescent="0.25">
      <c r="A112" s="436" t="s">
        <v>1544</v>
      </c>
      <c r="B112" s="437" t="str">
        <f>'Analisa RAB'!C1980</f>
        <v>Harga satuan pekerjaan Beton ( K 150 )  FE  150</v>
      </c>
      <c r="C112" s="485">
        <f>$C$72+150/10*$C$68+C57</f>
        <v>522195</v>
      </c>
      <c r="D112" s="490">
        <f>ROUNDUP(C112/100,0)*100</f>
        <v>522200</v>
      </c>
    </row>
    <row r="113" spans="1:4" ht="18.75" customHeight="1" x14ac:dyDescent="0.25">
      <c r="A113" s="436" t="s">
        <v>1545</v>
      </c>
      <c r="B113" s="437" t="str">
        <f>'Analisa RAB'!C1981</f>
        <v>Harga Satuan Pekerjaan Beton ( K 175 )  FE  150</v>
      </c>
      <c r="C113" s="485">
        <f t="shared" ref="C113:C119" si="5">$C$72+150/10*$C$68+C59</f>
        <v>522195</v>
      </c>
      <c r="D113" s="490">
        <f>ROUNDUP(C113/100,0)*100</f>
        <v>522200</v>
      </c>
    </row>
    <row r="114" spans="1:4" ht="18.75" customHeight="1" x14ac:dyDescent="0.25">
      <c r="A114" s="436" t="s">
        <v>1546</v>
      </c>
      <c r="B114" s="437" t="str">
        <f>'Analisa RAB'!C1982</f>
        <v>Harga Satuan Pekerjaan Beton ( K 200 )  FE  150</v>
      </c>
      <c r="C114" s="485">
        <f t="shared" si="5"/>
        <v>522195</v>
      </c>
      <c r="D114" s="490">
        <f>ROUNDUP(C114/100,0)*100</f>
        <v>522200</v>
      </c>
    </row>
    <row r="115" spans="1:4" ht="18.75" customHeight="1" x14ac:dyDescent="0.25">
      <c r="A115" s="436" t="s">
        <v>1547</v>
      </c>
      <c r="B115" s="437" t="str">
        <f>'Analisa RAB'!C1983</f>
        <v>Harga Satuan Pekerjaan Beton ( K 225 )  FE  150</v>
      </c>
      <c r="C115" s="485">
        <f t="shared" si="5"/>
        <v>522195</v>
      </c>
      <c r="D115" s="490">
        <f>ROUNDUP(C115/100,0)*100</f>
        <v>522200</v>
      </c>
    </row>
    <row r="116" spans="1:4" ht="18.75" customHeight="1" x14ac:dyDescent="0.25">
      <c r="A116" s="436" t="s">
        <v>1548</v>
      </c>
      <c r="B116" s="437" t="str">
        <f>'Analisa RAB'!C1984</f>
        <v>Harga Satuan Pekerjaan Beton ( K 250 )  FE  150</v>
      </c>
      <c r="C116" s="485">
        <f t="shared" si="5"/>
        <v>522195</v>
      </c>
      <c r="D116" s="490">
        <f>ROUNDUP(C116/100,0)*100</f>
        <v>522200</v>
      </c>
    </row>
    <row r="117" spans="1:4" ht="18.75" customHeight="1" x14ac:dyDescent="0.25">
      <c r="A117" s="436" t="s">
        <v>1549</v>
      </c>
      <c r="B117" s="437" t="str">
        <f>'Analisa RAB'!C1985</f>
        <v>Harga Satuan Pekerjaan Beton ( K 275 )  FE  150</v>
      </c>
      <c r="C117" s="485">
        <f t="shared" si="5"/>
        <v>522195</v>
      </c>
      <c r="D117" s="490">
        <f>ROUNDUP(C117/100,0)*100</f>
        <v>522200</v>
      </c>
    </row>
    <row r="118" spans="1:4" ht="18.75" customHeight="1" x14ac:dyDescent="0.25">
      <c r="A118" s="436" t="s">
        <v>1550</v>
      </c>
      <c r="B118" s="437" t="str">
        <f>'Analisa RAB'!C1986</f>
        <v>Harga Satuan Pekerjaan Beton ( K 300 )  FE  150</v>
      </c>
      <c r="C118" s="485">
        <f t="shared" si="5"/>
        <v>522195</v>
      </c>
      <c r="D118" s="490">
        <f>ROUNDUP(C118/100,0)*100</f>
        <v>522200</v>
      </c>
    </row>
    <row r="119" spans="1:4" ht="18.75" customHeight="1" x14ac:dyDescent="0.25">
      <c r="A119" s="436" t="s">
        <v>1552</v>
      </c>
      <c r="B119" s="437" t="str">
        <f>'Analisa RAB'!C1987</f>
        <v>Harga Satuan Pekerjaan Beton ( K 325 )  FE  150</v>
      </c>
      <c r="C119" s="485">
        <f t="shared" si="5"/>
        <v>577080</v>
      </c>
      <c r="D119" s="490">
        <f>ROUNDUP(C119/100,0)*100</f>
        <v>577100</v>
      </c>
    </row>
    <row r="120" spans="1:4" ht="18.75" customHeight="1" x14ac:dyDescent="0.25">
      <c r="A120" s="436" t="s">
        <v>1553</v>
      </c>
      <c r="B120" s="437" t="str">
        <f>'Analisa RAB'!C1988</f>
        <v>Harga Satuan Pekerjaan Beton ( K 350)  FE 150</v>
      </c>
      <c r="C120" s="485">
        <f>$C$72+150/10*$C$68+C66</f>
        <v>577080</v>
      </c>
      <c r="D120" s="490">
        <f>ROUNDUP(C120/100,0)*100</f>
        <v>577100</v>
      </c>
    </row>
    <row r="121" spans="1:4" ht="18.75" customHeight="1" x14ac:dyDescent="0.25">
      <c r="A121" s="436">
        <f>'Analisa RAB'!B1991</f>
        <v>33</v>
      </c>
      <c r="B121" s="468" t="str">
        <f>'Analisa RAB'!C1991</f>
        <v>1 m3 cor Beton Lantai k 100 - 350 fe 110</v>
      </c>
      <c r="C121" s="484"/>
      <c r="D121" s="493"/>
    </row>
    <row r="122" spans="1:4" ht="18.75" customHeight="1" x14ac:dyDescent="0.25">
      <c r="A122" s="436" t="s">
        <v>1554</v>
      </c>
      <c r="B122" s="437" t="str">
        <f>'Analisa RAB'!C2020</f>
        <v>Harga Satuan Pekerjaan (D+E) (k 100) Fe 110</v>
      </c>
      <c r="C122" s="485">
        <f>$C$75+110/10*$C$68+C55</f>
        <v>482120</v>
      </c>
      <c r="D122" s="490">
        <f>ROUNDUP(C122/100,0)*100</f>
        <v>482200</v>
      </c>
    </row>
    <row r="123" spans="1:4" ht="18.75" customHeight="1" x14ac:dyDescent="0.25">
      <c r="A123" s="436" t="s">
        <v>1564</v>
      </c>
      <c r="B123" s="437" t="str">
        <f>'Analisa RAB'!C2021</f>
        <v>Harga satuan pekerjaan Beton ( K 125 )  FE  110</v>
      </c>
      <c r="C123" s="485">
        <f t="shared" ref="C123:C124" si="6">$C$75+110/10*$C$68+C56</f>
        <v>482120</v>
      </c>
      <c r="D123" s="490">
        <f>ROUNDUP(C123/100,0)*100</f>
        <v>482200</v>
      </c>
    </row>
    <row r="124" spans="1:4" ht="18.75" customHeight="1" x14ac:dyDescent="0.25">
      <c r="A124" s="436" t="s">
        <v>1555</v>
      </c>
      <c r="B124" s="437" t="str">
        <f>'Analisa RAB'!C2022</f>
        <v>Harga satuan pekerjaan Beton ( K 150 )  FE  110</v>
      </c>
      <c r="C124" s="485">
        <f t="shared" si="6"/>
        <v>482120</v>
      </c>
      <c r="D124" s="490">
        <f>ROUNDUP(C124/100,0)*100</f>
        <v>482200</v>
      </c>
    </row>
    <row r="125" spans="1:4" ht="18.75" customHeight="1" x14ac:dyDescent="0.25">
      <c r="A125" s="436" t="s">
        <v>1556</v>
      </c>
      <c r="B125" s="437" t="str">
        <f>'Analisa RAB'!C2023</f>
        <v>Harga Satuan Pekerjaan Beton ( K 175 )  FE  110</v>
      </c>
      <c r="C125" s="485">
        <f>$C$75+110/10*$C$68+C59</f>
        <v>482120</v>
      </c>
      <c r="D125" s="490">
        <f>ROUNDUP(C125/100,0)*100</f>
        <v>482200</v>
      </c>
    </row>
    <row r="126" spans="1:4" ht="18.75" customHeight="1" x14ac:dyDescent="0.25">
      <c r="A126" s="436" t="s">
        <v>1557</v>
      </c>
      <c r="B126" s="437" t="str">
        <f>'Analisa RAB'!C2024</f>
        <v>Harga Satuan Pekerjaan Beton ( K 200 )  FE  110</v>
      </c>
      <c r="C126" s="485">
        <f t="shared" ref="C126:C132" si="7">$C$75+110/10*$C$68+C60</f>
        <v>482120</v>
      </c>
      <c r="D126" s="490">
        <f>ROUNDUP(C126/100,0)*100</f>
        <v>482200</v>
      </c>
    </row>
    <row r="127" spans="1:4" ht="18.75" customHeight="1" x14ac:dyDescent="0.25">
      <c r="A127" s="436" t="s">
        <v>1558</v>
      </c>
      <c r="B127" s="437" t="str">
        <f>'Analisa RAB'!C2025</f>
        <v>Harga Satuan Pekerjaan Beton ( K 225 )  FE  110</v>
      </c>
      <c r="C127" s="485">
        <f t="shared" si="7"/>
        <v>482120</v>
      </c>
      <c r="D127" s="490">
        <f>ROUNDUP(C127/100,0)*100</f>
        <v>482200</v>
      </c>
    </row>
    <row r="128" spans="1:4" ht="18.75" customHeight="1" x14ac:dyDescent="0.25">
      <c r="A128" s="436" t="s">
        <v>1559</v>
      </c>
      <c r="B128" s="437" t="str">
        <f>'Analisa RAB'!C2026</f>
        <v>Harga Satuan Pekerjaan Beton ( K 250 )  FE  110</v>
      </c>
      <c r="C128" s="485">
        <f t="shared" si="7"/>
        <v>482120</v>
      </c>
      <c r="D128" s="490">
        <f>ROUNDUP(C128/100,0)*100</f>
        <v>482200</v>
      </c>
    </row>
    <row r="129" spans="1:4" ht="18.75" customHeight="1" x14ac:dyDescent="0.25">
      <c r="A129" s="436" t="s">
        <v>1560</v>
      </c>
      <c r="B129" s="437" t="str">
        <f>'Analisa RAB'!C2027</f>
        <v>Harga Satuan Pekerjaan Beton ( K 275 )  FE  110</v>
      </c>
      <c r="C129" s="485">
        <f t="shared" si="7"/>
        <v>482120</v>
      </c>
      <c r="D129" s="490">
        <f>ROUNDUP(C129/100,0)*100</f>
        <v>482200</v>
      </c>
    </row>
    <row r="130" spans="1:4" ht="18.75" customHeight="1" x14ac:dyDescent="0.25">
      <c r="A130" s="436" t="s">
        <v>1561</v>
      </c>
      <c r="B130" s="437" t="str">
        <f>'Analisa RAB'!C2028</f>
        <v>Harga Satuan Pekerjaan Beton ( K 300 )  FE  110</v>
      </c>
      <c r="C130" s="485">
        <f t="shared" si="7"/>
        <v>482120</v>
      </c>
      <c r="D130" s="490">
        <f>ROUNDUP(C130/100,0)*100</f>
        <v>482200</v>
      </c>
    </row>
    <row r="131" spans="1:4" ht="18.75" customHeight="1" x14ac:dyDescent="0.25">
      <c r="A131" s="436" t="s">
        <v>1562</v>
      </c>
      <c r="B131" s="437" t="str">
        <f>'Analisa RAB'!C2029</f>
        <v>Harga Satuan Pekerjaan Beton ( K 325 )  FE  110</v>
      </c>
      <c r="C131" s="485">
        <f t="shared" si="7"/>
        <v>537005</v>
      </c>
      <c r="D131" s="490">
        <f>ROUNDUP(C131/100,0)*100</f>
        <v>537100</v>
      </c>
    </row>
    <row r="132" spans="1:4" ht="18.75" customHeight="1" x14ac:dyDescent="0.25">
      <c r="A132" s="436" t="s">
        <v>1563</v>
      </c>
      <c r="B132" s="437" t="str">
        <f>'Analisa RAB'!C2030</f>
        <v>Harga Satuan Pekerjaan Beton ( K 350)  FE 110</v>
      </c>
      <c r="C132" s="485">
        <f t="shared" si="7"/>
        <v>537005</v>
      </c>
      <c r="D132" s="490">
        <f>ROUNDUP(C132/100,0)*100</f>
        <v>537100</v>
      </c>
    </row>
    <row r="133" spans="1:4" ht="18.75" customHeight="1" x14ac:dyDescent="0.25">
      <c r="A133" s="436">
        <f>'Analisa RAB'!B2033</f>
        <v>34</v>
      </c>
      <c r="B133" s="468" t="str">
        <f>'Analisa RAB'!C2033</f>
        <v>1 m3 cor Beton Kolom k 100- 350 fe 175</v>
      </c>
      <c r="C133" s="484"/>
      <c r="D133" s="493"/>
    </row>
    <row r="134" spans="1:4" ht="18.75" customHeight="1" x14ac:dyDescent="0.25">
      <c r="A134" s="436" t="s">
        <v>1565</v>
      </c>
      <c r="B134" s="437" t="str">
        <f>'Analisa RAB'!C2061</f>
        <v>Harga Satuan Pekerjaan (D+E) (k 100) Fe 175</v>
      </c>
      <c r="C134" s="485">
        <f>$C$73+175/10*$C$68+C55</f>
        <v>584267.5</v>
      </c>
      <c r="D134" s="490">
        <f>ROUNDUP(C134/100,0)*100</f>
        <v>584300</v>
      </c>
    </row>
    <row r="135" spans="1:4" s="433" customFormat="1" ht="18.75" customHeight="1" x14ac:dyDescent="0.25">
      <c r="A135" s="436" t="s">
        <v>1566</v>
      </c>
      <c r="B135" s="437" t="str">
        <f>'Analisa RAB'!C2062</f>
        <v>Harga satuan pekerjaan Beton ( K 125 )  FE  175</v>
      </c>
      <c r="C135" s="485">
        <f t="shared" ref="C135:C136" si="8">$C$73+175/10*$C$68+C56</f>
        <v>584267.5</v>
      </c>
      <c r="D135" s="490">
        <f>ROUNDUP(C135/100,0)*100</f>
        <v>584300</v>
      </c>
    </row>
    <row r="136" spans="1:4" ht="18.75" customHeight="1" x14ac:dyDescent="0.25">
      <c r="A136" s="436" t="s">
        <v>1567</v>
      </c>
      <c r="B136" s="437" t="str">
        <f>'Analisa RAB'!C2063</f>
        <v>Harga satuan pekerjaan Beton ( K 150 )  FE  175</v>
      </c>
      <c r="C136" s="485">
        <f t="shared" si="8"/>
        <v>584267.5</v>
      </c>
      <c r="D136" s="490">
        <f>ROUNDUP(C136/100,0)*100</f>
        <v>584300</v>
      </c>
    </row>
    <row r="137" spans="1:4" ht="18.75" customHeight="1" x14ac:dyDescent="0.25">
      <c r="A137" s="436" t="s">
        <v>1568</v>
      </c>
      <c r="B137" s="437" t="str">
        <f>'Analisa RAB'!C2064</f>
        <v>Harga Satuan Pekerjaan Beton ( K 175 )  FE  175</v>
      </c>
      <c r="C137" s="485">
        <f>$C$73+175/10*$C$68+C59</f>
        <v>584267.5</v>
      </c>
      <c r="D137" s="490">
        <f>ROUNDUP(C137/100,0)*100</f>
        <v>584300</v>
      </c>
    </row>
    <row r="138" spans="1:4" ht="18.75" customHeight="1" x14ac:dyDescent="0.25">
      <c r="A138" s="436" t="s">
        <v>1569</v>
      </c>
      <c r="B138" s="437" t="str">
        <f>'Analisa RAB'!C2065</f>
        <v>Harga Satuan Pekerjaan Beton ( K 200 )  FE  175</v>
      </c>
      <c r="C138" s="485">
        <f t="shared" ref="C138:C144" si="9">$C$73+175/10*$C$68+C60</f>
        <v>584267.5</v>
      </c>
      <c r="D138" s="490">
        <f>ROUNDUP(C138/100,0)*100</f>
        <v>584300</v>
      </c>
    </row>
    <row r="139" spans="1:4" ht="18.75" customHeight="1" x14ac:dyDescent="0.25">
      <c r="A139" s="436" t="s">
        <v>1570</v>
      </c>
      <c r="B139" s="437" t="str">
        <f>'Analisa RAB'!C2066</f>
        <v>Harga Satuan Pekerjaan Beton ( K 225 )  FE  175</v>
      </c>
      <c r="C139" s="485">
        <f t="shared" si="9"/>
        <v>584267.5</v>
      </c>
      <c r="D139" s="490">
        <f>ROUNDUP(C139/100,0)*100</f>
        <v>584300</v>
      </c>
    </row>
    <row r="140" spans="1:4" ht="18.75" customHeight="1" x14ac:dyDescent="0.25">
      <c r="A140" s="436" t="s">
        <v>1571</v>
      </c>
      <c r="B140" s="437" t="str">
        <f>'Analisa RAB'!C2067</f>
        <v>Harga Satuan Pekerjaan Beton ( K 250 )  FE  175</v>
      </c>
      <c r="C140" s="485">
        <f t="shared" si="9"/>
        <v>584267.5</v>
      </c>
      <c r="D140" s="490">
        <f>ROUNDUP(C140/100,0)*100</f>
        <v>584300</v>
      </c>
    </row>
    <row r="141" spans="1:4" ht="18.75" customHeight="1" x14ac:dyDescent="0.25">
      <c r="A141" s="436" t="s">
        <v>1572</v>
      </c>
      <c r="B141" s="437" t="str">
        <f>'Analisa RAB'!C2068</f>
        <v>Harga Satuan Pekerjaan Beton ( K 275 )  FE  175</v>
      </c>
      <c r="C141" s="485">
        <f t="shared" si="9"/>
        <v>584267.5</v>
      </c>
      <c r="D141" s="490">
        <f>ROUNDUP(C141/100,0)*100</f>
        <v>584300</v>
      </c>
    </row>
    <row r="142" spans="1:4" ht="18.75" customHeight="1" x14ac:dyDescent="0.25">
      <c r="A142" s="436" t="s">
        <v>1573</v>
      </c>
      <c r="B142" s="437" t="str">
        <f>'Analisa RAB'!C2069</f>
        <v>Harga Satuan Pekerjaan Beton ( K 300 )  FE  175</v>
      </c>
      <c r="C142" s="485">
        <f t="shared" si="9"/>
        <v>584267.5</v>
      </c>
      <c r="D142" s="490">
        <f>ROUNDUP(C142/100,0)*100</f>
        <v>584300</v>
      </c>
    </row>
    <row r="143" spans="1:4" ht="18.75" customHeight="1" x14ac:dyDescent="0.25">
      <c r="A143" s="436" t="s">
        <v>1574</v>
      </c>
      <c r="B143" s="437" t="str">
        <f>'Analisa RAB'!C2070</f>
        <v>Harga Satuan Pekerjaan Beton ( K 325 )  FE  175</v>
      </c>
      <c r="C143" s="485">
        <f t="shared" si="9"/>
        <v>639152.5</v>
      </c>
      <c r="D143" s="490">
        <f>ROUNDUP(C143/100,0)*100</f>
        <v>639200</v>
      </c>
    </row>
    <row r="144" spans="1:4" ht="18.75" customHeight="1" x14ac:dyDescent="0.25">
      <c r="A144" s="436" t="s">
        <v>1575</v>
      </c>
      <c r="B144" s="437" t="str">
        <f>'Analisa RAB'!C2071</f>
        <v>Harga Satuan Pekerjaan Beton ( K 350)  FE 175</v>
      </c>
      <c r="C144" s="485">
        <f t="shared" si="9"/>
        <v>639152.5</v>
      </c>
      <c r="D144" s="490">
        <f>ROUNDUP(C144/100,0)*100</f>
        <v>639200</v>
      </c>
    </row>
    <row r="145" spans="1:4" ht="18.75" customHeight="1" x14ac:dyDescent="0.25">
      <c r="A145" s="436">
        <f>'Analisa RAB'!B2074</f>
        <v>35</v>
      </c>
      <c r="B145" s="468" t="str">
        <f>'Analisa RAB'!C2074</f>
        <v>1 m3 cor Beton Balok k 100-350 fe 200</v>
      </c>
      <c r="C145" s="484"/>
      <c r="D145" s="493"/>
    </row>
    <row r="146" spans="1:4" ht="18.75" customHeight="1" x14ac:dyDescent="0.25">
      <c r="A146" s="436" t="s">
        <v>1576</v>
      </c>
      <c r="B146" s="437" t="str">
        <f>'Analisa RAB'!C2103</f>
        <v>Harga Satuan Pekerjaan (D+E) (k 100) Fe 200</v>
      </c>
      <c r="C146" s="485">
        <f>$C$74+200/10*$C$68+C55</f>
        <v>623555</v>
      </c>
      <c r="D146" s="490">
        <f>ROUNDUP(C146/100,0)*100</f>
        <v>623600</v>
      </c>
    </row>
    <row r="147" spans="1:4" ht="18.75" customHeight="1" x14ac:dyDescent="0.25">
      <c r="A147" s="436" t="s">
        <v>1577</v>
      </c>
      <c r="B147" s="437" t="str">
        <f>'Analisa RAB'!C2104</f>
        <v>Harga satuan pekerjaan Beton ( K 125 )  FE  200</v>
      </c>
      <c r="C147" s="485">
        <f t="shared" ref="C147:C148" si="10">$C$74+200/10*$C$68+C56</f>
        <v>623555</v>
      </c>
      <c r="D147" s="490">
        <f>ROUNDUP(C147/100,0)*100</f>
        <v>623600</v>
      </c>
    </row>
    <row r="148" spans="1:4" ht="18.75" customHeight="1" x14ac:dyDescent="0.25">
      <c r="A148" s="436" t="s">
        <v>1523</v>
      </c>
      <c r="B148" s="437" t="str">
        <f>'Analisa RAB'!C2105</f>
        <v>Harga satuan pekerjaan Beton ( K 150 )  FE  200</v>
      </c>
      <c r="C148" s="485">
        <f t="shared" si="10"/>
        <v>623555</v>
      </c>
      <c r="D148" s="490">
        <f>ROUNDUP(C148/100,0)*100</f>
        <v>623600</v>
      </c>
    </row>
    <row r="149" spans="1:4" ht="18.75" customHeight="1" x14ac:dyDescent="0.25">
      <c r="A149" s="436" t="s">
        <v>1584</v>
      </c>
      <c r="B149" s="437" t="str">
        <f>'Analisa RAB'!C2106</f>
        <v>Harga Satuan Pekerjaan Beton ( K 175 )  FE  200</v>
      </c>
      <c r="C149" s="485">
        <f>$C$74+200/10*$C$68+C59</f>
        <v>623555</v>
      </c>
      <c r="D149" s="490">
        <f>ROUNDUP(C149/100,0)*100</f>
        <v>623600</v>
      </c>
    </row>
    <row r="150" spans="1:4" ht="18.75" customHeight="1" x14ac:dyDescent="0.25">
      <c r="A150" s="436" t="s">
        <v>1578</v>
      </c>
      <c r="B150" s="437" t="str">
        <f>'Analisa RAB'!C2107</f>
        <v>Harga Satuan Pekerjaan Beton ( K 200 )  FE  200</v>
      </c>
      <c r="C150" s="485">
        <f t="shared" ref="C150:C156" si="11">$C$74+200/10*$C$68+C60</f>
        <v>623555</v>
      </c>
      <c r="D150" s="490">
        <f>ROUNDUP(C150/100,0)*100</f>
        <v>623600</v>
      </c>
    </row>
    <row r="151" spans="1:4" ht="18.75" customHeight="1" x14ac:dyDescent="0.25">
      <c r="A151" s="436" t="s">
        <v>1579</v>
      </c>
      <c r="B151" s="437" t="str">
        <f>'Analisa RAB'!C2108</f>
        <v>Harga Satuan Pekerjaan Beton ( K 225 )  FE  200</v>
      </c>
      <c r="C151" s="485">
        <f t="shared" si="11"/>
        <v>623555</v>
      </c>
      <c r="D151" s="490">
        <f>ROUNDUP(C151/100,0)*100</f>
        <v>623600</v>
      </c>
    </row>
    <row r="152" spans="1:4" ht="18.75" customHeight="1" x14ac:dyDescent="0.25">
      <c r="A152" s="436" t="s">
        <v>1521</v>
      </c>
      <c r="B152" s="437" t="str">
        <f>'Analisa RAB'!C2109</f>
        <v>Harga Satuan Pekerjaan Beton ( K 250 )  FE  200</v>
      </c>
      <c r="C152" s="485">
        <f t="shared" si="11"/>
        <v>623555</v>
      </c>
      <c r="D152" s="490">
        <f>ROUNDUP(C152/100,0)*100</f>
        <v>623600</v>
      </c>
    </row>
    <row r="153" spans="1:4" ht="18.75" customHeight="1" x14ac:dyDescent="0.25">
      <c r="A153" s="436" t="s">
        <v>1580</v>
      </c>
      <c r="B153" s="437" t="str">
        <f>'Analisa RAB'!C2110</f>
        <v>Harga Satuan Pekerjaan Beton ( K 275 )  FE  200</v>
      </c>
      <c r="C153" s="485">
        <f t="shared" si="11"/>
        <v>623555</v>
      </c>
      <c r="D153" s="490">
        <f>ROUNDUP(C153/100,0)*100</f>
        <v>623600</v>
      </c>
    </row>
    <row r="154" spans="1:4" ht="18.75" customHeight="1" x14ac:dyDescent="0.25">
      <c r="A154" s="436" t="s">
        <v>1581</v>
      </c>
      <c r="B154" s="437" t="str">
        <f>'Analisa RAB'!C2111</f>
        <v>Harga Satuan Pekerjaan Beton ( K 300 )  FE  200</v>
      </c>
      <c r="C154" s="485">
        <f t="shared" si="11"/>
        <v>623555</v>
      </c>
      <c r="D154" s="490">
        <f>ROUNDUP(C154/100,0)*100</f>
        <v>623600</v>
      </c>
    </row>
    <row r="155" spans="1:4" ht="18.75" customHeight="1" x14ac:dyDescent="0.25">
      <c r="A155" s="436" t="s">
        <v>1582</v>
      </c>
      <c r="B155" s="437" t="str">
        <f>'Analisa RAB'!C2112</f>
        <v>Harga Satuan Pekerjaan Beton ( K 325 )  FE  200</v>
      </c>
      <c r="C155" s="485">
        <f t="shared" si="11"/>
        <v>678440</v>
      </c>
      <c r="D155" s="490">
        <f>ROUNDUP(C155/100,0)*100</f>
        <v>678500</v>
      </c>
    </row>
    <row r="156" spans="1:4" ht="18.75" customHeight="1" x14ac:dyDescent="0.25">
      <c r="A156" s="436" t="s">
        <v>1583</v>
      </c>
      <c r="B156" s="437" t="str">
        <f>'Analisa RAB'!C2113</f>
        <v>Harga Satuan Pekerjaan Beton ( K 350)  FE 200</v>
      </c>
      <c r="C156" s="485">
        <f t="shared" si="11"/>
        <v>678440</v>
      </c>
      <c r="D156" s="490">
        <f>ROUNDUP(C156/100,0)*100</f>
        <v>678500</v>
      </c>
    </row>
    <row r="157" spans="1:4" ht="18.75" customHeight="1" x14ac:dyDescent="0.25">
      <c r="A157" s="436">
        <f>'Analisa RAB'!B2116</f>
        <v>36</v>
      </c>
      <c r="B157" s="468" t="str">
        <f>'Analisa RAB'!C2116</f>
        <v>1 m3 cor Beton Tangga k 100-350 fe 110</v>
      </c>
      <c r="C157" s="484"/>
      <c r="D157" s="493"/>
    </row>
    <row r="158" spans="1:4" ht="18.75" customHeight="1" x14ac:dyDescent="0.25">
      <c r="A158" s="436" t="s">
        <v>1585</v>
      </c>
      <c r="B158" s="437" t="str">
        <f>'Analisa RAB'!C2144</f>
        <v>Harga Satuan Pekerjaan (D+E) (k 100) Fe 110</v>
      </c>
      <c r="C158" s="485">
        <f>$C$77+110/10*$C$68+C55</f>
        <v>482120</v>
      </c>
      <c r="D158" s="490">
        <f>ROUNDUP(C158/100,0)*100</f>
        <v>482200</v>
      </c>
    </row>
    <row r="159" spans="1:4" ht="18.75" customHeight="1" x14ac:dyDescent="0.25">
      <c r="A159" s="436" t="s">
        <v>1586</v>
      </c>
      <c r="B159" s="437" t="str">
        <f>'Analisa RAB'!C2145</f>
        <v>Harga satuan pekerjaan Beton ( K 125 )  FE  110</v>
      </c>
      <c r="C159" s="485">
        <f t="shared" ref="C159:C160" si="12">$C$77+110/10*$C$68+C56</f>
        <v>482120</v>
      </c>
      <c r="D159" s="490">
        <f>ROUNDUP(C159/100,0)*100</f>
        <v>482200</v>
      </c>
    </row>
    <row r="160" spans="1:4" ht="18.75" customHeight="1" x14ac:dyDescent="0.25">
      <c r="A160" s="436" t="s">
        <v>1587</v>
      </c>
      <c r="B160" s="437" t="str">
        <f>'Analisa RAB'!C2146</f>
        <v>Harga satuan pekerjaan Beton ( K 150 )  FE  110</v>
      </c>
      <c r="C160" s="485">
        <f t="shared" si="12"/>
        <v>482120</v>
      </c>
      <c r="D160" s="490">
        <f>ROUNDUP(C160/100,0)*100</f>
        <v>482200</v>
      </c>
    </row>
    <row r="161" spans="1:4" ht="18.75" customHeight="1" x14ac:dyDescent="0.25">
      <c r="A161" s="436" t="s">
        <v>1588</v>
      </c>
      <c r="B161" s="437" t="str">
        <f>'Analisa RAB'!C2147</f>
        <v>Harga Satuan Pekerjaan Beton ( K 175 )  FE  110</v>
      </c>
      <c r="C161" s="485">
        <f>$C$77+110/10*$C$68+C59</f>
        <v>482120</v>
      </c>
      <c r="D161" s="490">
        <f>ROUNDUP(C161/100,0)*100</f>
        <v>482200</v>
      </c>
    </row>
    <row r="162" spans="1:4" ht="18.75" customHeight="1" x14ac:dyDescent="0.25">
      <c r="A162" s="436" t="s">
        <v>1595</v>
      </c>
      <c r="B162" s="437" t="str">
        <f>'Analisa RAB'!C2148</f>
        <v>Harga Satuan Pekerjaan Beton ( K 200 )  FE  110</v>
      </c>
      <c r="C162" s="485">
        <f t="shared" ref="C162:C168" si="13">$C$77+110/10*$C$68+C60</f>
        <v>482120</v>
      </c>
      <c r="D162" s="490">
        <f>ROUNDUP(C162/100,0)*100</f>
        <v>482200</v>
      </c>
    </row>
    <row r="163" spans="1:4" ht="18.75" customHeight="1" x14ac:dyDescent="0.25">
      <c r="A163" s="436" t="s">
        <v>1589</v>
      </c>
      <c r="B163" s="437" t="str">
        <f>'Analisa RAB'!C2149</f>
        <v>Harga Satuan Pekerjaan Beton ( K 225 )  FE  110</v>
      </c>
      <c r="C163" s="485">
        <f t="shared" si="13"/>
        <v>482120</v>
      </c>
      <c r="D163" s="490">
        <f>ROUNDUP(C163/100,0)*100</f>
        <v>482200</v>
      </c>
    </row>
    <row r="164" spans="1:4" ht="18.75" customHeight="1" x14ac:dyDescent="0.25">
      <c r="A164" s="436" t="s">
        <v>1590</v>
      </c>
      <c r="B164" s="437" t="str">
        <f>'Analisa RAB'!C2150</f>
        <v>Harga Satuan Pekerjaan Beton ( K 250 )  FE  110</v>
      </c>
      <c r="C164" s="485">
        <f t="shared" si="13"/>
        <v>482120</v>
      </c>
      <c r="D164" s="490">
        <f>ROUNDUP(C164/100,0)*100</f>
        <v>482200</v>
      </c>
    </row>
    <row r="165" spans="1:4" ht="18.75" customHeight="1" x14ac:dyDescent="0.25">
      <c r="A165" s="436" t="s">
        <v>1591</v>
      </c>
      <c r="B165" s="437" t="str">
        <f>'Analisa RAB'!C2151</f>
        <v>Harga Satuan Pekerjaan Beton ( K 275 )  FE  110</v>
      </c>
      <c r="C165" s="485">
        <f t="shared" si="13"/>
        <v>482120</v>
      </c>
      <c r="D165" s="490">
        <f>ROUNDUP(C165/100,0)*100</f>
        <v>482200</v>
      </c>
    </row>
    <row r="166" spans="1:4" ht="18.75" customHeight="1" x14ac:dyDescent="0.25">
      <c r="A166" s="436" t="s">
        <v>1592</v>
      </c>
      <c r="B166" s="437" t="str">
        <f>'Analisa RAB'!C2152</f>
        <v>Harga Satuan Pekerjaan Beton ( K 300 )  FE  110</v>
      </c>
      <c r="C166" s="485">
        <f t="shared" si="13"/>
        <v>482120</v>
      </c>
      <c r="D166" s="490">
        <f>ROUNDUP(C166/100,0)*100</f>
        <v>482200</v>
      </c>
    </row>
    <row r="167" spans="1:4" ht="18.75" customHeight="1" x14ac:dyDescent="0.25">
      <c r="A167" s="436" t="s">
        <v>1593</v>
      </c>
      <c r="B167" s="437" t="str">
        <f>'Analisa RAB'!C2153</f>
        <v>Harga Satuan Pekerjaan Beton ( K 325 )  FE  110</v>
      </c>
      <c r="C167" s="485">
        <f t="shared" si="13"/>
        <v>537005</v>
      </c>
      <c r="D167" s="490">
        <f>ROUNDUP(C167/100,0)*100</f>
        <v>537100</v>
      </c>
    </row>
    <row r="168" spans="1:4" ht="18.75" customHeight="1" x14ac:dyDescent="0.25">
      <c r="A168" s="436" t="s">
        <v>1594</v>
      </c>
      <c r="B168" s="437" t="str">
        <f>'Analisa RAB'!C2154</f>
        <v>Harga Satuan Pekerjaan Beton ( K 350)  FE 110</v>
      </c>
      <c r="C168" s="485">
        <f t="shared" si="13"/>
        <v>537005</v>
      </c>
      <c r="D168" s="490">
        <f>ROUNDUP(C168/100,0)*100</f>
        <v>537100</v>
      </c>
    </row>
    <row r="170" spans="1:4" ht="18.75" customHeight="1" x14ac:dyDescent="0.25">
      <c r="A170" s="377" t="str">
        <f>'Analisa RAB'!A2157</f>
        <v>V.</v>
      </c>
      <c r="B170" s="319" t="str">
        <f>'Analisa RAB'!B2157</f>
        <v>HARGA SATUAN PEKERJAAN BESI DAN ALUMINIUM</v>
      </c>
      <c r="C170" s="482"/>
      <c r="D170" s="491"/>
    </row>
    <row r="171" spans="1:4" ht="18.75" customHeight="1" x14ac:dyDescent="0.25">
      <c r="A171" s="316">
        <f>'Analisa RAB'!B2159</f>
        <v>1</v>
      </c>
      <c r="B171" s="316" t="str">
        <f>'Analisa RAB'!C2159</f>
        <v>Pemasangan 1 kg besi profil</v>
      </c>
      <c r="C171" s="481">
        <f>'Analisa RAB'!H2168</f>
        <v>9360</v>
      </c>
      <c r="D171" s="490">
        <f>ROUNDUP(C171/100,0)*100</f>
        <v>9400</v>
      </c>
    </row>
    <row r="172" spans="1:4" ht="18.75" customHeight="1" x14ac:dyDescent="0.25">
      <c r="A172" s="316" t="str">
        <f>'Analisa RAB'!B2183</f>
        <v>2.1.</v>
      </c>
      <c r="B172" s="316" t="str">
        <f>'Analisa RAB'!C2183</f>
        <v>Pemasangan 1 kg rangka kuda-kuda IWF 250 dengan cat menie</v>
      </c>
      <c r="C172" s="481">
        <f>'Analisa RAB'!H2195</f>
        <v>16485</v>
      </c>
      <c r="D172" s="490">
        <f>ROUNDUP(C172/100,0)*100</f>
        <v>16500</v>
      </c>
    </row>
    <row r="173" spans="1:4" ht="18.75" customHeight="1" x14ac:dyDescent="0.25">
      <c r="A173" s="316" t="str">
        <f>'Analisa RAB'!B2184</f>
        <v>2.2.</v>
      </c>
      <c r="B173" s="316" t="str">
        <f>'Analisa RAB'!C2184</f>
        <v>Pemasangan 1 kg rangka kuda-kuda IWF 200 dengan cat menie</v>
      </c>
      <c r="C173" s="481">
        <f>C172</f>
        <v>16485</v>
      </c>
      <c r="D173" s="490">
        <f>ROUNDUP(C173/100,0)*100</f>
        <v>16500</v>
      </c>
    </row>
    <row r="174" spans="1:4" ht="18.75" customHeight="1" x14ac:dyDescent="0.25">
      <c r="A174" s="316" t="str">
        <f>'Analisa RAB'!B2185</f>
        <v>2.3.</v>
      </c>
      <c r="B174" s="316" t="str">
        <f>'Analisa RAB'!C2185</f>
        <v>Pemasangan 1 kg rangka kuda-kuda IWF 150 dengan cat menie</v>
      </c>
      <c r="C174" s="481">
        <f>C173</f>
        <v>16485</v>
      </c>
      <c r="D174" s="490">
        <f>ROUNDUP(C174/100,0)*100</f>
        <v>16500</v>
      </c>
    </row>
    <row r="175" spans="1:4" ht="18.75" customHeight="1" x14ac:dyDescent="0.25">
      <c r="A175" s="316" t="str">
        <f>'Analisa RAB'!B2186</f>
        <v>2.4.</v>
      </c>
      <c r="B175" s="316" t="str">
        <f>'Analisa RAB'!C2186</f>
        <v>Pemasangan 1 kg rangka kuda-kuda IWF 150 dengan cat menie</v>
      </c>
      <c r="C175" s="481">
        <f>C174</f>
        <v>16485</v>
      </c>
      <c r="D175" s="490">
        <f>ROUNDUP(C175/100,0)*100</f>
        <v>16500</v>
      </c>
    </row>
    <row r="176" spans="1:4" ht="18.75" customHeight="1" x14ac:dyDescent="0.25">
      <c r="A176" s="316">
        <f>'Analisa RAB'!B2225</f>
        <v>3</v>
      </c>
      <c r="B176" s="316" t="str">
        <f>'Analisa RAB'!C2225</f>
        <v>Pengerjaan 100 kg pekerjaan perakitan</v>
      </c>
      <c r="C176" s="481">
        <f>'Analisa RAB'!H2234</f>
        <v>11815</v>
      </c>
      <c r="D176" s="490">
        <f>ROUNDUP(C176/100,0)*100</f>
        <v>11900</v>
      </c>
    </row>
    <row r="177" spans="1:4" ht="18.75" customHeight="1" x14ac:dyDescent="0.25">
      <c r="A177" s="316">
        <f>'Analisa RAB'!B2251</f>
        <v>4</v>
      </c>
      <c r="B177" s="316" t="str">
        <f>'Analisa RAB'!C2251</f>
        <v>Pembuatan 1 m2 pintu besi plat baja tebal 2 mm rangkap,rangka baja siku</v>
      </c>
      <c r="C177" s="481">
        <f>'Analisa RAB'!H2260</f>
        <v>237853</v>
      </c>
      <c r="D177" s="490">
        <f>ROUNDUP(C177/100,0)*100</f>
        <v>237900</v>
      </c>
    </row>
    <row r="178" spans="1:4" ht="18.75" customHeight="1" x14ac:dyDescent="0.25">
      <c r="A178" s="316">
        <f>'Analisa RAB'!B2278</f>
        <v>5</v>
      </c>
      <c r="B178" s="316" t="str">
        <f>'Analisa RAB'!C2278</f>
        <v>Pengerjaan 10 cm pengelasan dengan las listrik</v>
      </c>
      <c r="C178" s="481">
        <f>'Analisa RAB'!H2287</f>
        <v>9835</v>
      </c>
      <c r="D178" s="490">
        <f>ROUNDUP(C178/100,0)*100</f>
        <v>9900</v>
      </c>
    </row>
    <row r="179" spans="1:4" ht="18.75" customHeight="1" x14ac:dyDescent="0.25">
      <c r="A179" s="316">
        <f>'Analisa RAB'!B2305</f>
        <v>6</v>
      </c>
      <c r="B179" s="316" t="str">
        <f>'Analisa RAB'!C2305</f>
        <v>Pembuatan 1 m2 rangka jendela besi scuare tube (25 x 5) cm</v>
      </c>
      <c r="C179" s="481">
        <f>'Analisa RAB'!H2314</f>
        <v>146412.5</v>
      </c>
      <c r="D179" s="490">
        <f>ROUNDUP(C179/100,0)*100</f>
        <v>146500</v>
      </c>
    </row>
    <row r="180" spans="1:4" ht="18.75" customHeight="1" x14ac:dyDescent="0.25">
      <c r="A180" s="316">
        <f>'Analisa RAB'!B2331</f>
        <v>7</v>
      </c>
      <c r="B180" s="316" t="str">
        <f>'Analisa RAB'!C2331</f>
        <v>Pemasangan 1 m2 pintu rolling door besi/ pintu harmonika</v>
      </c>
      <c r="C180" s="481">
        <f>'Analisa RAB'!H2340</f>
        <v>260640</v>
      </c>
      <c r="D180" s="490">
        <f>ROUNDUP(C180/100,0)*100</f>
        <v>260700</v>
      </c>
    </row>
    <row r="181" spans="1:4" ht="18.75" customHeight="1" x14ac:dyDescent="0.25">
      <c r="A181" s="316">
        <f>'Analisa RAB'!B2355</f>
        <v>8</v>
      </c>
      <c r="B181" s="316" t="str">
        <f>'Analisa RAB'!C2355</f>
        <v>Pemasangan 1 m2 pintu rolling door aluminium</v>
      </c>
      <c r="C181" s="481">
        <f>'Analisa RAB'!H2364</f>
        <v>227000</v>
      </c>
      <c r="D181" s="490">
        <f>ROUNDUP(C181/100,0)*100</f>
        <v>227000</v>
      </c>
    </row>
    <row r="182" spans="1:4" ht="18.75" customHeight="1" x14ac:dyDescent="0.25">
      <c r="A182" s="316">
        <f>'Analisa RAB'!B2380</f>
        <v>9</v>
      </c>
      <c r="B182" s="316" t="str">
        <f>'Analisa RAB'!C2380</f>
        <v>Pemasangan 1 m2 sunscreen alluminium</v>
      </c>
      <c r="C182" s="481">
        <f>'Analisa RAB'!H2389</f>
        <v>105360</v>
      </c>
      <c r="D182" s="490">
        <f>ROUNDUP(C182/100,0)*100</f>
        <v>105400</v>
      </c>
    </row>
    <row r="183" spans="1:4" ht="18.75" customHeight="1" x14ac:dyDescent="0.25">
      <c r="A183" s="316" t="str">
        <f>'Analisa RAB'!B2404</f>
        <v>10.1</v>
      </c>
      <c r="B183" s="316" t="str">
        <f>'Analisa RAB'!C2404</f>
        <v>Pemasangan 1 m kusen alluminium fropil aluminium 4"</v>
      </c>
      <c r="C183" s="481">
        <f>'Analisa RAB'!H2414</f>
        <v>37689.5</v>
      </c>
      <c r="D183" s="490">
        <f>ROUNDUP(C183/100,0)*100</f>
        <v>37700</v>
      </c>
    </row>
    <row r="184" spans="1:4" ht="18.75" customHeight="1" x14ac:dyDescent="0.25">
      <c r="A184" s="316" t="str">
        <f>'Analisa RAB'!B2405</f>
        <v>10.2</v>
      </c>
      <c r="B184" s="316" t="str">
        <f>'Analisa RAB'!C2405</f>
        <v>Pemasangan 1 m kusen alluminium fropil aluminium 3"</v>
      </c>
      <c r="C184" s="481">
        <f>C183</f>
        <v>37689.5</v>
      </c>
      <c r="D184" s="490">
        <f>ROUNDUP(C184/100,0)*100</f>
        <v>37700</v>
      </c>
    </row>
    <row r="185" spans="1:4" ht="18.75" customHeight="1" x14ac:dyDescent="0.25">
      <c r="A185" s="316">
        <f>'Analisa RAB'!B2434</f>
        <v>11</v>
      </c>
      <c r="B185" s="316" t="str">
        <f>'Analisa RAB'!C2434</f>
        <v xml:space="preserve">Pemasangan 1 m² pintu alluminium strip lebar 8 cm </v>
      </c>
      <c r="C185" s="481">
        <f>'Analisa RAB'!H2443</f>
        <v>18990.5</v>
      </c>
      <c r="D185" s="490">
        <f>ROUNDUP(C185/100,0)*100</f>
        <v>19000</v>
      </c>
    </row>
    <row r="186" spans="1:4" ht="18.75" customHeight="1" x14ac:dyDescent="0.25">
      <c r="A186" s="316">
        <f>'Analisa RAB'!B2459</f>
        <v>12</v>
      </c>
      <c r="B186" s="316" t="str">
        <f>'Analisa RAB'!C2459</f>
        <v>Pemasangan 1 m² pintu kaca rangka alluminium 2'. 0,75 mm</v>
      </c>
      <c r="C186" s="481">
        <f>'Analisa RAB'!H2468</f>
        <v>19160</v>
      </c>
      <c r="D186" s="490">
        <f>ROUNDUP(C186/100,0)*100</f>
        <v>19200</v>
      </c>
    </row>
    <row r="187" spans="1:4" ht="18.75" customHeight="1" x14ac:dyDescent="0.25">
      <c r="A187" s="316">
        <f>'Analisa RAB'!B2485</f>
        <v>13</v>
      </c>
      <c r="B187" s="316" t="str">
        <f>'Analisa RAB'!C2485</f>
        <v>Pemasangan 1 m² venetions blinds dan vertical blinds</v>
      </c>
      <c r="C187" s="481">
        <f>'Analisa RAB'!H2494</f>
        <v>78295</v>
      </c>
      <c r="D187" s="490">
        <f>ROUNDUP(C187/100,0)*100</f>
        <v>78300</v>
      </c>
    </row>
    <row r="188" spans="1:4" ht="18.75" customHeight="1" x14ac:dyDescent="0.25">
      <c r="A188" s="316">
        <f>'Analisa RAB'!B2509</f>
        <v>14</v>
      </c>
      <c r="B188" s="316" t="str">
        <f>'Analisa RAB'!C2509</f>
        <v>Pemasangan 1 m² terali besi strip (2x3) mm</v>
      </c>
      <c r="C188" s="481">
        <f>'Analisa RAB'!H2518</f>
        <v>373175</v>
      </c>
      <c r="D188" s="490">
        <f>ROUNDUP(C188/100,0)*100</f>
        <v>373200</v>
      </c>
    </row>
    <row r="189" spans="1:4" ht="18.75" customHeight="1" x14ac:dyDescent="0.25">
      <c r="A189" s="316">
        <f>'Analisa RAB'!B2534</f>
        <v>15</v>
      </c>
      <c r="B189" s="316" t="str">
        <f>'Analisa RAB'!C2534</f>
        <v>Pemasangan 1 m² kawat nyamuk</v>
      </c>
      <c r="C189" s="481">
        <f>'Analisa RAB'!H2543</f>
        <v>22350</v>
      </c>
      <c r="D189" s="490">
        <f>ROUNDUP(C189/100,0)*100</f>
        <v>22400</v>
      </c>
    </row>
    <row r="190" spans="1:4" ht="18.75" customHeight="1" x14ac:dyDescent="0.25">
      <c r="A190" s="316">
        <f>'Analisa RAB'!B2560</f>
        <v>16</v>
      </c>
      <c r="B190" s="316" t="str">
        <f>'Analisa RAB'!C2560</f>
        <v>Pemasangan 1 m² jendela nako &amp; tralis</v>
      </c>
      <c r="C190" s="481">
        <f>'Analisa RAB'!H2569</f>
        <v>43440</v>
      </c>
      <c r="D190" s="490">
        <f>ROUNDUP(C190/100,0)*100</f>
        <v>43500</v>
      </c>
    </row>
    <row r="191" spans="1:4" ht="18.75" customHeight="1" x14ac:dyDescent="0.25">
      <c r="A191" s="316">
        <f>'Analisa RAB'!B2587</f>
        <v>17</v>
      </c>
      <c r="B191" s="316" t="str">
        <f>'Analisa RAB'!C2587</f>
        <v>Pemasangan 1 m1 talang datar ,seng BJLS 28 lebar 90</v>
      </c>
      <c r="C191" s="481">
        <f>'Analisa RAB'!H2596</f>
        <v>43440</v>
      </c>
      <c r="D191" s="490">
        <f>ROUNDUP(C191/100,0)*100</f>
        <v>43500</v>
      </c>
    </row>
    <row r="192" spans="1:4" ht="18.75" customHeight="1" x14ac:dyDescent="0.25">
      <c r="A192" s="316">
        <f>'Analisa RAB'!B2613</f>
        <v>18</v>
      </c>
      <c r="B192" s="316" t="str">
        <f>'Analisa RAB'!C2613</f>
        <v>Pemasangan 1 m talang 1/2 lingkaran dia. 15 cm, Seng BJLS 20</v>
      </c>
      <c r="C192" s="481">
        <f>'Analisa RAB'!H2622</f>
        <v>51820</v>
      </c>
      <c r="D192" s="490">
        <f>ROUNDUP(C192/100,0)*100</f>
        <v>51900</v>
      </c>
    </row>
    <row r="193" spans="1:4" ht="18.75" customHeight="1" x14ac:dyDescent="0.25">
      <c r="A193" s="316">
        <f>'Analisa RAB'!B2638</f>
        <v>19</v>
      </c>
      <c r="B193" s="316" t="str">
        <f>'Analisa RAB'!C2638</f>
        <v>Pemasangan 1 m1 Pasang Talang Karet</v>
      </c>
      <c r="C193" s="481">
        <f>'Analisa RAB'!H2647</f>
        <v>54182</v>
      </c>
      <c r="D193" s="490">
        <f>ROUNDUP(C193/100,0)*100</f>
        <v>54200</v>
      </c>
    </row>
    <row r="194" spans="1:4" ht="18.75" customHeight="1" x14ac:dyDescent="0.25">
      <c r="A194" s="316">
        <f>'Analisa RAB'!B2663</f>
        <v>20</v>
      </c>
      <c r="B194" s="318" t="str">
        <f>'Analisa RAB'!C2663</f>
        <v>Pemasangan 1 m² rangka besi hollow 1x40.40.2 mm, modul 60x120 cm dinding partisi</v>
      </c>
      <c r="C194" s="481">
        <f>'Analisa RAB'!H2672</f>
        <v>55945</v>
      </c>
      <c r="D194" s="490">
        <f>ROUNDUP(C194/100,0)*100</f>
        <v>56000</v>
      </c>
    </row>
    <row r="195" spans="1:4" ht="18.75" customHeight="1" x14ac:dyDescent="0.25">
      <c r="A195" s="316">
        <f>'Analisa RAB'!B2688</f>
        <v>21</v>
      </c>
      <c r="B195" s="316" t="str">
        <f>'Analisa RAB'!C2688</f>
        <v>Pemasangan 1 m² rangka kap baja C   utk penutup genteng metal</v>
      </c>
      <c r="C195" s="481">
        <f>'Analisa RAB'!H2697</f>
        <v>85152.45</v>
      </c>
      <c r="D195" s="490">
        <f>ROUNDUP(C195/100,0)*100</f>
        <v>85200</v>
      </c>
    </row>
    <row r="196" spans="1:4" ht="18.75" customHeight="1" x14ac:dyDescent="0.25">
      <c r="A196" s="316">
        <f>'Analisa RAB'!B2716</f>
        <v>22</v>
      </c>
      <c r="B196" s="316" t="str">
        <f>'Analisa RAB'!C2716</f>
        <v>Pemasangan 1 m² rangka kap baja C  utk penutup genteng tanah</v>
      </c>
      <c r="C196" s="481">
        <f>'Analisa RAB'!H2725</f>
        <v>85152.45</v>
      </c>
      <c r="D196" s="490">
        <f>ROUNDUP(C196/100,0)*100</f>
        <v>85200</v>
      </c>
    </row>
    <row r="197" spans="1:4" ht="18.75" customHeight="1" x14ac:dyDescent="0.25">
      <c r="A197" s="316">
        <f>'Analisa RAB'!B2743</f>
        <v>23</v>
      </c>
      <c r="B197" s="316" t="str">
        <f>'Analisa RAB'!C2743</f>
        <v>Pemasangan 1 m² rangka kap baja   UK  utk penutup genteng tanah</v>
      </c>
      <c r="C197" s="481">
        <f>'Analisa RAB'!H2752</f>
        <v>85152.45</v>
      </c>
      <c r="D197" s="490">
        <f>ROUNDUP(C197/100,0)*100</f>
        <v>85200</v>
      </c>
    </row>
    <row r="198" spans="1:4" ht="18.75" customHeight="1" x14ac:dyDescent="0.25">
      <c r="A198" s="316">
        <f>'Analisa RAB'!B2771</f>
        <v>24</v>
      </c>
      <c r="B198" s="316" t="str">
        <f>'Analisa RAB'!C2771</f>
        <v>Pemasangan 1 m² rangka kap baja   UK  utk penutup genteng metal</v>
      </c>
      <c r="C198" s="481">
        <f>'Analisa RAB'!H2780</f>
        <v>85152.45</v>
      </c>
      <c r="D198" s="490">
        <f>ROUNDUP(C198/100,0)*100</f>
        <v>85200</v>
      </c>
    </row>
    <row r="200" spans="1:4" ht="18.75" customHeight="1" x14ac:dyDescent="0.25">
      <c r="A200" s="377" t="str">
        <f>'Analisa RAB'!A2799</f>
        <v>VI.</v>
      </c>
      <c r="B200" s="319" t="str">
        <f>'Analisa RAB'!B2799</f>
        <v>HARGA SATUAN PEKERJAAN PASANGAN DINDING</v>
      </c>
      <c r="C200" s="482"/>
      <c r="D200" s="491"/>
    </row>
    <row r="201" spans="1:4" ht="18.75" customHeight="1" x14ac:dyDescent="0.25">
      <c r="A201" s="316">
        <f>'Analisa RAB'!B2801</f>
        <v>1</v>
      </c>
      <c r="B201" s="383" t="str">
        <f>'Analisa RAB'!C2801</f>
        <v>Pemasangan 1 m² dinding bata merah (5x11x12) cm tebal 1 bata campuran 1 SP : 2 PP</v>
      </c>
      <c r="C201" s="481">
        <f>'Analisa RAB'!H2810</f>
        <v>76970</v>
      </c>
      <c r="D201" s="490">
        <f>ROUNDUP(C201/100,0)*100</f>
        <v>77000</v>
      </c>
    </row>
    <row r="202" spans="1:4" ht="18.75" customHeight="1" x14ac:dyDescent="0.25">
      <c r="A202" s="316">
        <f>'Analisa RAB'!B2827</f>
        <v>2</v>
      </c>
      <c r="B202" s="383" t="str">
        <f>'Analisa RAB'!C2827</f>
        <v>Pemasangan 1 m² dinding bata merah (5x11x12) cm tebal 1 bata campuran 1 SP : 3 PP</v>
      </c>
      <c r="C202" s="481">
        <f>'Analisa RAB'!H2836</f>
        <v>80750</v>
      </c>
      <c r="D202" s="490">
        <f>ROUNDUP(C202/100,0)*100</f>
        <v>80800</v>
      </c>
    </row>
    <row r="203" spans="1:4" ht="18.75" customHeight="1" x14ac:dyDescent="0.25">
      <c r="A203" s="316">
        <f>'Analisa RAB'!B2853</f>
        <v>3</v>
      </c>
      <c r="B203" s="383" t="str">
        <f>'Analisa RAB'!C2853</f>
        <v>Pemasangan 1 m² dinding bata merah (5x11x12) cm tebal 1 bata campuran 1 SP : 4 PP</v>
      </c>
      <c r="C203" s="481">
        <f>'Analisa RAB'!H2862</f>
        <v>80750</v>
      </c>
      <c r="D203" s="490">
        <f>ROUNDUP(C203/100,0)*100</f>
        <v>80800</v>
      </c>
    </row>
    <row r="204" spans="1:4" ht="18.75" customHeight="1" x14ac:dyDescent="0.25">
      <c r="A204" s="316">
        <f>'Analisa RAB'!B2879</f>
        <v>4</v>
      </c>
      <c r="B204" s="383" t="str">
        <f>'Analisa RAB'!C2879</f>
        <v>Pemasangan 1 m² dinding bata merah (5x11x12) cm tebal 1 bata campuran 1 SP : 5 PP</v>
      </c>
      <c r="C204" s="481">
        <f>'Analisa RAB'!H2888</f>
        <v>80750</v>
      </c>
      <c r="D204" s="490">
        <f>ROUNDUP(C204/100,0)*100</f>
        <v>80800</v>
      </c>
    </row>
    <row r="205" spans="1:4" ht="18.75" customHeight="1" x14ac:dyDescent="0.25">
      <c r="A205" s="316">
        <f>'Analisa RAB'!B2905</f>
        <v>5</v>
      </c>
      <c r="B205" s="383" t="str">
        <f>'Analisa RAB'!C2905</f>
        <v>Pemasangan 1 m² dinding bata merah (5x11x12) cm tebal 1 bata campuran 1 SP : 6 PP</v>
      </c>
      <c r="C205" s="481">
        <f>'Analisa RAB'!H2914</f>
        <v>80750</v>
      </c>
      <c r="D205" s="490">
        <f>ROUNDUP(C205/100,0)*100</f>
        <v>80800</v>
      </c>
    </row>
    <row r="206" spans="1:4" s="378" customFormat="1" ht="18.75" customHeight="1" x14ac:dyDescent="0.25">
      <c r="A206" s="381">
        <f>'Analisa RAB'!B2931</f>
        <v>6</v>
      </c>
      <c r="B206" s="379" t="str">
        <f>'Analisa RAB'!C2931</f>
        <v>Pemasangan 1 m² dinding bata merah (5x11x12) cm tebal 1 bata campuran 1 SP : 3KP : 10 PP</v>
      </c>
      <c r="C206" s="486">
        <f>'Analisa RAB'!H2940</f>
        <v>80750</v>
      </c>
      <c r="D206" s="490">
        <f>ROUNDUP(C206/100,0)*100</f>
        <v>80800</v>
      </c>
    </row>
    <row r="207" spans="1:4" ht="18.75" customHeight="1" x14ac:dyDescent="0.25">
      <c r="A207" s="316">
        <f>'Analisa RAB'!B2958</f>
        <v>7</v>
      </c>
      <c r="B207" s="383" t="str">
        <f>'Analisa RAB'!C2958</f>
        <v>Pemasangan 1 m² dinding bata merah (5x11x12) cm tebal ½ bata campuran 1 SP : 2 PP</v>
      </c>
      <c r="C207" s="481">
        <f>'Analisa RAB'!H2967</f>
        <v>42750</v>
      </c>
      <c r="D207" s="490">
        <f>ROUNDUP(C207/100,0)*100</f>
        <v>42800</v>
      </c>
    </row>
    <row r="208" spans="1:4" ht="18.75" customHeight="1" x14ac:dyDescent="0.25">
      <c r="A208" s="316">
        <f>'Analisa RAB'!B2984</f>
        <v>8</v>
      </c>
      <c r="B208" s="383" t="str">
        <f>'Analisa RAB'!C2984</f>
        <v>Pemasangan 1 m² dinding bata merah (5x11x12) cm tebal ½ bata campuran 1 SP : 3 PP</v>
      </c>
      <c r="C208" s="481">
        <f>'Analisa RAB'!H2993</f>
        <v>42750</v>
      </c>
      <c r="D208" s="490">
        <f>ROUNDUP(C208/100,0)*100</f>
        <v>42800</v>
      </c>
    </row>
    <row r="209" spans="1:4" ht="18.75" customHeight="1" x14ac:dyDescent="0.25">
      <c r="A209" s="316">
        <f>'Analisa RAB'!B3010</f>
        <v>9</v>
      </c>
      <c r="B209" s="383" t="str">
        <f>'Analisa RAB'!C3010</f>
        <v>Pemasangan 1 m² dinding bata merah (5x11x12) cm tebal ½ bata campuran 1 SP : 4 PP</v>
      </c>
      <c r="C209" s="481">
        <f>'Analisa RAB'!H3019</f>
        <v>42750</v>
      </c>
      <c r="D209" s="490">
        <f>ROUNDUP(C209/100,0)*100</f>
        <v>42800</v>
      </c>
    </row>
    <row r="210" spans="1:4" ht="18.75" customHeight="1" x14ac:dyDescent="0.25">
      <c r="A210" s="316">
        <f>'Analisa RAB'!B3036</f>
        <v>10</v>
      </c>
      <c r="B210" s="383" t="str">
        <f>'Analisa RAB'!C3036</f>
        <v>Pemasangan 1 m² dinding bata merah (5x11x12) cm tebal ½ bata campuran 1 SP : 5 PP</v>
      </c>
      <c r="C210" s="481">
        <f>'Analisa RAB'!H3045</f>
        <v>42750</v>
      </c>
      <c r="D210" s="490">
        <f>ROUNDUP(C210/100,0)*100</f>
        <v>42800</v>
      </c>
    </row>
    <row r="211" spans="1:4" ht="18.75" customHeight="1" x14ac:dyDescent="0.25">
      <c r="A211" s="316">
        <f>'Analisa RAB'!B3061</f>
        <v>11</v>
      </c>
      <c r="B211" s="383" t="str">
        <f>'Analisa RAB'!C3061</f>
        <v>Pemasangan 1 m² dinding bata merah (5x11x12) cm tebal ½ bata campuran 1 SP : 6 PP</v>
      </c>
      <c r="C211" s="481">
        <f>'Analisa RAB'!H3070</f>
        <v>42750</v>
      </c>
      <c r="D211" s="490">
        <f>ROUNDUP(C211/100,0)*100</f>
        <v>42800</v>
      </c>
    </row>
    <row r="212" spans="1:4" ht="18.75" customHeight="1" x14ac:dyDescent="0.25">
      <c r="A212" s="316">
        <f>'Analisa RAB'!B3087</f>
        <v>12</v>
      </c>
      <c r="B212" s="383" t="str">
        <f>'Analisa RAB'!C3087</f>
        <v>Pemasangan 1 m² dinding bata merah (5x11x12) cm tebal ½ batu campuran 1 SP : 8 PP</v>
      </c>
      <c r="C212" s="481">
        <f>'Analisa RAB'!H3096</f>
        <v>25333</v>
      </c>
      <c r="D212" s="490">
        <f>ROUNDUP(C212/100,0)*100</f>
        <v>25400</v>
      </c>
    </row>
    <row r="213" spans="1:4" s="378" customFormat="1" ht="18.75" customHeight="1" x14ac:dyDescent="0.25">
      <c r="A213" s="381">
        <f>'Analisa RAB'!B3113</f>
        <v>13</v>
      </c>
      <c r="B213" s="379" t="str">
        <f>'Analisa RAB'!C3113</f>
        <v>Pemasangan 1 m² dinding bata merah (5x11x12) cm tebal ½ bata campuran 1 SM : 1 KP : 1 PP</v>
      </c>
      <c r="C213" s="486">
        <f>'Analisa RAB'!H3122</f>
        <v>42750</v>
      </c>
      <c r="D213" s="490">
        <f>ROUNDUP(C213/100,0)*100</f>
        <v>42800</v>
      </c>
    </row>
    <row r="214" spans="1:4" s="378" customFormat="1" ht="18.75" customHeight="1" x14ac:dyDescent="0.25">
      <c r="A214" s="381">
        <f>'Analisa RAB'!B3140</f>
        <v>14</v>
      </c>
      <c r="B214" s="379" t="str">
        <f>'Analisa RAB'!C3140</f>
        <v>Pemasangan 1 m² dinding bata merah (5x11x12) cm tebal ½ batu campuran 1 SM : 1 KP : 2 PP</v>
      </c>
      <c r="C214" s="486">
        <f>'Analisa RAB'!H3149</f>
        <v>42750</v>
      </c>
      <c r="D214" s="490">
        <f>ROUNDUP(C214/100,0)*100</f>
        <v>42800</v>
      </c>
    </row>
    <row r="215" spans="1:4" ht="18.75" customHeight="1" x14ac:dyDescent="0.25">
      <c r="A215" s="316">
        <f>'Analisa RAB'!B3167</f>
        <v>15</v>
      </c>
      <c r="B215" s="382" t="str">
        <f>'Analisa RAB'!C3167</f>
        <v>Pemasangan 1 m² dinding conblock HB20 campuran 1 SP : 3 PP</v>
      </c>
      <c r="C215" s="481">
        <f>'Analisa RAB'!H3176</f>
        <v>53995</v>
      </c>
      <c r="D215" s="490">
        <f>ROUNDUP(C215/100,0)*100</f>
        <v>54000</v>
      </c>
    </row>
    <row r="216" spans="1:4" ht="18.75" customHeight="1" x14ac:dyDescent="0.25">
      <c r="A216" s="316">
        <f>'Analisa RAB'!B3194</f>
        <v>16</v>
      </c>
      <c r="B216" s="382" t="str">
        <f>'Analisa RAB'!C3194</f>
        <v>Pemasangan 1 m² dinding conblock HB20 campuran 1 SP : 4 PP</v>
      </c>
      <c r="C216" s="481">
        <f>'Analisa RAB'!H3203</f>
        <v>53995</v>
      </c>
      <c r="D216" s="490">
        <f>ROUNDUP(C216/100,0)*100</f>
        <v>54000</v>
      </c>
    </row>
    <row r="217" spans="1:4" ht="18.75" customHeight="1" x14ac:dyDescent="0.25">
      <c r="A217" s="316">
        <f>'Analisa RAB'!B3221</f>
        <v>17</v>
      </c>
      <c r="B217" s="382" t="str">
        <f>'Analisa RAB'!C3221</f>
        <v>Pemasangan 1 m² dinding conblock HB15 campuran 1 SP : 3 PP</v>
      </c>
      <c r="C217" s="481">
        <f>'Analisa RAB'!H3230</f>
        <v>47220</v>
      </c>
      <c r="D217" s="490">
        <f>ROUNDUP(C217/100,0)*100</f>
        <v>47300</v>
      </c>
    </row>
    <row r="218" spans="1:4" ht="18.75" customHeight="1" x14ac:dyDescent="0.25">
      <c r="A218" s="316">
        <f>'Analisa RAB'!B3248</f>
        <v>18</v>
      </c>
      <c r="B218" s="382" t="str">
        <f>'Analisa RAB'!C3248</f>
        <v>Pemasangan 1 m² dinding conblock HB15 campuran 1 SP : 4 PP</v>
      </c>
      <c r="C218" s="481">
        <f>'Analisa RAB'!H3257</f>
        <v>47220</v>
      </c>
      <c r="D218" s="490">
        <f>ROUNDUP(C218/100,0)*100</f>
        <v>47300</v>
      </c>
    </row>
    <row r="219" spans="1:4" ht="18.75" customHeight="1" x14ac:dyDescent="0.25">
      <c r="A219" s="316">
        <f>'Analisa RAB'!B3274</f>
        <v>19</v>
      </c>
      <c r="B219" s="382" t="str">
        <f>'Analisa RAB'!C3274</f>
        <v>Pemasangan 1 m² dinding conblock HB10 campuran 1 SP : 3 PP</v>
      </c>
      <c r="C219" s="481">
        <f>'Analisa RAB'!H3283</f>
        <v>42750</v>
      </c>
      <c r="D219" s="490">
        <f>ROUNDUP(C219/100,0)*100</f>
        <v>42800</v>
      </c>
    </row>
    <row r="220" spans="1:4" ht="18.75" customHeight="1" x14ac:dyDescent="0.25">
      <c r="A220" s="316">
        <f>'Analisa RAB'!B3301</f>
        <v>20</v>
      </c>
      <c r="B220" s="382" t="str">
        <f>'Analisa RAB'!C3301</f>
        <v>Pemasangan 1 m² dinding conblock HB10 campuran 1 SP : 4 PP</v>
      </c>
      <c r="C220" s="481">
        <f>'Analisa RAB'!H3310</f>
        <v>42750</v>
      </c>
      <c r="D220" s="490">
        <f>ROUNDUP(C220/100,0)*100</f>
        <v>42800</v>
      </c>
    </row>
    <row r="221" spans="1:4" ht="18.75" customHeight="1" x14ac:dyDescent="0.25">
      <c r="A221" s="316" t="str">
        <f>'Analisa RAB'!B3329</f>
        <v>21.1</v>
      </c>
      <c r="B221" s="382" t="str">
        <f>'Analisa RAB'!C3329</f>
        <v>Pemasangan 1 m² dinding Batako buntu 1 SP : 4 PP</v>
      </c>
      <c r="C221" s="481">
        <f>'Analisa RAB'!H3339</f>
        <v>42750</v>
      </c>
      <c r="D221" s="490">
        <f>ROUNDUP(C221/100,0)*100</f>
        <v>42800</v>
      </c>
    </row>
    <row r="222" spans="1:4" ht="18.75" customHeight="1" x14ac:dyDescent="0.25">
      <c r="A222" s="316" t="str">
        <f>'Analisa RAB'!B3330</f>
        <v>21.2</v>
      </c>
      <c r="B222" s="382" t="str">
        <f>'Analisa RAB'!C3330</f>
        <v>Pemasangan 1 m² dinding batako berlubang 1 SP : 4 PP</v>
      </c>
      <c r="C222" s="481">
        <f>C221</f>
        <v>42750</v>
      </c>
      <c r="D222" s="490">
        <f>ROUNDUP(C222/100,0)*100</f>
        <v>42800</v>
      </c>
    </row>
    <row r="223" spans="1:4" ht="18.75" customHeight="1" x14ac:dyDescent="0.25">
      <c r="A223" s="316">
        <f>'Analisa RAB'!B3362</f>
        <v>22</v>
      </c>
      <c r="B223" s="383" t="str">
        <f>'Analisa RAB'!C3362</f>
        <v>Pemasangan 1 m² dinding kerawang (rooster bata) 12x11x24 campuran 1 SP : 3 PP</v>
      </c>
      <c r="C223" s="481">
        <f>'Analisa RAB'!H3371</f>
        <v>42750</v>
      </c>
      <c r="D223" s="490">
        <f>ROUNDUP(C223/100,0)*100</f>
        <v>42800</v>
      </c>
    </row>
    <row r="224" spans="1:4" ht="18.75" customHeight="1" x14ac:dyDescent="0.25">
      <c r="A224" s="316">
        <f>'Analisa RAB'!B3388</f>
        <v>23</v>
      </c>
      <c r="B224" s="383" t="str">
        <f>'Analisa RAB'!C3388</f>
        <v>Pemasangan 1 m² dinding kerawang (rooster) 12x11x24 campuran 1 SP : 4 PP</v>
      </c>
      <c r="C224" s="481">
        <f>'Analisa RAB'!H3397</f>
        <v>42750</v>
      </c>
      <c r="D224" s="490">
        <f>ROUNDUP(C224/100,0)*100</f>
        <v>42800</v>
      </c>
    </row>
    <row r="225" spans="1:4" ht="18.75" customHeight="1" x14ac:dyDescent="0.25">
      <c r="A225" s="316">
        <f>'Analisa RAB'!B3414</f>
        <v>24</v>
      </c>
      <c r="B225" s="379" t="str">
        <f>'Analisa RAB'!C3414</f>
        <v>Pemasangan 1 m² dinding bata berongga ekspose (roster kerawang pc) campuran 1 SP : 3 PP</v>
      </c>
      <c r="C225" s="481">
        <f>'Analisa RAB'!H3423</f>
        <v>17925</v>
      </c>
      <c r="D225" s="490">
        <f>ROUNDUP(C225/100,0)*100</f>
        <v>18000</v>
      </c>
    </row>
    <row r="227" spans="1:4" ht="18.75" customHeight="1" x14ac:dyDescent="0.25">
      <c r="A227" s="377" t="str">
        <f>'Analisa RAB'!A3441</f>
        <v>VII.</v>
      </c>
      <c r="B227" s="319" t="str">
        <f>'Analisa RAB'!B3441</f>
        <v>HARGA SATUAN PEKERJAAN PLESTERAN</v>
      </c>
      <c r="C227" s="482"/>
      <c r="D227" s="491"/>
    </row>
    <row r="228" spans="1:4" ht="18.75" customHeight="1" x14ac:dyDescent="0.25">
      <c r="A228" s="316">
        <f>'Analisa RAB'!B3443</f>
        <v>1</v>
      </c>
      <c r="B228" s="382" t="str">
        <f>'Analisa RAB'!C3443</f>
        <v>Pemasangan 1 m² plesteran 1 SP : 1 PP tebal 15 mm</v>
      </c>
      <c r="C228" s="481">
        <f>'Analisa RAB'!H3452</f>
        <v>48825</v>
      </c>
      <c r="D228" s="490">
        <f>ROUNDUP(C228/100,0)*100</f>
        <v>48900</v>
      </c>
    </row>
    <row r="229" spans="1:4" ht="18.75" customHeight="1" x14ac:dyDescent="0.25">
      <c r="A229" s="316">
        <f>'Analisa RAB'!B3468</f>
        <v>2</v>
      </c>
      <c r="B229" s="382" t="str">
        <f>'Analisa RAB'!C3468</f>
        <v>Pemasangan 1 m² plesteran 1 SP : 2 PP tebal 15 mm</v>
      </c>
      <c r="C229" s="481">
        <f>'Analisa RAB'!H3477</f>
        <v>48825</v>
      </c>
      <c r="D229" s="490">
        <f>ROUNDUP(C229/100,0)*100</f>
        <v>48900</v>
      </c>
    </row>
    <row r="230" spans="1:4" ht="18.75" customHeight="1" x14ac:dyDescent="0.25">
      <c r="A230" s="316">
        <f>'Analisa RAB'!B3492</f>
        <v>3</v>
      </c>
      <c r="B230" s="382" t="str">
        <f>'Analisa RAB'!C3492</f>
        <v>Pemasangan 1 m² plesteran 1 SP : 3 PP tebal 15 mm</v>
      </c>
      <c r="C230" s="481">
        <f>'Analisa RAB'!H3501</f>
        <v>48825</v>
      </c>
      <c r="D230" s="490">
        <f>ROUNDUP(C230/100,0)*100</f>
        <v>48900</v>
      </c>
    </row>
    <row r="231" spans="1:4" ht="18.75" customHeight="1" x14ac:dyDescent="0.25">
      <c r="A231" s="316">
        <f>'Analisa RAB'!B3517</f>
        <v>4</v>
      </c>
      <c r="B231" s="382" t="str">
        <f>'Analisa RAB'!C3517</f>
        <v>Pemasangan 1 m² plesteran 1 SP : 4 PP tebal 15 mm</v>
      </c>
      <c r="C231" s="481">
        <f>'Analisa RAB'!H3526</f>
        <v>48825</v>
      </c>
      <c r="D231" s="490">
        <f>ROUNDUP(C231/100,0)*100</f>
        <v>48900</v>
      </c>
    </row>
    <row r="232" spans="1:4" ht="18.75" customHeight="1" x14ac:dyDescent="0.25">
      <c r="A232" s="316">
        <f>'Analisa RAB'!B3542</f>
        <v>5</v>
      </c>
      <c r="B232" s="382" t="str">
        <f>'Analisa RAB'!C3542</f>
        <v>Pemasangan 1 m² plesteran 1 SP : 5 PP tebal 15 mm</v>
      </c>
      <c r="C232" s="481">
        <f>'Analisa RAB'!H3551</f>
        <v>48825</v>
      </c>
      <c r="D232" s="490">
        <f>ROUNDUP(C232/100,0)*100</f>
        <v>48900</v>
      </c>
    </row>
    <row r="233" spans="1:4" ht="18.75" customHeight="1" x14ac:dyDescent="0.25">
      <c r="A233" s="316">
        <f>'Analisa RAB'!B3567</f>
        <v>6</v>
      </c>
      <c r="B233" s="382" t="str">
        <f>'Analisa RAB'!C3567</f>
        <v>Pemasangan 1 m² plesteran 1 SP : 6 PP tebal 15 mm</v>
      </c>
      <c r="C233" s="481">
        <f>'Analisa RAB'!H3576</f>
        <v>48825</v>
      </c>
      <c r="D233" s="490">
        <f>ROUNDUP(C233/100,0)*100</f>
        <v>48900</v>
      </c>
    </row>
    <row r="234" spans="1:4" ht="18.75" customHeight="1" x14ac:dyDescent="0.25">
      <c r="A234" s="316">
        <f>'Analisa RAB'!B3592</f>
        <v>7</v>
      </c>
      <c r="B234" s="382" t="str">
        <f>'Analisa RAB'!C3592</f>
        <v>Pemasangan 1 m² plesteran 1 SP : 7 PP tebal 15 mm</v>
      </c>
      <c r="C234" s="481">
        <f>'Analisa RAB'!H3601</f>
        <v>48825</v>
      </c>
      <c r="D234" s="490">
        <f>ROUNDUP(C234/100,0)*100</f>
        <v>48900</v>
      </c>
    </row>
    <row r="235" spans="1:4" ht="18.75" customHeight="1" x14ac:dyDescent="0.25">
      <c r="A235" s="316">
        <f>'Analisa RAB'!B3617</f>
        <v>8</v>
      </c>
      <c r="B235" s="382" t="str">
        <f>'Analisa RAB'!C3617</f>
        <v>Pemasangan 1 m² plesteran 1 SP : 8 PP tebal 15 mm</v>
      </c>
      <c r="C235" s="481">
        <f>'Analisa RAB'!H3626</f>
        <v>48825</v>
      </c>
      <c r="D235" s="490">
        <f>ROUNDUP(C235/100,0)*100</f>
        <v>48900</v>
      </c>
    </row>
    <row r="236" spans="1:4" ht="18.75" customHeight="1" x14ac:dyDescent="0.25">
      <c r="A236" s="316">
        <f>'Analisa RAB'!B3642</f>
        <v>9</v>
      </c>
      <c r="B236" s="382" t="str">
        <f>'Analisa RAB'!C3642</f>
        <v>Pemasangan 1 m² plesteran 1 SP : ½ KP : 3 PP tebal 15 mm</v>
      </c>
      <c r="C236" s="481">
        <f>'Analisa RAB'!H3651</f>
        <v>51300</v>
      </c>
      <c r="D236" s="490">
        <f>ROUNDUP(C236/100,0)*100</f>
        <v>51300</v>
      </c>
    </row>
    <row r="237" spans="1:4" ht="18.75" customHeight="1" x14ac:dyDescent="0.25">
      <c r="A237" s="316">
        <f>'Analisa RAB'!B3668</f>
        <v>10</v>
      </c>
      <c r="B237" s="382" t="str">
        <f>'Analisa RAB'!C3668</f>
        <v>Pemasangan 1 m² plesteran 1 SP : 2 KP : 8 PP tebal 15 mm</v>
      </c>
      <c r="C237" s="481">
        <f>'Analisa RAB'!H3677</f>
        <v>51300</v>
      </c>
      <c r="D237" s="490">
        <f>ROUNDUP(C237/100,0)*100</f>
        <v>51300</v>
      </c>
    </row>
    <row r="238" spans="1:4" ht="18.75" customHeight="1" x14ac:dyDescent="0.25">
      <c r="A238" s="316">
        <f>'Analisa RAB'!B3694</f>
        <v>11</v>
      </c>
      <c r="B238" s="382" t="str">
        <f>'Analisa RAB'!C3694</f>
        <v>Pemasangan 1 m² plesteran 1 SM : 1 KP : 1 PP tebal 15 mm</v>
      </c>
      <c r="C238" s="481">
        <f>'Analisa RAB'!H3703</f>
        <v>51300</v>
      </c>
      <c r="D238" s="490">
        <f>ROUNDUP(C238/100,0)*100</f>
        <v>51300</v>
      </c>
    </row>
    <row r="239" spans="1:4" ht="18.75" customHeight="1" x14ac:dyDescent="0.25">
      <c r="A239" s="316">
        <f>'Analisa RAB'!B3720</f>
        <v>12</v>
      </c>
      <c r="B239" s="382" t="str">
        <f>'Analisa RAB'!C3720</f>
        <v>Pemasangan 1 m² plesteran 1 SM : 1 KP : 2 PP tebal 15 mm</v>
      </c>
      <c r="C239" s="481">
        <f>'Analisa RAB'!H3729</f>
        <v>51300</v>
      </c>
      <c r="D239" s="490">
        <f>ROUNDUP(C239/100,0)*100</f>
        <v>51300</v>
      </c>
    </row>
    <row r="240" spans="1:4" ht="18.75" customHeight="1" x14ac:dyDescent="0.25">
      <c r="A240" s="316">
        <f>'Analisa RAB'!B3746</f>
        <v>13</v>
      </c>
      <c r="B240" s="382" t="str">
        <f>'Analisa RAB'!C3746</f>
        <v>Pemasangan 1 m² plesteran 1 SP : 1 PP tebal 20 mm</v>
      </c>
      <c r="C240" s="481">
        <f>'Analisa RAB'!H3755</f>
        <v>65380</v>
      </c>
      <c r="D240" s="490">
        <f>ROUNDUP(C240/100,0)*100</f>
        <v>65400</v>
      </c>
    </row>
    <row r="241" spans="1:4" ht="18.75" customHeight="1" x14ac:dyDescent="0.25">
      <c r="A241" s="316">
        <f>'Analisa RAB'!B3771</f>
        <v>14</v>
      </c>
      <c r="B241" s="382" t="str">
        <f>'Analisa RAB'!C3771</f>
        <v>Pemasangan 1 m² plesteran 1 SP : 3 PP tebal 20 mm</v>
      </c>
      <c r="C241" s="481">
        <f>'Analisa RAB'!H3780</f>
        <v>50820</v>
      </c>
      <c r="D241" s="490">
        <f>ROUNDUP(C241/100,0)*100</f>
        <v>50900</v>
      </c>
    </row>
    <row r="242" spans="1:4" ht="18.75" customHeight="1" x14ac:dyDescent="0.25">
      <c r="A242" s="316">
        <f>'Analisa RAB'!B3796</f>
        <v>15</v>
      </c>
      <c r="B242" s="382" t="str">
        <f>'Analisa RAB'!C3796</f>
        <v>Pemasangan 1 m² plesteran 1 SP : 4 PP tebal 20 mm</v>
      </c>
      <c r="C242" s="481">
        <f>'Analisa RAB'!H3805</f>
        <v>65380</v>
      </c>
      <c r="D242" s="490">
        <f>ROUNDUP(C242/100,0)*100</f>
        <v>65400</v>
      </c>
    </row>
    <row r="243" spans="1:4" ht="18.75" customHeight="1" x14ac:dyDescent="0.25">
      <c r="A243" s="316">
        <f>'Analisa RAB'!B3821</f>
        <v>16</v>
      </c>
      <c r="B243" s="382" t="str">
        <f>'Analisa RAB'!C3821</f>
        <v>Pemasangan 1 m² plesteran 1 SP : 5 PP tebal 20 mm</v>
      </c>
      <c r="C243" s="481">
        <f>'Analisa RAB'!H3830</f>
        <v>65380</v>
      </c>
      <c r="D243" s="490">
        <f>ROUNDUP(C243/100,0)*100</f>
        <v>65400</v>
      </c>
    </row>
    <row r="244" spans="1:4" ht="18.75" customHeight="1" x14ac:dyDescent="0.25">
      <c r="A244" s="316">
        <f>'Analisa RAB'!B3846</f>
        <v>17</v>
      </c>
      <c r="B244" s="382" t="str">
        <f>'Analisa RAB'!C3846</f>
        <v>Pemasangan 1 m² plesteran 1 SP : 6 PP tebal 20 mm</v>
      </c>
      <c r="C244" s="481">
        <f>'Analisa RAB'!H3855</f>
        <v>65380</v>
      </c>
      <c r="D244" s="490">
        <f>ROUNDUP(C244/100,0)*100</f>
        <v>65400</v>
      </c>
    </row>
    <row r="245" spans="1:4" ht="18.75" customHeight="1" x14ac:dyDescent="0.25">
      <c r="A245" s="316">
        <f>'Analisa RAB'!B3871</f>
        <v>18</v>
      </c>
      <c r="B245" s="382" t="str">
        <f>'Analisa RAB'!C3871</f>
        <v>Pemasangan 1 m² plesteran 1 SM : 1 KP : 2 PP tebal 20 mm</v>
      </c>
      <c r="C245" s="481">
        <f>'Analisa RAB'!H3880</f>
        <v>71610</v>
      </c>
      <c r="D245" s="490">
        <f>ROUNDUP(C245/100,0)*100</f>
        <v>71700</v>
      </c>
    </row>
    <row r="246" spans="1:4" ht="18.75" customHeight="1" x14ac:dyDescent="0.25">
      <c r="A246" s="316">
        <f>'Analisa RAB'!B3897</f>
        <v>19</v>
      </c>
      <c r="B246" s="382" t="str">
        <f>'Analisa RAB'!C3897</f>
        <v>Pemasangan 1 m² Plesteran beton 1 pc : 2 ps</v>
      </c>
      <c r="C246" s="481">
        <f>'Analisa RAB'!H3906</f>
        <v>50818.6</v>
      </c>
      <c r="D246" s="490">
        <f>ROUNDUP(C246/100,0)*100</f>
        <v>50900</v>
      </c>
    </row>
    <row r="247" spans="1:4" ht="18.75" customHeight="1" x14ac:dyDescent="0.25">
      <c r="A247" s="316">
        <f>'Analisa RAB'!B3922</f>
        <v>20</v>
      </c>
      <c r="B247" s="382" t="str">
        <f>'Analisa RAB'!C3922</f>
        <v>Pemasangan 1 m1 plesteran skoning 1 SP : 3 PP lebar 10 mm</v>
      </c>
      <c r="C247" s="481">
        <f>'Analisa RAB'!H3931</f>
        <v>60785</v>
      </c>
      <c r="D247" s="490">
        <f>ROUNDUP(C247/100,0)*100</f>
        <v>60800</v>
      </c>
    </row>
    <row r="248" spans="1:4" ht="18.75" customHeight="1" x14ac:dyDescent="0.25">
      <c r="A248" s="316">
        <f>'Analisa RAB'!B3947</f>
        <v>21</v>
      </c>
      <c r="B248" s="382" t="str">
        <f>'Analisa RAB'!C3947</f>
        <v>Pemasangan 1 m² plesteran granit 1 SP : 2 Granit tebal 1 cm</v>
      </c>
      <c r="C248" s="481">
        <f>'Analisa RAB'!H3956</f>
        <v>73365</v>
      </c>
      <c r="D248" s="490">
        <f>ROUNDUP(C248/100,0)*100</f>
        <v>73400</v>
      </c>
    </row>
    <row r="249" spans="1:4" ht="18.75" customHeight="1" x14ac:dyDescent="0.25">
      <c r="A249" s="316">
        <f>'Analisa RAB'!B3972</f>
        <v>22</v>
      </c>
      <c r="B249" s="382" t="str">
        <f>'Analisa RAB'!C3972</f>
        <v>Pemasangan 1 m² plesteran traso 1 SP : 2 Traso tebal 1 cm</v>
      </c>
      <c r="C249" s="481">
        <f>'Analisa RAB'!H3981</f>
        <v>73365</v>
      </c>
      <c r="D249" s="490">
        <f>ROUNDUP(C249/100,0)*100</f>
        <v>73400</v>
      </c>
    </row>
    <row r="250" spans="1:4" ht="18.75" customHeight="1" x14ac:dyDescent="0.25">
      <c r="A250" s="316">
        <f>'Analisa RAB'!B3996</f>
        <v>23</v>
      </c>
      <c r="B250" s="382" t="str">
        <f>'Analisa RAB'!C3996</f>
        <v>Pemasangan 1 m² Acian dengan Mill / ngelabur</v>
      </c>
      <c r="C250" s="481">
        <f>'Analisa RAB'!H4005</f>
        <v>19955</v>
      </c>
      <c r="D250" s="490">
        <f>ROUNDUP(C250/100,0)*100</f>
        <v>20000</v>
      </c>
    </row>
    <row r="251" spans="1:4" ht="18.75" customHeight="1" x14ac:dyDescent="0.25">
      <c r="A251" s="316">
        <f>'Analisa RAB'!B4021</f>
        <v>24</v>
      </c>
      <c r="B251" s="382" t="str">
        <f>'Analisa RAB'!C4021</f>
        <v>Pemasangan 1 m² finishing siar pasangan bata merah</v>
      </c>
      <c r="C251" s="481">
        <f>'Analisa RAB'!H4030</f>
        <v>24540</v>
      </c>
      <c r="D251" s="490">
        <f>ROUNDUP(C251/100,0)*100</f>
        <v>24600</v>
      </c>
    </row>
    <row r="252" spans="1:4" ht="18.75" customHeight="1" x14ac:dyDescent="0.25">
      <c r="A252" s="316">
        <f>'Analisa RAB'!B4045</f>
        <v>25</v>
      </c>
      <c r="B252" s="382" t="str">
        <f>'Analisa RAB'!C4045</f>
        <v>Pemasangan 1 m² finishing siar pasangan conblock ekspose</v>
      </c>
      <c r="C252" s="481">
        <f>'Analisa RAB'!H4054</f>
        <v>11520.000000000002</v>
      </c>
      <c r="D252" s="490">
        <f>ROUNDUP(C252/100,0)*100</f>
        <v>11600</v>
      </c>
    </row>
    <row r="253" spans="1:4" ht="18.75" customHeight="1" x14ac:dyDescent="0.25">
      <c r="A253" s="316">
        <f>'Analisa RAB'!B4068</f>
        <v>26</v>
      </c>
      <c r="B253" s="382" t="str">
        <f>'Analisa RAB'!C4068</f>
        <v>Pemasangan 1 m² finishing siar pasangan batu kali , campuran 1 SP : 2 PP</v>
      </c>
      <c r="C253" s="481">
        <f>'Analisa RAB'!H4077</f>
        <v>48825</v>
      </c>
      <c r="D253" s="490">
        <f>ROUNDUP(C253/100,0)*100</f>
        <v>48900</v>
      </c>
    </row>
    <row r="254" spans="1:4" ht="18.75" customHeight="1" x14ac:dyDescent="0.25">
      <c r="A254" s="316">
        <f>'Analisa RAB'!B4091</f>
        <v>27</v>
      </c>
      <c r="B254" s="382" t="str">
        <f>'Analisa RAB'!C4091</f>
        <v>Pemasangan 1 m² acian dengan semen</v>
      </c>
      <c r="C254" s="481">
        <f>'Analisa RAB'!H4100</f>
        <v>32550</v>
      </c>
      <c r="D254" s="490">
        <f>ROUNDUP(C254/100,0)*100</f>
        <v>32600</v>
      </c>
    </row>
    <row r="256" spans="1:4" ht="18.75" customHeight="1" x14ac:dyDescent="0.25">
      <c r="A256" s="377" t="str">
        <f>'Analisa RAB'!A4115</f>
        <v>VIII.</v>
      </c>
      <c r="B256" s="319" t="str">
        <f>'Analisa RAB'!B4115</f>
        <v>HARGA SATUAN PEKERJAAN PENUTUP LANTAI DAN PENUTUP DINDING</v>
      </c>
      <c r="C256" s="482"/>
      <c r="D256" s="491"/>
    </row>
    <row r="257" spans="1:4" ht="18.75" customHeight="1" x14ac:dyDescent="0.25">
      <c r="A257" s="316">
        <f>'Analisa RAB'!B4117</f>
        <v>1</v>
      </c>
      <c r="B257" s="382" t="str">
        <f>'Analisa RAB'!C4117</f>
        <v>Pemasangan 1 m² lantai ubin PC abu-abu ukuran 40 cmx 40 cm</v>
      </c>
      <c r="C257" s="481">
        <f>'Analisa RAB'!H4126</f>
        <v>40815</v>
      </c>
      <c r="D257" s="490">
        <f>ROUNDUP(C257/100,0)*100</f>
        <v>40900</v>
      </c>
    </row>
    <row r="258" spans="1:4" ht="18.75" customHeight="1" x14ac:dyDescent="0.25">
      <c r="A258" s="316">
        <f>'Analisa RAB'!B4143</f>
        <v>2</v>
      </c>
      <c r="B258" s="382" t="str">
        <f>'Analisa RAB'!C4143</f>
        <v>Pemasangan 1 m² lantai ubin PC abu-abu ukuran 30 cmx 30 cm</v>
      </c>
      <c r="C258" s="481">
        <f>'Analisa RAB'!H4152</f>
        <v>40815</v>
      </c>
      <c r="D258" s="490">
        <f>ROUNDUP(C258/100,0)*100</f>
        <v>40900</v>
      </c>
    </row>
    <row r="259" spans="1:4" ht="18.75" customHeight="1" x14ac:dyDescent="0.25">
      <c r="A259" s="316">
        <f>'Analisa RAB'!B4168</f>
        <v>3</v>
      </c>
      <c r="B259" s="382" t="str">
        <f>'Analisa RAB'!C4168</f>
        <v>Pemasangan 1 m² lantai ubin PC abu-abu ukuran 20 cmx 20 cm</v>
      </c>
      <c r="C259" s="481">
        <f>'Analisa RAB'!H4177</f>
        <v>44070</v>
      </c>
      <c r="D259" s="490">
        <f>ROUNDUP(C259/100,0)*100</f>
        <v>44100</v>
      </c>
    </row>
    <row r="260" spans="1:4" ht="18.75" customHeight="1" x14ac:dyDescent="0.25">
      <c r="A260" s="316">
        <f>'Analisa RAB'!B4194</f>
        <v>4</v>
      </c>
      <c r="B260" s="382" t="str">
        <f>'Analisa RAB'!C4194</f>
        <v>Pemasangan 1 m² lantai ubin warna ukuran 40 cmx 40 cm</v>
      </c>
      <c r="C260" s="481">
        <f>'Analisa RAB'!H4203</f>
        <v>40815</v>
      </c>
      <c r="D260" s="490">
        <f>ROUNDUP(C260/100,0)*100</f>
        <v>40900</v>
      </c>
    </row>
    <row r="261" spans="1:4" ht="18.75" customHeight="1" x14ac:dyDescent="0.25">
      <c r="A261" s="316">
        <f>'Analisa RAB'!B4220</f>
        <v>5</v>
      </c>
      <c r="B261" s="382" t="str">
        <f>'Analisa RAB'!C4220</f>
        <v>Pemasangan 1 m² lantai ubin warna ukuran 30 cmx 30 cm</v>
      </c>
      <c r="C261" s="481">
        <f>'Analisa RAB'!H4229</f>
        <v>42315</v>
      </c>
      <c r="D261" s="490">
        <f>ROUNDUP(C261/100,0)*100</f>
        <v>42400</v>
      </c>
    </row>
    <row r="262" spans="1:4" ht="18.75" customHeight="1" x14ac:dyDescent="0.25">
      <c r="A262" s="316">
        <f>'Analisa RAB'!B4247</f>
        <v>6</v>
      </c>
      <c r="B262" s="382" t="str">
        <f>'Analisa RAB'!C4247</f>
        <v>Pemasangan 1 m² lantai ubin warna ukuran 20 cmx 20 cm</v>
      </c>
      <c r="C262" s="481">
        <f>'Analisa RAB'!H4256</f>
        <v>44070</v>
      </c>
      <c r="D262" s="490">
        <f>ROUNDUP(C262/100,0)*100</f>
        <v>44100</v>
      </c>
    </row>
    <row r="263" spans="1:4" ht="18.75" customHeight="1" x14ac:dyDescent="0.25">
      <c r="A263" s="316">
        <f>'Analisa RAB'!B4274</f>
        <v>7</v>
      </c>
      <c r="B263" s="382" t="str">
        <f>'Analisa RAB'!C4274</f>
        <v>Pemasangan 1 m² lantai ubin teraso ukuran 40 cmx 40 cm</v>
      </c>
      <c r="C263" s="481">
        <f>'Analisa RAB'!H4283</f>
        <v>40815</v>
      </c>
      <c r="D263" s="490">
        <f>ROUNDUP(C263/100,0)*100</f>
        <v>40900</v>
      </c>
    </row>
    <row r="264" spans="1:4" ht="18.75" customHeight="1" x14ac:dyDescent="0.25">
      <c r="A264" s="316">
        <f>'Analisa RAB'!B4301</f>
        <v>8</v>
      </c>
      <c r="B264" s="382" t="str">
        <f>'Analisa RAB'!C4301</f>
        <v>Pemasangan 1 m² lantai ubin teraso ukuran 30 cmx 30 cm</v>
      </c>
      <c r="C264" s="481">
        <f>'Analisa RAB'!H4310</f>
        <v>42315</v>
      </c>
      <c r="D264" s="490">
        <f>ROUNDUP(C264/100,0)*100</f>
        <v>42400</v>
      </c>
    </row>
    <row r="265" spans="1:4" ht="18.75" customHeight="1" x14ac:dyDescent="0.25">
      <c r="A265" s="316">
        <f>'Analisa RAB'!B4328</f>
        <v>9</v>
      </c>
      <c r="B265" s="382" t="str">
        <f>'Analisa RAB'!C4328</f>
        <v>Pemasangan 1 m² lantai ubin granit ukuran 40 cmx 40 cm</v>
      </c>
      <c r="C265" s="481">
        <f>'Analisa RAB'!H4337</f>
        <v>40815</v>
      </c>
      <c r="D265" s="490">
        <f>ROUNDUP(C265/100,0)*100</f>
        <v>40900</v>
      </c>
    </row>
    <row r="266" spans="1:4" ht="18.75" customHeight="1" x14ac:dyDescent="0.25">
      <c r="A266" s="316">
        <f>'Analisa RAB'!B4355</f>
        <v>10</v>
      </c>
      <c r="B266" s="382" t="str">
        <f>'Analisa RAB'!C4355</f>
        <v>Pemasangan 1 m² lantai ubin granit ukuran 30 cmx 30 cm</v>
      </c>
      <c r="C266" s="481">
        <f>'Analisa RAB'!H4364</f>
        <v>42315</v>
      </c>
      <c r="D266" s="490">
        <f>ROUNDUP(C266/100,0)*100</f>
        <v>42400</v>
      </c>
    </row>
    <row r="267" spans="1:4" ht="18.75" customHeight="1" x14ac:dyDescent="0.25">
      <c r="A267" s="316">
        <f>'Analisa RAB'!B4382</f>
        <v>11</v>
      </c>
      <c r="B267" s="382" t="str">
        <f>'Analisa RAB'!C4382</f>
        <v>Pemasangan 1 m² lantai ubin teralux marmer ukuran 60 cmx 60 cm</v>
      </c>
      <c r="C267" s="481">
        <f>'Analisa RAB'!H4391</f>
        <v>39060</v>
      </c>
      <c r="D267" s="490">
        <f>ROUNDUP(C267/100,0)*100</f>
        <v>39100</v>
      </c>
    </row>
    <row r="268" spans="1:4" ht="18.75" customHeight="1" x14ac:dyDescent="0.25">
      <c r="A268" s="316">
        <f>'Analisa RAB'!B4409</f>
        <v>12</v>
      </c>
      <c r="B268" s="382" t="str">
        <f>'Analisa RAB'!C4409</f>
        <v>Pemasangan 1 m² lantai ubin teralux marmer ukuran 40 cmx 40 cm</v>
      </c>
      <c r="C268" s="481">
        <f>'Analisa RAB'!H4418</f>
        <v>40815</v>
      </c>
      <c r="D268" s="490">
        <f>ROUNDUP(C268/100,0)*100</f>
        <v>40900</v>
      </c>
    </row>
    <row r="269" spans="1:4" ht="18.75" customHeight="1" x14ac:dyDescent="0.25">
      <c r="A269" s="316">
        <f>'Analisa RAB'!B4436</f>
        <v>13</v>
      </c>
      <c r="B269" s="382" t="str">
        <f>'Analisa RAB'!C4436</f>
        <v>Pemasangan 1 m² lantai ubin teralux marmer ukuran 30 cmx 30 cm</v>
      </c>
      <c r="C269" s="481">
        <f>'Analisa RAB'!H4445</f>
        <v>42315</v>
      </c>
      <c r="D269" s="490">
        <f>ROUNDUP(C269/100,0)*100</f>
        <v>42400</v>
      </c>
    </row>
    <row r="270" spans="1:4" ht="18.75" customHeight="1" x14ac:dyDescent="0.25">
      <c r="A270" s="316">
        <f>'Analisa RAB'!B4463</f>
        <v>14</v>
      </c>
      <c r="B270" s="382" t="str">
        <f>'Analisa RAB'!C4463</f>
        <v>Pemasangan 1 m1 plint ubin PC abu-abu ukuran 15 cmx 20 cm</v>
      </c>
      <c r="C270" s="481">
        <f>'Analisa RAB'!H4472</f>
        <v>20185</v>
      </c>
      <c r="D270" s="490">
        <f>ROUNDUP(C270/100,0)*100</f>
        <v>20200</v>
      </c>
    </row>
    <row r="271" spans="1:4" ht="18.75" customHeight="1" x14ac:dyDescent="0.25">
      <c r="A271" s="316">
        <f>'Analisa RAB'!B4489</f>
        <v>15</v>
      </c>
      <c r="B271" s="382" t="str">
        <f>'Analisa RAB'!C4489</f>
        <v>Pemasangan 1 m1 plint ubin PC abu-abu ukuran 10 cmx 30 cm</v>
      </c>
      <c r="C271" s="481">
        <f>'Analisa RAB'!H4498</f>
        <v>20185</v>
      </c>
      <c r="D271" s="490">
        <f>ROUNDUP(C271/100,0)*100</f>
        <v>20200</v>
      </c>
    </row>
    <row r="272" spans="1:4" ht="18.75" customHeight="1" x14ac:dyDescent="0.25">
      <c r="A272" s="316">
        <f>'Analisa RAB'!B4515</f>
        <v>16</v>
      </c>
      <c r="B272" s="382" t="str">
        <f>'Analisa RAB'!C4515</f>
        <v>Pemasangan 1 m1 plint ubin PC abu-abu ukuran 10 cmx 40 cm</v>
      </c>
      <c r="C272" s="481">
        <f>'Analisa RAB'!H4524</f>
        <v>20185</v>
      </c>
      <c r="D272" s="490">
        <f>ROUNDUP(C272/100,0)*100</f>
        <v>20200</v>
      </c>
    </row>
    <row r="273" spans="1:4" ht="18.75" customHeight="1" x14ac:dyDescent="0.25">
      <c r="A273" s="316">
        <f>'Analisa RAB'!B4541</f>
        <v>17</v>
      </c>
      <c r="B273" s="382" t="str">
        <f>'Analisa RAB'!C4541</f>
        <v>Pemasangan 1 m1 plint ubin warna ukuran 10 cmx 20 cm</v>
      </c>
      <c r="C273" s="481">
        <f>'Analisa RAB'!H4550</f>
        <v>20185</v>
      </c>
      <c r="D273" s="490">
        <f>ROUNDUP(C273/100,0)*100</f>
        <v>20200</v>
      </c>
    </row>
    <row r="274" spans="1:4" ht="18.75" customHeight="1" x14ac:dyDescent="0.25">
      <c r="A274" s="316">
        <f>'Analisa RAB'!B4568</f>
        <v>18</v>
      </c>
      <c r="B274" s="382" t="str">
        <f>'Analisa RAB'!C4568</f>
        <v>Pemasangan 1 m1 plint ubin warna ukuran 10 cmx 30 cm</v>
      </c>
      <c r="C274" s="481">
        <f>'Analisa RAB'!H4577</f>
        <v>11190</v>
      </c>
      <c r="D274" s="490">
        <f>ROUNDUP(C274/100,0)*100</f>
        <v>11200</v>
      </c>
    </row>
    <row r="275" spans="1:4" ht="18.75" customHeight="1" x14ac:dyDescent="0.25">
      <c r="A275" s="316">
        <f>'Analisa RAB'!B4595</f>
        <v>19</v>
      </c>
      <c r="B275" s="382" t="str">
        <f>'Analisa RAB'!C4595</f>
        <v>Pemasangan 1 m1 plint ubin warna ukuran 10 cmx 40 cm</v>
      </c>
      <c r="C275" s="481">
        <f>'Analisa RAB'!H4604</f>
        <v>20185</v>
      </c>
      <c r="D275" s="490">
        <f>ROUNDUP(C275/100,0)*100</f>
        <v>20200</v>
      </c>
    </row>
    <row r="276" spans="1:4" ht="18.75" customHeight="1" x14ac:dyDescent="0.25">
      <c r="A276" s="316">
        <f>'Analisa RAB'!B4622</f>
        <v>20</v>
      </c>
      <c r="B276" s="382" t="str">
        <f>'Analisa RAB'!C4622</f>
        <v>Pemasangan 1 m1 plint ubin teraso ukuran 10 cmx 30 cm</v>
      </c>
      <c r="C276" s="481">
        <f>'Analisa RAB'!H4631</f>
        <v>20185</v>
      </c>
      <c r="D276" s="490">
        <f>ROUNDUP(C276/100,0)*100</f>
        <v>20200</v>
      </c>
    </row>
    <row r="277" spans="1:4" ht="18.75" customHeight="1" x14ac:dyDescent="0.25">
      <c r="A277" s="316">
        <f>'Analisa RAB'!B4649</f>
        <v>21</v>
      </c>
      <c r="B277" s="382" t="str">
        <f>'Analisa RAB'!C4649</f>
        <v>Pemasangan 1 m1 plint ubin teraso ukuran 10 cmx 40 cm</v>
      </c>
      <c r="C277" s="481">
        <f>'Analisa RAB'!H4658</f>
        <v>20185</v>
      </c>
      <c r="D277" s="490">
        <f>ROUNDUP(C277/100,0)*100</f>
        <v>20200</v>
      </c>
    </row>
    <row r="278" spans="1:4" ht="18.75" customHeight="1" x14ac:dyDescent="0.25">
      <c r="A278" s="316">
        <f>'Analisa RAB'!B4676</f>
        <v>22</v>
      </c>
      <c r="B278" s="382" t="str">
        <f>'Analisa RAB'!C4676</f>
        <v>Pemasangan 1 m1 plint ubin granit ukuran 10 cmx 40 cm</v>
      </c>
      <c r="C278" s="481">
        <f>'Analisa RAB'!H4685</f>
        <v>20185</v>
      </c>
      <c r="D278" s="490">
        <f>ROUNDUP(C278/100,0)*100</f>
        <v>20200</v>
      </c>
    </row>
    <row r="279" spans="1:4" ht="18.75" customHeight="1" x14ac:dyDescent="0.25">
      <c r="A279" s="316">
        <f>'Analisa RAB'!B4703</f>
        <v>23</v>
      </c>
      <c r="B279" s="382" t="str">
        <f>'Analisa RAB'!C4703</f>
        <v>Pemasangan 1 m1 plint ubin granit ukuran 10 cmx 30 cm</v>
      </c>
      <c r="C279" s="481">
        <f>'Analisa RAB'!H4712</f>
        <v>20185</v>
      </c>
      <c r="D279" s="490">
        <f>ROUNDUP(C279/100,0)*100</f>
        <v>20200</v>
      </c>
    </row>
    <row r="280" spans="1:4" ht="18.75" customHeight="1" x14ac:dyDescent="0.25">
      <c r="A280" s="316">
        <f>'Analisa RAB'!B4730</f>
        <v>24</v>
      </c>
      <c r="B280" s="382" t="str">
        <f>'Analisa RAB'!C4730</f>
        <v>Pemasangan 1 m1 plint ubin teralux kerang ukuran 10 cmx 40 cm</v>
      </c>
      <c r="C280" s="481">
        <f>'Analisa RAB'!H4739</f>
        <v>20185</v>
      </c>
      <c r="D280" s="490">
        <f>ROUNDUP(C280/100,0)*100</f>
        <v>20200</v>
      </c>
    </row>
    <row r="281" spans="1:4" ht="18.75" customHeight="1" x14ac:dyDescent="0.25">
      <c r="A281" s="316">
        <f>'Analisa RAB'!B4757</f>
        <v>25</v>
      </c>
      <c r="B281" s="382" t="str">
        <f>'Analisa RAB'!C4757</f>
        <v>Pemasangan 1 m1 plint ubin teralux kerang ukuran 10 cmx 30 cm</v>
      </c>
      <c r="C281" s="481">
        <f>'Analisa RAB'!H4766</f>
        <v>20185</v>
      </c>
      <c r="D281" s="490">
        <f>ROUNDUP(C281/100,0)*100</f>
        <v>20200</v>
      </c>
    </row>
    <row r="282" spans="1:4" ht="18.75" customHeight="1" x14ac:dyDescent="0.25">
      <c r="A282" s="316">
        <f>'Analisa RAB'!B4784</f>
        <v>26</v>
      </c>
      <c r="B282" s="382" t="str">
        <f>'Analisa RAB'!C4784</f>
        <v>Pemasangan 1 m1 plint ubin teralux marmer ukuran 10 cmx 60 cm</v>
      </c>
      <c r="C282" s="481">
        <f>'Analisa RAB'!H4793</f>
        <v>20185</v>
      </c>
      <c r="D282" s="490">
        <f>ROUNDUP(C282/100,0)*100</f>
        <v>20200</v>
      </c>
    </row>
    <row r="283" spans="1:4" ht="18.75" customHeight="1" x14ac:dyDescent="0.25">
      <c r="A283" s="316">
        <f>'Analisa RAB'!B4811</f>
        <v>27</v>
      </c>
      <c r="B283" s="382" t="str">
        <f>'Analisa RAB'!C4811</f>
        <v>Pemasangan 1 m1 plint ubin teralux marmer ukuran 10 cmx 40 cm</v>
      </c>
      <c r="C283" s="481">
        <f>'Analisa RAB'!H4820</f>
        <v>20185</v>
      </c>
      <c r="D283" s="490">
        <f>ROUNDUP(C283/100,0)*100</f>
        <v>20200</v>
      </c>
    </row>
    <row r="284" spans="1:4" ht="18.75" customHeight="1" x14ac:dyDescent="0.25">
      <c r="A284" s="316">
        <f>'Analisa RAB'!B4838</f>
        <v>28</v>
      </c>
      <c r="B284" s="382" t="str">
        <f>'Analisa RAB'!C4838</f>
        <v>Pemasangan 1 m1 plint ubin teralux marmer ukuran 10 cmx 30 cm</v>
      </c>
      <c r="C284" s="481">
        <f>'Analisa RAB'!H4847</f>
        <v>20185</v>
      </c>
      <c r="D284" s="490">
        <f>ROUNDUP(C284/100,0)*100</f>
        <v>20200</v>
      </c>
    </row>
    <row r="285" spans="1:4" ht="18.75" customHeight="1" x14ac:dyDescent="0.25">
      <c r="A285" s="316">
        <f>'Analisa RAB'!B4865</f>
        <v>29</v>
      </c>
      <c r="B285" s="382" t="str">
        <f>'Analisa RAB'!C4865</f>
        <v>Pemasangan 1 m² lantai teraso cor di tempat, tebal 3 cm</v>
      </c>
      <c r="C285" s="481">
        <f>'Analisa RAB'!H4874</f>
        <v>58590</v>
      </c>
      <c r="D285" s="490">
        <f>ROUNDUP(C285/100,0)*100</f>
        <v>58600</v>
      </c>
    </row>
    <row r="286" spans="1:4" ht="18.75" customHeight="1" x14ac:dyDescent="0.25">
      <c r="A286" s="316">
        <f>'Analisa RAB'!B4890</f>
        <v>30</v>
      </c>
      <c r="B286" s="382" t="str">
        <f>'Analisa RAB'!C4890</f>
        <v>Pemasangan 1 m² lantai keramik artistik 10 cm x 20 cm</v>
      </c>
      <c r="C286" s="481">
        <f>'Analisa RAB'!H4899</f>
        <v>113925</v>
      </c>
      <c r="D286" s="490">
        <f>ROUNDUP(C286/100,0)*100</f>
        <v>114000</v>
      </c>
    </row>
    <row r="287" spans="1:4" ht="18.75" customHeight="1" x14ac:dyDescent="0.25">
      <c r="A287" s="316">
        <f>'Analisa RAB'!B4916</f>
        <v>31</v>
      </c>
      <c r="B287" s="382" t="str">
        <f>'Analisa RAB'!C4916</f>
        <v>Pemasangan 1 m² lantai keramik artistik 10 cm x 10 cm atau 5cm x 20 cm</v>
      </c>
      <c r="C287" s="481">
        <f>'Analisa RAB'!H4925</f>
        <v>113925</v>
      </c>
      <c r="D287" s="490">
        <f>ROUNDUP(C287/100,0)*100</f>
        <v>114000</v>
      </c>
    </row>
    <row r="288" spans="1:4" ht="18.75" customHeight="1" x14ac:dyDescent="0.25">
      <c r="A288" s="316">
        <f>'Analisa RAB'!B4942</f>
        <v>32</v>
      </c>
      <c r="B288" s="382" t="str">
        <f>'Analisa RAB'!C4942</f>
        <v>Pemasangan 1 m² lantai keramik ukuran 33 cm x 33 cm</v>
      </c>
      <c r="C288" s="481">
        <f>'Analisa RAB'!H4951</f>
        <v>113925</v>
      </c>
      <c r="D288" s="490">
        <f>ROUNDUP(C288/100,0)*100</f>
        <v>114000</v>
      </c>
    </row>
    <row r="289" spans="1:4" ht="18.75" customHeight="1" x14ac:dyDescent="0.25">
      <c r="A289" s="316" t="str">
        <f>'Analisa RAB'!B4969</f>
        <v>33.1</v>
      </c>
      <c r="B289" s="382" t="str">
        <f>'Analisa RAB'!C4969</f>
        <v xml:space="preserve">Pemasangan 1 m² lantai keramik ukuran 40 cm x 40 cm </v>
      </c>
      <c r="C289" s="481">
        <f>'Analisa RAB'!H4979</f>
        <v>75965</v>
      </c>
      <c r="D289" s="490">
        <f>ROUNDUP(C289/100,0)*100</f>
        <v>76000</v>
      </c>
    </row>
    <row r="290" spans="1:4" ht="18.75" customHeight="1" x14ac:dyDescent="0.25">
      <c r="A290" s="316" t="str">
        <f>'Analisa RAB'!B4970</f>
        <v>33.2</v>
      </c>
      <c r="B290" s="382" t="str">
        <f>'Analisa RAB'!C4970</f>
        <v>Pemasangan 1 m² lantai keramik ukuran 40 cm x 40 cm anti slip</v>
      </c>
      <c r="C290" s="481">
        <f>C289</f>
        <v>75965</v>
      </c>
      <c r="D290" s="490">
        <f>ROUNDUP(C290/100,0)*100</f>
        <v>76000</v>
      </c>
    </row>
    <row r="291" spans="1:4" ht="18.75" customHeight="1" x14ac:dyDescent="0.25">
      <c r="A291" s="316" t="str">
        <f>'Analisa RAB'!B5003</f>
        <v>34.1</v>
      </c>
      <c r="B291" s="382" t="str">
        <f>'Analisa RAB'!C5003</f>
        <v xml:space="preserve">Pemasangan 1 m² lantai keramik ukuran 20 cm x 20 cm </v>
      </c>
      <c r="C291" s="481">
        <f>'Analisa RAB'!H5013</f>
        <v>106325</v>
      </c>
      <c r="D291" s="490">
        <f>ROUNDUP(C291/100,0)*100</f>
        <v>106400</v>
      </c>
    </row>
    <row r="292" spans="1:4" ht="18.75" customHeight="1" x14ac:dyDescent="0.25">
      <c r="A292" s="316" t="str">
        <f>'Analisa RAB'!B5004</f>
        <v>34.2</v>
      </c>
      <c r="B292" s="382" t="str">
        <f>'Analisa RAB'!C5004</f>
        <v>Pemasangan 1 m² lantai keramik ukuran 20 cm x 20 cm anti slip</v>
      </c>
      <c r="C292" s="481">
        <f>C291</f>
        <v>106325</v>
      </c>
      <c r="D292" s="490">
        <f>ROUNDUP(C292/100,0)*100</f>
        <v>106400</v>
      </c>
    </row>
    <row r="293" spans="1:4" ht="18.75" customHeight="1" x14ac:dyDescent="0.25">
      <c r="A293" s="316">
        <f>'Analisa RAB'!B5037</f>
        <v>35</v>
      </c>
      <c r="B293" s="382" t="str">
        <f>'Analisa RAB'!C5037</f>
        <v xml:space="preserve">Pemasangan 1 m² lantai keramik ukuran 10 cm x 40 cm untuk variasi /border </v>
      </c>
      <c r="C293" s="481">
        <f>'Analisa RAB'!H5046</f>
        <v>177651.5</v>
      </c>
      <c r="D293" s="490">
        <f>ROUNDUP(C293/100,0)*100</f>
        <v>177700</v>
      </c>
    </row>
    <row r="294" spans="1:4" ht="18.75" customHeight="1" x14ac:dyDescent="0.25">
      <c r="A294" s="316" t="str">
        <f>'Analisa RAB'!B5064</f>
        <v>36.1</v>
      </c>
      <c r="B294" s="382" t="str">
        <f>'Analisa RAB'!C5064</f>
        <v>Pemasangan 1 m² lantai keramik ukuran 30 cm x 30 cm</v>
      </c>
      <c r="C294" s="481">
        <f>'Analisa RAB'!H5074</f>
        <v>113925</v>
      </c>
      <c r="D294" s="490">
        <f>ROUNDUP(C294/100,0)*100</f>
        <v>114000</v>
      </c>
    </row>
    <row r="295" spans="1:4" ht="18.75" customHeight="1" x14ac:dyDescent="0.25">
      <c r="A295" s="316" t="str">
        <f>'Analisa RAB'!B5065</f>
        <v>36.2</v>
      </c>
      <c r="B295" s="382" t="str">
        <f>'Analisa RAB'!C5065</f>
        <v>Pemasangan 1 m² lantai keramik ukuran 30 cm x 30 cm Anti Slip</v>
      </c>
      <c r="C295" s="481">
        <f>'Analisa RAB'!H5074</f>
        <v>113925</v>
      </c>
      <c r="D295" s="490">
        <f>ROUNDUP(C295/100,0)*100</f>
        <v>114000</v>
      </c>
    </row>
    <row r="296" spans="1:4" ht="18.75" customHeight="1" x14ac:dyDescent="0.25">
      <c r="A296" s="316" t="str">
        <f>'Analisa RAB'!B5100</f>
        <v>37.1</v>
      </c>
      <c r="B296" s="382" t="str">
        <f>'Analisa RAB'!C5100</f>
        <v>Pemasangan 1 m1 plint keramik ukuran 10 cm x 30 cm</v>
      </c>
      <c r="C296" s="481">
        <f>'Analisa RAB'!H5110</f>
        <v>16140</v>
      </c>
      <c r="D296" s="490">
        <f>ROUNDUP(C296/100,0)*100</f>
        <v>16200</v>
      </c>
    </row>
    <row r="297" spans="1:4" ht="18.75" customHeight="1" x14ac:dyDescent="0.25">
      <c r="A297" s="316" t="str">
        <f>'Analisa RAB'!B5101</f>
        <v>37.2</v>
      </c>
      <c r="B297" s="382" t="str">
        <f>'Analisa RAB'!C5101</f>
        <v xml:space="preserve">Pemasangan 1 m1 plint keramik ukuran 10 cm x 20 cm </v>
      </c>
      <c r="C297" s="481">
        <f>'Analisa RAB'!H5110</f>
        <v>16140</v>
      </c>
      <c r="D297" s="490">
        <f>ROUNDUP(C297/100,0)*100</f>
        <v>16200</v>
      </c>
    </row>
    <row r="298" spans="1:4" ht="18.75" customHeight="1" x14ac:dyDescent="0.25">
      <c r="A298" s="316">
        <f>'Analisa RAB'!B5133</f>
        <v>38</v>
      </c>
      <c r="B298" s="382" t="str">
        <f>'Analisa RAB'!C5133</f>
        <v xml:space="preserve">Pemasangan 1 m1 plint kayu ukuran 2 cm x 10 cm </v>
      </c>
      <c r="C298" s="481">
        <f>'Analisa RAB'!H5142</f>
        <v>26820</v>
      </c>
      <c r="D298" s="490">
        <f>ROUNDUP(C298/100,0)*100</f>
        <v>26900</v>
      </c>
    </row>
    <row r="299" spans="1:4" ht="18.75" customHeight="1" x14ac:dyDescent="0.25">
      <c r="A299" s="316">
        <f>'Analisa RAB'!B5157</f>
        <v>39</v>
      </c>
      <c r="B299" s="382" t="str">
        <f>'Analisa RAB'!C5157</f>
        <v xml:space="preserve">Pemasangan 1 m1 plint keramik ukuran 5 cm x 20 cm </v>
      </c>
      <c r="C299" s="481">
        <f>'Analisa RAB'!H5166</f>
        <v>23175</v>
      </c>
      <c r="D299" s="490">
        <f>ROUNDUP(C299/100,0)*100</f>
        <v>23200</v>
      </c>
    </row>
    <row r="300" spans="1:4" ht="18.75" customHeight="1" x14ac:dyDescent="0.25">
      <c r="A300" s="316">
        <f>'Analisa RAB'!B5184</f>
        <v>40</v>
      </c>
      <c r="B300" s="382" t="str">
        <f>'Analisa RAB'!C5184</f>
        <v xml:space="preserve">Pemasangan 1 m² lantai marmer ukuran 100 cm x 100 cm </v>
      </c>
      <c r="C300" s="481">
        <f>'Analisa RAB'!H5193</f>
        <v>113925</v>
      </c>
      <c r="D300" s="490">
        <f>ROUNDUP(C300/100,0)*100</f>
        <v>114000</v>
      </c>
    </row>
    <row r="301" spans="1:4" ht="18.75" customHeight="1" x14ac:dyDescent="0.25">
      <c r="A301" s="316">
        <f>'Analisa RAB'!B5211</f>
        <v>41</v>
      </c>
      <c r="B301" s="382" t="str">
        <f>'Analisa RAB'!C5211</f>
        <v xml:space="preserve">Pemasangan 1 m² lantai karpet </v>
      </c>
      <c r="C301" s="481">
        <f>'Analisa RAB'!H5220</f>
        <v>38065</v>
      </c>
      <c r="D301" s="490">
        <f>ROUNDUP(C301/100,0)*100</f>
        <v>38100</v>
      </c>
    </row>
    <row r="302" spans="1:4" ht="18.75" customHeight="1" x14ac:dyDescent="0.25">
      <c r="A302" s="316">
        <f>'Analisa RAB'!B5235</f>
        <v>42</v>
      </c>
      <c r="B302" s="382" t="str">
        <f>'Analisa RAB'!C5235</f>
        <v xml:space="preserve">Pemasangan 1 m² lantai parquet kayu </v>
      </c>
      <c r="C302" s="481">
        <f>'Analisa RAB'!H5244</f>
        <v>113925</v>
      </c>
      <c r="D302" s="490">
        <f>ROUNDUP(C302/100,0)*100</f>
        <v>114000</v>
      </c>
    </row>
    <row r="303" spans="1:4" ht="18.75" customHeight="1" x14ac:dyDescent="0.25">
      <c r="A303" s="316">
        <f>'Analisa RAB'!B5260</f>
        <v>43</v>
      </c>
      <c r="B303" s="382" t="str">
        <f>'Analisa RAB'!C5260</f>
        <v xml:space="preserve">Pemasangan 1 m² lantai kayu gymfloor </v>
      </c>
      <c r="C303" s="481">
        <f>'Analisa RAB'!H5269</f>
        <v>113925</v>
      </c>
      <c r="D303" s="490">
        <f>ROUNDUP(C303/100,0)*100</f>
        <v>114000</v>
      </c>
    </row>
    <row r="304" spans="1:4" ht="18.75" customHeight="1" x14ac:dyDescent="0.25">
      <c r="A304" s="316">
        <f>'Analisa RAB'!B5285</f>
        <v>44</v>
      </c>
      <c r="B304" s="382" t="str">
        <f>'Analisa RAB'!C5285</f>
        <v>Pemasangan 1 m² dinding porselin 11 cm x 11 cm</v>
      </c>
      <c r="C304" s="481">
        <f>'Analisa RAB'!H5294</f>
        <v>169125</v>
      </c>
      <c r="D304" s="490">
        <f>ROUNDUP(C304/100,0)*100</f>
        <v>169200</v>
      </c>
    </row>
    <row r="305" spans="1:4" ht="18.75" customHeight="1" x14ac:dyDescent="0.25">
      <c r="A305" s="316">
        <f>'Analisa RAB'!B5312</f>
        <v>45</v>
      </c>
      <c r="B305" s="382" t="str">
        <f>'Analisa RAB'!C5312</f>
        <v>Pemasangan 1 m² dinding porselin 10 cm x 20 cm</v>
      </c>
      <c r="C305" s="481">
        <f>'Analisa RAB'!H5321</f>
        <v>154252.5</v>
      </c>
      <c r="D305" s="490">
        <f>ROUNDUP(C305/100,0)*100</f>
        <v>154300</v>
      </c>
    </row>
    <row r="306" spans="1:4" ht="18.75" customHeight="1" x14ac:dyDescent="0.25">
      <c r="A306" s="316">
        <f>'Analisa RAB'!B5339</f>
        <v>46</v>
      </c>
      <c r="B306" s="382" t="str">
        <f>'Analisa RAB'!C5339</f>
        <v>Pemasangan 1 m² dinding porselin 20 cm x 20 cm</v>
      </c>
      <c r="C306" s="481">
        <f>'Analisa RAB'!H5348</f>
        <v>154252.5</v>
      </c>
      <c r="D306" s="490">
        <f>ROUNDUP(C306/100,0)*100</f>
        <v>154300</v>
      </c>
    </row>
    <row r="307" spans="1:4" ht="18.75" customHeight="1" x14ac:dyDescent="0.25">
      <c r="A307" s="316">
        <f>'Analisa RAB'!B5366</f>
        <v>47</v>
      </c>
      <c r="B307" s="382" t="str">
        <f>'Analisa RAB'!C5366</f>
        <v>Pemasangan 1 m² dinding keramik artistik 10 cm x 20 cm</v>
      </c>
      <c r="C307" s="481">
        <f>'Analisa RAB'!H5375</f>
        <v>154252.5</v>
      </c>
      <c r="D307" s="490">
        <f>ROUNDUP(C307/100,0)*100</f>
        <v>154300</v>
      </c>
    </row>
    <row r="308" spans="1:4" ht="18.75" customHeight="1" x14ac:dyDescent="0.25">
      <c r="A308" s="316">
        <f>'Analisa RAB'!B5393</f>
        <v>48</v>
      </c>
      <c r="B308" s="382" t="str">
        <f>'Analisa RAB'!C5393</f>
        <v>Pemasangan 1 m² dinding keramik artistik 5 cm x 20 cm</v>
      </c>
      <c r="C308" s="481">
        <f>'Analisa RAB'!H5402</f>
        <v>154252.5</v>
      </c>
      <c r="D308" s="490">
        <f>ROUNDUP(C308/100,0)*100</f>
        <v>154300</v>
      </c>
    </row>
    <row r="309" spans="1:4" ht="18.75" customHeight="1" x14ac:dyDescent="0.25">
      <c r="A309" s="316">
        <f>'Analisa RAB'!B5420</f>
        <v>49</v>
      </c>
      <c r="B309" s="382" t="str">
        <f>'Analisa RAB'!C5420</f>
        <v>Pemasangan 1 m² dinding keramik 10 cm x 20 cm</v>
      </c>
      <c r="C309" s="481">
        <f>'Analisa RAB'!H5429</f>
        <v>154252.5</v>
      </c>
      <c r="D309" s="490">
        <f>ROUNDUP(C309/100,0)*100</f>
        <v>154300</v>
      </c>
    </row>
    <row r="310" spans="1:4" ht="18.75" customHeight="1" x14ac:dyDescent="0.25">
      <c r="A310" s="316">
        <f>'Analisa RAB'!B5447</f>
        <v>50</v>
      </c>
      <c r="B310" s="382" t="str">
        <f>'Analisa RAB'!C5447</f>
        <v>Pemasangan 1 m² dinding keramik 20 cm x 20 cm</v>
      </c>
      <c r="C310" s="481">
        <f>'Analisa RAB'!H5456</f>
        <v>154252.5</v>
      </c>
      <c r="D310" s="490">
        <f>ROUNDUP(C310/100,0)*100</f>
        <v>154300</v>
      </c>
    </row>
    <row r="311" spans="1:4" ht="18.75" customHeight="1" x14ac:dyDescent="0.25">
      <c r="A311" s="316">
        <f>'Analisa RAB'!B5474</f>
        <v>51</v>
      </c>
      <c r="B311" s="382" t="str">
        <f>'Analisa RAB'!C5474</f>
        <v>Pemasangan 1 m² dinding marmer 100 cm x 100 cm</v>
      </c>
      <c r="C311" s="481">
        <f>'Analisa RAB'!H5483</f>
        <v>214252.5</v>
      </c>
      <c r="D311" s="490">
        <f>ROUNDUP(C311/100,0)*100</f>
        <v>214300</v>
      </c>
    </row>
    <row r="312" spans="1:4" ht="18.75" customHeight="1" x14ac:dyDescent="0.25">
      <c r="A312" s="316">
        <f>'Analisa RAB'!B5502</f>
        <v>52</v>
      </c>
      <c r="B312" s="382" t="str">
        <f>'Analisa RAB'!C5502</f>
        <v xml:space="preserve">Pemasangan 1 m² dinding bata pelapis </v>
      </c>
      <c r="C312" s="481">
        <f>'Analisa RAB'!H5511</f>
        <v>169125</v>
      </c>
      <c r="D312" s="490">
        <f>ROUNDUP(C312/100,0)*100</f>
        <v>169200</v>
      </c>
    </row>
    <row r="313" spans="1:4" ht="18.75" customHeight="1" x14ac:dyDescent="0.25">
      <c r="A313" s="316">
        <f>'Analisa RAB'!B5529</f>
        <v>53</v>
      </c>
      <c r="B313" s="382" t="str">
        <f>'Analisa RAB'!C5529</f>
        <v xml:space="preserve">Pemasangan 1 m² dinding batu paras sarwagenep </v>
      </c>
      <c r="C313" s="481">
        <f>'Analisa RAB'!H5538</f>
        <v>113925</v>
      </c>
      <c r="D313" s="490">
        <f>ROUNDUP(C313/100,0)*100</f>
        <v>114000</v>
      </c>
    </row>
    <row r="314" spans="1:4" ht="18.75" customHeight="1" x14ac:dyDescent="0.25">
      <c r="A314" s="316">
        <f>'Analisa RAB'!B5553</f>
        <v>54</v>
      </c>
      <c r="B314" s="382" t="str">
        <f>'Analisa RAB'!C5553</f>
        <v xml:space="preserve">Pemasangan 1 m² dinding batu tempel hitam </v>
      </c>
      <c r="C314" s="481">
        <f>'Analisa RAB'!H5562</f>
        <v>113925</v>
      </c>
      <c r="D314" s="490">
        <f>ROUNDUP(C314/100,0)*100</f>
        <v>114000</v>
      </c>
    </row>
    <row r="315" spans="1:4" ht="18.75" customHeight="1" x14ac:dyDescent="0.25">
      <c r="A315" s="316">
        <f>'Analisa RAB'!B5578</f>
        <v>55</v>
      </c>
      <c r="B315" s="382" t="str">
        <f>'Analisa RAB'!C5578</f>
        <v>Pemasangan 1 m² dindig batu bali green</v>
      </c>
      <c r="C315" s="481">
        <f>'Analisa RAB'!H5587</f>
        <v>109515</v>
      </c>
      <c r="D315" s="490">
        <f>ROUNDUP(C315/100,0)*100</f>
        <v>109600</v>
      </c>
    </row>
    <row r="317" spans="1:4" ht="18.75" customHeight="1" x14ac:dyDescent="0.25">
      <c r="A317" s="377" t="str">
        <f>'Analisa RAB'!A5602</f>
        <v>IX.</v>
      </c>
      <c r="B317" s="319" t="str">
        <f>'Analisa RAB'!B5602</f>
        <v>SATUAN PEKERJAAN LANGIT-LANGIT (PLAFOND)</v>
      </c>
      <c r="C317" s="482"/>
      <c r="D317" s="491"/>
    </row>
    <row r="318" spans="1:4" ht="18.75" customHeight="1" x14ac:dyDescent="0.25">
      <c r="A318" s="316">
        <f>'Analisa RAB'!B5604</f>
        <v>1</v>
      </c>
      <c r="B318" s="463" t="str">
        <f>'Analisa RAB'!C5604</f>
        <v>Pemasangan 1 m² langit-langit asbes 1 x 1 m/3.2 ( tanpa rangka ) semen tebal 4 mm, 5 mm, 6 mm</v>
      </c>
      <c r="C318" s="481">
        <f>'Analisa RAB'!H5613</f>
        <v>11915</v>
      </c>
      <c r="D318" s="490">
        <f>ROUNDUP(C318/100,0)*100</f>
        <v>12000</v>
      </c>
    </row>
    <row r="319" spans="1:4" ht="18.75" customHeight="1" x14ac:dyDescent="0.25">
      <c r="A319" s="316">
        <f>'Analisa RAB'!B5628</f>
        <v>2</v>
      </c>
      <c r="B319" s="382" t="str">
        <f>'Analisa RAB'!C5628</f>
        <v>Pemasangan 1 m² rangka langit-langit 50 x 1 m</v>
      </c>
      <c r="C319" s="481">
        <f>'Analisa RAB'!H5637</f>
        <v>61200</v>
      </c>
      <c r="D319" s="490">
        <f>ROUNDUP(C319/100,0)*100</f>
        <v>61200</v>
      </c>
    </row>
    <row r="320" spans="1:4" ht="18.75" customHeight="1" x14ac:dyDescent="0.25">
      <c r="A320" s="316">
        <f>'Analisa RAB'!B5653</f>
        <v>3</v>
      </c>
      <c r="B320" s="382" t="str">
        <f>'Analisa RAB'!C5653</f>
        <v>Pemasangan 1 m² langit-langit akustik ukuran 60 x 120cm</v>
      </c>
      <c r="C320" s="481">
        <f>'Analisa RAB'!H5662</f>
        <v>22350</v>
      </c>
      <c r="D320" s="490">
        <f>ROUNDUP(C320/100,0)*100</f>
        <v>22400</v>
      </c>
    </row>
    <row r="321" spans="1:4" ht="18.75" customHeight="1" x14ac:dyDescent="0.25">
      <c r="A321" s="316">
        <f>'Analisa RAB'!B5678</f>
        <v>4</v>
      </c>
      <c r="B321" s="382" t="str">
        <f>'Analisa RAB'!C5678</f>
        <v xml:space="preserve">Pemasangan 1 m² langit-langit plywood 30x60 cm/4mm tanpa rangka </v>
      </c>
      <c r="C321" s="481">
        <f>'Analisa RAB'!H5687</f>
        <v>19360</v>
      </c>
      <c r="D321" s="490">
        <f>ROUNDUP(C321/100,0)*100</f>
        <v>19400</v>
      </c>
    </row>
    <row r="322" spans="1:4" ht="18.75" customHeight="1" x14ac:dyDescent="0.25">
      <c r="A322" s="316">
        <f>'Analisa RAB'!B5702</f>
        <v>5</v>
      </c>
      <c r="B322" s="382" t="str">
        <f>'Analisa RAB'!C5702</f>
        <v xml:space="preserve">Pemasangan 1 m² langit-langit plywood 30x60 cm/4mm + rangka </v>
      </c>
      <c r="C322" s="481">
        <f>'Analisa RAB'!H5711</f>
        <v>78265</v>
      </c>
      <c r="D322" s="490">
        <f>ROUNDUP(C322/100,0)*100</f>
        <v>78300</v>
      </c>
    </row>
    <row r="323" spans="1:4" ht="18.75" customHeight="1" x14ac:dyDescent="0.25">
      <c r="A323" s="316">
        <f>'Analisa RAB'!B5728</f>
        <v>6</v>
      </c>
      <c r="B323" s="382" t="str">
        <f>'Analisa RAB'!C5728</f>
        <v xml:space="preserve">Pemasangan 1 m² langit-langit asbes + rangka </v>
      </c>
      <c r="C323" s="481">
        <f>'Analisa RAB'!H5737</f>
        <v>57240</v>
      </c>
      <c r="D323" s="490">
        <f>ROUNDUP(C323/100,0)*100</f>
        <v>57300</v>
      </c>
    </row>
    <row r="324" spans="1:4" ht="18.75" customHeight="1" x14ac:dyDescent="0.25">
      <c r="A324" s="316">
        <f>'Analisa RAB'!B5754</f>
        <v>7</v>
      </c>
      <c r="B324" s="382" t="str">
        <f>'Analisa RAB'!C5754</f>
        <v>Pemasangan 1 m² langit-langit gypsum board ukuran (120 x 240 x 9 )mm, tebal 9 mm tanpa rangka</v>
      </c>
      <c r="C324" s="481">
        <f>'Analisa RAB'!H5763</f>
        <v>19025</v>
      </c>
      <c r="D324" s="490">
        <f>ROUNDUP(C324/100,0)*100</f>
        <v>19100</v>
      </c>
    </row>
    <row r="325" spans="1:4" ht="18.75" customHeight="1" x14ac:dyDescent="0.25">
      <c r="A325" s="316">
        <f>'Analisa RAB'!B5779</f>
        <v>8</v>
      </c>
      <c r="B325" s="382" t="str">
        <f>'Analisa RAB'!C5779</f>
        <v>Pemasangan 1 m² langit-langit  klasiboard 1x1m + rangka</v>
      </c>
      <c r="C325" s="481">
        <f>'Analisa RAB'!H5788</f>
        <v>57240</v>
      </c>
      <c r="D325" s="490">
        <f>ROUNDUP(C325/100,0)*100</f>
        <v>57300</v>
      </c>
    </row>
    <row r="326" spans="1:4" ht="18.75" customHeight="1" x14ac:dyDescent="0.25">
      <c r="A326" s="316">
        <f>'Analisa RAB'!B5804</f>
        <v>9</v>
      </c>
      <c r="B326" s="382" t="str">
        <f>'Analisa RAB'!C5804</f>
        <v>Pemasangan 1 m² langit-langit lambrisering  kayu , tebal 9 mm</v>
      </c>
      <c r="C326" s="481">
        <f>'Analisa RAB'!H5813</f>
        <v>183700</v>
      </c>
      <c r="D326" s="490">
        <f>ROUNDUP(C326/100,0)*100</f>
        <v>183700</v>
      </c>
    </row>
    <row r="327" spans="1:4" ht="18.75" customHeight="1" x14ac:dyDescent="0.25">
      <c r="A327" s="316">
        <f>'Analisa RAB'!B5829</f>
        <v>10</v>
      </c>
      <c r="B327" s="382" t="str">
        <f>'Analisa RAB'!C5829</f>
        <v>Pas. 1 m² langit-langit rangka besi hollow 1 x 40.40.2mm, modul 60 x 60 cm</v>
      </c>
      <c r="C327" s="481">
        <f>'Analisa RAB'!H5838</f>
        <v>78295</v>
      </c>
      <c r="D327" s="490">
        <f>ROUNDUP(C327/100,0)*100</f>
        <v>78300</v>
      </c>
    </row>
    <row r="328" spans="1:4" ht="18.75" customHeight="1" x14ac:dyDescent="0.25">
      <c r="A328" s="316">
        <f>'Analisa RAB'!B5854</f>
        <v>11</v>
      </c>
      <c r="B328" s="382" t="str">
        <f>'Analisa RAB'!C5854</f>
        <v>Pemasangan 1 m² langit-langit akustik ukuran (60 x 120) cm, berikut rangka alluminium</v>
      </c>
      <c r="C328" s="481">
        <f>'Analisa RAB'!H5863</f>
        <v>114625</v>
      </c>
      <c r="D328" s="490">
        <f>ROUNDUP(C328/100,0)*100</f>
        <v>114700</v>
      </c>
    </row>
    <row r="329" spans="1:4" ht="18.75" customHeight="1" x14ac:dyDescent="0.25">
      <c r="A329" s="316" t="str">
        <f>'Analisa RAB'!B5881</f>
        <v>12.1</v>
      </c>
      <c r="B329" s="382" t="str">
        <f>'Analisa RAB'!C5881</f>
        <v>Pemasangan 1 m1 list langit-langit kayu profil</v>
      </c>
      <c r="C329" s="481">
        <f>'Analisa RAB'!H5891</f>
        <v>16370</v>
      </c>
      <c r="D329" s="490">
        <f>ROUNDUP(C329/100,0)*100</f>
        <v>16400</v>
      </c>
    </row>
    <row r="330" spans="1:4" ht="18.75" customHeight="1" x14ac:dyDescent="0.25">
      <c r="A330" s="316" t="str">
        <f>'Analisa RAB'!B5882</f>
        <v>12.2</v>
      </c>
      <c r="B330" s="382" t="str">
        <f>'Analisa RAB'!C5882</f>
        <v>Pemasangan 1 m1 list langit-langit list gypsum</v>
      </c>
      <c r="C330" s="481">
        <f>C329</f>
        <v>16370</v>
      </c>
      <c r="D330" s="490">
        <f>ROUNDUP(C330/100,0)*100</f>
        <v>16400</v>
      </c>
    </row>
    <row r="331" spans="1:4" ht="18.75" customHeight="1" x14ac:dyDescent="0.25">
      <c r="A331" s="316">
        <f>'Analisa RAB'!B5913</f>
        <v>13</v>
      </c>
      <c r="B331" s="382" t="str">
        <f>'Analisa RAB'!C5913</f>
        <v>Pemasangan 1 m2 Langit - Langit Gedeg kulit + Rangka</v>
      </c>
      <c r="C331" s="481">
        <f>'Analisa RAB'!H5922</f>
        <v>57240</v>
      </c>
      <c r="D331" s="490">
        <f>ROUNDUP(C331/100,0)*100</f>
        <v>57300</v>
      </c>
    </row>
    <row r="332" spans="1:4" ht="18.75" customHeight="1" x14ac:dyDescent="0.25">
      <c r="A332" s="316">
        <f>'Analisa RAB'!B5939</f>
        <v>14</v>
      </c>
      <c r="B332" s="382" t="str">
        <f>'Analisa RAB'!C5939</f>
        <v>Pemasangan 1 m2 Plafond Kalsiboard 4.5 mm</v>
      </c>
      <c r="C332" s="481">
        <f>'Analisa RAB'!H5948</f>
        <v>19025</v>
      </c>
      <c r="D332" s="490">
        <f>ROUNDUP(C332/100,0)*100</f>
        <v>19100</v>
      </c>
    </row>
    <row r="334" spans="1:4" ht="18.75" customHeight="1" x14ac:dyDescent="0.25">
      <c r="A334" s="377" t="str">
        <f>'Analisa RAB'!A5964</f>
        <v>X.</v>
      </c>
      <c r="B334" s="319" t="str">
        <f>'Analisa RAB'!B5964</f>
        <v>HARGA SATUAN PEKERJAAN PENUTUP ATAP</v>
      </c>
      <c r="C334" s="482"/>
      <c r="D334" s="491"/>
    </row>
    <row r="335" spans="1:4" ht="18.75" customHeight="1" x14ac:dyDescent="0.25">
      <c r="A335" s="316">
        <f>'Analisa RAB'!B5966</f>
        <v>1</v>
      </c>
      <c r="B335" s="316" t="str">
        <f>'Analisa RAB'!C5966</f>
        <v>Pemasangan 1 m² atap genteng press mini</v>
      </c>
      <c r="C335" s="481">
        <f>'Analisa RAB'!H5975</f>
        <v>31945</v>
      </c>
      <c r="D335" s="490">
        <f>ROUNDUP(C335/100,0)*100</f>
        <v>32000</v>
      </c>
    </row>
    <row r="336" spans="1:4" ht="18.75" customHeight="1" x14ac:dyDescent="0.25">
      <c r="A336" s="316">
        <f>'Analisa RAB'!B5990</f>
        <v>2</v>
      </c>
      <c r="B336" s="316" t="str">
        <f>'Analisa RAB'!C5990</f>
        <v>Pemasangan 1 m² atap genteng kodok glazuur isi 25</v>
      </c>
      <c r="C336" s="481">
        <f>'Analisa RAB'!H5999</f>
        <v>24540</v>
      </c>
      <c r="D336" s="490">
        <f>ROUNDUP(C336/100,0)*100</f>
        <v>24600</v>
      </c>
    </row>
    <row r="337" spans="1:4" ht="18.75" customHeight="1" x14ac:dyDescent="0.25">
      <c r="A337" s="316">
        <f>'Analisa RAB'!B6014</f>
        <v>3</v>
      </c>
      <c r="B337" s="316" t="str">
        <f>'Analisa RAB'!C6014</f>
        <v>Pemasangan 1 m² atap genteng pelentong kecil</v>
      </c>
      <c r="C337" s="481">
        <f>'Analisa RAB'!H6023</f>
        <v>24540</v>
      </c>
      <c r="D337" s="490">
        <f>ROUNDUP(C337/100,0)*100</f>
        <v>24600</v>
      </c>
    </row>
    <row r="338" spans="1:4" ht="18.75" customHeight="1" x14ac:dyDescent="0.25">
      <c r="A338" s="316">
        <f>'Analisa RAB'!B6038</f>
        <v>4</v>
      </c>
      <c r="B338" s="316" t="str">
        <f>'Analisa RAB'!C6038</f>
        <v xml:space="preserve">Pemasangan 1 m1 bubungan genteng pelentong </v>
      </c>
      <c r="C338" s="481">
        <f>'Analisa RAB'!H6047</f>
        <v>62580</v>
      </c>
      <c r="D338" s="490">
        <f>ROUNDUP(C338/100,0)*100</f>
        <v>62600</v>
      </c>
    </row>
    <row r="339" spans="1:4" ht="18.75" customHeight="1" x14ac:dyDescent="0.25">
      <c r="A339" s="316">
        <f>'Analisa RAB'!B6063</f>
        <v>5</v>
      </c>
      <c r="B339" s="316" t="str">
        <f>'Analisa RAB'!C6063</f>
        <v xml:space="preserve">Pemasangan 1 m1 bubung genteng kodok </v>
      </c>
      <c r="C339" s="481">
        <f>'Analisa RAB'!H6072</f>
        <v>62580</v>
      </c>
      <c r="D339" s="490">
        <f>ROUNDUP(C339/100,0)*100</f>
        <v>62600</v>
      </c>
    </row>
    <row r="340" spans="1:4" ht="18.75" customHeight="1" x14ac:dyDescent="0.25">
      <c r="A340" s="316">
        <f>'Analisa RAB'!B6089</f>
        <v>6</v>
      </c>
      <c r="B340" s="316" t="str">
        <f>'Analisa RAB'!C6089</f>
        <v>Pemasangan 1 m1 bubungan  genteng pres mini</v>
      </c>
      <c r="C340" s="481">
        <f>'Analisa RAB'!H6098</f>
        <v>62580</v>
      </c>
      <c r="D340" s="490">
        <f>ROUNDUP(C340/100,0)*100</f>
        <v>62600</v>
      </c>
    </row>
    <row r="341" spans="1:4" ht="18.75" customHeight="1" x14ac:dyDescent="0.25">
      <c r="A341" s="316">
        <f>'Analisa RAB'!B6115</f>
        <v>7</v>
      </c>
      <c r="B341" s="316" t="str">
        <f>'Analisa RAB'!C6115</f>
        <v xml:space="preserve">Pemasangan 1 m² roof light fibreglass 90 x 180 </v>
      </c>
      <c r="C341" s="481">
        <f>'Analisa RAB'!H6124</f>
        <v>23412</v>
      </c>
      <c r="D341" s="490">
        <f>ROUNDUP(C341/100,0)*100</f>
        <v>23500</v>
      </c>
    </row>
    <row r="342" spans="1:4" ht="18.75" customHeight="1" x14ac:dyDescent="0.25">
      <c r="A342" s="316">
        <f>'Analisa RAB'!B6140</f>
        <v>8</v>
      </c>
      <c r="B342" s="316" t="str">
        <f>'Analisa RAB'!C6140</f>
        <v>Pemasangan 1 m² atap asbes gelombang 0,8 m  x 1,8 m x 4 mm</v>
      </c>
      <c r="C342" s="481">
        <f>'Analisa RAB'!H6149</f>
        <v>22785.000000000004</v>
      </c>
      <c r="D342" s="490">
        <f>ROUNDUP(C342/100,0)*100</f>
        <v>22800</v>
      </c>
    </row>
    <row r="343" spans="1:4" ht="18.75" customHeight="1" x14ac:dyDescent="0.25">
      <c r="A343" s="316">
        <f>'Analisa RAB'!B6165</f>
        <v>9</v>
      </c>
      <c r="B343" s="316" t="str">
        <f>'Analisa RAB'!C6165</f>
        <v xml:space="preserve">Pemasangan 1 m1 bubung steel gelombang </v>
      </c>
      <c r="C343" s="481">
        <f>'Analisa RAB'!H6174</f>
        <v>23785</v>
      </c>
      <c r="D343" s="490">
        <f>ROUNDUP(C343/100,0)*100</f>
        <v>23800</v>
      </c>
    </row>
    <row r="344" spans="1:4" ht="18.75" customHeight="1" x14ac:dyDescent="0.25">
      <c r="A344" s="316">
        <f>'Analisa RAB'!B6190</f>
        <v>10</v>
      </c>
      <c r="B344" s="316" t="str">
        <f>'Analisa RAB'!C6190</f>
        <v>Pemasangan 1 m1 nok paten</v>
      </c>
      <c r="C344" s="481">
        <f>'Analisa RAB'!H6199</f>
        <v>23785</v>
      </c>
      <c r="D344" s="490">
        <f>ROUNDUP(C344/100,0)*100</f>
        <v>23800</v>
      </c>
    </row>
    <row r="345" spans="1:4" ht="18.75" customHeight="1" x14ac:dyDescent="0.25">
      <c r="A345" s="316">
        <f>'Analisa RAB'!B6215</f>
        <v>11</v>
      </c>
      <c r="B345" s="316" t="str">
        <f>'Analisa RAB'!C6215</f>
        <v>Pemasangan 1 m1 nok genteng metal berpasir</v>
      </c>
      <c r="C345" s="481">
        <f>'Analisa RAB'!H6224</f>
        <v>30255</v>
      </c>
      <c r="D345" s="490">
        <f>ROUNDUP(C345/100,0)*100</f>
        <v>30300</v>
      </c>
    </row>
    <row r="346" spans="1:4" ht="18.75" customHeight="1" x14ac:dyDescent="0.25">
      <c r="A346" s="316">
        <f>'Analisa RAB'!B6240</f>
        <v>12</v>
      </c>
      <c r="B346" s="316" t="str">
        <f>'Analisa RAB'!C6240</f>
        <v>Pemasangan 1 m² atap sirap kayu</v>
      </c>
      <c r="C346" s="481">
        <f>'Analisa RAB'!H6249</f>
        <v>47265</v>
      </c>
      <c r="D346" s="490">
        <f>ROUNDUP(C346/100,0)*100</f>
        <v>47300</v>
      </c>
    </row>
    <row r="347" spans="1:4" ht="18.75" customHeight="1" x14ac:dyDescent="0.25">
      <c r="A347" s="316">
        <f>'Analisa RAB'!B6265</f>
        <v>13</v>
      </c>
      <c r="B347" s="316" t="str">
        <f>'Analisa RAB'!C6265</f>
        <v>Pemasangan 1 m1 nok genteng beton</v>
      </c>
      <c r="C347" s="481">
        <f>'Analisa RAB'!H6274</f>
        <v>65100</v>
      </c>
      <c r="D347" s="490">
        <f>ROUNDUP(C347/100,0)*100</f>
        <v>65100</v>
      </c>
    </row>
    <row r="348" spans="1:4" ht="18.75" customHeight="1" x14ac:dyDescent="0.25">
      <c r="A348" s="316">
        <f>'Analisa RAB'!B6292</f>
        <v>14</v>
      </c>
      <c r="B348" s="316" t="str">
        <f>'Analisa RAB'!C6292</f>
        <v>Pemasangan 1 m1 nok atap sirap</v>
      </c>
      <c r="C348" s="481">
        <f>'Analisa RAB'!H6301</f>
        <v>43090</v>
      </c>
      <c r="D348" s="490">
        <f>ROUNDUP(C348/100,0)*100</f>
        <v>43100</v>
      </c>
    </row>
    <row r="349" spans="1:4" ht="18.75" customHeight="1" x14ac:dyDescent="0.25">
      <c r="A349" s="316">
        <f>'Analisa RAB'!B6318</f>
        <v>15</v>
      </c>
      <c r="B349" s="316" t="str">
        <f>'Analisa RAB'!C6318</f>
        <v xml:space="preserve">Pemasangan 1 m2  genteng metal </v>
      </c>
      <c r="C349" s="481">
        <f>'Analisa RAB'!H6327</f>
        <v>43795</v>
      </c>
      <c r="D349" s="490">
        <f>ROUNDUP(C349/100,0)*100</f>
        <v>43800</v>
      </c>
    </row>
    <row r="350" spans="1:4" ht="18.75" customHeight="1" x14ac:dyDescent="0.25">
      <c r="A350" s="316">
        <f>'Analisa RAB'!B6343</f>
        <v>16</v>
      </c>
      <c r="B350" s="316" t="str">
        <f>'Analisa RAB'!C6343</f>
        <v>Pemasangan 1 m2  genteng beton</v>
      </c>
      <c r="C350" s="481">
        <f>'Analisa RAB'!H6352</f>
        <v>32550</v>
      </c>
      <c r="D350" s="490">
        <f>ROUNDUP(C350/100,0)*100</f>
        <v>32600</v>
      </c>
    </row>
    <row r="351" spans="1:4" ht="18.75" customHeight="1" x14ac:dyDescent="0.25">
      <c r="A351" s="316">
        <f>'Analisa RAB'!B6368</f>
        <v>17</v>
      </c>
      <c r="B351" s="316" t="str">
        <f>'Analisa RAB'!C6368</f>
        <v>Pemasangan 1 m2  bubungan genteng beton</v>
      </c>
      <c r="C351" s="481">
        <f>'Analisa RAB'!H6377</f>
        <v>65100</v>
      </c>
      <c r="D351" s="490">
        <f>ROUNDUP(C351/100,0)*100</f>
        <v>65100</v>
      </c>
    </row>
    <row r="352" spans="1:4" ht="18.75" customHeight="1" x14ac:dyDescent="0.25">
      <c r="A352" s="316">
        <f>'Analisa RAB'!B6395</f>
        <v>18</v>
      </c>
      <c r="B352" s="316" t="str">
        <f>'Analisa RAB'!C6395</f>
        <v>Pemasangan 1 m1 atap seng gelombang</v>
      </c>
      <c r="C352" s="481">
        <f>'Analisa RAB'!H6404</f>
        <v>21180</v>
      </c>
      <c r="D352" s="490">
        <f>ROUNDUP(C352/100,0)*100</f>
        <v>21200</v>
      </c>
    </row>
    <row r="353" spans="1:4" ht="18.75" customHeight="1" x14ac:dyDescent="0.25">
      <c r="A353" s="316">
        <f>'Analisa RAB'!B6420</f>
        <v>19</v>
      </c>
      <c r="B353" s="316" t="str">
        <f>'Analisa RAB'!C6420</f>
        <v xml:space="preserve">Pemasangan 1 m1 nok atap seng </v>
      </c>
      <c r="C353" s="481">
        <f>'Analisa RAB'!H6429</f>
        <v>23595</v>
      </c>
      <c r="D353" s="490">
        <f>ROUNDUP(C353/100,0)*100</f>
        <v>23600</v>
      </c>
    </row>
    <row r="354" spans="1:4" ht="18.75" customHeight="1" x14ac:dyDescent="0.25">
      <c r="A354" s="316">
        <f>'Analisa RAB'!B6444</f>
        <v>20</v>
      </c>
      <c r="B354" s="316" t="str">
        <f>'Analisa RAB'!C6444</f>
        <v xml:space="preserve">Pemasangan 1 m1 atap aluminium/spandek 3mm </v>
      </c>
      <c r="C354" s="481">
        <f>'Analisa RAB'!H6453</f>
        <v>106790</v>
      </c>
      <c r="D354" s="490">
        <f>ROUNDUP(C354/100,0)*100</f>
        <v>106800</v>
      </c>
    </row>
    <row r="355" spans="1:4" ht="18.75" customHeight="1" x14ac:dyDescent="0.25">
      <c r="A355" s="316">
        <f>'Analisa RAB'!B6468</f>
        <v>21</v>
      </c>
      <c r="B355" s="316" t="str">
        <f>'Analisa RAB'!C6468</f>
        <v xml:space="preserve">Pemasangan 1 m1 nok aluminium </v>
      </c>
      <c r="C355" s="481">
        <f>'Analisa RAB'!H6477</f>
        <v>139790</v>
      </c>
      <c r="D355" s="490">
        <f>ROUNDUP(C355/100,0)*100</f>
        <v>139800</v>
      </c>
    </row>
    <row r="356" spans="1:4" ht="18.75" customHeight="1" x14ac:dyDescent="0.25">
      <c r="A356" s="316">
        <f>'Analisa RAB'!B6492</f>
        <v>22</v>
      </c>
      <c r="B356" s="316" t="str">
        <f>'Analisa RAB'!C6492</f>
        <v xml:space="preserve">Pemasangan 1 m² aluminium foil </v>
      </c>
      <c r="C356" s="481">
        <f>'Analisa RAB'!H6501</f>
        <v>24195</v>
      </c>
      <c r="D356" s="490">
        <f>ROUNDUP(C356/100,0)*100</f>
        <v>24200</v>
      </c>
    </row>
    <row r="358" spans="1:4" ht="18.75" customHeight="1" x14ac:dyDescent="0.25">
      <c r="A358" s="377" t="str">
        <f>'Analisa RAB'!A6515</f>
        <v>XI.</v>
      </c>
      <c r="B358" s="434" t="str">
        <f>'Analisa RAB'!B6515</f>
        <v>HARGA SATUAN PEKERJAAN KAYU</v>
      </c>
      <c r="C358" s="482"/>
      <c r="D358" s="491"/>
    </row>
    <row r="359" spans="1:4" ht="18.75" customHeight="1" x14ac:dyDescent="0.25">
      <c r="A359" s="316">
        <f>'Analisa RAB'!B6517</f>
        <v>1</v>
      </c>
      <c r="B359" s="316" t="str">
        <f>'Analisa RAB'!C6517</f>
        <v>Pembuatan dan pemasangan 1 m³ kusen pintu dan kusen jendela , kayu klas I.</v>
      </c>
      <c r="C359" s="481">
        <f>'Analisa RAB'!H6526</f>
        <v>3265500</v>
      </c>
      <c r="D359" s="490">
        <f>ROUNDUP(C359/100,0)*100</f>
        <v>3265500</v>
      </c>
    </row>
    <row r="360" spans="1:4" ht="18.75" customHeight="1" x14ac:dyDescent="0.25">
      <c r="A360" s="316">
        <f>'Analisa RAB'!B6543</f>
        <v>2</v>
      </c>
      <c r="B360" s="316" t="str">
        <f>'Analisa RAB'!C6543</f>
        <v>Pembuatan dan pemasangan 1 m³ kusen pintu dan kusen jendela , kayu klas II</v>
      </c>
      <c r="C360" s="481">
        <f>'Analisa RAB'!H6552</f>
        <v>2799000</v>
      </c>
      <c r="D360" s="490">
        <f>ROUNDUP(C360/100,0)*100</f>
        <v>2799000</v>
      </c>
    </row>
    <row r="361" spans="1:4" ht="18.75" customHeight="1" x14ac:dyDescent="0.25">
      <c r="A361" s="316">
        <f>'Analisa RAB'!B6569</f>
        <v>3</v>
      </c>
      <c r="B361" s="316" t="str">
        <f>'Analisa RAB'!C6569</f>
        <v>Pembuatan dan pemasangan 1 m² pintu klamp standard , kayu klas II</v>
      </c>
      <c r="C361" s="481">
        <f>'Analisa RAB'!H6578</f>
        <v>163345</v>
      </c>
      <c r="D361" s="490">
        <f>ROUNDUP(C361/100,0)*100</f>
        <v>163400</v>
      </c>
    </row>
    <row r="362" spans="1:4" ht="18.75" customHeight="1" x14ac:dyDescent="0.25">
      <c r="A362" s="316">
        <f>'Analisa RAB'!B6594</f>
        <v>4</v>
      </c>
      <c r="B362" s="316" t="str">
        <f>'Analisa RAB'!C6594</f>
        <v>Pembuatan pekerjaan raam kayu kamper</v>
      </c>
      <c r="C362" s="481">
        <f>'Analisa RAB'!H6603</f>
        <v>153000</v>
      </c>
      <c r="D362" s="490">
        <f>ROUNDUP(C362/100,0)*100</f>
        <v>153000</v>
      </c>
    </row>
    <row r="363" spans="1:4" ht="18.75" customHeight="1" x14ac:dyDescent="0.25">
      <c r="A363" s="316">
        <f>'Analisa RAB'!B6619</f>
        <v>5</v>
      </c>
      <c r="B363" s="316" t="str">
        <f>'Analisa RAB'!C6619</f>
        <v>1 m2 Pekerjaan Jaro bubut diameter 3 cm Kamper</v>
      </c>
      <c r="C363" s="481">
        <f>'Analisa RAB'!H6628</f>
        <v>108525</v>
      </c>
      <c r="D363" s="490">
        <f>ROUNDUP(C363/100,0)*100</f>
        <v>108600</v>
      </c>
    </row>
    <row r="364" spans="1:4" ht="18.75" customHeight="1" x14ac:dyDescent="0.25">
      <c r="A364" s="316">
        <f>'Analisa RAB'!B6645</f>
        <v>6</v>
      </c>
      <c r="B364" s="316" t="str">
        <f>'Analisa RAB'!C6645</f>
        <v xml:space="preserve">Pembuatan dan pemasangan 1 m² daun pintu panel, kayu klas I atau kelas II </v>
      </c>
      <c r="C364" s="481">
        <f>'Analisa RAB'!H6654</f>
        <v>470000</v>
      </c>
      <c r="D364" s="490">
        <f>ROUNDUP(C364/100,0)*100</f>
        <v>470000</v>
      </c>
    </row>
    <row r="365" spans="1:4" ht="18.75" customHeight="1" x14ac:dyDescent="0.25">
      <c r="A365" s="316">
        <f>'Analisa RAB'!B6670</f>
        <v>7</v>
      </c>
      <c r="B365" s="316" t="str">
        <f>'Analisa RAB'!C6670</f>
        <v>Pembuatan dan pemasangan 1 m² pintu dan jendela kaca, kayu klas I atau klas II</v>
      </c>
      <c r="C365" s="481">
        <f>'Analisa RAB'!H6679</f>
        <v>378100</v>
      </c>
      <c r="D365" s="490">
        <f>ROUNDUP(C365/100,0)*100</f>
        <v>378100</v>
      </c>
    </row>
    <row r="366" spans="1:4" ht="18.75" customHeight="1" x14ac:dyDescent="0.25">
      <c r="A366" s="316">
        <f>'Analisa RAB'!B6696</f>
        <v>8</v>
      </c>
      <c r="B366" s="316" t="str">
        <f>'Analisa RAB'!C6696</f>
        <v>Pembuatan dan pemasangan 1 m² pintu plywood lapisan aluminium rangka kayu klas I atau klas 2</v>
      </c>
      <c r="C366" s="481">
        <f>'Analisa RAB'!H6705</f>
        <v>304200</v>
      </c>
      <c r="D366" s="490">
        <f>ROUNDUP(C366/100,0)*100</f>
        <v>304200</v>
      </c>
    </row>
    <row r="367" spans="1:4" ht="18.75" customHeight="1" x14ac:dyDescent="0.25">
      <c r="A367" s="316">
        <f>'Analisa RAB'!B6724</f>
        <v>9</v>
      </c>
      <c r="B367" s="316" t="str">
        <f>'Analisa RAB'!C6724</f>
        <v>Pembuatan 1 m² daun pintu teakwood rangkap , rangka kayu klas I atau klas 2</v>
      </c>
      <c r="C367" s="481">
        <f>'Analisa RAB'!H6733</f>
        <v>378100</v>
      </c>
      <c r="D367" s="490">
        <f>ROUNDUP(C367/100,0)*100</f>
        <v>378100</v>
      </c>
    </row>
    <row r="368" spans="1:4" ht="18.75" customHeight="1" x14ac:dyDescent="0.25">
      <c r="A368" s="316">
        <f>'Analisa RAB'!B6751</f>
        <v>10</v>
      </c>
      <c r="B368" s="316" t="str">
        <f>'Analisa RAB'!C6751</f>
        <v>Pembuatan 1 m² daun pintu plywood rangkap , rangka expose kayu klas I atau II</v>
      </c>
      <c r="C368" s="481">
        <f>'Analisa RAB'!H6760</f>
        <v>304200</v>
      </c>
      <c r="D368" s="490">
        <f>ROUNDUP(C368/100,0)*100</f>
        <v>304200</v>
      </c>
    </row>
    <row r="369" spans="1:4" ht="18.75" customHeight="1" x14ac:dyDescent="0.25">
      <c r="A369" s="316">
        <f>'Analisa RAB'!B6778</f>
        <v>10</v>
      </c>
      <c r="B369" s="316" t="str">
        <f>'Analisa RAB'!C6778</f>
        <v>Pemasangan 1 m² jalusi kusen , kayu klas  II</v>
      </c>
      <c r="C369" s="481">
        <f>'Analisa RAB'!H6787</f>
        <v>249150</v>
      </c>
      <c r="D369" s="490">
        <f>ROUNDUP(C369/100,0)*100</f>
        <v>249200</v>
      </c>
    </row>
    <row r="370" spans="1:4" ht="18.75" customHeight="1" x14ac:dyDescent="0.25">
      <c r="A370" s="316">
        <f>'Analisa RAB'!B6802</f>
        <v>11</v>
      </c>
      <c r="B370" s="316" t="str">
        <f>'Analisa RAB'!C6802</f>
        <v>Pemasangan 1 m² teakwood rangkap, rangka expose kayu klas I atau klas 2</v>
      </c>
      <c r="C370" s="481">
        <f>'Analisa RAB'!H6811</f>
        <v>378100</v>
      </c>
      <c r="D370" s="490">
        <f>ROUNDUP(C370/100,0)*100</f>
        <v>378100</v>
      </c>
    </row>
    <row r="371" spans="1:4" ht="18.75" customHeight="1" x14ac:dyDescent="0.25">
      <c r="A371" s="316">
        <f>'Analisa RAB'!B6829</f>
        <v>12</v>
      </c>
      <c r="B371" s="316" t="str">
        <f>'Analisa RAB'!C6829</f>
        <v>Pemasangan 1 m² teakwood rangkap lapis formika , rangka expose kayu klas II</v>
      </c>
      <c r="C371" s="481">
        <f>'Analisa RAB'!H6838</f>
        <v>401117</v>
      </c>
      <c r="D371" s="490">
        <f>ROUNDUP(C371/100,0)*100</f>
        <v>401200</v>
      </c>
    </row>
    <row r="372" spans="1:4" ht="18.75" customHeight="1" x14ac:dyDescent="0.25">
      <c r="A372" s="316" t="str">
        <f>'Analisa RAB'!B6856</f>
        <v>13.1</v>
      </c>
      <c r="B372" s="316" t="str">
        <f>'Analisa RAB'!C6856</f>
        <v>Pemasangan 1 m³ konstruksi kuda-kuda konvensional, kayu klas I</v>
      </c>
      <c r="C372" s="481">
        <f>'Analisa RAB'!H6867</f>
        <v>1866000</v>
      </c>
      <c r="D372" s="490">
        <f>ROUNDUP(C372/100,0)*100</f>
        <v>1866000</v>
      </c>
    </row>
    <row r="373" spans="1:4" ht="18.75" customHeight="1" x14ac:dyDescent="0.25">
      <c r="A373" s="316" t="str">
        <f>'Analisa RAB'!B6857</f>
        <v>13.2</v>
      </c>
      <c r="B373" s="316" t="str">
        <f>'Analisa RAB'!C6857</f>
        <v>Pemasangan 1 m³ konstruksi kuda-kuda konvensional, kayu klas II</v>
      </c>
      <c r="C373" s="481">
        <f>C372</f>
        <v>1866000</v>
      </c>
      <c r="D373" s="490">
        <f>ROUNDUP(C373/100,0)*100</f>
        <v>1866000</v>
      </c>
    </row>
    <row r="374" spans="1:4" ht="18.75" customHeight="1" x14ac:dyDescent="0.25">
      <c r="A374" s="316" t="str">
        <f>'Analisa RAB'!B6858</f>
        <v>13.3</v>
      </c>
      <c r="B374" s="316" t="str">
        <f>'Analisa RAB'!C6858</f>
        <v>Pemasangan 1 m³ konstruksi kuda-kuda konvensional, kayu klas III</v>
      </c>
      <c r="C374" s="481">
        <f>C373</f>
        <v>1866000</v>
      </c>
      <c r="D374" s="490">
        <f>ROUNDUP(C374/100,0)*100</f>
        <v>1866000</v>
      </c>
    </row>
    <row r="375" spans="1:4" ht="18.75" customHeight="1" x14ac:dyDescent="0.25">
      <c r="A375" s="316" t="str">
        <f>'Analisa RAB'!B6896</f>
        <v>14.1</v>
      </c>
      <c r="B375" s="316" t="str">
        <f>'Analisa RAB'!C6896</f>
        <v>Pemasangan 1 m³ konstruksi kuda-kuda expose, kayu klas I</v>
      </c>
      <c r="C375" s="481">
        <f>'Analisa RAB'!H6907</f>
        <v>3125550</v>
      </c>
      <c r="D375" s="490">
        <f>ROUNDUP(C375/100,0)*100</f>
        <v>3125600</v>
      </c>
    </row>
    <row r="376" spans="1:4" ht="18.75" customHeight="1" x14ac:dyDescent="0.25">
      <c r="A376" s="316" t="str">
        <f>'Analisa RAB'!B6897</f>
        <v>14.2</v>
      </c>
      <c r="B376" s="316" t="str">
        <f>'Analisa RAB'!C6897</f>
        <v>Pemasangan 1 m³ konstruksi kuda-kuda expose, kayu klas II</v>
      </c>
      <c r="C376" s="481">
        <f>C375</f>
        <v>3125550</v>
      </c>
      <c r="D376" s="490">
        <f>ROUNDUP(C376/100,0)*100</f>
        <v>3125600</v>
      </c>
    </row>
    <row r="377" spans="1:4" ht="18.75" customHeight="1" x14ac:dyDescent="0.25">
      <c r="A377" s="316" t="str">
        <f>'Analisa RAB'!B6898</f>
        <v>14.3</v>
      </c>
      <c r="B377" s="316" t="str">
        <f>'Analisa RAB'!C6898</f>
        <v>Pemasangan 1 m³ konstruksi kuda-kuda expose, kayu klas III</v>
      </c>
      <c r="C377" s="481">
        <f>C376</f>
        <v>3125550</v>
      </c>
      <c r="D377" s="490">
        <f>ROUNDUP(C377/100,0)*100</f>
        <v>3125600</v>
      </c>
    </row>
    <row r="378" spans="1:4" ht="18.75" customHeight="1" x14ac:dyDescent="0.25">
      <c r="A378" s="316">
        <f>'Analisa RAB'!B6936</f>
        <v>15</v>
      </c>
      <c r="B378" s="316" t="str">
        <f>'Analisa RAB'!C6936</f>
        <v>Pemasangan 1 m2 Reng / rangka atap genteng keramik kayu klas 2</v>
      </c>
      <c r="C378" s="481">
        <f>'Analisa RAB'!H6945</f>
        <v>22350</v>
      </c>
      <c r="D378" s="490">
        <f>ROUNDUP(C378/100,0)*100</f>
        <v>22400</v>
      </c>
    </row>
    <row r="379" spans="1:4" ht="18.75" customHeight="1" x14ac:dyDescent="0.25">
      <c r="A379" s="316">
        <f>'Analisa RAB'!B6961</f>
        <v>16</v>
      </c>
      <c r="B379" s="316" t="str">
        <f>'Analisa RAB'!C6961</f>
        <v>Pemasangan 1 m²  pasang usuk kamfer + reng  kayu  kamper utk genteng beton</v>
      </c>
      <c r="C379" s="481">
        <f>'Analisa RAB'!H6970</f>
        <v>22350</v>
      </c>
      <c r="D379" s="490">
        <f>ROUNDUP(C379/100,0)*100</f>
        <v>22400</v>
      </c>
    </row>
    <row r="380" spans="1:4" ht="18.75" customHeight="1" x14ac:dyDescent="0.25">
      <c r="A380" s="316">
        <f>'Analisa RAB'!B6987</f>
        <v>17</v>
      </c>
      <c r="B380" s="316" t="str">
        <f>'Analisa RAB'!C6987</f>
        <v>Pemasangan 1 m²  pasang usuk kruing + reng  kayu  kamper utk genteng beton</v>
      </c>
      <c r="C380" s="481">
        <f>'Analisa RAB'!H6996</f>
        <v>22350</v>
      </c>
      <c r="D380" s="490">
        <f>ROUNDUP(C380/100,0)*100</f>
        <v>22400</v>
      </c>
    </row>
    <row r="381" spans="1:4" ht="18.75" customHeight="1" x14ac:dyDescent="0.25">
      <c r="A381" s="316">
        <f>'Analisa RAB'!B7013</f>
        <v>18</v>
      </c>
      <c r="B381" s="316" t="str">
        <f>'Analisa RAB'!C7013</f>
        <v>Pemasangan 1 m²  pasang usuk kamfer</v>
      </c>
      <c r="C381" s="481">
        <f>'Analisa RAB'!H7022</f>
        <v>13800</v>
      </c>
      <c r="D381" s="490">
        <f>ROUNDUP(C381/100,0)*100</f>
        <v>13800</v>
      </c>
    </row>
    <row r="382" spans="1:4" ht="18.75" customHeight="1" x14ac:dyDescent="0.25">
      <c r="A382" s="316">
        <f>'Analisa RAB'!B7038</f>
        <v>19</v>
      </c>
      <c r="B382" s="316" t="str">
        <f>'Analisa RAB'!C7038</f>
        <v>Pemasangan 1 m²  pasang usuk  kayu  kruing</v>
      </c>
      <c r="C382" s="481">
        <f>'Analisa RAB'!H7047</f>
        <v>13800</v>
      </c>
      <c r="D382" s="490">
        <f>ROUNDUP(C382/100,0)*100</f>
        <v>13800</v>
      </c>
    </row>
    <row r="383" spans="1:4" ht="18.75" customHeight="1" x14ac:dyDescent="0.25">
      <c r="A383" s="316">
        <f>'Analisa RAB'!B7063</f>
        <v>20</v>
      </c>
      <c r="B383" s="316" t="str">
        <f>'Analisa RAB'!C7063</f>
        <v>Pemasangan 1 m²  pasang reng kayu kamfer</v>
      </c>
      <c r="C383" s="481">
        <f>'Analisa RAB'!H7072</f>
        <v>13657.5</v>
      </c>
      <c r="D383" s="490">
        <f>ROUNDUP(C383/100,0)*100</f>
        <v>13700</v>
      </c>
    </row>
    <row r="384" spans="1:4" ht="18.75" customHeight="1" x14ac:dyDescent="0.25">
      <c r="A384" s="316" t="str">
        <f>'Analisa RAB'!B7088</f>
        <v>21.1</v>
      </c>
      <c r="B384" s="316" t="str">
        <f>'Analisa RAB'!C7088</f>
        <v>Pemasangan 1 m²  usuk ekspose kayu kamfer + reng (teakwood)</v>
      </c>
      <c r="C384" s="481">
        <f>'Analisa RAB'!H7098</f>
        <v>16230</v>
      </c>
      <c r="D384" s="490">
        <f>ROUNDUP(C384/100,0)*100</f>
        <v>16300</v>
      </c>
    </row>
    <row r="385" spans="1:4" ht="18.75" customHeight="1" x14ac:dyDescent="0.25">
      <c r="A385" s="316" t="str">
        <f>'Analisa RAB'!B7089</f>
        <v>21.2</v>
      </c>
      <c r="B385" s="316" t="str">
        <f>'Analisa RAB'!C7089</f>
        <v>Pemasangan 1 m²  usuk ekspose kayu kamfer + reng (gedeg kulit)</v>
      </c>
      <c r="C385" s="481">
        <f>C384</f>
        <v>16230</v>
      </c>
      <c r="D385" s="490">
        <f>ROUNDUP(C385/100,0)*100</f>
        <v>16300</v>
      </c>
    </row>
    <row r="386" spans="1:4" ht="18.75" customHeight="1" x14ac:dyDescent="0.25">
      <c r="A386" s="316">
        <f>'Analisa RAB'!B7122</f>
        <v>22</v>
      </c>
      <c r="B386" s="316" t="str">
        <f>'Analisa RAB'!C7122</f>
        <v>Pemasangan 1 m² rangka atap sirap kayu klas II</v>
      </c>
      <c r="C386" s="481">
        <f>'Analisa RAB'!H7131</f>
        <v>36480</v>
      </c>
      <c r="D386" s="490">
        <f>ROUNDUP(C386/100,0)*100</f>
        <v>36500</v>
      </c>
    </row>
    <row r="387" spans="1:4" ht="18.75" customHeight="1" x14ac:dyDescent="0.25">
      <c r="A387" s="316">
        <f>'Analisa RAB'!B7147</f>
        <v>23</v>
      </c>
      <c r="B387" s="316" t="str">
        <f>'Analisa RAB'!C7147</f>
        <v>Pemasangan 1 m² rangka langit-langit (50x100) cm, kayu klas II atau III</v>
      </c>
      <c r="C387" s="481">
        <f>'Analisa RAB'!H7156</f>
        <v>61200</v>
      </c>
      <c r="D387" s="490">
        <f>ROUNDUP(C387/100,0)*100</f>
        <v>61200</v>
      </c>
    </row>
    <row r="388" spans="1:4" ht="18.75" customHeight="1" x14ac:dyDescent="0.25">
      <c r="A388" s="316">
        <f>'Analisa RAB'!B7172</f>
        <v>24</v>
      </c>
      <c r="B388" s="316" t="str">
        <f>'Analisa RAB'!C7172</f>
        <v>Pemasangan 1 m² rangka langit-langit (60x60) cm, kayu klas II atau III</v>
      </c>
      <c r="C388" s="481">
        <f>'Analisa RAB'!H7181</f>
        <v>56850</v>
      </c>
      <c r="D388" s="490">
        <f>ROUNDUP(C388/100,0)*100</f>
        <v>56900</v>
      </c>
    </row>
    <row r="389" spans="1:4" ht="18.75" customHeight="1" x14ac:dyDescent="0.25">
      <c r="A389" s="316" t="str">
        <f>'Analisa RAB'!B7197</f>
        <v>25.1</v>
      </c>
      <c r="B389" s="316" t="str">
        <f>'Analisa RAB'!C7197</f>
        <v>Pemasangan 1 m² list plank ukuran 3 x 20  cm</v>
      </c>
      <c r="C389" s="481">
        <f>'Analisa RAB'!H7207</f>
        <v>34500</v>
      </c>
      <c r="D389" s="490">
        <f>ROUNDUP(C389/100,0)*100</f>
        <v>34500</v>
      </c>
    </row>
    <row r="390" spans="1:4" ht="18.75" customHeight="1" x14ac:dyDescent="0.25">
      <c r="A390" s="316" t="str">
        <f>'Analisa RAB'!B7198</f>
        <v>25.2</v>
      </c>
      <c r="B390" s="316" t="str">
        <f>'Analisa RAB'!C7198</f>
        <v>Pemasangan 1 m² list plank ukuran 3 x 30  cm</v>
      </c>
      <c r="C390" s="481">
        <f>C389</f>
        <v>34500</v>
      </c>
      <c r="D390" s="490">
        <f>ROUNDUP(C390/100,0)*100</f>
        <v>34500</v>
      </c>
    </row>
    <row r="391" spans="1:4" ht="18.75" customHeight="1" x14ac:dyDescent="0.25">
      <c r="A391" s="316">
        <f>'Analisa RAB'!B7230</f>
        <v>26</v>
      </c>
      <c r="B391" s="316" t="str">
        <f>'Analisa RAB'!C7230</f>
        <v>Pemasangan 1 m² list plank double ukuran 2 x(2x30) cm , kayu kamper</v>
      </c>
      <c r="C391" s="481">
        <f>'Analisa RAB'!H7239</f>
        <v>34500</v>
      </c>
      <c r="D391" s="490">
        <f>ROUNDUP(C391/100,0)*100</f>
        <v>34500</v>
      </c>
    </row>
    <row r="392" spans="1:4" ht="18.75" customHeight="1" x14ac:dyDescent="0.25">
      <c r="A392" s="316">
        <f>'Analisa RAB'!B7255</f>
        <v>27</v>
      </c>
      <c r="B392" s="316" t="str">
        <f>'Analisa RAB'!C7255</f>
        <v>Pemasangan 1 m1 Listplank 2 x 25 conwood teksture /plain</v>
      </c>
      <c r="C392" s="481">
        <f>'Analisa RAB'!H7264</f>
        <v>34500</v>
      </c>
      <c r="D392" s="490">
        <f>ROUNDUP(C392/100,0)*100</f>
        <v>34500</v>
      </c>
    </row>
    <row r="393" spans="1:4" ht="18.75" customHeight="1" x14ac:dyDescent="0.25">
      <c r="A393" s="316">
        <f>'Analisa RAB'!B7281</f>
        <v>28</v>
      </c>
      <c r="B393" s="316" t="str">
        <f>'Analisa RAB'!C7281</f>
        <v>Pemasangan 1 m² list palnk 2 x 25 (2in1) double conwood teksture/plain</v>
      </c>
      <c r="C393" s="481">
        <f>'Analisa RAB'!H7290</f>
        <v>42520</v>
      </c>
      <c r="D393" s="490">
        <f>ROUNDUP(C393/100,0)*100</f>
        <v>42600</v>
      </c>
    </row>
    <row r="394" spans="1:4" ht="18.75" customHeight="1" x14ac:dyDescent="0.25">
      <c r="A394" s="316">
        <f>'Analisa RAB'!B7307</f>
        <v>29</v>
      </c>
      <c r="B394" s="316" t="str">
        <f>'Analisa RAB'!C7307</f>
        <v>Pemasangan 1 m² dinding pemisah teakwood rangkap , kayu kruing</v>
      </c>
      <c r="C394" s="481">
        <f>'Analisa RAB'!H7316</f>
        <v>73552.5</v>
      </c>
      <c r="D394" s="490">
        <f>ROUNDUP(C394/100,0)*100</f>
        <v>73600</v>
      </c>
    </row>
    <row r="395" spans="1:4" ht="18.75" customHeight="1" x14ac:dyDescent="0.25">
      <c r="A395" s="316">
        <f>'Analisa RAB'!B7334</f>
        <v>30</v>
      </c>
      <c r="B395" s="316" t="str">
        <f>'Analisa RAB'!C7334</f>
        <v>Pemasangan 1 m² dinding pemisah plywood rangkap , kayu kruing</v>
      </c>
      <c r="C395" s="481">
        <f>'Analisa RAB'!H7343</f>
        <v>95025</v>
      </c>
      <c r="D395" s="490">
        <f>ROUNDUP(C395/100,0)*100</f>
        <v>95100</v>
      </c>
    </row>
    <row r="396" spans="1:4" ht="18.75" customHeight="1" x14ac:dyDescent="0.25">
      <c r="A396" s="316">
        <f>'Analisa RAB'!B7361</f>
        <v>31</v>
      </c>
      <c r="B396" s="316" t="str">
        <f>'Analisa RAB'!C7361</f>
        <v>Pemasangan 1 m² dinding lambrisering dari papan kayu kelas I atau kelas 2</v>
      </c>
      <c r="C396" s="481">
        <f>'Analisa RAB'!H7370</f>
        <v>279900</v>
      </c>
      <c r="D396" s="490">
        <f>ROUNDUP(C396/100,0)*100</f>
        <v>279900</v>
      </c>
    </row>
    <row r="397" spans="1:4" ht="18.75" customHeight="1" x14ac:dyDescent="0.25">
      <c r="A397" s="316">
        <f>'Analisa RAB'!B7387</f>
        <v>32</v>
      </c>
      <c r="B397" s="316" t="str">
        <f>'Analisa RAB'!C7387</f>
        <v>Pemasangan 1 m² dinding lambrisering dari plywood ukuran (120 x 240) cm</v>
      </c>
      <c r="C397" s="481">
        <f>'Analisa RAB'!H7396</f>
        <v>11685</v>
      </c>
      <c r="D397" s="490">
        <f>ROUNDUP(C397/100,0)*100</f>
        <v>11700</v>
      </c>
    </row>
    <row r="398" spans="1:4" ht="18.75" customHeight="1" x14ac:dyDescent="0.25">
      <c r="A398" s="316">
        <f>'Analisa RAB'!B7412</f>
        <v>33</v>
      </c>
      <c r="B398" s="316" t="str">
        <f>'Analisa RAB'!C7412</f>
        <v>Pemasangan 1 m² dinding bilik ,rangka kayu III atau IV</v>
      </c>
      <c r="C398" s="481">
        <f>'Analisa RAB'!H7421</f>
        <v>19025</v>
      </c>
      <c r="D398" s="490">
        <f>ROUNDUP(C398/100,0)*100</f>
        <v>19100</v>
      </c>
    </row>
    <row r="399" spans="1:4" ht="18.75" customHeight="1" x14ac:dyDescent="0.25">
      <c r="A399" s="316">
        <f>'Analisa RAB'!B7439</f>
        <v>34</v>
      </c>
      <c r="B399" s="316" t="str">
        <f>'Analisa RAB'!C7439</f>
        <v>Pemasangan 1 m² Rangka Dinding Pemisah Teakwood Rangkap, Rangka Holo</v>
      </c>
      <c r="C399" s="481">
        <f>'Analisa RAB'!H7448</f>
        <v>73552.5</v>
      </c>
      <c r="D399" s="490">
        <f>ROUNDUP(C399/100,0)*100</f>
        <v>73600</v>
      </c>
    </row>
    <row r="400" spans="1:4" ht="18.75" customHeight="1" x14ac:dyDescent="0.25">
      <c r="A400" s="316">
        <f>'Analisa RAB'!B7466</f>
        <v>35</v>
      </c>
      <c r="B400" s="316" t="str">
        <f>'Analisa RAB'!C7466</f>
        <v>Pemasangan 1 m² Rangka Dinding Pemisah Plywood Rangkap, Rangka Holo</v>
      </c>
      <c r="C400" s="481">
        <f>'Analisa RAB'!H7475</f>
        <v>77700</v>
      </c>
      <c r="D400" s="490">
        <f>ROUNDUP(C400/100,0)*100</f>
        <v>77700</v>
      </c>
    </row>
    <row r="401" spans="1:4" ht="18.75" customHeight="1" x14ac:dyDescent="0.25">
      <c r="A401" s="316">
        <f>'Analisa RAB'!B7493</f>
        <v>36</v>
      </c>
      <c r="B401" s="316" t="str">
        <f>'Analisa RAB'!C7493</f>
        <v>Membuat 1 BT Saka Jati 11x11 cm</v>
      </c>
      <c r="C401" s="481">
        <f>'Analisa RAB'!H7502</f>
        <v>142842.5</v>
      </c>
      <c r="D401" s="490">
        <f>ROUNDUP(C401/100,0)*100</f>
        <v>142900</v>
      </c>
    </row>
    <row r="402" spans="1:4" ht="18.75" customHeight="1" x14ac:dyDescent="0.25">
      <c r="A402" s="316">
        <f>'Analisa RAB'!B7517</f>
        <v>37</v>
      </c>
      <c r="B402" s="316" t="str">
        <f>'Analisa RAB'!C7517</f>
        <v>Membuat 1 BT Canggawang Jati 5/18</v>
      </c>
      <c r="C402" s="481">
        <f>'Analisa RAB'!H7526</f>
        <v>142842.5</v>
      </c>
      <c r="D402" s="490">
        <f>ROUNDUP(C402/100,0)*100</f>
        <v>142900</v>
      </c>
    </row>
    <row r="403" spans="1:4" ht="18.75" customHeight="1" x14ac:dyDescent="0.25">
      <c r="A403" s="316">
        <f>'Analisa RAB'!B7541</f>
        <v>38</v>
      </c>
      <c r="B403" s="316" t="str">
        <f>'Analisa RAB'!C7541</f>
        <v xml:space="preserve"> Membuat 1 m1 Lambang Mayang 11/12 kayu jati</v>
      </c>
      <c r="C403" s="481">
        <f>'Analisa RAB'!H7550</f>
        <v>541060</v>
      </c>
      <c r="D403" s="490">
        <f>ROUNDUP(C403/100,0)*100</f>
        <v>541100</v>
      </c>
    </row>
    <row r="404" spans="1:4" ht="18.75" customHeight="1" x14ac:dyDescent="0.25">
      <c r="A404" s="316">
        <f>'Analisa RAB'!B7565</f>
        <v>39</v>
      </c>
      <c r="B404" s="316" t="str">
        <f>'Analisa RAB'!C7565</f>
        <v>Pas. m1 Kayu kamper Diatas Lambang Mayeng 6/12</v>
      </c>
      <c r="C404" s="481">
        <f>'Analisa RAB'!H7574</f>
        <v>38025</v>
      </c>
      <c r="D404" s="490">
        <f>ROUNDUP(C404/100,0)*100</f>
        <v>38100</v>
      </c>
    </row>
    <row r="405" spans="1:4" ht="18.75" customHeight="1" x14ac:dyDescent="0.25">
      <c r="A405" s="316">
        <f>'Analisa RAB'!B7591</f>
        <v>40</v>
      </c>
      <c r="B405" s="316" t="str">
        <f>'Analisa RAB'!C7591</f>
        <v>Membuat 1 Bh Bintang Aring (60x60 cm )</v>
      </c>
      <c r="C405" s="481">
        <f>'Analisa RAB'!H7600</f>
        <v>52515</v>
      </c>
      <c r="D405" s="490">
        <f>ROUNDUP(C405/100,0)*100</f>
        <v>52600</v>
      </c>
    </row>
    <row r="406" spans="1:4" ht="18.75" customHeight="1" x14ac:dyDescent="0.25">
      <c r="A406" s="316">
        <f>'Analisa RAB'!B7619</f>
        <v>41</v>
      </c>
      <c r="B406" s="316" t="str">
        <f>'Analisa RAB'!C7619</f>
        <v>Membuat 1 BT Saka Tugeh Jati 7x7cm</v>
      </c>
      <c r="C406" s="481">
        <f>'Analisa RAB'!H7628</f>
        <v>154800</v>
      </c>
      <c r="D406" s="490">
        <f>ROUNDUP(C406/100,0)*100</f>
        <v>154800</v>
      </c>
    </row>
    <row r="407" spans="1:4" ht="18.75" customHeight="1" x14ac:dyDescent="0.25">
      <c r="A407" s="316">
        <f>'Analisa RAB'!B7643</f>
        <v>42</v>
      </c>
      <c r="B407" s="316" t="str">
        <f>'Analisa RAB'!C7643</f>
        <v xml:space="preserve">Membuat 1 Bh Sendi Tugeh Jati </v>
      </c>
      <c r="C407" s="481">
        <f>'Analisa RAB'!H7652</f>
        <v>122850</v>
      </c>
      <c r="D407" s="490">
        <f>ROUNDUP(C407/100,0)*100</f>
        <v>122900</v>
      </c>
    </row>
    <row r="408" spans="1:4" ht="18.75" customHeight="1" x14ac:dyDescent="0.25">
      <c r="A408" s="316">
        <f>'Analisa RAB'!B7667</f>
        <v>43</v>
      </c>
      <c r="B408" s="316" t="str">
        <f>'Analisa RAB'!C7667</f>
        <v>Pas. m1 ring-Ring Kamfer 2/12</v>
      </c>
      <c r="C408" s="481">
        <f>'Analisa RAB'!H7676</f>
        <v>27935</v>
      </c>
      <c r="D408" s="490">
        <f>ROUNDUP(C408/100,0)*100</f>
        <v>28000</v>
      </c>
    </row>
    <row r="409" spans="1:4" ht="18.75" customHeight="1" x14ac:dyDescent="0.25">
      <c r="A409" s="316">
        <f>'Analisa RAB'!B7693</f>
        <v>44</v>
      </c>
      <c r="B409" s="316" t="str">
        <f>'Analisa RAB'!C7693</f>
        <v xml:space="preserve">Pas. m2 Reng Kamfer </v>
      </c>
      <c r="C409" s="481">
        <f>'Analisa RAB'!H7702</f>
        <v>35075</v>
      </c>
      <c r="D409" s="490">
        <f>ROUNDUP(C409/100,0)*100</f>
        <v>35100</v>
      </c>
    </row>
    <row r="410" spans="1:4" ht="18.75" customHeight="1" x14ac:dyDescent="0.25">
      <c r="A410" s="316">
        <f>'Analisa RAB'!B7718</f>
        <v>45</v>
      </c>
      <c r="B410" s="316" t="str">
        <f>'Analisa RAB'!C7718</f>
        <v>Pas. m1 Gigin Barong Kamfer 3/9</v>
      </c>
      <c r="C410" s="481">
        <f>'Analisa RAB'!H7727</f>
        <v>76300</v>
      </c>
      <c r="D410" s="490">
        <f>ROUNDUP(C410/100,0)*100</f>
        <v>76300</v>
      </c>
    </row>
    <row r="411" spans="1:4" ht="18.75" customHeight="1" x14ac:dyDescent="0.25">
      <c r="A411" s="316">
        <f>'Analisa RAB'!B7742</f>
        <v>46</v>
      </c>
      <c r="B411" s="316" t="str">
        <f>'Analisa RAB'!C7742</f>
        <v>Pas. m1 Kamfer Dililit Tali Ijuk 3/9</v>
      </c>
      <c r="C411" s="481">
        <f>'Analisa RAB'!H7751</f>
        <v>87125</v>
      </c>
      <c r="D411" s="490">
        <f>ROUNDUP(C411/100,0)*100</f>
        <v>87200</v>
      </c>
    </row>
    <row r="412" spans="1:4" ht="18.75" customHeight="1" x14ac:dyDescent="0.25">
      <c r="A412" s="316">
        <f>'Analisa RAB'!B7767</f>
        <v>47</v>
      </c>
      <c r="B412" s="316" t="str">
        <f>'Analisa RAB'!C7767</f>
        <v>Pas. m1 Pemade/Pemucu Diketam Kamfer  6/12</v>
      </c>
      <c r="C412" s="481">
        <f>'Analisa RAB'!H7776</f>
        <v>34080</v>
      </c>
      <c r="D412" s="490">
        <f>ROUNDUP(C412/100,0)*100</f>
        <v>34100</v>
      </c>
    </row>
    <row r="413" spans="1:4" ht="18.75" customHeight="1" x14ac:dyDescent="0.25">
      <c r="A413" s="316">
        <f>'Analisa RAB'!B7794</f>
        <v>48</v>
      </c>
      <c r="B413" s="316" t="str">
        <f>'Analisa RAB'!C7794</f>
        <v>Pas. m2 Usuk/Gerantang Expose Kamfer  5/7</v>
      </c>
      <c r="C413" s="481">
        <f>'Analisa RAB'!H7803</f>
        <v>49900</v>
      </c>
      <c r="D413" s="490">
        <f>ROUNDUP(C413/100,0)*100</f>
        <v>49900</v>
      </c>
    </row>
    <row r="414" spans="1:4" ht="18.75" customHeight="1" x14ac:dyDescent="0.25">
      <c r="A414" s="316">
        <f>'Analisa RAB'!B7820</f>
        <v>49</v>
      </c>
      <c r="B414" s="316" t="str">
        <f>'Analisa RAB'!C7820</f>
        <v>Pas. m2 Usuk Maling Kamfer  5/7</v>
      </c>
      <c r="C414" s="481">
        <f>'Analisa RAB'!H7829</f>
        <v>13800</v>
      </c>
      <c r="D414" s="490">
        <f>ROUNDUP(C414/100,0)*100</f>
        <v>13800</v>
      </c>
    </row>
    <row r="415" spans="1:4" ht="18.75" customHeight="1" x14ac:dyDescent="0.25">
      <c r="A415" s="316">
        <f>'Analisa RAB'!B7844</f>
        <v>50</v>
      </c>
      <c r="B415" s="316" t="str">
        <f>'Analisa RAB'!C7844</f>
        <v xml:space="preserve">Pas. m1 Tatab Kamfer  </v>
      </c>
      <c r="C415" s="481">
        <f>'Analisa RAB'!H7853</f>
        <v>36600</v>
      </c>
      <c r="D415" s="490">
        <f>ROUNDUP(C415/100,0)*100</f>
        <v>36600</v>
      </c>
    </row>
    <row r="416" spans="1:4" ht="18.75" customHeight="1" x14ac:dyDescent="0.25">
      <c r="A416" s="316">
        <f>'Analisa RAB'!B7870</f>
        <v>51</v>
      </c>
      <c r="B416" s="316" t="str">
        <f>'Analisa RAB'!C7870</f>
        <v>Pas. m1 Bingkai Praba Kayu Jati</v>
      </c>
      <c r="C416" s="481">
        <f>'Analisa RAB'!H7879</f>
        <v>34080</v>
      </c>
      <c r="D416" s="490">
        <f>ROUNDUP(C416/100,0)*100</f>
        <v>34100</v>
      </c>
    </row>
    <row r="417" spans="1:4" ht="18.75" customHeight="1" x14ac:dyDescent="0.25">
      <c r="A417" s="316">
        <f>'Analisa RAB'!B7895</f>
        <v>52</v>
      </c>
      <c r="B417" s="316" t="str">
        <f>'Analisa RAB'!C7895</f>
        <v>Pekerjaan 1 Bt Ukiran Saka</v>
      </c>
      <c r="C417" s="481">
        <f>'Analisa RAB'!H7903</f>
        <v>529400</v>
      </c>
      <c r="D417" s="490">
        <f>ROUNDUP(C417/100,0)*100</f>
        <v>529400</v>
      </c>
    </row>
    <row r="418" spans="1:4" ht="18.75" customHeight="1" x14ac:dyDescent="0.25">
      <c r="A418" s="316">
        <f>'Analisa RAB'!B7917</f>
        <v>53</v>
      </c>
      <c r="B418" s="316" t="str">
        <f>'Analisa RAB'!C7917</f>
        <v>Pekerjaan 1 Bt Ukiran Tugeh</v>
      </c>
      <c r="C418" s="481">
        <f>'Analisa RAB'!H7925</f>
        <v>398500</v>
      </c>
      <c r="D418" s="490">
        <f>ROUNDUP(C418/100,0)*100</f>
        <v>398500</v>
      </c>
    </row>
    <row r="419" spans="1:4" ht="18.75" customHeight="1" x14ac:dyDescent="0.25">
      <c r="A419" s="316">
        <f>'Analisa RAB'!B7939</f>
        <v>54</v>
      </c>
      <c r="B419" s="316" t="str">
        <f>'Analisa RAB'!C7939</f>
        <v>Pekerjaan 1 Bt Ukiran  Canggah Wang</v>
      </c>
      <c r="C419" s="481">
        <f>'Analisa RAB'!H7947</f>
        <v>860450</v>
      </c>
      <c r="D419" s="490">
        <f>ROUNDUP(C419/100,0)*100</f>
        <v>860500</v>
      </c>
    </row>
    <row r="420" spans="1:4" ht="18.75" customHeight="1" x14ac:dyDescent="0.25">
      <c r="A420" s="316">
        <f>'Analisa RAB'!B7961</f>
        <v>55</v>
      </c>
      <c r="B420" s="316" t="str">
        <f>'Analisa RAB'!C7961</f>
        <v>Pekerjaan 1 Bt Ukiran  Kapu-kapu</v>
      </c>
      <c r="C420" s="481">
        <f>'Analisa RAB'!H7969</f>
        <v>738675</v>
      </c>
      <c r="D420" s="490">
        <f>ROUNDUP(C420/100,0)*100</f>
        <v>738700</v>
      </c>
    </row>
    <row r="421" spans="1:4" ht="18.75" customHeight="1" x14ac:dyDescent="0.25">
      <c r="A421" s="316">
        <f>'Analisa RAB'!B7983</f>
        <v>56</v>
      </c>
      <c r="B421" s="316" t="str">
        <f>'Analisa RAB'!C7983</f>
        <v>Pekerjaan 1 Bt Ukiran  Kincut</v>
      </c>
      <c r="C421" s="481">
        <f>'Analisa RAB'!H7991</f>
        <v>593940</v>
      </c>
      <c r="D421" s="490">
        <f>ROUNDUP(C421/100,0)*100</f>
        <v>594000</v>
      </c>
    </row>
    <row r="422" spans="1:4" ht="18.75" customHeight="1" x14ac:dyDescent="0.25">
      <c r="A422" s="316">
        <f>'Analisa RAB'!B8005</f>
        <v>57</v>
      </c>
      <c r="B422" s="316" t="str">
        <f>'Analisa RAB'!C8005</f>
        <v>Pekerjaan 1 Bt Ukiran  Lambang Mayeng</v>
      </c>
      <c r="C422" s="481">
        <f>'Analisa RAB'!H8013</f>
        <v>1528165</v>
      </c>
      <c r="D422" s="490">
        <f>ROUNDUP(C422/100,0)*100</f>
        <v>1528200</v>
      </c>
    </row>
    <row r="423" spans="1:4" ht="18.75" customHeight="1" x14ac:dyDescent="0.25">
      <c r="A423" s="316">
        <f>'Analisa RAB'!B8027</f>
        <v>58</v>
      </c>
      <c r="B423" s="316" t="str">
        <f>'Analisa RAB'!C8027</f>
        <v>Pekerjaan 1 Bh Ukiran  Petaka</v>
      </c>
      <c r="C423" s="481">
        <f>'Analisa RAB'!H8035</f>
        <v>1169420</v>
      </c>
      <c r="D423" s="490">
        <f>ROUNDUP(C423/100,0)*100</f>
        <v>1169500</v>
      </c>
    </row>
    <row r="424" spans="1:4" ht="18.75" customHeight="1" x14ac:dyDescent="0.25">
      <c r="A424" s="316">
        <f>'Analisa RAB'!B8049</f>
        <v>59</v>
      </c>
      <c r="B424" s="316" t="str">
        <f>'Analisa RAB'!C8049</f>
        <v>Pekerjaan 1 m1 Ukiran  Papan Listplang Type Patra Masir T</v>
      </c>
      <c r="C424" s="481">
        <f>'Analisa RAB'!H8057</f>
        <v>304745</v>
      </c>
      <c r="D424" s="490">
        <f>ROUNDUP(C424/100,0)*100</f>
        <v>304800</v>
      </c>
    </row>
    <row r="425" spans="1:4" ht="18.75" customHeight="1" x14ac:dyDescent="0.25">
      <c r="A425" s="316">
        <f>'Analisa RAB'!B8071</f>
        <v>60</v>
      </c>
      <c r="B425" s="316" t="str">
        <f>'Analisa RAB'!C8071</f>
        <v>Pekerjaan 1 m1 Ukiran  Bingkai</v>
      </c>
      <c r="C425" s="481">
        <f>'Analisa RAB'!H8079</f>
        <v>304745</v>
      </c>
      <c r="D425" s="490">
        <f>ROUNDUP(C425/100,0)*100</f>
        <v>304800</v>
      </c>
    </row>
    <row r="426" spans="1:4" ht="18.75" customHeight="1" x14ac:dyDescent="0.25">
      <c r="A426" s="316">
        <f>'Analisa RAB'!B8094</f>
        <v>61</v>
      </c>
      <c r="B426" s="316" t="str">
        <f>'Analisa RAB'!C8094</f>
        <v>Pekerjaan 1 bh Ukiran  Ring-ring Sudut</v>
      </c>
      <c r="C426" s="481">
        <f>'Analisa RAB'!H8102</f>
        <v>211272.00000000003</v>
      </c>
      <c r="D426" s="490">
        <f>ROUNDUP(C426/100,0)*100</f>
        <v>211300</v>
      </c>
    </row>
    <row r="427" spans="1:4" ht="18.75" customHeight="1" x14ac:dyDescent="0.25">
      <c r="A427" s="316">
        <f>'Analisa RAB'!B8116</f>
        <v>62</v>
      </c>
      <c r="B427" s="316" t="str">
        <f>'Analisa RAB'!C8116</f>
        <v xml:space="preserve">Pekerjaan 1 m1 Ukiran  Ring-ring  </v>
      </c>
      <c r="C427" s="481">
        <f>'Analisa RAB'!H8124</f>
        <v>298144.5</v>
      </c>
      <c r="D427" s="490">
        <f>ROUNDUP(C427/100,0)*100</f>
        <v>298200</v>
      </c>
    </row>
    <row r="428" spans="1:4" ht="18.75" customHeight="1" x14ac:dyDescent="0.25">
      <c r="A428" s="316">
        <f>'Analisa RAB'!B8138</f>
        <v>63</v>
      </c>
      <c r="B428" s="316" t="str">
        <f>'Analisa RAB'!C8138</f>
        <v>Pekerjaan 1 m1 Ukiran  Klurak (lebar 6cm)</v>
      </c>
      <c r="C428" s="481">
        <f>'Analisa RAB'!H8146</f>
        <v>270202.5</v>
      </c>
      <c r="D428" s="490">
        <f>ROUNDUP(C428/100,0)*100</f>
        <v>270300</v>
      </c>
    </row>
    <row r="429" spans="1:4" ht="18.75" customHeight="1" x14ac:dyDescent="0.25">
      <c r="A429" s="316">
        <f>'Analisa RAB'!B8160</f>
        <v>64</v>
      </c>
      <c r="B429" s="316" t="str">
        <f>'Analisa RAB'!C8160</f>
        <v>Pekerjaan 1 m1 Ukiran  Mas-masan (lebar 3 cm)</v>
      </c>
      <c r="C429" s="481">
        <f>'Analisa RAB'!H8168</f>
        <v>188703.5</v>
      </c>
      <c r="D429" s="490">
        <f>ROUNDUP(C429/100,0)*100</f>
        <v>188800</v>
      </c>
    </row>
    <row r="430" spans="1:4" ht="18.75" customHeight="1" x14ac:dyDescent="0.25">
      <c r="A430" s="316">
        <f>'Analisa RAB'!B8182</f>
        <v>65</v>
      </c>
      <c r="B430" s="316" t="str">
        <f>'Analisa RAB'!C8182</f>
        <v>Pekerjaan 1 m1 Ukiran Tempelan Listplang Type Samblung (lebar 10 Cm)</v>
      </c>
      <c r="C430" s="481">
        <f>'Analisa RAB'!H8190</f>
        <v>354282</v>
      </c>
      <c r="D430" s="490">
        <f>ROUNDUP(C430/100,0)*100</f>
        <v>354300</v>
      </c>
    </row>
    <row r="431" spans="1:4" ht="18.75" customHeight="1" x14ac:dyDescent="0.25">
      <c r="A431" s="316">
        <f>'Analisa RAB'!B8204</f>
        <v>66</v>
      </c>
      <c r="B431" s="316" t="str">
        <f>'Analisa RAB'!C8204</f>
        <v>Pekerjaan 1 m2 Ukiran Panil</v>
      </c>
      <c r="C431" s="481">
        <f>'Analisa RAB'!H8212</f>
        <v>2587370</v>
      </c>
      <c r="D431" s="490">
        <f>ROUNDUP(C431/100,0)*100</f>
        <v>2587400</v>
      </c>
    </row>
    <row r="433" spans="1:4" ht="18.75" customHeight="1" x14ac:dyDescent="0.25">
      <c r="A433" s="377" t="str">
        <f>'Analisa RAB'!A8227</f>
        <v>XII.</v>
      </c>
      <c r="B433" s="434" t="str">
        <f>'Analisa RAB'!B8227</f>
        <v>HARGA SATUAN PEKERJAAN KUNCI DAN KACA</v>
      </c>
      <c r="C433" s="482"/>
      <c r="D433" s="491"/>
    </row>
    <row r="434" spans="1:4" ht="18.75" customHeight="1" x14ac:dyDescent="0.25">
      <c r="A434" s="316">
        <f>'Analisa RAB'!B8229</f>
        <v>1</v>
      </c>
      <c r="B434" s="316" t="str">
        <f>'Analisa RAB'!C8229</f>
        <v>Pemasangan 1 buah kunci tanam  biasa</v>
      </c>
      <c r="C434" s="481">
        <f>'Analisa RAB'!H8238</f>
        <v>64995</v>
      </c>
      <c r="D434" s="490">
        <f>ROUNDUP(C434/100,0)*100</f>
        <v>65000</v>
      </c>
    </row>
    <row r="435" spans="1:4" ht="18.75" customHeight="1" x14ac:dyDescent="0.25">
      <c r="A435" s="316">
        <f>'Analisa RAB'!B8253</f>
        <v>2</v>
      </c>
      <c r="B435" s="316" t="str">
        <f>'Analisa RAB'!C8253</f>
        <v>Pemasangan 1 buah kunci  kamar mandi</v>
      </c>
      <c r="C435" s="481">
        <f>'Analisa RAB'!H8262</f>
        <v>64520</v>
      </c>
      <c r="D435" s="490">
        <f>ROUNDUP(C435/100,0)*100</f>
        <v>64600</v>
      </c>
    </row>
    <row r="436" spans="1:4" ht="18.75" customHeight="1" x14ac:dyDescent="0.25">
      <c r="A436" s="316">
        <f>'Analisa RAB'!B8277</f>
        <v>3</v>
      </c>
      <c r="B436" s="316" t="str">
        <f>'Analisa RAB'!C8277</f>
        <v>Pemasangan 1 buah kunci lemari</v>
      </c>
      <c r="C436" s="481">
        <f>'Analisa RAB'!H8286</f>
        <v>29157</v>
      </c>
      <c r="D436" s="490">
        <f>ROUNDUP(C436/100,0)*100</f>
        <v>29200</v>
      </c>
    </row>
    <row r="437" spans="1:4" ht="18.75" customHeight="1" x14ac:dyDescent="0.25">
      <c r="A437" s="316">
        <f>'Analisa RAB'!B8301</f>
        <v>4</v>
      </c>
      <c r="B437" s="316" t="str">
        <f>'Analisa RAB'!C8301</f>
        <v>Pemasangan 1 buah kunci silinder</v>
      </c>
      <c r="C437" s="481">
        <f>'Analisa RAB'!H8310</f>
        <v>63200</v>
      </c>
      <c r="D437" s="490">
        <f>ROUNDUP(C437/100,0)*100</f>
        <v>63200</v>
      </c>
    </row>
    <row r="438" spans="1:4" ht="18.75" customHeight="1" x14ac:dyDescent="0.25">
      <c r="A438" s="316">
        <f>'Analisa RAB'!B8325</f>
        <v>5</v>
      </c>
      <c r="B438" s="316" t="str">
        <f>'Analisa RAB'!C8325</f>
        <v>Pemasangan 1 pasang engsel pintu</v>
      </c>
      <c r="C438" s="481">
        <f>'Analisa RAB'!H8334</f>
        <v>19762</v>
      </c>
      <c r="D438" s="490">
        <f>ROUNDUP(C438/100,0)*100</f>
        <v>19800</v>
      </c>
    </row>
    <row r="439" spans="1:4" ht="18.75" customHeight="1" x14ac:dyDescent="0.25">
      <c r="A439" s="316">
        <f>'Analisa RAB'!B8349</f>
        <v>6</v>
      </c>
      <c r="B439" s="316" t="str">
        <f>'Analisa RAB'!C8349</f>
        <v>Pemasangan 1 ps engsel jendela kupu-kupu</v>
      </c>
      <c r="C439" s="481">
        <f>'Analisa RAB'!H8358</f>
        <v>9401.5</v>
      </c>
      <c r="D439" s="490">
        <f>ROUNDUP(C439/100,0)*100</f>
        <v>9500</v>
      </c>
    </row>
    <row r="440" spans="1:4" ht="18.75" customHeight="1" x14ac:dyDescent="0.25">
      <c r="A440" s="316">
        <f>'Analisa RAB'!B8373</f>
        <v>7</v>
      </c>
      <c r="B440" s="316" t="str">
        <f>'Analisa RAB'!C8373</f>
        <v>Pemasangan 1 buah engsel angin</v>
      </c>
      <c r="C440" s="481">
        <f>'Analisa RAB'!H8382</f>
        <v>25262</v>
      </c>
      <c r="D440" s="490">
        <f>ROUNDUP(C440/100,0)*100</f>
        <v>25300</v>
      </c>
    </row>
    <row r="441" spans="1:4" ht="18.75" customHeight="1" x14ac:dyDescent="0.25">
      <c r="A441" s="316">
        <f>'Analisa RAB'!B8397</f>
        <v>8</v>
      </c>
      <c r="B441" s="316" t="str">
        <f>'Analisa RAB'!C8397</f>
        <v>Pemasangan 1 buah kunci slot</v>
      </c>
      <c r="C441" s="481">
        <f>'Analisa RAB'!H8406</f>
        <v>26340</v>
      </c>
      <c r="D441" s="490">
        <f>ROUNDUP(C441/100,0)*100</f>
        <v>26400</v>
      </c>
    </row>
    <row r="442" spans="1:4" ht="18.75" customHeight="1" x14ac:dyDescent="0.25">
      <c r="A442" s="316">
        <f>'Analisa RAB'!B8421</f>
        <v>9</v>
      </c>
      <c r="B442" s="316" t="str">
        <f>'Analisa RAB'!C8421</f>
        <v>Pemasangan 1 buah kait angin</v>
      </c>
      <c r="C442" s="481">
        <f>'Analisa RAB'!H8430</f>
        <v>19762</v>
      </c>
      <c r="D442" s="490">
        <f>ROUNDUP(C442/100,0)*100</f>
        <v>19800</v>
      </c>
    </row>
    <row r="443" spans="1:4" ht="18.75" customHeight="1" x14ac:dyDescent="0.25">
      <c r="A443" s="316">
        <f>'Analisa RAB'!B8445</f>
        <v>10</v>
      </c>
      <c r="B443" s="316" t="str">
        <f>'Analisa RAB'!C8445</f>
        <v>Pemasangan 1 set espagnoleth</v>
      </c>
      <c r="C443" s="481">
        <f>'Analisa RAB'!H8454</f>
        <v>20770</v>
      </c>
      <c r="D443" s="490">
        <f>ROUNDUP(C443/100,0)*100</f>
        <v>20800</v>
      </c>
    </row>
    <row r="444" spans="1:4" ht="18.75" customHeight="1" x14ac:dyDescent="0.25">
      <c r="A444" s="316">
        <f>'Analisa RAB'!B8468</f>
        <v>11</v>
      </c>
      <c r="B444" s="316" t="str">
        <f>'Analisa RAB'!C8468</f>
        <v>Pemasangan 1 buah door holder</v>
      </c>
      <c r="C444" s="481">
        <f>'Analisa RAB'!H8477</f>
        <v>71170</v>
      </c>
      <c r="D444" s="490">
        <f>ROUNDUP(C444/100,0)*100</f>
        <v>71200</v>
      </c>
    </row>
    <row r="445" spans="1:4" ht="18.75" customHeight="1" x14ac:dyDescent="0.25">
      <c r="A445" s="316">
        <f>'Analisa RAB'!B8492</f>
        <v>12</v>
      </c>
      <c r="B445" s="316" t="str">
        <f>'Analisa RAB'!C8492</f>
        <v>Pemasangan 1 buah door closer</v>
      </c>
      <c r="C445" s="481">
        <f>'Analisa RAB'!H8501</f>
        <v>70792</v>
      </c>
      <c r="D445" s="490">
        <f>ROUNDUP(C445/100,0)*100</f>
        <v>70800</v>
      </c>
    </row>
    <row r="446" spans="1:4" ht="18.75" customHeight="1" x14ac:dyDescent="0.25">
      <c r="A446" s="316">
        <f>'Analisa RAB'!B8516</f>
        <v>13</v>
      </c>
      <c r="B446" s="316" t="str">
        <f>'Analisa RAB'!C8516</f>
        <v>Pemasangan 1 buah rel pintu sorong</v>
      </c>
      <c r="C446" s="481">
        <f>'Analisa RAB'!H8525</f>
        <v>76810</v>
      </c>
      <c r="D446" s="490">
        <f>ROUNDUP(C446/100,0)*100</f>
        <v>76900</v>
      </c>
    </row>
    <row r="447" spans="1:4" ht="18.75" customHeight="1" x14ac:dyDescent="0.25">
      <c r="A447" s="316">
        <f>'Analisa RAB'!B8540</f>
        <v>14</v>
      </c>
      <c r="B447" s="316" t="str">
        <f>'Analisa RAB'!C8540</f>
        <v>Pemasangan 1 m² kaca tebal 3 mm</v>
      </c>
      <c r="C447" s="481">
        <f>'Analisa RAB'!H8549</f>
        <v>19762</v>
      </c>
      <c r="D447" s="490">
        <f>ROUNDUP(C447/100,0)*100</f>
        <v>19800</v>
      </c>
    </row>
    <row r="448" spans="1:4" ht="18.75" customHeight="1" x14ac:dyDescent="0.25">
      <c r="A448" s="316">
        <f>'Analisa RAB'!B8565</f>
        <v>15</v>
      </c>
      <c r="B448" s="316" t="str">
        <f>'Analisa RAB'!C8565</f>
        <v>Pemasangan 1 m² kaca tebal 5 mm</v>
      </c>
      <c r="C448" s="481">
        <f>'Analisa RAB'!H8574</f>
        <v>18712</v>
      </c>
      <c r="D448" s="490">
        <f>ROUNDUP(C448/100,0)*100</f>
        <v>18800</v>
      </c>
    </row>
    <row r="449" spans="1:4" ht="18.75" customHeight="1" x14ac:dyDescent="0.25">
      <c r="A449" s="316">
        <f>'Analisa RAB'!B8590</f>
        <v>16</v>
      </c>
      <c r="B449" s="316" t="str">
        <f>'Analisa RAB'!C8590</f>
        <v>Pemasangan 1 m² kaca tebal 8 mm</v>
      </c>
      <c r="C449" s="481">
        <f>'Analisa RAB'!H8599</f>
        <v>12879</v>
      </c>
      <c r="D449" s="490">
        <f>ROUNDUP(C449/100,0)*100</f>
        <v>12900</v>
      </c>
    </row>
    <row r="450" spans="1:4" ht="18.75" customHeight="1" x14ac:dyDescent="0.25">
      <c r="A450" s="316">
        <f>'Analisa RAB'!B8615</f>
        <v>17</v>
      </c>
      <c r="B450" s="316" t="str">
        <f>'Analisa RAB'!C8615</f>
        <v>Pemasangan 1 m² kaca buram tebal 12 mm</v>
      </c>
      <c r="C450" s="481">
        <f>'Analisa RAB'!H8624</f>
        <v>32932</v>
      </c>
      <c r="D450" s="490">
        <f>ROUNDUP(C450/100,0)*100</f>
        <v>33000</v>
      </c>
    </row>
    <row r="451" spans="1:4" ht="18.75" customHeight="1" x14ac:dyDescent="0.25">
      <c r="A451" s="316">
        <f>'Analisa RAB'!B8640</f>
        <v>18</v>
      </c>
      <c r="B451" s="316" t="str">
        <f>'Analisa RAB'!C8640</f>
        <v>Pemasangan 1 m² kaca cermin tebal 5 mm</v>
      </c>
      <c r="C451" s="481">
        <f>'Analisa RAB'!H8649</f>
        <v>20770</v>
      </c>
      <c r="D451" s="490">
        <f>ROUNDUP(C451/100,0)*100</f>
        <v>20800</v>
      </c>
    </row>
    <row r="452" spans="1:4" ht="18.75" customHeight="1" x14ac:dyDescent="0.25">
      <c r="A452" s="316">
        <f>'Analisa RAB'!B8664</f>
        <v>19</v>
      </c>
      <c r="B452" s="316" t="str">
        <f>'Analisa RAB'!C8664</f>
        <v>Pemasangan 1 m² kaca cermin tebal 8 mm</v>
      </c>
      <c r="C452" s="481">
        <f>'Analisa RAB'!H8673</f>
        <v>23530</v>
      </c>
      <c r="D452" s="490">
        <f>ROUNDUP(C452/100,0)*100</f>
        <v>23600</v>
      </c>
    </row>
    <row r="453" spans="1:4" ht="18.75" customHeight="1" x14ac:dyDescent="0.25">
      <c r="A453" s="316">
        <f>'Analisa RAB'!B8688</f>
        <v>20</v>
      </c>
      <c r="B453" s="316" t="str">
        <f>'Analisa RAB'!C8688</f>
        <v>Pemasangan 1 m² kaca wireglassed tebal 5 mm</v>
      </c>
      <c r="C453" s="481">
        <f>'Analisa RAB'!H8697</f>
        <v>20770</v>
      </c>
      <c r="D453" s="490">
        <f>ROUNDUP(C453/100,0)*100</f>
        <v>20800</v>
      </c>
    </row>
    <row r="454" spans="1:4" ht="18.75" customHeight="1" x14ac:dyDescent="0.25">
      <c r="A454" s="316">
        <f>'Analisa RAB'!B8712</f>
        <v>21</v>
      </c>
      <c r="B454" s="316" t="str">
        <f>'Analisa RAB'!C8712</f>
        <v>Pemasangan 1 m² kaca patri tebal 5 mm</v>
      </c>
      <c r="C454" s="481">
        <f>'Analisa RAB'!H8721</f>
        <v>25910</v>
      </c>
      <c r="D454" s="490">
        <f>ROUNDUP(C454/100,0)*100</f>
        <v>26000</v>
      </c>
    </row>
    <row r="455" spans="1:4" ht="18.75" customHeight="1" x14ac:dyDescent="0.25">
      <c r="A455" s="316">
        <f>'Analisa RAB'!B8737</f>
        <v>22</v>
      </c>
      <c r="B455" s="316" t="str">
        <f>'Analisa RAB'!C8737</f>
        <v>Pemasangan 1 m² kaca buram  tebal 12 mm</v>
      </c>
      <c r="C455" s="481">
        <f>'Analisa RAB'!H8746</f>
        <v>23530</v>
      </c>
      <c r="D455" s="490">
        <f>ROUNDUP(C455/100,0)*100</f>
        <v>23600</v>
      </c>
    </row>
    <row r="457" spans="1:4" ht="18.75" customHeight="1" x14ac:dyDescent="0.25">
      <c r="A457" s="377" t="str">
        <f>'Analisa RAB'!A8762</f>
        <v>XIII.</v>
      </c>
      <c r="B457" s="434" t="str">
        <f>'Analisa RAB'!B8762</f>
        <v>HARGA SATUAN PEKERJAAN PENGECATAN</v>
      </c>
      <c r="C457" s="482"/>
      <c r="D457" s="491"/>
    </row>
    <row r="458" spans="1:4" ht="18.75" customHeight="1" x14ac:dyDescent="0.25">
      <c r="A458" s="316">
        <f>'Analisa RAB'!B8764</f>
        <v>1</v>
      </c>
      <c r="B458" s="316" t="str">
        <f>'Analisa RAB'!C8764</f>
        <v>1 M² Pengikisan  / pengerokan permukaan cat lama</v>
      </c>
      <c r="C458" s="481">
        <f>'Analisa RAB'!H8771</f>
        <v>14670</v>
      </c>
      <c r="D458" s="490">
        <f>ROUNDUP(C458/100,0)*100</f>
        <v>14700</v>
      </c>
    </row>
    <row r="459" spans="1:4" ht="18.75" customHeight="1" x14ac:dyDescent="0.25">
      <c r="A459" s="316">
        <f>'Analisa RAB'!B8786</f>
        <v>2</v>
      </c>
      <c r="B459" s="316" t="str">
        <f>'Analisa RAB'!C8786</f>
        <v>1 M² Pencucian bidang permukaan tembok yang pernah di cat</v>
      </c>
      <c r="C459" s="481">
        <f>'Analisa RAB'!H8793</f>
        <v>14670</v>
      </c>
      <c r="D459" s="490">
        <f>ROUNDUP(C459/100,0)*100</f>
        <v>14700</v>
      </c>
    </row>
    <row r="460" spans="1:4" ht="18.75" customHeight="1" x14ac:dyDescent="0.25">
      <c r="A460" s="316">
        <f>'Analisa RAB'!B8808</f>
        <v>3</v>
      </c>
      <c r="B460" s="316" t="str">
        <f>'Analisa RAB'!C8808</f>
        <v>1 M² Pengerokan karat pada permukaan baja secara manual</v>
      </c>
      <c r="C460" s="481">
        <f>'Analisa RAB'!H8815</f>
        <v>15370</v>
      </c>
      <c r="D460" s="490">
        <f>ROUNDUP(C460/100,0)*100</f>
        <v>15400</v>
      </c>
    </row>
    <row r="461" spans="1:4" ht="18.75" customHeight="1" x14ac:dyDescent="0.25">
      <c r="A461" s="316" t="str">
        <f>'Analisa RAB'!B8830</f>
        <v>4.1</v>
      </c>
      <c r="B461" s="316" t="str">
        <f>'Analisa RAB'!C8830</f>
        <v>1 M² Pengecatan bidang kayu baru (1 lapis plamier, 1 lapis cat dasar, 2 lapis cat penutup)</v>
      </c>
      <c r="C461" s="481">
        <f>'Analisa RAB'!H8840</f>
        <v>11835</v>
      </c>
      <c r="D461" s="490">
        <f>ROUNDUP(C461/100,0)*100</f>
        <v>11900</v>
      </c>
    </row>
    <row r="462" spans="1:4" ht="18.75" customHeight="1" x14ac:dyDescent="0.25">
      <c r="A462" s="316" t="str">
        <f>'Analisa RAB'!B8831</f>
        <v>4.2</v>
      </c>
      <c r="B462" s="316" t="str">
        <f>'Analisa RAB'!C8831</f>
        <v>1 M² Pengecatan bidang kayu lama (1 lapis plamier, 1 lapis cat dasar, 2 lapis cat penutup)</v>
      </c>
      <c r="C462" s="481">
        <f>C461</f>
        <v>11835</v>
      </c>
      <c r="D462" s="490">
        <f>ROUNDUP(C462/100,0)*100</f>
        <v>11900</v>
      </c>
    </row>
    <row r="463" spans="1:4" ht="18.75" customHeight="1" x14ac:dyDescent="0.25">
      <c r="A463" s="316">
        <f>'Analisa RAB'!B8866</f>
        <v>5</v>
      </c>
      <c r="B463" s="316" t="str">
        <f>'Analisa RAB'!C8866</f>
        <v>Pengecatan 1 M² bidang kayu baru (1 lapis plamier, 1 lapis cat dasar, 3 lapis cat penutup)</v>
      </c>
      <c r="C463" s="481">
        <f>'Analisa RAB'!H8875</f>
        <v>11812</v>
      </c>
      <c r="D463" s="490">
        <f>ROUNDUP(C463/100,0)*100</f>
        <v>11900</v>
      </c>
    </row>
    <row r="464" spans="1:4" ht="18.75" customHeight="1" x14ac:dyDescent="0.25">
      <c r="A464" s="316">
        <f>'Analisa RAB'!B8896</f>
        <v>6</v>
      </c>
      <c r="B464" s="316" t="str">
        <f>'Analisa RAB'!C8896</f>
        <v>Pelaburan 1 M² bidang kayu dengan teak oil</v>
      </c>
      <c r="C464" s="481">
        <f>'Analisa RAB'!H8905</f>
        <v>24487.5</v>
      </c>
      <c r="D464" s="490">
        <f>ROUNDUP(C464/100,0)*100</f>
        <v>24500</v>
      </c>
    </row>
    <row r="465" spans="1:4" ht="18.75" customHeight="1" x14ac:dyDescent="0.25">
      <c r="A465" s="316">
        <f>'Analisa RAB'!B8920</f>
        <v>7</v>
      </c>
      <c r="B465" s="316" t="str">
        <f>'Analisa RAB'!C8920</f>
        <v>Pelaburan 1 M² bidang kayu dengan politur</v>
      </c>
      <c r="C465" s="481">
        <f>'Analisa RAB'!H8929</f>
        <v>25710</v>
      </c>
      <c r="D465" s="490">
        <f>ROUNDUP(C465/100,0)*100</f>
        <v>25800</v>
      </c>
    </row>
    <row r="466" spans="1:4" ht="18.75" customHeight="1" x14ac:dyDescent="0.25">
      <c r="A466" s="316">
        <f>'Analisa RAB'!B8946</f>
        <v>8</v>
      </c>
      <c r="B466" s="316" t="str">
        <f>'Analisa RAB'!C8946</f>
        <v>Pelaburan 1 M² bidang kayu dengan cat residu dan ter</v>
      </c>
      <c r="C466" s="481">
        <f>'Analisa RAB'!H8953</f>
        <v>10340</v>
      </c>
      <c r="D466" s="490">
        <f>ROUNDUP(C466/100,0)*100</f>
        <v>10400</v>
      </c>
    </row>
    <row r="467" spans="1:4" ht="18.75" customHeight="1" x14ac:dyDescent="0.25">
      <c r="A467" s="316">
        <f>'Analisa RAB'!B8969</f>
        <v>9</v>
      </c>
      <c r="B467" s="316" t="str">
        <f>'Analisa RAB'!C8969</f>
        <v>Pelaburan 1 M² bidang kayu dengan vernis</v>
      </c>
      <c r="C467" s="481">
        <f>'Analisa RAB'!H8978</f>
        <v>35060</v>
      </c>
      <c r="D467" s="490">
        <f>ROUNDUP(C467/100,0)*100</f>
        <v>35100</v>
      </c>
    </row>
    <row r="468" spans="1:4" ht="18.75" customHeight="1" x14ac:dyDescent="0.25">
      <c r="A468" s="316">
        <f>'Analisa RAB'!B8995</f>
        <v>10</v>
      </c>
      <c r="B468" s="316" t="str">
        <f>'Analisa RAB'!C8995</f>
        <v>Pengecatan 1 M² tembok baru (1 lapis plamuur, 1 lapis cat dasar, 2 lapis cat penutup)</v>
      </c>
      <c r="C468" s="481">
        <f>'Analisa RAB'!H9004</f>
        <v>11327.5</v>
      </c>
      <c r="D468" s="490">
        <f>ROUNDUP(C468/100,0)*100</f>
        <v>11400</v>
      </c>
    </row>
    <row r="469" spans="1:4" ht="18.75" customHeight="1" x14ac:dyDescent="0.25">
      <c r="A469" s="316">
        <f>'Analisa RAB'!B9021</f>
        <v>11</v>
      </c>
      <c r="B469" s="316" t="str">
        <f>'Analisa RAB'!C9021</f>
        <v>Pengecatan 1 M² tembok lama (1 lapis cat dasar, 2 lapis cat penutup)</v>
      </c>
      <c r="C469" s="481">
        <f>'Analisa RAB'!H9030</f>
        <v>11835</v>
      </c>
      <c r="D469" s="490">
        <f>ROUNDUP(C469/100,0)*100</f>
        <v>11900</v>
      </c>
    </row>
    <row r="470" spans="1:4" ht="18.75" customHeight="1" x14ac:dyDescent="0.25">
      <c r="A470" s="316">
        <f>'Analisa RAB'!B9046</f>
        <v>12</v>
      </c>
      <c r="B470" s="316" t="str">
        <f>'Analisa RAB'!C9046</f>
        <v>Pelaburan 1 M² tembok dengan kalkarium</v>
      </c>
      <c r="C470" s="481">
        <f>'Analisa RAB'!H9055</f>
        <v>11835</v>
      </c>
      <c r="D470" s="490">
        <f>ROUNDUP(C470/100,0)*100</f>
        <v>11900</v>
      </c>
    </row>
    <row r="471" spans="1:4" ht="18.75" customHeight="1" x14ac:dyDescent="0.25">
      <c r="A471" s="316">
        <f>'Analisa RAB'!B9070</f>
        <v>13</v>
      </c>
      <c r="B471" s="316" t="str">
        <f>'Analisa RAB'!C9070</f>
        <v>Pelaburan 1 M² tembok dengan kapur sirih</v>
      </c>
      <c r="C471" s="481">
        <f>'Analisa RAB'!H9079</f>
        <v>14721.5</v>
      </c>
      <c r="D471" s="490">
        <f>ROUNDUP(C471/100,0)*100</f>
        <v>14800</v>
      </c>
    </row>
    <row r="472" spans="1:4" ht="18.75" customHeight="1" x14ac:dyDescent="0.25">
      <c r="A472" s="316">
        <f>'Analisa RAB'!B9096</f>
        <v>14</v>
      </c>
      <c r="B472" s="316" t="str">
        <f>'Analisa RAB'!C9096</f>
        <v>Pelaburan 1 M² tembok lama dengan kapur sirih (pemeliharaan)</v>
      </c>
      <c r="C472" s="481">
        <f>'Analisa RAB'!H9105</f>
        <v>8082.5</v>
      </c>
      <c r="D472" s="490">
        <f>ROUNDUP(C472/100,0)*100</f>
        <v>8100</v>
      </c>
    </row>
    <row r="473" spans="1:4" ht="18.75" customHeight="1" x14ac:dyDescent="0.25">
      <c r="A473" s="316">
        <f>'Analisa RAB'!B9122</f>
        <v>15</v>
      </c>
      <c r="B473" s="316" t="str">
        <f>'Analisa RAB'!C9122</f>
        <v>Pemasangan 1 M² wallpaper</v>
      </c>
      <c r="C473" s="481">
        <f>'Analisa RAB'!H9131</f>
        <v>26550</v>
      </c>
      <c r="D473" s="490">
        <f>ROUNDUP(C473/100,0)*100</f>
        <v>26600</v>
      </c>
    </row>
    <row r="474" spans="1:4" ht="18.75" customHeight="1" x14ac:dyDescent="0.25">
      <c r="A474" s="316">
        <f>'Analisa RAB'!B9147</f>
        <v>16</v>
      </c>
      <c r="B474" s="316" t="str">
        <f>'Analisa RAB'!C9147</f>
        <v>Pengecatan 1 M² permukaan baja dengan menie besi dengan perancah</v>
      </c>
      <c r="C474" s="481">
        <f>'Analisa RAB'!H9156</f>
        <v>52137.5</v>
      </c>
      <c r="D474" s="490">
        <f>ROUNDUP(C474/100,0)*100</f>
        <v>52200</v>
      </c>
    </row>
    <row r="475" spans="1:4" ht="18.75" customHeight="1" x14ac:dyDescent="0.25">
      <c r="A475" s="316">
        <f>'Analisa RAB'!B9174</f>
        <v>17</v>
      </c>
      <c r="B475" s="316" t="str">
        <f>'Analisa RAB'!C9174</f>
        <v>Pengecatan 1 M² permukaan bidang kayu dengan mowilek</v>
      </c>
      <c r="C475" s="481">
        <f>'Analisa RAB'!H9183</f>
        <v>8750</v>
      </c>
      <c r="D475" s="490">
        <f>ROUNDUP(C475/100,0)*100</f>
        <v>8800</v>
      </c>
    </row>
    <row r="476" spans="1:4" ht="18.75" customHeight="1" x14ac:dyDescent="0.25">
      <c r="A476" s="316">
        <f>'Analisa RAB'!B9200</f>
        <v>18</v>
      </c>
      <c r="B476" s="316" t="str">
        <f>'Analisa RAB'!C9200</f>
        <v>Pengecatan 1 M² pelapisan batu alam (Coathing)</v>
      </c>
      <c r="C476" s="481">
        <f>'Analisa RAB'!H9209</f>
        <v>8750</v>
      </c>
      <c r="D476" s="490">
        <f>ROUNDUP(C476/100,0)*100</f>
        <v>8800</v>
      </c>
    </row>
    <row r="477" spans="1:4" ht="18.75" customHeight="1" x14ac:dyDescent="0.25">
      <c r="A477" s="316">
        <f>'Analisa RAB'!B9226</f>
        <v>19</v>
      </c>
      <c r="B477" s="316" t="str">
        <f>'Analisa RAB'!C9226</f>
        <v>Pengecatan 1 M² permukaan tembok dengan KCA</v>
      </c>
      <c r="C477" s="481">
        <f>'Analisa RAB'!H9235</f>
        <v>24627.5</v>
      </c>
      <c r="D477" s="490">
        <f>ROUNDUP(C477/100,0)*100</f>
        <v>24700</v>
      </c>
    </row>
    <row r="478" spans="1:4" ht="18.75" customHeight="1" x14ac:dyDescent="0.25">
      <c r="A478" s="316">
        <f>'Analisa RAB'!B9252</f>
        <v>20</v>
      </c>
      <c r="B478" s="316" t="str">
        <f>'Analisa RAB'!C9252</f>
        <v xml:space="preserve">Pengecatan 1 M² permukaan baja galvanis secara manual sistem 3 lapis </v>
      </c>
      <c r="C478" s="481">
        <f>'Analisa RAB'!H9261</f>
        <v>129750</v>
      </c>
      <c r="D478" s="490">
        <f>ROUNDUP(C478/100,0)*100</f>
        <v>129800</v>
      </c>
    </row>
    <row r="479" spans="1:4" ht="18.75" customHeight="1" x14ac:dyDescent="0.25">
      <c r="A479" s="316">
        <f>'Analisa RAB'!B9280</f>
        <v>21</v>
      </c>
      <c r="B479" s="316" t="str">
        <f>'Analisa RAB'!C9280</f>
        <v>Pengecatan 1 M² permukaan tembok dengan waterproofing</v>
      </c>
      <c r="C479" s="481">
        <f>'Analisa RAB'!H9289</f>
        <v>44800</v>
      </c>
      <c r="D479" s="490">
        <f>ROUNDUP(C479/100,0)*100</f>
        <v>44800</v>
      </c>
    </row>
    <row r="480" spans="1:4" ht="18.75" customHeight="1" x14ac:dyDescent="0.25">
      <c r="A480" s="316">
        <f>'Analisa RAB'!B9306</f>
        <v>22</v>
      </c>
      <c r="B480" s="316" t="str">
        <f>'Analisa RAB'!C9306</f>
        <v>Pengecatan 1 M² permukaan baja galvanis  secara manual 4 lapis</v>
      </c>
      <c r="C480" s="481">
        <f>'Analisa RAB'!H9315</f>
        <v>54307</v>
      </c>
      <c r="D480" s="490">
        <f>ROUNDUP(C480/100,0)*100</f>
        <v>54400</v>
      </c>
    </row>
    <row r="482" spans="1:4" ht="18.75" customHeight="1" x14ac:dyDescent="0.25">
      <c r="A482" s="377" t="str">
        <f>'Analisa RAB'!A9334</f>
        <v>XIV.</v>
      </c>
      <c r="B482" s="434" t="str">
        <f>'Analisa RAB'!B9334</f>
        <v>HARGA SATUAN PEKERJAAN SANITASI DALAM GEDUNG</v>
      </c>
      <c r="C482" s="482"/>
      <c r="D482" s="491"/>
    </row>
    <row r="483" spans="1:4" ht="18.75" customHeight="1" x14ac:dyDescent="0.25">
      <c r="A483" s="316">
        <f>'Analisa RAB'!B9336</f>
        <v>1</v>
      </c>
      <c r="B483" s="316" t="str">
        <f>'Analisa RAB'!C9336</f>
        <v>Pemasangan 1 buah closet duduk</v>
      </c>
      <c r="C483" s="481">
        <f>'Analisa RAB'!H9345</f>
        <v>458050</v>
      </c>
      <c r="D483" s="490">
        <f>ROUNDUP(C483/100,0)*100</f>
        <v>458100</v>
      </c>
    </row>
    <row r="484" spans="1:4" ht="18.75" customHeight="1" x14ac:dyDescent="0.25">
      <c r="A484" s="316">
        <f>'Analisa RAB'!B9361</f>
        <v>2</v>
      </c>
      <c r="B484" s="316" t="str">
        <f>'Analisa RAB'!C9361</f>
        <v>Pengerjaan 1 buah closet jongkok</v>
      </c>
      <c r="C484" s="481">
        <f>'Analisa RAB'!H9370</f>
        <v>287750</v>
      </c>
      <c r="D484" s="490">
        <f>ROUNDUP(C484/100,0)*100</f>
        <v>287800</v>
      </c>
    </row>
    <row r="485" spans="1:4" ht="18.75" customHeight="1" x14ac:dyDescent="0.25">
      <c r="A485" s="316">
        <f>'Analisa RAB'!B9388</f>
        <v>3</v>
      </c>
      <c r="B485" s="316" t="str">
        <f>'Analisa RAB'!C9388</f>
        <v>Pemasangan 1 buah urinoir setara KIA</v>
      </c>
      <c r="C485" s="481">
        <f>'Analisa RAB'!H9397</f>
        <v>141500</v>
      </c>
      <c r="D485" s="490">
        <f>ROUNDUP(C485/100,0)*100</f>
        <v>141500</v>
      </c>
    </row>
    <row r="486" spans="1:4" ht="18.75" customHeight="1" x14ac:dyDescent="0.25">
      <c r="A486" s="316">
        <f>'Analisa RAB'!B9415</f>
        <v>4</v>
      </c>
      <c r="B486" s="316" t="str">
        <f>'Analisa RAB'!C9415</f>
        <v>Pemasangan 1 buah wastafel</v>
      </c>
      <c r="C486" s="481">
        <f>'Analisa RAB'!H9424</f>
        <v>301250</v>
      </c>
      <c r="D486" s="490">
        <f>ROUNDUP(C486/100,0)*100</f>
        <v>301300</v>
      </c>
    </row>
    <row r="487" spans="1:4" ht="18.75" customHeight="1" x14ac:dyDescent="0.25">
      <c r="A487" s="316">
        <f>'Analisa RAB'!B9442</f>
        <v>5</v>
      </c>
      <c r="B487" s="316" t="str">
        <f>'Analisa RAB'!C9442</f>
        <v>Pemasangan 1 buah tempat sabun</v>
      </c>
      <c r="C487" s="481">
        <f>'Analisa RAB'!H9451</f>
        <v>24140</v>
      </c>
      <c r="D487" s="490">
        <f>ROUNDUP(C487/100,0)*100</f>
        <v>24200</v>
      </c>
    </row>
    <row r="488" spans="1:4" ht="18.75" customHeight="1" x14ac:dyDescent="0.25">
      <c r="A488" s="316">
        <f>'Analisa RAB'!B9468</f>
        <v>6</v>
      </c>
      <c r="B488" s="316" t="str">
        <f>'Analisa RAB'!C9468</f>
        <v>Pemasangan 1 buah bak fibreglass vol 1 m3</v>
      </c>
      <c r="C488" s="481">
        <f>'Analisa RAB'!H9477</f>
        <v>88782.5</v>
      </c>
      <c r="D488" s="490">
        <f>ROUNDUP(C488/100,0)*100</f>
        <v>88800</v>
      </c>
    </row>
    <row r="489" spans="1:4" ht="18.75" customHeight="1" x14ac:dyDescent="0.25">
      <c r="A489" s="316">
        <f>'Analisa RAB'!B9493</f>
        <v>7</v>
      </c>
      <c r="B489" s="316" t="str">
        <f>'Analisa RAB'!C9493</f>
        <v>Pemasangan 1 buah bak mandi batu bata vol.0,3 m3</v>
      </c>
      <c r="C489" s="481">
        <f>'Analisa RAB'!H9502</f>
        <v>938700</v>
      </c>
      <c r="D489" s="490">
        <f>ROUNDUP(C489/100,0)*100</f>
        <v>938700</v>
      </c>
    </row>
    <row r="490" spans="1:4" ht="18.75" customHeight="1" x14ac:dyDescent="0.25">
      <c r="A490" s="316">
        <f>'Analisa RAB'!B9521</f>
        <v>8</v>
      </c>
      <c r="B490" s="316" t="str">
        <f>'Analisa RAB'!C9521</f>
        <v xml:space="preserve">Pemasangan 1 buah bak mandi teraso </v>
      </c>
      <c r="C490" s="481">
        <f>'Analisa RAB'!H9530</f>
        <v>653850</v>
      </c>
      <c r="D490" s="490">
        <f>ROUNDUP(C490/100,0)*100</f>
        <v>653900</v>
      </c>
    </row>
    <row r="491" spans="1:4" ht="18.75" customHeight="1" x14ac:dyDescent="0.25">
      <c r="A491" s="316">
        <f>'Analisa RAB'!B9546</f>
        <v>9</v>
      </c>
      <c r="B491" s="316" t="str">
        <f>'Analisa RAB'!C9546</f>
        <v>Pemasangan 1 buah bak beton vol 1 m3</v>
      </c>
      <c r="C491" s="481">
        <f>'Analisa RAB'!H9555</f>
        <v>838645</v>
      </c>
      <c r="D491" s="490">
        <f>ROUNDUP(C491/100,0)*100</f>
        <v>838700</v>
      </c>
    </row>
    <row r="492" spans="1:4" ht="18.75" customHeight="1" x14ac:dyDescent="0.25">
      <c r="A492" s="316">
        <f>'Analisa RAB'!B9574</f>
        <v>10</v>
      </c>
      <c r="B492" s="316" t="str">
        <f>'Analisa RAB'!C9574</f>
        <v>Pemasangan 1 buah bak cuci piring stainless steel</v>
      </c>
      <c r="C492" s="481">
        <f>'Analisa RAB'!H9583</f>
        <v>41400</v>
      </c>
      <c r="D492" s="490">
        <f>ROUNDUP(C492/100,0)*100</f>
        <v>41400</v>
      </c>
    </row>
    <row r="493" spans="1:4" ht="18.75" customHeight="1" x14ac:dyDescent="0.25">
      <c r="A493" s="316">
        <f>'Analisa RAB'!B9599</f>
        <v>11</v>
      </c>
      <c r="B493" s="316" t="str">
        <f>'Analisa RAB'!C9599</f>
        <v>Pemasangan 1 buah bak cuci piring teraso</v>
      </c>
      <c r="C493" s="481">
        <f>'Analisa RAB'!H9608</f>
        <v>52250</v>
      </c>
      <c r="D493" s="490">
        <f>ROUNDUP(C493/100,0)*100</f>
        <v>52300</v>
      </c>
    </row>
    <row r="494" spans="1:4" ht="18.75" customHeight="1" x14ac:dyDescent="0.25">
      <c r="A494" s="316">
        <f>'Analisa RAB'!B9626</f>
        <v>12</v>
      </c>
      <c r="B494" s="316" t="str">
        <f>'Analisa RAB'!C9626</f>
        <v>Pemasangan 1 buah floor drain</v>
      </c>
      <c r="C494" s="481">
        <f>'Analisa RAB'!H9635</f>
        <v>13225</v>
      </c>
      <c r="D494" s="490">
        <f>ROUNDUP(C494/100,0)*100</f>
        <v>13300</v>
      </c>
    </row>
    <row r="495" spans="1:4" ht="18.75" customHeight="1" x14ac:dyDescent="0.25">
      <c r="A495" s="316">
        <f>'Analisa RAB'!B9650</f>
        <v>13</v>
      </c>
      <c r="B495" s="316" t="str">
        <f>'Analisa RAB'!C9650</f>
        <v>Pemasangan 1 buah bak kontrol pasangan bata 30 x 30 tinggi 35 cm</v>
      </c>
      <c r="C495" s="481">
        <f>'Analisa RAB'!H9659</f>
        <v>374020</v>
      </c>
      <c r="D495" s="490">
        <f>ROUNDUP(C495/100,0)*100</f>
        <v>374100</v>
      </c>
    </row>
    <row r="496" spans="1:4" ht="18.75" customHeight="1" x14ac:dyDescent="0.25">
      <c r="A496" s="316">
        <f>'Analisa RAB'!B9679</f>
        <v>14</v>
      </c>
      <c r="B496" s="316" t="str">
        <f>'Analisa RAB'!C9679</f>
        <v>Pemasangan 1 buah bak kontrol pasangan bata 45cm x 45cm tinggi 50 cm</v>
      </c>
      <c r="C496" s="481">
        <f>'Analisa RAB'!H9688</f>
        <v>434005</v>
      </c>
      <c r="D496" s="490">
        <f>ROUNDUP(C496/100,0)*100</f>
        <v>434100</v>
      </c>
    </row>
    <row r="497" spans="1:4" ht="18.75" customHeight="1" x14ac:dyDescent="0.25">
      <c r="A497" s="316">
        <f>'Analisa RAB'!B9708</f>
        <v>15</v>
      </c>
      <c r="B497" s="316" t="str">
        <f>'Analisa RAB'!C9708</f>
        <v>Pemasangan 1 buah bak kontrol pasangan bata 60cm x 60cm tinggi 65 cm</v>
      </c>
      <c r="C497" s="481">
        <f>'Analisa RAB'!H9717</f>
        <v>434005</v>
      </c>
      <c r="D497" s="490">
        <f>ROUNDUP(C497/100,0)*100</f>
        <v>434100</v>
      </c>
    </row>
    <row r="498" spans="1:4" ht="18.75" customHeight="1" x14ac:dyDescent="0.25">
      <c r="A498" s="316">
        <f>'Analisa RAB'!B9737</f>
        <v>16</v>
      </c>
      <c r="B498" s="316" t="str">
        <f>'Analisa RAB'!C9737</f>
        <v>Pemasangan 1 buah kran diameter ½ " atau ¾ " (0.75 -0.5)</v>
      </c>
      <c r="C498" s="481">
        <f>'Analisa RAB'!H9746</f>
        <v>18525</v>
      </c>
      <c r="D498" s="490">
        <f>ROUNDUP(C498/100,0)*100</f>
        <v>18600</v>
      </c>
    </row>
    <row r="499" spans="1:4" ht="18.75" customHeight="1" x14ac:dyDescent="0.25">
      <c r="A499" s="316">
        <f>'Analisa RAB'!B9762</f>
        <v>17</v>
      </c>
      <c r="B499" s="316" t="str">
        <f>'Analisa RAB'!C9762</f>
        <v>Pemasangan 1 m1 pipa galvanis diameter 1/2"</v>
      </c>
      <c r="C499" s="481">
        <f>'Analisa RAB'!H9771</f>
        <v>21878</v>
      </c>
      <c r="D499" s="490">
        <f>ROUNDUP(C499/100,0)*100</f>
        <v>21900</v>
      </c>
    </row>
    <row r="500" spans="1:4" ht="18.75" customHeight="1" x14ac:dyDescent="0.25">
      <c r="A500" s="316">
        <f>'Analisa RAB'!B9787</f>
        <v>18</v>
      </c>
      <c r="B500" s="316" t="str">
        <f>'Analisa RAB'!C9787</f>
        <v>Pemasangan 1 m1 pipa galvanis diameter  1"</v>
      </c>
      <c r="C500" s="481">
        <f>'Analisa RAB'!H9796</f>
        <v>21878</v>
      </c>
      <c r="D500" s="490">
        <f>ROUNDUP(C500/100,0)*100</f>
        <v>21900</v>
      </c>
    </row>
    <row r="501" spans="1:4" ht="18.75" customHeight="1" x14ac:dyDescent="0.25">
      <c r="A501" s="316">
        <f>'Analisa RAB'!B9812</f>
        <v>19</v>
      </c>
      <c r="B501" s="316" t="str">
        <f>'Analisa RAB'!C9812</f>
        <v>Pemasangan 1 m1 pipa galvanis diameter  1,5"</v>
      </c>
      <c r="C501" s="481">
        <f>'Analisa RAB'!H9821</f>
        <v>32830</v>
      </c>
      <c r="D501" s="490">
        <f>ROUNDUP(C501/100,0)*100</f>
        <v>32900</v>
      </c>
    </row>
    <row r="502" spans="1:4" ht="18.75" customHeight="1" x14ac:dyDescent="0.25">
      <c r="A502" s="316">
        <f>'Analisa RAB'!B9837</f>
        <v>20</v>
      </c>
      <c r="B502" s="316" t="str">
        <f>'Analisa RAB'!C9837</f>
        <v>Pemasangan 1 m1 pipa galvanis diameter  3"</v>
      </c>
      <c r="C502" s="481">
        <f>'Analisa RAB'!H9846</f>
        <v>41200</v>
      </c>
      <c r="D502" s="490">
        <f>ROUNDUP(C502/100,0)*100</f>
        <v>41200</v>
      </c>
    </row>
    <row r="503" spans="1:4" ht="18.75" customHeight="1" x14ac:dyDescent="0.25">
      <c r="A503" s="316">
        <f>'Analisa RAB'!B9862</f>
        <v>21</v>
      </c>
      <c r="B503" s="316" t="str">
        <f>'Analisa RAB'!C9862</f>
        <v>Pemasangan 1 m1 pipa galvanis diameter  4"</v>
      </c>
      <c r="C503" s="481">
        <f>'Analisa RAB'!H9871</f>
        <v>41200</v>
      </c>
      <c r="D503" s="490">
        <f>ROUNDUP(C503/100,0)*100</f>
        <v>41200</v>
      </c>
    </row>
    <row r="504" spans="1:4" ht="18.75" customHeight="1" x14ac:dyDescent="0.25">
      <c r="A504" s="316">
        <f>'Analisa RAB'!B9887</f>
        <v>22</v>
      </c>
      <c r="B504" s="316" t="str">
        <f>'Analisa RAB'!C9887</f>
        <v>Pemasangan 1 m1 pipa PVC tipe AW diameter  ½  "</v>
      </c>
      <c r="C504" s="481">
        <f>'Analisa RAB'!H9896</f>
        <v>12640</v>
      </c>
      <c r="D504" s="490">
        <f>ROUNDUP(C504/100,0)*100</f>
        <v>12700</v>
      </c>
    </row>
    <row r="505" spans="1:4" ht="18.75" customHeight="1" x14ac:dyDescent="0.25">
      <c r="A505" s="316">
        <f>'Analisa RAB'!B9912</f>
        <v>23</v>
      </c>
      <c r="B505" s="316" t="str">
        <f>'Analisa RAB'!C9912</f>
        <v>Pemasangan 1 m1 pipa PVC tipe AW diameter  ¾ "</v>
      </c>
      <c r="C505" s="481">
        <f>'Analisa RAB'!H9921</f>
        <v>12640</v>
      </c>
      <c r="D505" s="490">
        <f>ROUNDUP(C505/100,0)*100</f>
        <v>12700</v>
      </c>
    </row>
    <row r="506" spans="1:4" ht="18.75" customHeight="1" x14ac:dyDescent="0.25">
      <c r="A506" s="316">
        <f>'Analisa RAB'!B9937</f>
        <v>24</v>
      </c>
      <c r="B506" s="316" t="str">
        <f>'Analisa RAB'!C9937</f>
        <v>Pemasangan 1 m1 pipa PVC tipe AW diameter  1 "</v>
      </c>
      <c r="C506" s="481">
        <f>'Analisa RAB'!H9946</f>
        <v>12640</v>
      </c>
      <c r="D506" s="490">
        <f>ROUNDUP(C506/100,0)*100</f>
        <v>12700</v>
      </c>
    </row>
    <row r="507" spans="1:4" ht="18.75" customHeight="1" x14ac:dyDescent="0.25">
      <c r="A507" s="316">
        <f>'Analisa RAB'!B9962</f>
        <v>25</v>
      </c>
      <c r="B507" s="316" t="str">
        <f>'Analisa RAB'!C9962</f>
        <v>Pemasangan 1 m1 pipa PVC tipe AW diameter  1½ "</v>
      </c>
      <c r="C507" s="481">
        <f>'Analisa RAB'!H9971</f>
        <v>18518</v>
      </c>
      <c r="D507" s="490">
        <f>ROUNDUP(C507/100,0)*100</f>
        <v>18600</v>
      </c>
    </row>
    <row r="508" spans="1:4" ht="18.75" customHeight="1" x14ac:dyDescent="0.25">
      <c r="A508" s="316">
        <f>'Analisa RAB'!B9988</f>
        <v>26</v>
      </c>
      <c r="B508" s="316" t="str">
        <f>'Analisa RAB'!C9988</f>
        <v>Pemasangan 1 m1 pipa PVC tipe AW diameter  2 "</v>
      </c>
      <c r="C508" s="481">
        <f>'Analisa RAB'!H9997</f>
        <v>18518</v>
      </c>
      <c r="D508" s="490">
        <f>ROUNDUP(C508/100,0)*100</f>
        <v>18600</v>
      </c>
    </row>
    <row r="509" spans="1:4" ht="18.75" customHeight="1" x14ac:dyDescent="0.25">
      <c r="A509" s="316">
        <f>'Analisa RAB'!B10013</f>
        <v>27</v>
      </c>
      <c r="B509" s="316" t="str">
        <f>'Analisa RAB'!C10013</f>
        <v>Pemasangan 1 m1 pipa PVC tipe AW diameter  3 "</v>
      </c>
      <c r="C509" s="481">
        <f>'Analisa RAB'!H10022</f>
        <v>24657.5</v>
      </c>
      <c r="D509" s="490">
        <f>ROUNDUP(C509/100,0)*100</f>
        <v>24700</v>
      </c>
    </row>
    <row r="511" spans="1:4" ht="18.75" customHeight="1" x14ac:dyDescent="0.25">
      <c r="A511" s="377" t="str">
        <f>'Analisa RAB'!A10038</f>
        <v>XV.</v>
      </c>
      <c r="B511" s="434" t="str">
        <f>'Analisa RAB'!B10038</f>
        <v>HARGA SATUAN PEKERJAAN LISTRIK</v>
      </c>
      <c r="C511" s="482"/>
      <c r="D511" s="491"/>
    </row>
    <row r="512" spans="1:4" ht="18.75" customHeight="1" x14ac:dyDescent="0.25">
      <c r="A512" s="316">
        <f>'Analisa RAB'!B10040</f>
        <v>1</v>
      </c>
      <c r="B512" s="316" t="str">
        <f>'Analisa RAB'!C10040</f>
        <v>Pemasangan 1 instalasi Stopkontak, Lampu, Exhaustpan, dan celling fan</v>
      </c>
      <c r="C512" s="481">
        <f>'Analisa RAB'!H10049</f>
        <v>20059</v>
      </c>
      <c r="D512" s="490">
        <f>ROUNDUP(C512/100,0)*100</f>
        <v>20100</v>
      </c>
    </row>
    <row r="513" spans="1:4" ht="18.75" customHeight="1" x14ac:dyDescent="0.25">
      <c r="A513" s="316">
        <f>'Analisa RAB'!B10069</f>
        <v>2</v>
      </c>
      <c r="B513" s="316" t="str">
        <f>'Analisa RAB'!C10069</f>
        <v>Pemasangan 1 instalasi AC</v>
      </c>
      <c r="C513" s="481">
        <f>'Analisa RAB'!H10078</f>
        <v>60350</v>
      </c>
      <c r="D513" s="490">
        <f>ROUNDUP(C513/100,0)*100</f>
        <v>60400</v>
      </c>
    </row>
    <row r="515" spans="1:4" ht="18.75" customHeight="1" x14ac:dyDescent="0.25">
      <c r="A515" s="377" t="str">
        <f>'Analisa RAB'!A10099</f>
        <v>XVI.</v>
      </c>
      <c r="B515" s="434" t="str">
        <f>'Analisa RAB'!B10099</f>
        <v>HARGA SATUAN PEKERJAAN LANDSCAPE</v>
      </c>
      <c r="C515" s="482"/>
      <c r="D515" s="491"/>
    </row>
    <row r="516" spans="1:4" ht="18.75" customHeight="1" x14ac:dyDescent="0.25">
      <c r="A516" s="316" t="str">
        <f>'Analisa RAB'!B10101</f>
        <v>1.1</v>
      </c>
      <c r="B516" s="316" t="str">
        <f>'Analisa RAB'!C10101</f>
        <v>Pemasangan Paving Beton tebal 8 cm  k 175</v>
      </c>
      <c r="C516" s="481">
        <f>'Analisa RAB'!H10111</f>
        <v>97650</v>
      </c>
      <c r="D516" s="490">
        <f>ROUNDUP(C516/100,0)*100</f>
        <v>97700</v>
      </c>
    </row>
    <row r="517" spans="1:4" ht="18.75" customHeight="1" x14ac:dyDescent="0.25">
      <c r="A517" s="316" t="str">
        <f>'Analisa RAB'!B10102</f>
        <v>1.2</v>
      </c>
      <c r="B517" s="316" t="str">
        <f>'Analisa RAB'!C10102</f>
        <v>Pemasangan Paving Beton tebal 8 cm  k 225</v>
      </c>
      <c r="C517" s="481">
        <f>'Analisa RAB'!H10111</f>
        <v>97650</v>
      </c>
      <c r="D517" s="490">
        <f>ROUNDUP(C517/100,0)*100</f>
        <v>97700</v>
      </c>
    </row>
    <row r="518" spans="1:4" ht="18.75" customHeight="1" x14ac:dyDescent="0.25">
      <c r="A518" s="316">
        <f>'Analisa RAB'!B10133</f>
        <v>2</v>
      </c>
      <c r="B518" s="316" t="str">
        <f>'Analisa RAB'!C10133</f>
        <v>Pasangan Grass Block</v>
      </c>
      <c r="C518" s="481">
        <f>'Analisa RAB'!H10142</f>
        <v>169125</v>
      </c>
      <c r="D518" s="490">
        <f>ROUNDUP(C518/100,0)*100</f>
        <v>169200</v>
      </c>
    </row>
    <row r="519" spans="1:4" ht="18.75" customHeight="1" x14ac:dyDescent="0.25">
      <c r="A519" s="316">
        <f>'Analisa RAB'!B10158</f>
        <v>3</v>
      </c>
      <c r="B519" s="316" t="str">
        <f>'Analisa RAB'!C10158</f>
        <v>1m2 Pasangan Koral sikat</v>
      </c>
      <c r="C519" s="481">
        <f>'Analisa RAB'!H10167</f>
        <v>112600</v>
      </c>
      <c r="D519" s="490">
        <f>ROUNDUP(C519/100,0)*100</f>
        <v>112600</v>
      </c>
    </row>
    <row r="520" spans="1:4" ht="18.75" customHeight="1" x14ac:dyDescent="0.25">
      <c r="A520" s="316">
        <f>'Analisa RAB'!B10184</f>
        <v>4</v>
      </c>
      <c r="B520" s="316" t="str">
        <f>'Analisa RAB'!C10184</f>
        <v xml:space="preserve">1m1 Kanstein polos </v>
      </c>
      <c r="C520" s="481">
        <f>'Analisa RAB'!H10193</f>
        <v>129575</v>
      </c>
      <c r="D520" s="490">
        <f>ROUNDUP(C520/100,0)*100</f>
        <v>129600</v>
      </c>
    </row>
    <row r="521" spans="1:4" ht="18.75" customHeight="1" x14ac:dyDescent="0.25">
      <c r="A521" s="316">
        <f>'Analisa RAB'!B10210</f>
        <v>5</v>
      </c>
      <c r="B521" s="316" t="str">
        <f>'Analisa RAB'!C10210</f>
        <v>1m2 Pengecetan Kanstein</v>
      </c>
      <c r="C521" s="481">
        <f>'Analisa RAB'!H10219</f>
        <v>19995</v>
      </c>
      <c r="D521" s="490">
        <f>ROUNDUP(C521/100,0)*100</f>
        <v>20000</v>
      </c>
    </row>
    <row r="522" spans="1:4" ht="18.75" customHeight="1" x14ac:dyDescent="0.25">
      <c r="A522" s="316">
        <f>'Analisa RAB'!B10235</f>
        <v>6</v>
      </c>
      <c r="B522" s="316" t="str">
        <f>'Analisa RAB'!C10235</f>
        <v>1m2 Pengecetan Kanstein seanding seaker</v>
      </c>
      <c r="C522" s="481">
        <f>'Analisa RAB'!H10244</f>
        <v>19995</v>
      </c>
      <c r="D522" s="490">
        <f>ROUNDUP(C522/100,0)*100</f>
        <v>20000</v>
      </c>
    </row>
    <row r="524" spans="1:4" ht="18.75" customHeight="1" x14ac:dyDescent="0.25">
      <c r="A524" s="377" t="str">
        <f>'Analisa RAB'!A10261</f>
        <v>XVII.</v>
      </c>
      <c r="B524" s="434" t="str">
        <f>'Analisa RAB'!B10261</f>
        <v>HARGA SATUAN PEKERJAAN ORNAMEN BATA DAN PARAS UTK PEK. STYLE BALI</v>
      </c>
      <c r="C524" s="482"/>
      <c r="D524" s="491"/>
    </row>
    <row r="525" spans="1:4" ht="18.75" customHeight="1" x14ac:dyDescent="0.25">
      <c r="A525" s="316">
        <f>'Analisa RAB'!B10263</f>
        <v>1</v>
      </c>
      <c r="B525" s="316" t="str">
        <f>'Analisa RAB'!C10263</f>
        <v>Pekerjaan 1m2 Pasangan Style Bali Paras Bata 1 muka</v>
      </c>
      <c r="C525" s="481">
        <f>'Analisa RAB'!H10272</f>
        <v>952500</v>
      </c>
      <c r="D525" s="490">
        <f>ROUNDUP(C525/100,0)*100</f>
        <v>952500</v>
      </c>
    </row>
    <row r="526" spans="1:4" ht="18.75" customHeight="1" x14ac:dyDescent="0.25">
      <c r="A526" s="316">
        <f>'Analisa RAB'!B10290</f>
        <v>2</v>
      </c>
      <c r="B526" s="316" t="str">
        <f>'Analisa RAB'!C10290</f>
        <v>Pekerjaan 1m2 Pasangan Bata Pripian Pres 1 muka</v>
      </c>
      <c r="C526" s="481">
        <f>'Analisa RAB'!H10299</f>
        <v>871750</v>
      </c>
      <c r="D526" s="490">
        <f>ROUNDUP(C526/100,0)*100</f>
        <v>871800</v>
      </c>
    </row>
    <row r="527" spans="1:4" ht="18.75" customHeight="1" x14ac:dyDescent="0.25">
      <c r="A527" s="316">
        <f>'Analisa RAB'!B10316</f>
        <v>3</v>
      </c>
      <c r="B527" s="316" t="str">
        <f>'Analisa RAB'!C10316</f>
        <v>Pekerjaan 1m2 Pasangan Paras Pripian 1 muka</v>
      </c>
      <c r="C527" s="481">
        <f>'Analisa RAB'!H10325</f>
        <v>881000</v>
      </c>
      <c r="D527" s="490">
        <f>ROUNDUP(C527/100,0)*100</f>
        <v>881000</v>
      </c>
    </row>
    <row r="528" spans="1:4" ht="18.75" customHeight="1" x14ac:dyDescent="0.25">
      <c r="A528" s="316">
        <f>'Analisa RAB'!B10342</f>
        <v>4</v>
      </c>
      <c r="B528" s="316" t="str">
        <f>'Analisa RAB'!C10342</f>
        <v>Pekerjaan 1m2 Pasangan Sarwa Genep Kombinasi</v>
      </c>
      <c r="C528" s="481">
        <f>'Analisa RAB'!H10351</f>
        <v>656000</v>
      </c>
      <c r="D528" s="490">
        <f>ROUNDUP(C528/100,0)*100</f>
        <v>656000</v>
      </c>
    </row>
    <row r="529" spans="1:4" ht="18.75" customHeight="1" x14ac:dyDescent="0.25">
      <c r="A529" s="316">
        <f>'Analisa RAB'!B10368</f>
        <v>5</v>
      </c>
      <c r="B529" s="316" t="str">
        <f>'Analisa RAB'!C10368</f>
        <v>Pekerjaan 1m2 Pasangan Paras Jogja 1 muka</v>
      </c>
      <c r="C529" s="481">
        <f>'Analisa RAB'!H10377</f>
        <v>656000</v>
      </c>
      <c r="D529" s="490">
        <f>ROUNDUP(C529/100,0)*100</f>
        <v>656000</v>
      </c>
    </row>
    <row r="530" spans="1:4" ht="18.75" customHeight="1" x14ac:dyDescent="0.25">
      <c r="A530" s="316">
        <f>'Analisa RAB'!B10394</f>
        <v>6</v>
      </c>
      <c r="B530" s="316" t="str">
        <f>'Analisa RAB'!C10394</f>
        <v>Pekerjaan 1m2 Pasangan Batu Palimanan 1 muka</v>
      </c>
      <c r="C530" s="481">
        <f>'Analisa RAB'!H10403</f>
        <v>656000</v>
      </c>
      <c r="D530" s="490">
        <f>ROUNDUP(C530/100,0)*100</f>
        <v>656000</v>
      </c>
    </row>
    <row r="531" spans="1:4" ht="18.75" customHeight="1" x14ac:dyDescent="0.25">
      <c r="A531" s="316">
        <f>'Analisa RAB'!B10420</f>
        <v>7</v>
      </c>
      <c r="B531" s="316" t="str">
        <f>'Analisa RAB'!C10420</f>
        <v xml:space="preserve">Pekerjaan 1m2 Pasangan Batu Candi </v>
      </c>
      <c r="C531" s="481">
        <f>'Analisa RAB'!H10429</f>
        <v>814000</v>
      </c>
      <c r="D531" s="490">
        <f>ROUNDUP(C531/100,0)*100</f>
        <v>814000</v>
      </c>
    </row>
    <row r="532" spans="1:4" ht="18.75" customHeight="1" x14ac:dyDescent="0.25">
      <c r="A532" s="316">
        <f>'Analisa RAB'!B10446</f>
        <v>8</v>
      </c>
      <c r="B532" s="316" t="str">
        <f>'Analisa RAB'!C10446</f>
        <v>Pekerjaan 1m2 Pasangan Batu Tabas Karangasem 1 muka</v>
      </c>
      <c r="C532" s="481">
        <f>'Analisa RAB'!H10455</f>
        <v>974250</v>
      </c>
      <c r="D532" s="490">
        <f>ROUNDUP(C532/100,0)*100</f>
        <v>974300</v>
      </c>
    </row>
  </sheetData>
  <mergeCells count="5">
    <mergeCell ref="C6:D6"/>
    <mergeCell ref="B4:B5"/>
    <mergeCell ref="A4:A5"/>
    <mergeCell ref="A1:C1"/>
    <mergeCell ref="A2:C2"/>
  </mergeCells>
  <pageMargins left="0.11811023622047244" right="7.874015748031496E-2" top="0.74803149606299213" bottom="0.74803149606299213" header="0.31496062992125984" footer="0.31496062992125984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8D9AB-EAD7-488C-992A-F322E7340441}">
  <sheetPr>
    <tabColor rgb="FF7030A0"/>
  </sheetPr>
  <dimension ref="A5:F550"/>
  <sheetViews>
    <sheetView showGridLines="0" zoomScaleNormal="100" workbookViewId="0"/>
  </sheetViews>
  <sheetFormatPr defaultRowHeight="12.75" x14ac:dyDescent="0.25"/>
  <cols>
    <col min="1" max="1" width="8" style="500" bestFit="1" customWidth="1"/>
    <col min="2" max="2" width="40.140625" style="495" customWidth="1"/>
    <col min="3" max="3" width="11.42578125" style="529" customWidth="1"/>
    <col min="4" max="4" width="5.140625" style="494" customWidth="1"/>
    <col min="5" max="5" width="12.42578125" style="495" bestFit="1" customWidth="1"/>
    <col min="6" max="6" width="17.7109375" style="495" customWidth="1"/>
    <col min="7" max="7" width="12.7109375" style="495" bestFit="1" customWidth="1"/>
    <col min="8" max="16384" width="9.140625" style="495"/>
  </cols>
  <sheetData>
    <row r="5" spans="1:6" ht="18.75" customHeight="1" x14ac:dyDescent="0.25">
      <c r="A5" s="606" t="s">
        <v>1730</v>
      </c>
      <c r="B5" s="603" t="s">
        <v>1731</v>
      </c>
      <c r="C5" s="603" t="s">
        <v>1732</v>
      </c>
      <c r="D5" s="603"/>
      <c r="E5" s="513" t="s">
        <v>1733</v>
      </c>
      <c r="F5" s="514" t="s">
        <v>1735</v>
      </c>
    </row>
    <row r="6" spans="1:6" ht="18.75" customHeight="1" thickBot="1" x14ac:dyDescent="0.3">
      <c r="A6" s="607"/>
      <c r="B6" s="604"/>
      <c r="C6" s="604"/>
      <c r="D6" s="604"/>
      <c r="E6" s="515" t="s">
        <v>1734</v>
      </c>
      <c r="F6" s="516" t="s">
        <v>1734</v>
      </c>
    </row>
    <row r="7" spans="1:6" s="498" customFormat="1" ht="18.75" customHeight="1" thickTop="1" x14ac:dyDescent="0.25">
      <c r="A7" s="512" t="str">
        <f>'Rekap. Upah Pekerja'!A7</f>
        <v>I.</v>
      </c>
      <c r="B7" s="608" t="str">
        <f>'Rekap. Upah Pekerja'!B7</f>
        <v>HARGA SATUAN PEKERJAAN PERSIAPAN</v>
      </c>
      <c r="C7" s="608"/>
      <c r="D7" s="608"/>
      <c r="E7" s="608"/>
      <c r="F7" s="608"/>
    </row>
    <row r="8" spans="1:6" s="498" customFormat="1" ht="30" customHeight="1" x14ac:dyDescent="0.25">
      <c r="A8" s="504">
        <f>'Rekap. Upah Pekerja'!A8</f>
        <v>1</v>
      </c>
      <c r="B8" s="505" t="str">
        <f>'Rekap. Upah Pekerja'!B8</f>
        <v xml:space="preserve"> Pembuatan 1 m2 Pagar Sementara dari kayu tinggi 2 meter</v>
      </c>
      <c r="C8" s="526">
        <f>RAB!C8</f>
        <v>0</v>
      </c>
      <c r="D8" s="524" t="str">
        <f>RAB!D8</f>
        <v>m2</v>
      </c>
      <c r="E8" s="506">
        <f>'Rekap. Upah Pekerja'!D8</f>
        <v>65100</v>
      </c>
      <c r="F8" s="507">
        <f>C8*E8</f>
        <v>0</v>
      </c>
    </row>
    <row r="9" spans="1:6" s="498" customFormat="1" ht="30" customHeight="1" x14ac:dyDescent="0.25">
      <c r="A9" s="504">
        <f>'Rekap. Upah Pekerja'!A9</f>
        <v>2</v>
      </c>
      <c r="B9" s="505" t="str">
        <f>'Rekap. Upah Pekerja'!B9</f>
        <v xml:space="preserve"> Pembuatan 1 m2 Pagar Sementara dari seng gelombang tinggi 2 meter</v>
      </c>
      <c r="C9" s="526">
        <f>RAB!C9</f>
        <v>0</v>
      </c>
      <c r="D9" s="524" t="str">
        <f>RAB!D9</f>
        <v>m2</v>
      </c>
      <c r="E9" s="506">
        <f>'Rekap. Upah Pekerja'!D9</f>
        <v>68100</v>
      </c>
      <c r="F9" s="507">
        <f t="shared" ref="F9:F22" si="0">C9*E9</f>
        <v>0</v>
      </c>
    </row>
    <row r="10" spans="1:6" s="498" customFormat="1" ht="30" customHeight="1" x14ac:dyDescent="0.25">
      <c r="A10" s="504">
        <f>'Rekap. Upah Pekerja'!A10</f>
        <v>3</v>
      </c>
      <c r="B10" s="505" t="str">
        <f>'Rekap. Upah Pekerja'!B10</f>
        <v xml:space="preserve"> Pembuatan 1 m2 Pagar Sementara dari kawat duri  tinggi 1,8 meter</v>
      </c>
      <c r="C10" s="526">
        <f>RAB!C10</f>
        <v>0</v>
      </c>
      <c r="D10" s="524" t="str">
        <f>RAB!D10</f>
        <v>m2</v>
      </c>
      <c r="E10" s="506">
        <f>'Rekap. Upah Pekerja'!D10</f>
        <v>57100</v>
      </c>
      <c r="F10" s="507">
        <f t="shared" si="0"/>
        <v>0</v>
      </c>
    </row>
    <row r="11" spans="1:6" s="498" customFormat="1" ht="15" customHeight="1" x14ac:dyDescent="0.25">
      <c r="A11" s="504">
        <f>'Rekap. Upah Pekerja'!A11</f>
        <v>4</v>
      </c>
      <c r="B11" s="505" t="str">
        <f>'Rekap. Upah Pekerja'!B11</f>
        <v>Pengukuran dan pemasangan 1m1 bouwplank</v>
      </c>
      <c r="C11" s="526">
        <f>RAB!C11</f>
        <v>0</v>
      </c>
      <c r="D11" s="524" t="str">
        <f>RAB!D11</f>
        <v>m1</v>
      </c>
      <c r="E11" s="506">
        <f>'Rekap. Upah Pekerja'!D11</f>
        <v>22400</v>
      </c>
      <c r="F11" s="507">
        <f t="shared" si="0"/>
        <v>0</v>
      </c>
    </row>
    <row r="12" spans="1:6" s="498" customFormat="1" ht="30" customHeight="1" x14ac:dyDescent="0.25">
      <c r="A12" s="504">
        <f>'Rekap. Upah Pekerja'!A12</f>
        <v>5</v>
      </c>
      <c r="B12" s="505" t="str">
        <f>'Rekap. Upah Pekerja'!B12</f>
        <v>Pembuatan 1 m2 kantor sementara lantai plesteran</v>
      </c>
      <c r="C12" s="526">
        <f>RAB!C12</f>
        <v>0</v>
      </c>
      <c r="D12" s="524" t="str">
        <f>RAB!D12</f>
        <v>m2</v>
      </c>
      <c r="E12" s="506">
        <f>'Rekap. Upah Pekerja'!D12</f>
        <v>561500</v>
      </c>
      <c r="F12" s="507">
        <f t="shared" si="0"/>
        <v>0</v>
      </c>
    </row>
    <row r="13" spans="1:6" s="498" customFormat="1" ht="15" customHeight="1" x14ac:dyDescent="0.25">
      <c r="A13" s="504">
        <f>'Rekap. Upah Pekerja'!A13</f>
        <v>6</v>
      </c>
      <c r="B13" s="505" t="str">
        <f>'Rekap. Upah Pekerja'!B13</f>
        <v>Pembuatan 1 m2 rumah jaga (konstruksi kayu)</v>
      </c>
      <c r="C13" s="526">
        <f>RAB!C13</f>
        <v>0</v>
      </c>
      <c r="D13" s="524" t="str">
        <f>RAB!D13</f>
        <v>m2</v>
      </c>
      <c r="E13" s="506">
        <f>'Rekap. Upah Pekerja'!D13</f>
        <v>284300</v>
      </c>
      <c r="F13" s="507">
        <f t="shared" si="0"/>
        <v>0</v>
      </c>
    </row>
    <row r="14" spans="1:6" s="498" customFormat="1" ht="15" customHeight="1" x14ac:dyDescent="0.25">
      <c r="A14" s="504">
        <f>'Rekap. Upah Pekerja'!A14</f>
        <v>7</v>
      </c>
      <c r="B14" s="505" t="str">
        <f>'Rekap. Upah Pekerja'!B14</f>
        <v>Pembuatan 1 m2 gudang semen dan peralatan</v>
      </c>
      <c r="C14" s="526">
        <f>RAB!C14</f>
        <v>0</v>
      </c>
      <c r="D14" s="524" t="str">
        <f>RAB!D14</f>
        <v>m2</v>
      </c>
      <c r="E14" s="506">
        <f>'Rekap. Upah Pekerja'!D14</f>
        <v>345000</v>
      </c>
      <c r="F14" s="507">
        <f t="shared" si="0"/>
        <v>0</v>
      </c>
    </row>
    <row r="15" spans="1:6" s="498" customFormat="1" ht="15" customHeight="1" x14ac:dyDescent="0.25">
      <c r="A15" s="504">
        <f>'Rekap. Upah Pekerja'!A15</f>
        <v>8</v>
      </c>
      <c r="B15" s="505" t="str">
        <f>'Rekap. Upah Pekerja'!B15</f>
        <v>Pembuatan 1 m2 bedeng pekerja</v>
      </c>
      <c r="C15" s="526">
        <f>RAB!C15</f>
        <v>0</v>
      </c>
      <c r="D15" s="524" t="str">
        <f>RAB!D15</f>
        <v>m2</v>
      </c>
      <c r="E15" s="506">
        <f>'Rekap. Upah Pekerja'!D15</f>
        <v>345000</v>
      </c>
      <c r="F15" s="507">
        <f t="shared" si="0"/>
        <v>0</v>
      </c>
    </row>
    <row r="16" spans="1:6" s="498" customFormat="1" ht="15" customHeight="1" x14ac:dyDescent="0.25">
      <c r="A16" s="504">
        <f>'Rekap. Upah Pekerja'!A16</f>
        <v>9</v>
      </c>
      <c r="B16" s="505" t="str">
        <f>'Rekap. Upah Pekerja'!B16</f>
        <v>Pembersihan 1 m2 lapangan dan perataan</v>
      </c>
      <c r="C16" s="526">
        <f>RAB!C16</f>
        <v>0</v>
      </c>
      <c r="D16" s="524" t="str">
        <f>RAB!D16</f>
        <v>m2</v>
      </c>
      <c r="E16" s="506">
        <f>'Rekap. Upah Pekerja'!D16</f>
        <v>105500</v>
      </c>
      <c r="F16" s="507">
        <f t="shared" si="0"/>
        <v>0</v>
      </c>
    </row>
    <row r="17" spans="1:6" s="498" customFormat="1" ht="15" customHeight="1" x14ac:dyDescent="0.25">
      <c r="A17" s="504">
        <f>'Rekap. Upah Pekerja'!A17</f>
        <v>10</v>
      </c>
      <c r="B17" s="505" t="str">
        <f>'Rekap. Upah Pekerja'!B17</f>
        <v>Pembuatan 1 m2 steger/perancah dari bambu</v>
      </c>
      <c r="C17" s="526">
        <f>RAB!C17</f>
        <v>0</v>
      </c>
      <c r="D17" s="524" t="str">
        <f>RAB!D17</f>
        <v>m2</v>
      </c>
      <c r="E17" s="506">
        <f>'Rekap. Upah Pekerja'!D17</f>
        <v>345000</v>
      </c>
      <c r="F17" s="507">
        <f t="shared" si="0"/>
        <v>0</v>
      </c>
    </row>
    <row r="18" spans="1:6" s="498" customFormat="1" ht="30" customHeight="1" x14ac:dyDescent="0.25">
      <c r="A18" s="504">
        <f>'Rekap. Upah Pekerja'!A18</f>
        <v>11</v>
      </c>
      <c r="B18" s="505" t="str">
        <f>'Rekap. Upah Pekerja'!B18</f>
        <v>Pembuatan 1 buah kotak adukan ukuran 40cm x 50cm x 25cm</v>
      </c>
      <c r="C18" s="526">
        <f>RAB!C18</f>
        <v>0</v>
      </c>
      <c r="D18" s="524" t="str">
        <f>RAB!D18</f>
        <v>bh</v>
      </c>
      <c r="E18" s="506">
        <f>'Rekap. Upah Pekerja'!D18</f>
        <v>36500</v>
      </c>
      <c r="F18" s="507">
        <f t="shared" si="0"/>
        <v>0</v>
      </c>
    </row>
    <row r="19" spans="1:6" s="498" customFormat="1" ht="15" customHeight="1" x14ac:dyDescent="0.25">
      <c r="A19" s="504">
        <f>'Rekap. Upah Pekerja'!A19</f>
        <v>12</v>
      </c>
      <c r="B19" s="505" t="str">
        <f>'Rekap. Upah Pekerja'!B19</f>
        <v>Pembuatan 1 m2 jalan sementara</v>
      </c>
      <c r="C19" s="526">
        <f>RAB!C19</f>
        <v>0</v>
      </c>
      <c r="D19" s="524" t="str">
        <f>RAB!D19</f>
        <v>m2</v>
      </c>
      <c r="E19" s="506">
        <f>'Rekap. Upah Pekerja'!D19</f>
        <v>102000</v>
      </c>
      <c r="F19" s="507">
        <f t="shared" si="0"/>
        <v>0</v>
      </c>
    </row>
    <row r="20" spans="1:6" s="498" customFormat="1" ht="15" customHeight="1" x14ac:dyDescent="0.25">
      <c r="A20" s="504">
        <f>'Rekap. Upah Pekerja'!A20</f>
        <v>13</v>
      </c>
      <c r="B20" s="505" t="str">
        <f>'Rekap. Upah Pekerja'!B20</f>
        <v>Pembongkaran 1 m3 beton bertulang</v>
      </c>
      <c r="C20" s="526">
        <f>RAB!C20</f>
        <v>0</v>
      </c>
      <c r="D20" s="524" t="str">
        <f>RAB!D20</f>
        <v>m3</v>
      </c>
      <c r="E20" s="506">
        <f>'Rekap. Upah Pekerja'!D20</f>
        <v>1360000</v>
      </c>
      <c r="F20" s="507">
        <f t="shared" si="0"/>
        <v>0</v>
      </c>
    </row>
    <row r="21" spans="1:6" s="498" customFormat="1" ht="15" customHeight="1" x14ac:dyDescent="0.25">
      <c r="A21" s="504">
        <f>'Rekap. Upah Pekerja'!A21</f>
        <v>14</v>
      </c>
      <c r="B21" s="505" t="str">
        <f>'Rekap. Upah Pekerja'!B21</f>
        <v>Pembongkaran 1 m3 dinding tembok bata</v>
      </c>
      <c r="C21" s="526">
        <f>RAB!C21</f>
        <v>0</v>
      </c>
      <c r="D21" s="524" t="str">
        <f>RAB!D21</f>
        <v>m3</v>
      </c>
      <c r="E21" s="506">
        <f>'Rekap. Upah Pekerja'!D21</f>
        <v>680000</v>
      </c>
      <c r="F21" s="507">
        <f t="shared" si="0"/>
        <v>0</v>
      </c>
    </row>
    <row r="22" spans="1:6" s="498" customFormat="1" ht="30" customHeight="1" thickBot="1" x14ac:dyDescent="0.3">
      <c r="A22" s="504">
        <f>'Rekap. Upah Pekerja'!A22</f>
        <v>15</v>
      </c>
      <c r="B22" s="505" t="str">
        <f>'Rekap. Upah Pekerja'!B22</f>
        <v>Pemasangan 1 m2 pagar kawat jaring galvanis panjang 240 cm</v>
      </c>
      <c r="C22" s="526">
        <f>RAB!C22</f>
        <v>0</v>
      </c>
      <c r="D22" s="524" t="str">
        <f>RAB!D22</f>
        <v>m3</v>
      </c>
      <c r="E22" s="506">
        <f>'Rekap. Upah Pekerja'!D22</f>
        <v>18400</v>
      </c>
      <c r="F22" s="517">
        <f t="shared" si="0"/>
        <v>0</v>
      </c>
    </row>
    <row r="23" spans="1:6" s="498" customFormat="1" ht="21" customHeight="1" thickTop="1" thickBot="1" x14ac:dyDescent="0.3">
      <c r="A23" s="602" t="s">
        <v>1753</v>
      </c>
      <c r="B23" s="602"/>
      <c r="C23" s="602"/>
      <c r="D23" s="602"/>
      <c r="E23" s="602"/>
      <c r="F23" s="502">
        <f>SUM(F8:F22)</f>
        <v>0</v>
      </c>
    </row>
    <row r="24" spans="1:6" s="498" customFormat="1" ht="15" customHeight="1" thickTop="1" x14ac:dyDescent="0.25">
      <c r="A24" s="499"/>
      <c r="B24" s="496"/>
      <c r="C24" s="527"/>
      <c r="D24" s="501"/>
      <c r="E24" s="497"/>
    </row>
    <row r="25" spans="1:6" s="498" customFormat="1" ht="15" customHeight="1" x14ac:dyDescent="0.25">
      <c r="A25" s="503" t="str">
        <f>'Rekap. Upah Pekerja'!A24</f>
        <v>II.</v>
      </c>
      <c r="B25" s="605" t="str">
        <f>'Rekap. Upah Pekerja'!B24</f>
        <v>HARGA SATUAN PEKERJAAN TANAH</v>
      </c>
      <c r="C25" s="605"/>
      <c r="D25" s="605"/>
      <c r="E25" s="605"/>
      <c r="F25" s="605"/>
    </row>
    <row r="26" spans="1:6" s="498" customFormat="1" ht="15" customHeight="1" x14ac:dyDescent="0.25">
      <c r="A26" s="504">
        <f>'Rekap. Upah Pekerja'!A25</f>
        <v>1</v>
      </c>
      <c r="B26" s="505" t="str">
        <f>'Rekap. Upah Pekerja'!B25</f>
        <v>Penggalian 1 m3 tanah biasa sedalam 1 m</v>
      </c>
      <c r="C26" s="526">
        <f>RAB!C26</f>
        <v>0</v>
      </c>
      <c r="D26" s="524" t="str">
        <f>RAB!D26</f>
        <v>m3</v>
      </c>
      <c r="E26" s="506">
        <f>'Rekap. Upah Pekerja'!D25</f>
        <v>74800</v>
      </c>
      <c r="F26" s="507">
        <f t="shared" ref="F26:F41" si="1">C26*E26</f>
        <v>0</v>
      </c>
    </row>
    <row r="27" spans="1:6" s="498" customFormat="1" ht="15" customHeight="1" x14ac:dyDescent="0.25">
      <c r="A27" s="504">
        <f>'Rekap. Upah Pekerja'!A26</f>
        <v>2</v>
      </c>
      <c r="B27" s="505" t="str">
        <f>'Rekap. Upah Pekerja'!B26</f>
        <v>Penggalian 1 m3 tanah biasa sedalam 2 m</v>
      </c>
      <c r="C27" s="526">
        <f>RAB!C27</f>
        <v>0</v>
      </c>
      <c r="D27" s="524" t="str">
        <f>RAB!D27</f>
        <v>m3</v>
      </c>
      <c r="E27" s="506">
        <f>'Rekap. Upah Pekerja'!D26</f>
        <v>91800</v>
      </c>
      <c r="F27" s="507">
        <f t="shared" si="1"/>
        <v>0</v>
      </c>
    </row>
    <row r="28" spans="1:6" s="498" customFormat="1" ht="15" customHeight="1" x14ac:dyDescent="0.25">
      <c r="A28" s="504">
        <f>'Rekap. Upah Pekerja'!A27</f>
        <v>3</v>
      </c>
      <c r="B28" s="505" t="str">
        <f>'Rekap. Upah Pekerja'!B27</f>
        <v>Penggalian 1 m3 tanah biasa sedalam 3 m</v>
      </c>
      <c r="C28" s="526">
        <f>RAB!C28</f>
        <v>0</v>
      </c>
      <c r="D28" s="524" t="str">
        <f>RAB!D28</f>
        <v>m3</v>
      </c>
      <c r="E28" s="506">
        <f>'Rekap. Upah Pekerja'!D27</f>
        <v>109200</v>
      </c>
      <c r="F28" s="507">
        <f t="shared" si="1"/>
        <v>0</v>
      </c>
    </row>
    <row r="29" spans="1:6" s="498" customFormat="1" ht="15" customHeight="1" x14ac:dyDescent="0.25">
      <c r="A29" s="504">
        <f>'Rekap. Upah Pekerja'!A28</f>
        <v>4</v>
      </c>
      <c r="B29" s="505" t="str">
        <f>'Rekap. Upah Pekerja'!B28</f>
        <v>Menggali 1 m3 tanah keras sedalam 1 m</v>
      </c>
      <c r="C29" s="526">
        <f>RAB!C29</f>
        <v>0</v>
      </c>
      <c r="D29" s="524" t="str">
        <f>RAB!D29</f>
        <v>m3</v>
      </c>
      <c r="E29" s="506">
        <f>'Rekap. Upah Pekerja'!D28</f>
        <v>99500</v>
      </c>
      <c r="F29" s="507">
        <f t="shared" si="1"/>
        <v>0</v>
      </c>
    </row>
    <row r="30" spans="1:6" s="498" customFormat="1" ht="15" customHeight="1" x14ac:dyDescent="0.25">
      <c r="A30" s="504">
        <f>'Rekap. Upah Pekerja'!A29</f>
        <v>5</v>
      </c>
      <c r="B30" s="505" t="str">
        <f>'Rekap. Upah Pekerja'!B29</f>
        <v>Menggali 1 m3 tanah cadas sedalam 1 m</v>
      </c>
      <c r="C30" s="526">
        <f>RAB!C30</f>
        <v>0</v>
      </c>
      <c r="D30" s="524" t="str">
        <f>RAB!D30</f>
        <v>m3</v>
      </c>
      <c r="E30" s="506">
        <f>'Rekap. Upah Pekerja'!D29</f>
        <v>99500</v>
      </c>
      <c r="F30" s="507">
        <f t="shared" si="1"/>
        <v>0</v>
      </c>
    </row>
    <row r="31" spans="1:6" s="498" customFormat="1" ht="15" customHeight="1" x14ac:dyDescent="0.25">
      <c r="A31" s="504">
        <f>'Rekap. Upah Pekerja'!A30</f>
        <v>6</v>
      </c>
      <c r="B31" s="505" t="str">
        <f>'Rekap. Upah Pekerja'!B30</f>
        <v>Menggali 1 m3 tanah lumpur sedalam 1 m</v>
      </c>
      <c r="C31" s="526">
        <f>RAB!C31</f>
        <v>0</v>
      </c>
      <c r="D31" s="524" t="str">
        <f>RAB!D31</f>
        <v>m3</v>
      </c>
      <c r="E31" s="506">
        <f>'Rekap. Upah Pekerja'!D30</f>
        <v>120300</v>
      </c>
      <c r="F31" s="507">
        <f t="shared" si="1"/>
        <v>0</v>
      </c>
    </row>
    <row r="32" spans="1:6" s="498" customFormat="1" ht="30" customHeight="1" x14ac:dyDescent="0.25">
      <c r="A32" s="504">
        <f>'Rekap. Upah Pekerja'!A31</f>
        <v>7</v>
      </c>
      <c r="B32" s="505" t="str">
        <f>'Rekap. Upah Pekerja'!B31</f>
        <v>Pengerjaan stripping 1 m2 tebing setinggi 1 meter</v>
      </c>
      <c r="C32" s="526">
        <f>RAB!C32</f>
        <v>0</v>
      </c>
      <c r="D32" s="524" t="str">
        <f>RAB!D32</f>
        <v>m2</v>
      </c>
      <c r="E32" s="506">
        <f>'Rekap. Upah Pekerja'!D31</f>
        <v>5500</v>
      </c>
      <c r="F32" s="507">
        <f t="shared" si="1"/>
        <v>0</v>
      </c>
    </row>
    <row r="33" spans="1:6" s="498" customFormat="1" ht="15" customHeight="1" x14ac:dyDescent="0.25">
      <c r="A33" s="504">
        <f>'Rekap. Upah Pekerja'!A32</f>
        <v>8</v>
      </c>
      <c r="B33" s="505" t="str">
        <f>'Rekap. Upah Pekerja'!B32</f>
        <v>Pembuangan 1 m3 tanah sejauh 30 meter</v>
      </c>
      <c r="C33" s="526">
        <f>RAB!C33</f>
        <v>0</v>
      </c>
      <c r="D33" s="524" t="str">
        <f>RAB!D33</f>
        <v>m3</v>
      </c>
      <c r="E33" s="506">
        <f>'Rekap. Upah Pekerja'!D32</f>
        <v>32800</v>
      </c>
      <c r="F33" s="507">
        <f t="shared" si="1"/>
        <v>0</v>
      </c>
    </row>
    <row r="34" spans="1:6" s="498" customFormat="1" ht="15" customHeight="1" x14ac:dyDescent="0.25">
      <c r="A34" s="504">
        <f>'Rekap. Upah Pekerja'!A33</f>
        <v>9</v>
      </c>
      <c r="B34" s="505" t="str">
        <f>'Rekap. Upah Pekerja'!B33</f>
        <v>Pembuangan 1 m3 tanah sejauh 150 meter</v>
      </c>
      <c r="C34" s="526">
        <f>RAB!C34</f>
        <v>0</v>
      </c>
      <c r="D34" s="524" t="str">
        <f>RAB!D34</f>
        <v>m3</v>
      </c>
      <c r="E34" s="506">
        <f>'Rekap. Upah Pekerja'!D33</f>
        <v>56300</v>
      </c>
      <c r="F34" s="507">
        <f t="shared" si="1"/>
        <v>0</v>
      </c>
    </row>
    <row r="35" spans="1:6" s="498" customFormat="1" ht="15" customHeight="1" x14ac:dyDescent="0.25">
      <c r="A35" s="504">
        <f>'Rekap. Upah Pekerja'!A34</f>
        <v>10</v>
      </c>
      <c r="B35" s="505" t="str">
        <f>'Rekap. Upah Pekerja'!B34</f>
        <v>Pengurugan kembali 1 m3 galian tanah</v>
      </c>
      <c r="C35" s="526">
        <f>RAB!C35</f>
        <v>0</v>
      </c>
      <c r="D35" s="524" t="str">
        <f>RAB!D35</f>
        <v>m3</v>
      </c>
      <c r="E35" s="506">
        <f>'Rekap. Upah Pekerja'!D34</f>
        <v>54500</v>
      </c>
      <c r="F35" s="507">
        <f t="shared" si="1"/>
        <v>0</v>
      </c>
    </row>
    <row r="36" spans="1:6" s="498" customFormat="1" ht="15" customHeight="1" x14ac:dyDescent="0.25">
      <c r="A36" s="504">
        <f>'Rekap. Upah Pekerja'!A35</f>
        <v>11</v>
      </c>
      <c r="B36" s="505" t="str">
        <f>'Rekap. Upah Pekerja'!B35</f>
        <v>Pemadatan tanah 1 m3 tanah ( per 20 cm )</v>
      </c>
      <c r="C36" s="526">
        <f>RAB!C36</f>
        <v>0</v>
      </c>
      <c r="D36" s="524" t="str">
        <f>RAB!D36</f>
        <v>m3</v>
      </c>
      <c r="E36" s="506">
        <f>'Rekap. Upah Pekerja'!D35</f>
        <v>58000</v>
      </c>
      <c r="F36" s="507">
        <f t="shared" si="1"/>
        <v>0</v>
      </c>
    </row>
    <row r="37" spans="1:6" s="498" customFormat="1" ht="15" customHeight="1" x14ac:dyDescent="0.25">
      <c r="A37" s="504">
        <f>'Rekap. Upah Pekerja'!A36</f>
        <v>12</v>
      </c>
      <c r="B37" s="505" t="str">
        <f>'Rekap. Upah Pekerja'!B36</f>
        <v>Pengurugan 1 m3 dengan pasir urug</v>
      </c>
      <c r="C37" s="526">
        <f>RAB!C37</f>
        <v>0</v>
      </c>
      <c r="D37" s="524" t="str">
        <f>RAB!D37</f>
        <v>m3</v>
      </c>
      <c r="E37" s="506">
        <f>'Rekap. Upah Pekerja'!D36</f>
        <v>29900</v>
      </c>
      <c r="F37" s="507">
        <f t="shared" si="1"/>
        <v>0</v>
      </c>
    </row>
    <row r="38" spans="1:6" s="498" customFormat="1" ht="15" customHeight="1" x14ac:dyDescent="0.25">
      <c r="A38" s="504">
        <f>'Rekap. Upah Pekerja'!A37</f>
        <v>13</v>
      </c>
      <c r="B38" s="505" t="str">
        <f>'Rekap. Upah Pekerja'!B37</f>
        <v xml:space="preserve">Urugan Tanah </v>
      </c>
      <c r="C38" s="526">
        <f>RAB!C38</f>
        <v>0</v>
      </c>
      <c r="D38" s="524" t="str">
        <f>RAB!D38</f>
        <v>m3</v>
      </c>
      <c r="E38" s="506">
        <f>'Rekap. Upah Pekerja'!D37</f>
        <v>58000</v>
      </c>
      <c r="F38" s="507">
        <f t="shared" si="1"/>
        <v>0</v>
      </c>
    </row>
    <row r="39" spans="1:6" s="498" customFormat="1" ht="25.5" x14ac:dyDescent="0.25">
      <c r="A39" s="504">
        <f>'Rekap. Upah Pekerja'!A38</f>
        <v>14</v>
      </c>
      <c r="B39" s="505" t="str">
        <f>'Rekap. Upah Pekerja'!B38</f>
        <v>Pemasangan 1 m2 lapisan ijuk tebal 10 cm untuk bidang resapan</v>
      </c>
      <c r="C39" s="526">
        <f>RAB!C39</f>
        <v>0</v>
      </c>
      <c r="D39" s="524" t="str">
        <f>RAB!D39</f>
        <v>m2</v>
      </c>
      <c r="E39" s="506">
        <f>'Rekap. Upah Pekerja'!D38</f>
        <v>16400</v>
      </c>
      <c r="F39" s="507">
        <f t="shared" si="1"/>
        <v>0</v>
      </c>
    </row>
    <row r="40" spans="1:6" s="498" customFormat="1" ht="15" customHeight="1" x14ac:dyDescent="0.25">
      <c r="A40" s="504">
        <f>'Rekap. Upah Pekerja'!A39</f>
        <v>15</v>
      </c>
      <c r="B40" s="505" t="str">
        <f>'Rekap. Upah Pekerja'!B39</f>
        <v>Pengurugan 1 m3 sirtu padat</v>
      </c>
      <c r="C40" s="526">
        <f>RAB!C40</f>
        <v>0</v>
      </c>
      <c r="D40" s="524" t="str">
        <f>RAB!D40</f>
        <v>m3</v>
      </c>
      <c r="E40" s="506">
        <f>'Rekap. Upah Pekerja'!D39</f>
        <v>27300</v>
      </c>
      <c r="F40" s="507">
        <f t="shared" si="1"/>
        <v>0</v>
      </c>
    </row>
    <row r="41" spans="1:6" s="498" customFormat="1" ht="15" customHeight="1" thickBot="1" x14ac:dyDescent="0.3">
      <c r="A41" s="504">
        <f>'Rekap. Upah Pekerja'!A40</f>
        <v>16</v>
      </c>
      <c r="B41" s="505" t="str">
        <f>'Rekap. Upah Pekerja'!B40</f>
        <v>Pengurugan 1 m3 Lime stone</v>
      </c>
      <c r="C41" s="526">
        <f>RAB!C41</f>
        <v>0</v>
      </c>
      <c r="D41" s="524" t="str">
        <f>RAB!D41</f>
        <v>m3</v>
      </c>
      <c r="E41" s="506">
        <f>'Rekap. Upah Pekerja'!D40</f>
        <v>27300</v>
      </c>
      <c r="F41" s="517">
        <f t="shared" si="1"/>
        <v>0</v>
      </c>
    </row>
    <row r="42" spans="1:6" s="498" customFormat="1" ht="21" customHeight="1" thickTop="1" thickBot="1" x14ac:dyDescent="0.3">
      <c r="A42" s="602" t="s">
        <v>1754</v>
      </c>
      <c r="B42" s="602"/>
      <c r="C42" s="602"/>
      <c r="D42" s="602"/>
      <c r="E42" s="602"/>
      <c r="F42" s="502">
        <f>SUM(F26:F41)</f>
        <v>0</v>
      </c>
    </row>
    <row r="43" spans="1:6" s="498" customFormat="1" ht="15" customHeight="1" thickTop="1" x14ac:dyDescent="0.25">
      <c r="A43" s="499"/>
      <c r="B43" s="496"/>
      <c r="C43" s="527"/>
      <c r="D43" s="501"/>
      <c r="E43" s="497"/>
    </row>
    <row r="44" spans="1:6" s="498" customFormat="1" ht="15" customHeight="1" x14ac:dyDescent="0.25">
      <c r="A44" s="503" t="str">
        <f>'Rekap. Upah Pekerja'!A42</f>
        <v>III.</v>
      </c>
      <c r="B44" s="605" t="str">
        <f>'Rekap. Upah Pekerja'!B42</f>
        <v>HARGA SATUAN PEKERJAAN PONDASI</v>
      </c>
      <c r="C44" s="605"/>
      <c r="D44" s="605"/>
      <c r="E44" s="605"/>
      <c r="F44" s="605"/>
    </row>
    <row r="45" spans="1:6" s="498" customFormat="1" ht="25.5" x14ac:dyDescent="0.25">
      <c r="A45" s="504">
        <f>'Rekap. Upah Pekerja'!A43</f>
        <v>1</v>
      </c>
      <c r="B45" s="505" t="str">
        <f>'Rekap. Upah Pekerja'!B43</f>
        <v>Pemasangan 1 m3 pondasi batu belah/batu kali campuran 1SP : 3PP</v>
      </c>
      <c r="C45" s="526">
        <f>RAB!C45</f>
        <v>0</v>
      </c>
      <c r="D45" s="524" t="str">
        <f>RAB!D45</f>
        <v>m3</v>
      </c>
      <c r="E45" s="506">
        <f>'Rekap. Upah Pekerja'!D43</f>
        <v>244200</v>
      </c>
      <c r="F45" s="507">
        <f t="shared" ref="F45:F54" si="2">C45*E45</f>
        <v>0</v>
      </c>
    </row>
    <row r="46" spans="1:6" s="498" customFormat="1" ht="25.5" x14ac:dyDescent="0.25">
      <c r="A46" s="504">
        <f>'Rekap. Upah Pekerja'!A44</f>
        <v>2</v>
      </c>
      <c r="B46" s="505" t="str">
        <f>'Rekap. Upah Pekerja'!B44</f>
        <v>Pemasangan 1 m3 pondasi batu belah/batu kali  campuran 1SP : 4PP</v>
      </c>
      <c r="C46" s="526">
        <f>RAB!C46</f>
        <v>0</v>
      </c>
      <c r="D46" s="524" t="str">
        <f>RAB!D46</f>
        <v>m3</v>
      </c>
      <c r="E46" s="506">
        <f>'Rekap. Upah Pekerja'!D44</f>
        <v>244200</v>
      </c>
      <c r="F46" s="507">
        <f t="shared" si="2"/>
        <v>0</v>
      </c>
    </row>
    <row r="47" spans="1:6" s="498" customFormat="1" ht="25.5" x14ac:dyDescent="0.25">
      <c r="A47" s="504">
        <f>'Rekap. Upah Pekerja'!A45</f>
        <v>3</v>
      </c>
      <c r="B47" s="505" t="str">
        <f>'Rekap. Upah Pekerja'!B45</f>
        <v>Pemasangan 1 m3 pondasi batu belah/batu kali campuran 1SP : 5PP</v>
      </c>
      <c r="C47" s="526">
        <f>RAB!C47</f>
        <v>0</v>
      </c>
      <c r="D47" s="524" t="str">
        <f>RAB!D47</f>
        <v>m3</v>
      </c>
      <c r="E47" s="506">
        <f>'Rekap. Upah Pekerja'!D45</f>
        <v>244200</v>
      </c>
      <c r="F47" s="507">
        <f t="shared" si="2"/>
        <v>0</v>
      </c>
    </row>
    <row r="48" spans="1:6" s="498" customFormat="1" ht="25.5" x14ac:dyDescent="0.25">
      <c r="A48" s="504">
        <f>'Rekap. Upah Pekerja'!A46</f>
        <v>4</v>
      </c>
      <c r="B48" s="505" t="str">
        <f>'Rekap. Upah Pekerja'!B46</f>
        <v>Pemasangan 1 m3 pondasi batu belah/batu kali campuran 1SP : 6PP</v>
      </c>
      <c r="C48" s="526">
        <f>RAB!C48</f>
        <v>0</v>
      </c>
      <c r="D48" s="524" t="str">
        <f>RAB!D48</f>
        <v>m3</v>
      </c>
      <c r="E48" s="506">
        <f>'Rekap. Upah Pekerja'!D46</f>
        <v>244200</v>
      </c>
      <c r="F48" s="507">
        <f t="shared" si="2"/>
        <v>0</v>
      </c>
    </row>
    <row r="49" spans="1:6" s="498" customFormat="1" ht="25.5" x14ac:dyDescent="0.25">
      <c r="A49" s="504">
        <f>'Rekap. Upah Pekerja'!A47</f>
        <v>5</v>
      </c>
      <c r="B49" s="505" t="str">
        <f>'Rekap. Upah Pekerja'!B47</f>
        <v>Pemasangan 1 m3 pondasi batu kosong (anstamping)</v>
      </c>
      <c r="C49" s="526">
        <f>RAB!C49</f>
        <v>0</v>
      </c>
      <c r="D49" s="524" t="str">
        <f>RAB!D49</f>
        <v>m3</v>
      </c>
      <c r="E49" s="506">
        <f>'Rekap. Upah Pekerja'!D47</f>
        <v>127000</v>
      </c>
      <c r="F49" s="507">
        <f t="shared" si="2"/>
        <v>0</v>
      </c>
    </row>
    <row r="50" spans="1:6" s="498" customFormat="1" ht="25.5" x14ac:dyDescent="0.25">
      <c r="A50" s="504">
        <f>'Rekap. Upah Pekerja'!A48</f>
        <v>6</v>
      </c>
      <c r="B50" s="505" t="str">
        <f>'Rekap. Upah Pekerja'!B48</f>
        <v>Pemasangan 1 m3 pondasi siklop, 60% beton campuran 1SP : 2PB : 3Kr dan 40% batu belah</v>
      </c>
      <c r="C50" s="526">
        <f>RAB!C50</f>
        <v>0</v>
      </c>
      <c r="D50" s="524" t="str">
        <f>RAB!D50</f>
        <v>m3</v>
      </c>
      <c r="E50" s="506">
        <f>'Rekap. Upah Pekerja'!D48</f>
        <v>353400</v>
      </c>
      <c r="F50" s="507">
        <f t="shared" si="2"/>
        <v>0</v>
      </c>
    </row>
    <row r="51" spans="1:6" s="498" customFormat="1" ht="25.5" x14ac:dyDescent="0.25">
      <c r="A51" s="504">
        <f>'Rekap. Upah Pekerja'!A49</f>
        <v>7</v>
      </c>
      <c r="B51" s="505" t="str">
        <f>'Rekap. Upah Pekerja'!B49</f>
        <v>Pemasangan 1 m3 pondasi sumuran, diameter 100 cm</v>
      </c>
      <c r="C51" s="526">
        <f>RAB!C51</f>
        <v>0</v>
      </c>
      <c r="D51" s="524" t="str">
        <f>RAB!D51</f>
        <v>m3</v>
      </c>
      <c r="E51" s="506">
        <f>'Rekap. Upah Pekerja'!D49</f>
        <v>341900</v>
      </c>
      <c r="F51" s="507">
        <f t="shared" si="2"/>
        <v>0</v>
      </c>
    </row>
    <row r="52" spans="1:6" s="498" customFormat="1" ht="15" customHeight="1" x14ac:dyDescent="0.25">
      <c r="A52" s="504">
        <f>'Rekap. Upah Pekerja'!A50</f>
        <v>8</v>
      </c>
      <c r="B52" s="505" t="str">
        <f>'Rekap. Upah Pekerja'!B50</f>
        <v>1m1 Pondasi Bored Pile Diameter 30 cm</v>
      </c>
      <c r="C52" s="526">
        <f>RAB!C52</f>
        <v>0</v>
      </c>
      <c r="D52" s="524" t="str">
        <f>RAB!D52</f>
        <v>m1</v>
      </c>
      <c r="E52" s="506">
        <f>'Rekap. Upah Pekerja'!D50</f>
        <v>21100</v>
      </c>
      <c r="F52" s="507">
        <f t="shared" si="2"/>
        <v>0</v>
      </c>
    </row>
    <row r="53" spans="1:6" s="498" customFormat="1" ht="15" customHeight="1" x14ac:dyDescent="0.25">
      <c r="A53" s="504">
        <f>'Rekap. Upah Pekerja'!A51</f>
        <v>9</v>
      </c>
      <c r="B53" s="505" t="str">
        <f>'Rekap. Upah Pekerja'!B51</f>
        <v>Pemasangan 1 m3 tiang pancang 35 x 35 cm</v>
      </c>
      <c r="C53" s="526">
        <f>RAB!C53</f>
        <v>0</v>
      </c>
      <c r="D53" s="524" t="str">
        <f>RAB!D53</f>
        <v>m3</v>
      </c>
      <c r="E53" s="506">
        <f>'Rekap. Upah Pekerja'!D51</f>
        <v>150200</v>
      </c>
      <c r="F53" s="507">
        <f t="shared" si="2"/>
        <v>0</v>
      </c>
    </row>
    <row r="54" spans="1:6" s="498" customFormat="1" ht="15" customHeight="1" thickBot="1" x14ac:dyDescent="0.3">
      <c r="A54" s="504">
        <f>'Rekap. Upah Pekerja'!A52</f>
        <v>10</v>
      </c>
      <c r="B54" s="505" t="str">
        <f>'Rekap. Upah Pekerja'!B52</f>
        <v>Pemasangan 1 m3 tiang pancang 40 x 40 cm</v>
      </c>
      <c r="C54" s="526">
        <f>RAB!C54</f>
        <v>0</v>
      </c>
      <c r="D54" s="524" t="str">
        <f>RAB!D54</f>
        <v>m3</v>
      </c>
      <c r="E54" s="506">
        <f>'Rekap. Upah Pekerja'!D52</f>
        <v>188000</v>
      </c>
      <c r="F54" s="517">
        <f t="shared" si="2"/>
        <v>0</v>
      </c>
    </row>
    <row r="55" spans="1:6" s="498" customFormat="1" ht="21" customHeight="1" thickTop="1" thickBot="1" x14ac:dyDescent="0.3">
      <c r="A55" s="602" t="s">
        <v>1755</v>
      </c>
      <c r="B55" s="602"/>
      <c r="C55" s="602"/>
      <c r="D55" s="602"/>
      <c r="E55" s="602"/>
      <c r="F55" s="502">
        <f>SUM(F45:F54)</f>
        <v>0</v>
      </c>
    </row>
    <row r="56" spans="1:6" s="498" customFormat="1" ht="15" customHeight="1" thickTop="1" x14ac:dyDescent="0.25">
      <c r="A56" s="499"/>
      <c r="B56" s="496"/>
      <c r="C56" s="527"/>
      <c r="D56" s="501"/>
      <c r="E56" s="497"/>
    </row>
    <row r="57" spans="1:6" s="498" customFormat="1" ht="15" customHeight="1" x14ac:dyDescent="0.25">
      <c r="A57" s="503" t="str">
        <f>'Rekap. Upah Pekerja'!A54</f>
        <v>IV.</v>
      </c>
      <c r="B57" s="605" t="str">
        <f>'Rekap. Upah Pekerja'!B54</f>
        <v>HARGA SATUAN PEKERJAAN BETON</v>
      </c>
      <c r="C57" s="605"/>
      <c r="D57" s="605"/>
      <c r="E57" s="605"/>
      <c r="F57" s="605"/>
    </row>
    <row r="58" spans="1:6" s="498" customFormat="1" ht="25.5" x14ac:dyDescent="0.25">
      <c r="A58" s="504">
        <f>'Rekap. Upah Pekerja'!A55</f>
        <v>1</v>
      </c>
      <c r="B58" s="505" t="str">
        <f>'Rekap. Upah Pekerja'!B55</f>
        <v>Membuat 1 m3 beton mutu f'c = 7,4 Mpa (K100), slump (12 ± 2) cm, w/c = 0.87</v>
      </c>
      <c r="C58" s="526">
        <f>RAB!C58</f>
        <v>0</v>
      </c>
      <c r="D58" s="524" t="str">
        <f>RAB!D58</f>
        <v>m3</v>
      </c>
      <c r="E58" s="506">
        <f>'Rekap. Upah Pekerja'!D55</f>
        <v>201900</v>
      </c>
      <c r="F58" s="507">
        <f t="shared" ref="F58:F121" si="3">C58*E58</f>
        <v>0</v>
      </c>
    </row>
    <row r="59" spans="1:6" s="498" customFormat="1" ht="25.5" x14ac:dyDescent="0.25">
      <c r="A59" s="504">
        <f>'Rekap. Upah Pekerja'!A56</f>
        <v>2</v>
      </c>
      <c r="B59" s="505" t="str">
        <f>'Rekap. Upah Pekerja'!B56</f>
        <v>Membuat 1 m3 beton mutu f'c = 9,8 Mpa (K125), slump (12 ± 2) cm, w/c = 0.78</v>
      </c>
      <c r="C59" s="526">
        <f>RAB!C59</f>
        <v>0</v>
      </c>
      <c r="D59" s="524" t="str">
        <f>RAB!D59</f>
        <v>m3</v>
      </c>
      <c r="E59" s="506">
        <f>'Rekap. Upah Pekerja'!D56</f>
        <v>201900</v>
      </c>
      <c r="F59" s="507">
        <f t="shared" si="3"/>
        <v>0</v>
      </c>
    </row>
    <row r="60" spans="1:6" s="498" customFormat="1" ht="25.5" x14ac:dyDescent="0.25">
      <c r="A60" s="504">
        <f>'Rekap. Upah Pekerja'!A57</f>
        <v>3</v>
      </c>
      <c r="B60" s="505" t="str">
        <f>'Rekap. Upah Pekerja'!B57</f>
        <v>Membuat 1 m3 beton mutu f'c = 12,2 Mpa (K150), slump (12 ± 2) cm, w/c = 0.72</v>
      </c>
      <c r="C60" s="526">
        <f>RAB!C60</f>
        <v>0</v>
      </c>
      <c r="D60" s="524" t="str">
        <f>RAB!D60</f>
        <v>m3</v>
      </c>
      <c r="E60" s="506">
        <f>'Rekap. Upah Pekerja'!D57</f>
        <v>201900</v>
      </c>
      <c r="F60" s="507">
        <f t="shared" si="3"/>
        <v>0</v>
      </c>
    </row>
    <row r="61" spans="1:6" s="498" customFormat="1" ht="25.5" x14ac:dyDescent="0.25">
      <c r="A61" s="504">
        <f>'Rekap. Upah Pekerja'!A58</f>
        <v>4</v>
      </c>
      <c r="B61" s="505" t="str">
        <f>'Rekap. Upah Pekerja'!B58</f>
        <v>Membuat 1 m3 lantai kerja beton mutu f'c = 7,4 Mpa (K100), slump (3-6) cm, w/c = 0.87</v>
      </c>
      <c r="C61" s="526">
        <f>RAB!C61</f>
        <v>0</v>
      </c>
      <c r="D61" s="524" t="str">
        <f>RAB!D61</f>
        <v>m3</v>
      </c>
      <c r="E61" s="506">
        <f>'Rekap. Upah Pekerja'!D58</f>
        <v>148800</v>
      </c>
      <c r="F61" s="507">
        <f t="shared" si="3"/>
        <v>0</v>
      </c>
    </row>
    <row r="62" spans="1:6" s="498" customFormat="1" ht="25.5" x14ac:dyDescent="0.25">
      <c r="A62" s="504">
        <f>'Rekap. Upah Pekerja'!A59</f>
        <v>5</v>
      </c>
      <c r="B62" s="505" t="str">
        <f>'Rekap. Upah Pekerja'!B59</f>
        <v>Membuat 1 m3 lantai kerja beton mutu f'c = 14,5 Mpa (K175), slump (12 ± 2) cm, w/c = 0.66</v>
      </c>
      <c r="C62" s="526">
        <f>RAB!C62</f>
        <v>0</v>
      </c>
      <c r="D62" s="524" t="str">
        <f>RAB!D62</f>
        <v>m3</v>
      </c>
      <c r="E62" s="506">
        <f>'Rekap. Upah Pekerja'!D59</f>
        <v>201900</v>
      </c>
      <c r="F62" s="507">
        <f t="shared" si="3"/>
        <v>0</v>
      </c>
    </row>
    <row r="63" spans="1:6" s="498" customFormat="1" ht="25.5" x14ac:dyDescent="0.25">
      <c r="A63" s="504">
        <f>'Rekap. Upah Pekerja'!A60</f>
        <v>6</v>
      </c>
      <c r="B63" s="505" t="str">
        <f>'Rekap. Upah Pekerja'!B60</f>
        <v>Membuat 1 m3 lantai kerja beton mutu f'c = 16,9 Mpa (K200), slump (12 ± 2) cm, w/c = 0.61</v>
      </c>
      <c r="C63" s="526">
        <f>RAB!C63</f>
        <v>0</v>
      </c>
      <c r="D63" s="524" t="str">
        <f>RAB!D63</f>
        <v>m3</v>
      </c>
      <c r="E63" s="506">
        <f>'Rekap. Upah Pekerja'!D60</f>
        <v>201900</v>
      </c>
      <c r="F63" s="507">
        <f t="shared" si="3"/>
        <v>0</v>
      </c>
    </row>
    <row r="64" spans="1:6" s="498" customFormat="1" ht="25.5" x14ac:dyDescent="0.25">
      <c r="A64" s="504">
        <f>'Rekap. Upah Pekerja'!A61</f>
        <v>7</v>
      </c>
      <c r="B64" s="505" t="str">
        <f>'Rekap. Upah Pekerja'!B61</f>
        <v>Membuat 1 m3 lantai kerja beton mutu f'c = 19,3 Mpa (K225), slump (12 ± 2) cm, w/c = 0.58</v>
      </c>
      <c r="C64" s="526">
        <f>RAB!C64</f>
        <v>0</v>
      </c>
      <c r="D64" s="524" t="str">
        <f>RAB!D64</f>
        <v>m3</v>
      </c>
      <c r="E64" s="506">
        <f>'Rekap. Upah Pekerja'!D61</f>
        <v>201900</v>
      </c>
      <c r="F64" s="507">
        <f t="shared" si="3"/>
        <v>0</v>
      </c>
    </row>
    <row r="65" spans="1:6" s="498" customFormat="1" ht="25.5" x14ac:dyDescent="0.25">
      <c r="A65" s="504">
        <f>'Rekap. Upah Pekerja'!A62</f>
        <v>8</v>
      </c>
      <c r="B65" s="505" t="str">
        <f>'Rekap. Upah Pekerja'!B62</f>
        <v>Membuat 1 m3 lantai kerja beton mutu f'c = 21,7 Mpa (K250), slump (12 ± 2) cm, w/c = 0.56</v>
      </c>
      <c r="C65" s="526">
        <f>RAB!C65</f>
        <v>0</v>
      </c>
      <c r="D65" s="524" t="str">
        <f>RAB!D65</f>
        <v>m3</v>
      </c>
      <c r="E65" s="506">
        <f>'Rekap. Upah Pekerja'!D62</f>
        <v>201900</v>
      </c>
      <c r="F65" s="507">
        <f t="shared" si="3"/>
        <v>0</v>
      </c>
    </row>
    <row r="66" spans="1:6" s="498" customFormat="1" ht="25.5" x14ac:dyDescent="0.25">
      <c r="A66" s="504">
        <f>'Rekap. Upah Pekerja'!A63</f>
        <v>9</v>
      </c>
      <c r="B66" s="505" t="str">
        <f>'Rekap. Upah Pekerja'!B63</f>
        <v>Membuat 1 m3 lantai kerja beton mutu f'c = 24,0 Mpa (K275), slump (12 ± 2) cm, w/c = 0.53</v>
      </c>
      <c r="C66" s="526">
        <f>RAB!C66</f>
        <v>0</v>
      </c>
      <c r="D66" s="524" t="str">
        <f>RAB!D66</f>
        <v>m3</v>
      </c>
      <c r="E66" s="506">
        <f>'Rekap. Upah Pekerja'!D63</f>
        <v>201900</v>
      </c>
      <c r="F66" s="507">
        <f t="shared" si="3"/>
        <v>0</v>
      </c>
    </row>
    <row r="67" spans="1:6" s="498" customFormat="1" ht="25.5" x14ac:dyDescent="0.25">
      <c r="A67" s="504">
        <f>'Rekap. Upah Pekerja'!A64</f>
        <v>10</v>
      </c>
      <c r="B67" s="505" t="str">
        <f>'Rekap. Upah Pekerja'!B64</f>
        <v>Membuat 1 m3 lantai kerja beton mutu f'c = 26,4 Mpa (K300), slump (12 ± 2) cm, w/c = 0.52</v>
      </c>
      <c r="C67" s="526">
        <f>RAB!C67</f>
        <v>0</v>
      </c>
      <c r="D67" s="524" t="str">
        <f>RAB!D67</f>
        <v>m3</v>
      </c>
      <c r="E67" s="506">
        <f>'Rekap. Upah Pekerja'!D64</f>
        <v>201900</v>
      </c>
      <c r="F67" s="507">
        <f t="shared" si="3"/>
        <v>0</v>
      </c>
    </row>
    <row r="68" spans="1:6" s="498" customFormat="1" ht="25.5" x14ac:dyDescent="0.25">
      <c r="A68" s="504">
        <f>'Rekap. Upah Pekerja'!A65</f>
        <v>11</v>
      </c>
      <c r="B68" s="505" t="str">
        <f>'Rekap. Upah Pekerja'!B65</f>
        <v>Membuat 1 m3 lantai kerja beton mutu f'c = 28,8 Mpa (K325), slump (12 ± 2) cm, w/c = 0.49</v>
      </c>
      <c r="C68" s="526">
        <f>RAB!C68</f>
        <v>0</v>
      </c>
      <c r="D68" s="524" t="str">
        <f>RAB!D68</f>
        <v>m3</v>
      </c>
      <c r="E68" s="506">
        <f>'Rekap. Upah Pekerja'!D65</f>
        <v>256800</v>
      </c>
      <c r="F68" s="507">
        <f t="shared" si="3"/>
        <v>0</v>
      </c>
    </row>
    <row r="69" spans="1:6" s="498" customFormat="1" ht="25.5" x14ac:dyDescent="0.25">
      <c r="A69" s="504">
        <f>'Rekap. Upah Pekerja'!A66</f>
        <v>12</v>
      </c>
      <c r="B69" s="505" t="str">
        <f>'Rekap. Upah Pekerja'!B66</f>
        <v>Membuat 1 m3 lantai kerja beton mutu f'c = 31,2 Mpa (K350), slump (12 ± 2) cm, w/c = 0.48</v>
      </c>
      <c r="C69" s="526">
        <f>RAB!C69</f>
        <v>0</v>
      </c>
      <c r="D69" s="524" t="str">
        <f>RAB!D69</f>
        <v>m3</v>
      </c>
      <c r="E69" s="506">
        <f>'Rekap. Upah Pekerja'!D66</f>
        <v>256800</v>
      </c>
      <c r="F69" s="507">
        <f t="shared" si="3"/>
        <v>0</v>
      </c>
    </row>
    <row r="70" spans="1:6" s="498" customFormat="1" ht="25.5" x14ac:dyDescent="0.25">
      <c r="A70" s="504">
        <f>'Rekap. Upah Pekerja'!A67</f>
        <v>13</v>
      </c>
      <c r="B70" s="505" t="str">
        <f>'Rekap. Upah Pekerja'!B67</f>
        <v>Membuat 1 m3 beton kedap air dengan strorox - 100</v>
      </c>
      <c r="C70" s="526">
        <f>RAB!C70</f>
        <v>0</v>
      </c>
      <c r="D70" s="524" t="str">
        <f>RAB!D70</f>
        <v>m3</v>
      </c>
      <c r="E70" s="506">
        <f>'Rekap. Upah Pekerja'!D67</f>
        <v>256800</v>
      </c>
      <c r="F70" s="507">
        <f t="shared" si="3"/>
        <v>0</v>
      </c>
    </row>
    <row r="71" spans="1:6" s="498" customFormat="1" ht="25.5" x14ac:dyDescent="0.25">
      <c r="A71" s="504">
        <f>'Rekap. Upah Pekerja'!A68</f>
        <v>14</v>
      </c>
      <c r="B71" s="505" t="str">
        <f>'Rekap. Upah Pekerja'!B68</f>
        <v>Pembesian 10 kg dengan besi polos atau besi ulir</v>
      </c>
      <c r="C71" s="526">
        <f>RAB!C71</f>
        <v>0</v>
      </c>
      <c r="D71" s="524" t="str">
        <f>RAB!D71</f>
        <v>kg</v>
      </c>
      <c r="E71" s="506">
        <f>'Rekap. Upah Pekerja'!D68</f>
        <v>15800</v>
      </c>
      <c r="F71" s="507">
        <f t="shared" si="3"/>
        <v>0</v>
      </c>
    </row>
    <row r="72" spans="1:6" s="498" customFormat="1" ht="25.5" x14ac:dyDescent="0.25">
      <c r="A72" s="504">
        <f>'Rekap. Upah Pekerja'!A69</f>
        <v>15</v>
      </c>
      <c r="B72" s="505" t="str">
        <f>'Rekap. Upah Pekerja'!B69</f>
        <v>Pemasangan 10 kg kabel presstressed polos/strands</v>
      </c>
      <c r="C72" s="526">
        <f>RAB!C72</f>
        <v>0</v>
      </c>
      <c r="D72" s="524" t="str">
        <f>RAB!D72</f>
        <v>kg</v>
      </c>
      <c r="E72" s="506">
        <f>'Rekap. Upah Pekerja'!D69</f>
        <v>16400</v>
      </c>
      <c r="F72" s="507">
        <f t="shared" si="3"/>
        <v>0</v>
      </c>
    </row>
    <row r="73" spans="1:6" s="498" customFormat="1" ht="15" customHeight="1" x14ac:dyDescent="0.25">
      <c r="A73" s="504">
        <f>'Rekap. Upah Pekerja'!A70</f>
        <v>16</v>
      </c>
      <c r="B73" s="505" t="str">
        <f>'Rekap. Upah Pekerja'!B70</f>
        <v>Pemasangan 10 kg jaring kawat baja (wiremesh)</v>
      </c>
      <c r="C73" s="526">
        <f>RAB!C73</f>
        <v>0</v>
      </c>
      <c r="D73" s="524" t="str">
        <f>RAB!D73</f>
        <v>kg</v>
      </c>
      <c r="E73" s="506">
        <f>'Rekap. Upah Pekerja'!D70</f>
        <v>8200</v>
      </c>
      <c r="F73" s="507">
        <f t="shared" si="3"/>
        <v>0</v>
      </c>
    </row>
    <row r="74" spans="1:6" s="498" customFormat="1" ht="15" customHeight="1" x14ac:dyDescent="0.25">
      <c r="A74" s="504">
        <f>'Rekap. Upah Pekerja'!A71</f>
        <v>17</v>
      </c>
      <c r="B74" s="505" t="str">
        <f>'Rekap. Upah Pekerja'!B71</f>
        <v>Pemasangan 1 m2 bekisting untuk pondasi</v>
      </c>
      <c r="C74" s="526">
        <f>RAB!C74</f>
        <v>0</v>
      </c>
      <c r="D74" s="524" t="str">
        <f>RAB!D74</f>
        <v>m2</v>
      </c>
      <c r="E74" s="506">
        <f>'Rekap. Upah Pekerja'!D71</f>
        <v>84700</v>
      </c>
      <c r="F74" s="507">
        <f t="shared" si="3"/>
        <v>0</v>
      </c>
    </row>
    <row r="75" spans="1:6" s="498" customFormat="1" ht="15" customHeight="1" x14ac:dyDescent="0.25">
      <c r="A75" s="504">
        <f>'Rekap. Upah Pekerja'!A72</f>
        <v>18</v>
      </c>
      <c r="B75" s="505" t="str">
        <f>'Rekap. Upah Pekerja'!B72</f>
        <v>Pemasangan 1 m2 bekisting untuk sloof</v>
      </c>
      <c r="C75" s="526">
        <f>RAB!C75</f>
        <v>0</v>
      </c>
      <c r="D75" s="524" t="str">
        <f>RAB!D75</f>
        <v>m2</v>
      </c>
      <c r="E75" s="506">
        <f>'Rekap. Upah Pekerja'!D72</f>
        <v>84700</v>
      </c>
      <c r="F75" s="507">
        <f t="shared" si="3"/>
        <v>0</v>
      </c>
    </row>
    <row r="76" spans="1:6" s="498" customFormat="1" ht="15" customHeight="1" x14ac:dyDescent="0.25">
      <c r="A76" s="504">
        <f>'Rekap. Upah Pekerja'!A73</f>
        <v>19</v>
      </c>
      <c r="B76" s="505" t="str">
        <f>'Rekap. Upah Pekerja'!B73</f>
        <v>Pemasangan 1 m2 bekisting untuk kolom</v>
      </c>
      <c r="C76" s="526">
        <f>RAB!C76</f>
        <v>0</v>
      </c>
      <c r="D76" s="524" t="str">
        <f>RAB!D76</f>
        <v>m2</v>
      </c>
      <c r="E76" s="506">
        <f>'Rekap. Upah Pekerja'!D73</f>
        <v>107500</v>
      </c>
      <c r="F76" s="507">
        <f t="shared" si="3"/>
        <v>0</v>
      </c>
    </row>
    <row r="77" spans="1:6" s="498" customFormat="1" ht="15" customHeight="1" x14ac:dyDescent="0.25">
      <c r="A77" s="504">
        <f>'Rekap. Upah Pekerja'!A74</f>
        <v>20</v>
      </c>
      <c r="B77" s="505" t="str">
        <f>'Rekap. Upah Pekerja'!B74</f>
        <v>Pemasangan 1 m2 bekisting untuk balok</v>
      </c>
      <c r="C77" s="526">
        <f>RAB!C77</f>
        <v>0</v>
      </c>
      <c r="D77" s="524" t="str">
        <f>RAB!D77</f>
        <v>m2</v>
      </c>
      <c r="E77" s="506">
        <f>'Rekap. Upah Pekerja'!D74</f>
        <v>107500</v>
      </c>
      <c r="F77" s="507">
        <f t="shared" si="3"/>
        <v>0</v>
      </c>
    </row>
    <row r="78" spans="1:6" s="498" customFormat="1" ht="15" customHeight="1" x14ac:dyDescent="0.25">
      <c r="A78" s="504">
        <f>'Rekap. Upah Pekerja'!A75</f>
        <v>21</v>
      </c>
      <c r="B78" s="505" t="str">
        <f>'Rekap. Upah Pekerja'!B75</f>
        <v>Pemasangan 1 m2 bekisting untuk lantai</v>
      </c>
      <c r="C78" s="526">
        <f>RAB!C78</f>
        <v>0</v>
      </c>
      <c r="D78" s="524" t="str">
        <f>RAB!D78</f>
        <v>m2</v>
      </c>
      <c r="E78" s="506">
        <f>'Rekap. Upah Pekerja'!D75</f>
        <v>107500</v>
      </c>
      <c r="F78" s="507">
        <f t="shared" si="3"/>
        <v>0</v>
      </c>
    </row>
    <row r="79" spans="1:6" s="498" customFormat="1" ht="15" customHeight="1" x14ac:dyDescent="0.25">
      <c r="A79" s="504">
        <f>'Rekap. Upah Pekerja'!A76</f>
        <v>22</v>
      </c>
      <c r="B79" s="505" t="str">
        <f>'Rekap. Upah Pekerja'!B76</f>
        <v>Pemasangan 1 m2 bekisting untuk dinding</v>
      </c>
      <c r="C79" s="526">
        <f>RAB!C79</f>
        <v>0</v>
      </c>
      <c r="D79" s="524" t="str">
        <f>RAB!D79</f>
        <v>m2</v>
      </c>
      <c r="E79" s="506">
        <f>'Rekap. Upah Pekerja'!D76</f>
        <v>107500</v>
      </c>
      <c r="F79" s="507">
        <f t="shared" si="3"/>
        <v>0</v>
      </c>
    </row>
    <row r="80" spans="1:6" s="498" customFormat="1" ht="15" customHeight="1" x14ac:dyDescent="0.25">
      <c r="A80" s="504">
        <f>'Rekap. Upah Pekerja'!A77</f>
        <v>23</v>
      </c>
      <c r="B80" s="505" t="str">
        <f>'Rekap. Upah Pekerja'!B77</f>
        <v>Pemasangan 1 m2 bekisting untuk tangga</v>
      </c>
      <c r="C80" s="526">
        <f>RAB!C80</f>
        <v>0</v>
      </c>
      <c r="D80" s="524" t="str">
        <f>RAB!D80</f>
        <v>m2</v>
      </c>
      <c r="E80" s="506">
        <f>'Rekap. Upah Pekerja'!D77</f>
        <v>107500</v>
      </c>
      <c r="F80" s="507">
        <f t="shared" si="3"/>
        <v>0</v>
      </c>
    </row>
    <row r="81" spans="1:6" s="498" customFormat="1" ht="15" customHeight="1" x14ac:dyDescent="0.25">
      <c r="A81" s="504" t="str">
        <f>'Rekap. Upah Pekerja'!A78</f>
        <v>24.1</v>
      </c>
      <c r="B81" s="505" t="str">
        <f>'Rekap. Upah Pekerja'!B78</f>
        <v xml:space="preserve">Pas. Beton Cor 1 : 3 : 5 </v>
      </c>
      <c r="C81" s="526">
        <f>RAB!C81</f>
        <v>0</v>
      </c>
      <c r="D81" s="524" t="str">
        <f>RAB!D81</f>
        <v>m3</v>
      </c>
      <c r="E81" s="506">
        <f>'Rekap. Upah Pekerja'!D78</f>
        <v>198400</v>
      </c>
      <c r="F81" s="507">
        <f t="shared" si="3"/>
        <v>0</v>
      </c>
    </row>
    <row r="82" spans="1:6" s="498" customFormat="1" ht="15" customHeight="1" x14ac:dyDescent="0.25">
      <c r="A82" s="504" t="str">
        <f>'Rekap. Upah Pekerja'!A79</f>
        <v>24.2</v>
      </c>
      <c r="B82" s="505" t="str">
        <f>'Rekap. Upah Pekerja'!B79</f>
        <v xml:space="preserve">Beton bertulang cor 1 : 2 : 3 </v>
      </c>
      <c r="C82" s="526">
        <f>RAB!C82</f>
        <v>0</v>
      </c>
      <c r="D82" s="524" t="str">
        <f>RAB!D82</f>
        <v>m3</v>
      </c>
      <c r="E82" s="506">
        <f>'Rekap. Upah Pekerja'!D79</f>
        <v>198400</v>
      </c>
      <c r="F82" s="507">
        <f t="shared" si="3"/>
        <v>0</v>
      </c>
    </row>
    <row r="83" spans="1:6" s="498" customFormat="1" ht="15" customHeight="1" x14ac:dyDescent="0.25">
      <c r="A83" s="504">
        <f>'Rekap. Upah Pekerja'!A80</f>
        <v>25</v>
      </c>
      <c r="B83" s="505" t="str">
        <f>'Rekap. Upah Pekerja'!B80</f>
        <v>Pas. Beton bertulang 1 : 1.5: 2.5</v>
      </c>
      <c r="C83" s="526">
        <f>RAB!C83</f>
        <v>0</v>
      </c>
      <c r="D83" s="524" t="str">
        <f>RAB!D83</f>
        <v>m3</v>
      </c>
      <c r="E83" s="506">
        <f>'Rekap. Upah Pekerja'!D80</f>
        <v>198400</v>
      </c>
      <c r="F83" s="507">
        <f t="shared" si="3"/>
        <v>0</v>
      </c>
    </row>
    <row r="84" spans="1:6" s="498" customFormat="1" ht="25.5" x14ac:dyDescent="0.25">
      <c r="A84" s="504">
        <f>'Rekap. Upah Pekerja'!A81</f>
        <v>26</v>
      </c>
      <c r="B84" s="505" t="str">
        <f>'Rekap. Upah Pekerja'!B81</f>
        <v>Membuat 1 m1 kolom praktis beton bertulang (11x11) cm</v>
      </c>
      <c r="C84" s="526">
        <f>RAB!C84</f>
        <v>0</v>
      </c>
      <c r="D84" s="524" t="str">
        <f>RAB!D84</f>
        <v>m1</v>
      </c>
      <c r="E84" s="506">
        <f>'Rekap. Upah Pekerja'!D81</f>
        <v>25700</v>
      </c>
      <c r="F84" s="507">
        <f t="shared" si="3"/>
        <v>0</v>
      </c>
    </row>
    <row r="85" spans="1:6" s="498" customFormat="1" ht="25.5" x14ac:dyDescent="0.25">
      <c r="A85" s="504">
        <f>'Rekap. Upah Pekerja'!A82</f>
        <v>27</v>
      </c>
      <c r="B85" s="505" t="str">
        <f>'Rekap. Upah Pekerja'!B82</f>
        <v>Membuat 1 m1 ring balok beton bertulang (10 x 15) cm</v>
      </c>
      <c r="C85" s="526">
        <f>RAB!C85</f>
        <v>0</v>
      </c>
      <c r="D85" s="524" t="str">
        <f>RAB!D85</f>
        <v>m1</v>
      </c>
      <c r="E85" s="506">
        <f>'Rekap. Upah Pekerja'!D82</f>
        <v>42400</v>
      </c>
      <c r="F85" s="507">
        <f t="shared" si="3"/>
        <v>0</v>
      </c>
    </row>
    <row r="86" spans="1:6" s="498" customFormat="1" ht="25.5" x14ac:dyDescent="0.25">
      <c r="A86" s="504">
        <f>'Rekap. Upah Pekerja'!A83</f>
        <v>28</v>
      </c>
      <c r="B86" s="505" t="str">
        <f>'Rekap. Upah Pekerja'!B83</f>
        <v>Membuat 1 m2 Perancah / Steger (menggunakan Buruh)</v>
      </c>
      <c r="C86" s="526">
        <f>RAB!C86</f>
        <v>0</v>
      </c>
      <c r="D86" s="524" t="str">
        <f>RAB!D86</f>
        <v>m2</v>
      </c>
      <c r="E86" s="506">
        <f>'Rekap. Upah Pekerja'!D83</f>
        <v>31100</v>
      </c>
      <c r="F86" s="507">
        <f t="shared" si="3"/>
        <v>0</v>
      </c>
    </row>
    <row r="87" spans="1:6" s="498" customFormat="1" ht="15" customHeight="1" x14ac:dyDescent="0.25">
      <c r="A87" s="504">
        <f>'Rekap. Upah Pekerja'!A84</f>
        <v>29</v>
      </c>
      <c r="B87" s="505" t="str">
        <f>'Rekap. Upah Pekerja'!B84</f>
        <v>1 m3 cor Beton Basement k 300</v>
      </c>
      <c r="C87" s="526">
        <f>RAB!C87</f>
        <v>0</v>
      </c>
      <c r="D87" s="524" t="str">
        <f>RAB!D87</f>
        <v>m3</v>
      </c>
      <c r="E87" s="506">
        <f>'Rekap. Upah Pekerja'!D84</f>
        <v>201900</v>
      </c>
      <c r="F87" s="507">
        <f t="shared" si="3"/>
        <v>0</v>
      </c>
    </row>
    <row r="88" spans="1:6" s="498" customFormat="1" ht="15" customHeight="1" x14ac:dyDescent="0.25">
      <c r="A88" s="508">
        <f>'Rekap. Upah Pekerja'!A85</f>
        <v>30</v>
      </c>
      <c r="B88" s="520" t="str">
        <f>'Rekap. Upah Pekerja'!B85</f>
        <v>1 m3 cor Beton Pondasi k 100- 350 fe 125</v>
      </c>
      <c r="C88" s="528"/>
      <c r="D88" s="525"/>
      <c r="E88" s="522"/>
      <c r="F88" s="523"/>
    </row>
    <row r="89" spans="1:6" s="498" customFormat="1" ht="15" customHeight="1" x14ac:dyDescent="0.25">
      <c r="A89" s="504" t="str">
        <f>'Rekap. Upah Pekerja'!A86</f>
        <v>30.1</v>
      </c>
      <c r="B89" s="505" t="str">
        <f>'Rekap. Upah Pekerja'!B86</f>
        <v>Harga Satuan Pekerjaan Beton (k 100) Fe 125</v>
      </c>
      <c r="C89" s="526">
        <f>RAB!C89</f>
        <v>0</v>
      </c>
      <c r="D89" s="524" t="str">
        <f>RAB!D89</f>
        <v>m3</v>
      </c>
      <c r="E89" s="506">
        <f>'Rekap. Upah Pekerja'!D86</f>
        <v>483000</v>
      </c>
      <c r="F89" s="507">
        <f t="shared" si="3"/>
        <v>0</v>
      </c>
    </row>
    <row r="90" spans="1:6" s="498" customFormat="1" ht="15" customHeight="1" x14ac:dyDescent="0.25">
      <c r="A90" s="504" t="str">
        <f>'Rekap. Upah Pekerja'!A87</f>
        <v>30.2</v>
      </c>
      <c r="B90" s="505" t="str">
        <f>'Rekap. Upah Pekerja'!B87</f>
        <v>Harga satuan pekerjaan Beton ( K 125 )  FE  125</v>
      </c>
      <c r="C90" s="526">
        <f>RAB!C90</f>
        <v>0</v>
      </c>
      <c r="D90" s="524" t="str">
        <f>RAB!D90</f>
        <v>m3</v>
      </c>
      <c r="E90" s="506">
        <f>'Rekap. Upah Pekerja'!D87</f>
        <v>483000</v>
      </c>
      <c r="F90" s="507">
        <f t="shared" si="3"/>
        <v>0</v>
      </c>
    </row>
    <row r="91" spans="1:6" s="498" customFormat="1" ht="15" customHeight="1" x14ac:dyDescent="0.25">
      <c r="A91" s="504" t="str">
        <f>'Rekap. Upah Pekerja'!A88</f>
        <v>30.3</v>
      </c>
      <c r="B91" s="505" t="str">
        <f>'Rekap. Upah Pekerja'!B88</f>
        <v>Harga Satuan Pekerjaan Beton ( K 150 )  FE  125</v>
      </c>
      <c r="C91" s="526">
        <f>RAB!C91</f>
        <v>0</v>
      </c>
      <c r="D91" s="524" t="str">
        <f>RAB!D91</f>
        <v>m3</v>
      </c>
      <c r="E91" s="506">
        <f>'Rekap. Upah Pekerja'!D88</f>
        <v>483000</v>
      </c>
      <c r="F91" s="507">
        <f t="shared" si="3"/>
        <v>0</v>
      </c>
    </row>
    <row r="92" spans="1:6" s="498" customFormat="1" ht="15" customHeight="1" x14ac:dyDescent="0.25">
      <c r="A92" s="504" t="str">
        <f>'Rekap. Upah Pekerja'!A89</f>
        <v>30.4</v>
      </c>
      <c r="B92" s="505" t="str">
        <f>'Rekap. Upah Pekerja'!B89</f>
        <v>Harga Satuan Pekerjaan Beton ( K 175 )  FE  125</v>
      </c>
      <c r="C92" s="526">
        <f>RAB!C92</f>
        <v>0</v>
      </c>
      <c r="D92" s="524" t="str">
        <f>RAB!D92</f>
        <v>m3</v>
      </c>
      <c r="E92" s="506">
        <f>'Rekap. Upah Pekerja'!D89</f>
        <v>483000</v>
      </c>
      <c r="F92" s="507">
        <f t="shared" si="3"/>
        <v>0</v>
      </c>
    </row>
    <row r="93" spans="1:6" s="498" customFormat="1" ht="15" customHeight="1" x14ac:dyDescent="0.25">
      <c r="A93" s="504" t="str">
        <f>'Rekap. Upah Pekerja'!A90</f>
        <v>30.5</v>
      </c>
      <c r="B93" s="505" t="str">
        <f>'Rekap. Upah Pekerja'!B90</f>
        <v>Harga Satuan Pekerjaan Beton ( K 200 )  FE  125</v>
      </c>
      <c r="C93" s="526">
        <f>RAB!C93</f>
        <v>0</v>
      </c>
      <c r="D93" s="524" t="str">
        <f>RAB!D93</f>
        <v>m3</v>
      </c>
      <c r="E93" s="506">
        <f>'Rekap. Upah Pekerja'!D90</f>
        <v>483000</v>
      </c>
      <c r="F93" s="507">
        <f t="shared" si="3"/>
        <v>0</v>
      </c>
    </row>
    <row r="94" spans="1:6" s="498" customFormat="1" ht="15" customHeight="1" x14ac:dyDescent="0.25">
      <c r="A94" s="504" t="str">
        <f>'Rekap. Upah Pekerja'!A91</f>
        <v>30.6</v>
      </c>
      <c r="B94" s="505" t="str">
        <f>'Rekap. Upah Pekerja'!B91</f>
        <v>Harga Satuan Pekerjaan Beton ( K 225 )  FE  125</v>
      </c>
      <c r="C94" s="526">
        <f>RAB!C94</f>
        <v>0</v>
      </c>
      <c r="D94" s="524" t="str">
        <f>RAB!D94</f>
        <v>m3</v>
      </c>
      <c r="E94" s="506">
        <f>'Rekap. Upah Pekerja'!D91</f>
        <v>483000</v>
      </c>
      <c r="F94" s="507">
        <f t="shared" si="3"/>
        <v>0</v>
      </c>
    </row>
    <row r="95" spans="1:6" s="498" customFormat="1" ht="15" customHeight="1" x14ac:dyDescent="0.25">
      <c r="A95" s="504" t="str">
        <f>'Rekap. Upah Pekerja'!A92</f>
        <v>30.7</v>
      </c>
      <c r="B95" s="505" t="str">
        <f>'Rekap. Upah Pekerja'!B92</f>
        <v>Harga Satuan Pekerjaan Beton ( K 250 )  FE  125</v>
      </c>
      <c r="C95" s="526">
        <f>RAB!C95</f>
        <v>0</v>
      </c>
      <c r="D95" s="524" t="str">
        <f>RAB!D95</f>
        <v>m3</v>
      </c>
      <c r="E95" s="506">
        <f>'Rekap. Upah Pekerja'!D92</f>
        <v>483000</v>
      </c>
      <c r="F95" s="507">
        <f t="shared" si="3"/>
        <v>0</v>
      </c>
    </row>
    <row r="96" spans="1:6" s="498" customFormat="1" ht="15" customHeight="1" x14ac:dyDescent="0.25">
      <c r="A96" s="504" t="str">
        <f>'Rekap. Upah Pekerja'!A93</f>
        <v>30.8</v>
      </c>
      <c r="B96" s="505" t="str">
        <f>'Rekap. Upah Pekerja'!B93</f>
        <v>Harga Satuan Pekerjaan Beton ( K 275 )  FE  125</v>
      </c>
      <c r="C96" s="526">
        <f>RAB!C96</f>
        <v>0</v>
      </c>
      <c r="D96" s="524" t="str">
        <f>RAB!D96</f>
        <v>m3</v>
      </c>
      <c r="E96" s="506">
        <f>'Rekap. Upah Pekerja'!D93</f>
        <v>483000</v>
      </c>
      <c r="F96" s="507">
        <f t="shared" si="3"/>
        <v>0</v>
      </c>
    </row>
    <row r="97" spans="1:6" s="498" customFormat="1" ht="15" customHeight="1" x14ac:dyDescent="0.25">
      <c r="A97" s="504" t="str">
        <f>'Rekap. Upah Pekerja'!A94</f>
        <v>30.9</v>
      </c>
      <c r="B97" s="505" t="str">
        <f>'Rekap. Upah Pekerja'!B94</f>
        <v>Harga Satuan Pekerjaan Beton ( K 300 )  FE  125</v>
      </c>
      <c r="C97" s="526">
        <f>RAB!C97</f>
        <v>0</v>
      </c>
      <c r="D97" s="524" t="str">
        <f>RAB!D97</f>
        <v>m3</v>
      </c>
      <c r="E97" s="506">
        <f>'Rekap. Upah Pekerja'!D94</f>
        <v>483000</v>
      </c>
      <c r="F97" s="507">
        <f t="shared" si="3"/>
        <v>0</v>
      </c>
    </row>
    <row r="98" spans="1:6" s="498" customFormat="1" ht="15" customHeight="1" x14ac:dyDescent="0.25">
      <c r="A98" s="504" t="str">
        <f>'Rekap. Upah Pekerja'!A95</f>
        <v>30.10</v>
      </c>
      <c r="B98" s="505" t="str">
        <f>'Rekap. Upah Pekerja'!B95</f>
        <v>Harga Satuan Pekerjaan Beton ( K 325 )  FE  125</v>
      </c>
      <c r="C98" s="526">
        <f>RAB!C98</f>
        <v>0</v>
      </c>
      <c r="D98" s="524" t="str">
        <f>RAB!D98</f>
        <v>m3</v>
      </c>
      <c r="E98" s="506">
        <f>'Rekap. Upah Pekerja'!D95</f>
        <v>537800</v>
      </c>
      <c r="F98" s="507">
        <f t="shared" si="3"/>
        <v>0</v>
      </c>
    </row>
    <row r="99" spans="1:6" s="498" customFormat="1" ht="15" customHeight="1" x14ac:dyDescent="0.25">
      <c r="A99" s="504" t="str">
        <f>'Rekap. Upah Pekerja'!A96</f>
        <v>30.11</v>
      </c>
      <c r="B99" s="505" t="str">
        <f>'Rekap. Upah Pekerja'!B96</f>
        <v>Harga Satuan Pekerjaan Beton ( K 350)  FE 125</v>
      </c>
      <c r="C99" s="526">
        <f>RAB!C99</f>
        <v>0</v>
      </c>
      <c r="D99" s="524" t="str">
        <f>RAB!D99</f>
        <v>m3</v>
      </c>
      <c r="E99" s="506">
        <f>'Rekap. Upah Pekerja'!D96</f>
        <v>537800</v>
      </c>
      <c r="F99" s="507">
        <f t="shared" si="3"/>
        <v>0</v>
      </c>
    </row>
    <row r="100" spans="1:6" s="498" customFormat="1" ht="15" customHeight="1" x14ac:dyDescent="0.25">
      <c r="A100" s="508">
        <f>'Rekap. Upah Pekerja'!A97</f>
        <v>31</v>
      </c>
      <c r="B100" s="520" t="str">
        <f>'Rekap. Upah Pekerja'!B97</f>
        <v>1 m3 cor Beton Dinding k 100-350 fe 150</v>
      </c>
      <c r="C100" s="528"/>
      <c r="D100" s="525"/>
      <c r="E100" s="522"/>
      <c r="F100" s="523"/>
    </row>
    <row r="101" spans="1:6" s="498" customFormat="1" ht="15" customHeight="1" x14ac:dyDescent="0.25">
      <c r="A101" s="504" t="str">
        <f>'Rekap. Upah Pekerja'!A98</f>
        <v>31.1</v>
      </c>
      <c r="B101" s="505" t="str">
        <f>'Rekap. Upah Pekerja'!B98</f>
        <v>Harga Satuan Pekerjaan Beton (k 100) Fe 150</v>
      </c>
      <c r="C101" s="526">
        <f>RAB!C101</f>
        <v>0</v>
      </c>
      <c r="D101" s="524" t="str">
        <f>RAB!D101</f>
        <v>m3</v>
      </c>
      <c r="E101" s="506">
        <f>'Rekap. Upah Pekerja'!D98</f>
        <v>545000</v>
      </c>
      <c r="F101" s="507">
        <f t="shared" si="3"/>
        <v>0</v>
      </c>
    </row>
    <row r="102" spans="1:6" s="498" customFormat="1" ht="15" customHeight="1" x14ac:dyDescent="0.25">
      <c r="A102" s="504" t="str">
        <f>'Rekap. Upah Pekerja'!A99</f>
        <v>31.2</v>
      </c>
      <c r="B102" s="505" t="str">
        <f>'Rekap. Upah Pekerja'!B99</f>
        <v>Harga satuan pekerjaan Beton ( K 125 )  FE  150</v>
      </c>
      <c r="C102" s="526">
        <f>RAB!C102</f>
        <v>0</v>
      </c>
      <c r="D102" s="524" t="str">
        <f>RAB!D102</f>
        <v>m3</v>
      </c>
      <c r="E102" s="506">
        <f>'Rekap. Upah Pekerja'!D99</f>
        <v>545000</v>
      </c>
      <c r="F102" s="507">
        <f t="shared" si="3"/>
        <v>0</v>
      </c>
    </row>
    <row r="103" spans="1:6" s="498" customFormat="1" ht="15" customHeight="1" x14ac:dyDescent="0.25">
      <c r="A103" s="504" t="str">
        <f>'Rekap. Upah Pekerja'!A100</f>
        <v>31.3</v>
      </c>
      <c r="B103" s="505" t="str">
        <f>'Rekap. Upah Pekerja'!B100</f>
        <v>Harga satuan pekerjaan Beton ( K 150 )  FE  150</v>
      </c>
      <c r="C103" s="526">
        <f>RAB!C103</f>
        <v>0</v>
      </c>
      <c r="D103" s="524" t="str">
        <f>RAB!D103</f>
        <v>m3</v>
      </c>
      <c r="E103" s="506">
        <f>'Rekap. Upah Pekerja'!D100</f>
        <v>545000</v>
      </c>
      <c r="F103" s="507">
        <f t="shared" si="3"/>
        <v>0</v>
      </c>
    </row>
    <row r="104" spans="1:6" s="498" customFormat="1" ht="15" customHeight="1" x14ac:dyDescent="0.25">
      <c r="A104" s="504" t="str">
        <f>'Rekap. Upah Pekerja'!A101</f>
        <v>31.4</v>
      </c>
      <c r="B104" s="505" t="str">
        <f>'Rekap. Upah Pekerja'!B101</f>
        <v>Harga Satuan Pekerjaan Beton ( K 175 )  FE  150</v>
      </c>
      <c r="C104" s="526">
        <f>RAB!C104</f>
        <v>0</v>
      </c>
      <c r="D104" s="524" t="str">
        <f>RAB!D104</f>
        <v>m3</v>
      </c>
      <c r="E104" s="506">
        <f>'Rekap. Upah Pekerja'!D101</f>
        <v>545000</v>
      </c>
      <c r="F104" s="507">
        <f t="shared" si="3"/>
        <v>0</v>
      </c>
    </row>
    <row r="105" spans="1:6" s="498" customFormat="1" ht="15" customHeight="1" x14ac:dyDescent="0.25">
      <c r="A105" s="504" t="str">
        <f>'Rekap. Upah Pekerja'!A102</f>
        <v>31.5</v>
      </c>
      <c r="B105" s="505" t="str">
        <f>'Rekap. Upah Pekerja'!B102</f>
        <v>Harga Satuan Pekerjaan Beton ( K 200 )  FE  150</v>
      </c>
      <c r="C105" s="526">
        <f>RAB!C105</f>
        <v>0</v>
      </c>
      <c r="D105" s="524" t="str">
        <f>RAB!D105</f>
        <v>m3</v>
      </c>
      <c r="E105" s="506">
        <f>'Rekap. Upah Pekerja'!D102</f>
        <v>545000</v>
      </c>
      <c r="F105" s="507">
        <f t="shared" si="3"/>
        <v>0</v>
      </c>
    </row>
    <row r="106" spans="1:6" s="498" customFormat="1" ht="15" customHeight="1" x14ac:dyDescent="0.25">
      <c r="A106" s="504" t="str">
        <f>'Rekap. Upah Pekerja'!A103</f>
        <v>31.6</v>
      </c>
      <c r="B106" s="505" t="str">
        <f>'Rekap. Upah Pekerja'!B103</f>
        <v>Harga Satuan Pekerjaan Beton ( K 225 )  FE  150</v>
      </c>
      <c r="C106" s="526">
        <f>RAB!C106</f>
        <v>0</v>
      </c>
      <c r="D106" s="524" t="str">
        <f>RAB!D106</f>
        <v>m3</v>
      </c>
      <c r="E106" s="506">
        <f>'Rekap. Upah Pekerja'!D103</f>
        <v>545000</v>
      </c>
      <c r="F106" s="507">
        <f t="shared" si="3"/>
        <v>0</v>
      </c>
    </row>
    <row r="107" spans="1:6" s="498" customFormat="1" ht="15" customHeight="1" x14ac:dyDescent="0.25">
      <c r="A107" s="504" t="str">
        <f>'Rekap. Upah Pekerja'!A104</f>
        <v>31.7</v>
      </c>
      <c r="B107" s="505" t="str">
        <f>'Rekap. Upah Pekerja'!B104</f>
        <v>Harga Satuan Pekerjaan Beton ( K 250 )  FE  150</v>
      </c>
      <c r="C107" s="526">
        <f>RAB!C107</f>
        <v>0</v>
      </c>
      <c r="D107" s="524" t="str">
        <f>RAB!D107</f>
        <v>m3</v>
      </c>
      <c r="E107" s="506">
        <f>'Rekap. Upah Pekerja'!D104</f>
        <v>545000</v>
      </c>
      <c r="F107" s="507">
        <f t="shared" si="3"/>
        <v>0</v>
      </c>
    </row>
    <row r="108" spans="1:6" s="498" customFormat="1" ht="15" customHeight="1" x14ac:dyDescent="0.25">
      <c r="A108" s="504" t="str">
        <f>'Rekap. Upah Pekerja'!A105</f>
        <v>31.8</v>
      </c>
      <c r="B108" s="505" t="str">
        <f>'Rekap. Upah Pekerja'!B105</f>
        <v>Harga Satuan Pekerjaan Beton ( K 275 )  FE  150</v>
      </c>
      <c r="C108" s="526">
        <f>RAB!C108</f>
        <v>0</v>
      </c>
      <c r="D108" s="524" t="str">
        <f>RAB!D108</f>
        <v>m3</v>
      </c>
      <c r="E108" s="506">
        <f>'Rekap. Upah Pekerja'!D105</f>
        <v>545000</v>
      </c>
      <c r="F108" s="507">
        <f t="shared" si="3"/>
        <v>0</v>
      </c>
    </row>
    <row r="109" spans="1:6" s="498" customFormat="1" ht="15" customHeight="1" x14ac:dyDescent="0.25">
      <c r="A109" s="504" t="str">
        <f>'Rekap. Upah Pekerja'!A106</f>
        <v>31.9</v>
      </c>
      <c r="B109" s="505" t="str">
        <f>'Rekap. Upah Pekerja'!B106</f>
        <v>Harga Satuan Pekerjaan Beton ( K 300 )  FE  150</v>
      </c>
      <c r="C109" s="526">
        <f>RAB!C109</f>
        <v>0</v>
      </c>
      <c r="D109" s="524" t="str">
        <f>RAB!D109</f>
        <v>m3</v>
      </c>
      <c r="E109" s="506">
        <f>'Rekap. Upah Pekerja'!D106</f>
        <v>545000</v>
      </c>
      <c r="F109" s="507">
        <f t="shared" si="3"/>
        <v>0</v>
      </c>
    </row>
    <row r="110" spans="1:6" s="498" customFormat="1" ht="15" customHeight="1" x14ac:dyDescent="0.25">
      <c r="A110" s="504" t="str">
        <f>'Rekap. Upah Pekerja'!A107</f>
        <v>31.10</v>
      </c>
      <c r="B110" s="505" t="str">
        <f>'Rekap. Upah Pekerja'!B107</f>
        <v>Harga Satuan Pekerjaan Beton ( K 325 )  FE  150</v>
      </c>
      <c r="C110" s="526">
        <f>RAB!C110</f>
        <v>0</v>
      </c>
      <c r="D110" s="524" t="str">
        <f>RAB!D110</f>
        <v>m3</v>
      </c>
      <c r="E110" s="506">
        <f>'Rekap. Upah Pekerja'!D107</f>
        <v>599900</v>
      </c>
      <c r="F110" s="507">
        <f t="shared" si="3"/>
        <v>0</v>
      </c>
    </row>
    <row r="111" spans="1:6" s="498" customFormat="1" ht="15" customHeight="1" x14ac:dyDescent="0.25">
      <c r="A111" s="504" t="str">
        <f>'Rekap. Upah Pekerja'!A108</f>
        <v>31.11</v>
      </c>
      <c r="B111" s="505" t="str">
        <f>'Rekap. Upah Pekerja'!B108</f>
        <v>Harga Satuan Pekerjaan Beton ( K 350)  FE 150</v>
      </c>
      <c r="C111" s="526">
        <f>RAB!C111</f>
        <v>0</v>
      </c>
      <c r="D111" s="524" t="str">
        <f>RAB!D111</f>
        <v>m3</v>
      </c>
      <c r="E111" s="506">
        <f>'Rekap. Upah Pekerja'!D108</f>
        <v>599900</v>
      </c>
      <c r="F111" s="507">
        <f t="shared" si="3"/>
        <v>0</v>
      </c>
    </row>
    <row r="112" spans="1:6" s="498" customFormat="1" ht="15" customHeight="1" x14ac:dyDescent="0.25">
      <c r="A112" s="508">
        <f>'Rekap. Upah Pekerja'!A109</f>
        <v>32</v>
      </c>
      <c r="B112" s="520" t="str">
        <f>'Rekap. Upah Pekerja'!B109</f>
        <v>1 m3 cor Beton Sloof k 100 - 350  fe 150</v>
      </c>
      <c r="C112" s="528"/>
      <c r="D112" s="525"/>
      <c r="E112" s="522"/>
      <c r="F112" s="523"/>
    </row>
    <row r="113" spans="1:6" s="498" customFormat="1" ht="15" customHeight="1" x14ac:dyDescent="0.25">
      <c r="A113" s="504" t="str">
        <f>'Rekap. Upah Pekerja'!A110</f>
        <v>32.1</v>
      </c>
      <c r="B113" s="505" t="str">
        <f>'Rekap. Upah Pekerja'!B110</f>
        <v>Harga Satuan Pekerjaan Beton (k 100) Fe 150</v>
      </c>
      <c r="C113" s="526">
        <f>RAB!C113</f>
        <v>0</v>
      </c>
      <c r="D113" s="524" t="str">
        <f>RAB!D113</f>
        <v>m3</v>
      </c>
      <c r="E113" s="506">
        <f>'Rekap. Upah Pekerja'!D110</f>
        <v>522200</v>
      </c>
      <c r="F113" s="507">
        <f t="shared" si="3"/>
        <v>0</v>
      </c>
    </row>
    <row r="114" spans="1:6" s="498" customFormat="1" ht="15" customHeight="1" x14ac:dyDescent="0.25">
      <c r="A114" s="504" t="str">
        <f>'Rekap. Upah Pekerja'!A111</f>
        <v>32.2</v>
      </c>
      <c r="B114" s="505" t="str">
        <f>'Rekap. Upah Pekerja'!B111</f>
        <v>Harga satuan pekerjaan Beton ( K 125 )  FE  150</v>
      </c>
      <c r="C114" s="526">
        <f>RAB!C114</f>
        <v>0</v>
      </c>
      <c r="D114" s="524" t="str">
        <f>RAB!D114</f>
        <v>m3</v>
      </c>
      <c r="E114" s="506">
        <f>'Rekap. Upah Pekerja'!D111</f>
        <v>522200</v>
      </c>
      <c r="F114" s="507">
        <f t="shared" si="3"/>
        <v>0</v>
      </c>
    </row>
    <row r="115" spans="1:6" s="498" customFormat="1" ht="15" customHeight="1" x14ac:dyDescent="0.25">
      <c r="A115" s="504" t="str">
        <f>'Rekap. Upah Pekerja'!A112</f>
        <v>32.3</v>
      </c>
      <c r="B115" s="505" t="str">
        <f>'Rekap. Upah Pekerja'!B112</f>
        <v>Harga satuan pekerjaan Beton ( K 150 )  FE  150</v>
      </c>
      <c r="C115" s="526">
        <f>RAB!C115</f>
        <v>0</v>
      </c>
      <c r="D115" s="524" t="str">
        <f>RAB!D115</f>
        <v>m3</v>
      </c>
      <c r="E115" s="506">
        <f>'Rekap. Upah Pekerja'!D112</f>
        <v>522200</v>
      </c>
      <c r="F115" s="507">
        <f t="shared" si="3"/>
        <v>0</v>
      </c>
    </row>
    <row r="116" spans="1:6" s="498" customFormat="1" ht="15" customHeight="1" x14ac:dyDescent="0.25">
      <c r="A116" s="504" t="str">
        <f>'Rekap. Upah Pekerja'!A113</f>
        <v>32.4</v>
      </c>
      <c r="B116" s="505" t="str">
        <f>'Rekap. Upah Pekerja'!B113</f>
        <v>Harga Satuan Pekerjaan Beton ( K 175 )  FE  150</v>
      </c>
      <c r="C116" s="526">
        <f>RAB!C116</f>
        <v>0</v>
      </c>
      <c r="D116" s="524" t="str">
        <f>RAB!D116</f>
        <v>m3</v>
      </c>
      <c r="E116" s="506">
        <f>'Rekap. Upah Pekerja'!D113</f>
        <v>522200</v>
      </c>
      <c r="F116" s="507">
        <f t="shared" si="3"/>
        <v>0</v>
      </c>
    </row>
    <row r="117" spans="1:6" s="498" customFormat="1" ht="15" customHeight="1" x14ac:dyDescent="0.25">
      <c r="A117" s="504" t="str">
        <f>'Rekap. Upah Pekerja'!A114</f>
        <v>32.5</v>
      </c>
      <c r="B117" s="505" t="str">
        <f>'Rekap. Upah Pekerja'!B114</f>
        <v>Harga Satuan Pekerjaan Beton ( K 200 )  FE  150</v>
      </c>
      <c r="C117" s="526">
        <f>RAB!C117</f>
        <v>0</v>
      </c>
      <c r="D117" s="524" t="str">
        <f>RAB!D117</f>
        <v>m3</v>
      </c>
      <c r="E117" s="506">
        <f>'Rekap. Upah Pekerja'!D114</f>
        <v>522200</v>
      </c>
      <c r="F117" s="507">
        <f t="shared" si="3"/>
        <v>0</v>
      </c>
    </row>
    <row r="118" spans="1:6" s="498" customFormat="1" ht="15" customHeight="1" x14ac:dyDescent="0.25">
      <c r="A118" s="504" t="str">
        <f>'Rekap. Upah Pekerja'!A115</f>
        <v>32.6</v>
      </c>
      <c r="B118" s="505" t="str">
        <f>'Rekap. Upah Pekerja'!B115</f>
        <v>Harga Satuan Pekerjaan Beton ( K 225 )  FE  150</v>
      </c>
      <c r="C118" s="526">
        <f>RAB!C118</f>
        <v>0</v>
      </c>
      <c r="D118" s="524" t="str">
        <f>RAB!D118</f>
        <v>m3</v>
      </c>
      <c r="E118" s="506">
        <f>'Rekap. Upah Pekerja'!D115</f>
        <v>522200</v>
      </c>
      <c r="F118" s="507">
        <f t="shared" si="3"/>
        <v>0</v>
      </c>
    </row>
    <row r="119" spans="1:6" s="498" customFormat="1" ht="15" customHeight="1" x14ac:dyDescent="0.25">
      <c r="A119" s="504" t="str">
        <f>'Rekap. Upah Pekerja'!A116</f>
        <v>32.7</v>
      </c>
      <c r="B119" s="505" t="str">
        <f>'Rekap. Upah Pekerja'!B116</f>
        <v>Harga Satuan Pekerjaan Beton ( K 250 )  FE  150</v>
      </c>
      <c r="C119" s="526">
        <f>RAB!C119</f>
        <v>0</v>
      </c>
      <c r="D119" s="524" t="str">
        <f>RAB!D119</f>
        <v>m3</v>
      </c>
      <c r="E119" s="506">
        <f>'Rekap. Upah Pekerja'!D116</f>
        <v>522200</v>
      </c>
      <c r="F119" s="507">
        <f t="shared" si="3"/>
        <v>0</v>
      </c>
    </row>
    <row r="120" spans="1:6" s="498" customFormat="1" ht="15" customHeight="1" x14ac:dyDescent="0.25">
      <c r="A120" s="504" t="str">
        <f>'Rekap. Upah Pekerja'!A117</f>
        <v>32.8</v>
      </c>
      <c r="B120" s="505" t="str">
        <f>'Rekap. Upah Pekerja'!B117</f>
        <v>Harga Satuan Pekerjaan Beton ( K 275 )  FE  150</v>
      </c>
      <c r="C120" s="526">
        <f>RAB!C120</f>
        <v>0</v>
      </c>
      <c r="D120" s="524" t="str">
        <f>RAB!D120</f>
        <v>m3</v>
      </c>
      <c r="E120" s="506">
        <f>'Rekap. Upah Pekerja'!D117</f>
        <v>522200</v>
      </c>
      <c r="F120" s="507">
        <f t="shared" si="3"/>
        <v>0</v>
      </c>
    </row>
    <row r="121" spans="1:6" s="498" customFormat="1" ht="15" customHeight="1" x14ac:dyDescent="0.25">
      <c r="A121" s="504" t="str">
        <f>'Rekap. Upah Pekerja'!A118</f>
        <v>32.9</v>
      </c>
      <c r="B121" s="505" t="str">
        <f>'Rekap. Upah Pekerja'!B118</f>
        <v>Harga Satuan Pekerjaan Beton ( K 300 )  FE  150</v>
      </c>
      <c r="C121" s="526">
        <f>RAB!C121</f>
        <v>0</v>
      </c>
      <c r="D121" s="524" t="str">
        <f>RAB!D121</f>
        <v>m3</v>
      </c>
      <c r="E121" s="506">
        <f>'Rekap. Upah Pekerja'!D118</f>
        <v>522200</v>
      </c>
      <c r="F121" s="507">
        <f t="shared" si="3"/>
        <v>0</v>
      </c>
    </row>
    <row r="122" spans="1:6" s="498" customFormat="1" ht="15" customHeight="1" x14ac:dyDescent="0.25">
      <c r="A122" s="504" t="str">
        <f>'Rekap. Upah Pekerja'!A119</f>
        <v>32.10</v>
      </c>
      <c r="B122" s="505" t="str">
        <f>'Rekap. Upah Pekerja'!B119</f>
        <v>Harga Satuan Pekerjaan Beton ( K 325 )  FE  150</v>
      </c>
      <c r="C122" s="526">
        <f>RAB!C122</f>
        <v>0</v>
      </c>
      <c r="D122" s="524" t="str">
        <f>RAB!D122</f>
        <v>m3</v>
      </c>
      <c r="E122" s="506">
        <f>'Rekap. Upah Pekerja'!D119</f>
        <v>577100</v>
      </c>
      <c r="F122" s="507">
        <f t="shared" ref="F122:F171" si="4">C122*E122</f>
        <v>0</v>
      </c>
    </row>
    <row r="123" spans="1:6" s="498" customFormat="1" ht="15" customHeight="1" x14ac:dyDescent="0.25">
      <c r="A123" s="504" t="str">
        <f>'Rekap. Upah Pekerja'!A120</f>
        <v>32.11</v>
      </c>
      <c r="B123" s="505" t="str">
        <f>'Rekap. Upah Pekerja'!B120</f>
        <v>Harga Satuan Pekerjaan Beton ( K 350)  FE 150</v>
      </c>
      <c r="C123" s="526">
        <f>RAB!C123</f>
        <v>0</v>
      </c>
      <c r="D123" s="524" t="str">
        <f>RAB!D123</f>
        <v>m3</v>
      </c>
      <c r="E123" s="506">
        <f>'Rekap. Upah Pekerja'!D120</f>
        <v>577100</v>
      </c>
      <c r="F123" s="507">
        <f t="shared" si="4"/>
        <v>0</v>
      </c>
    </row>
    <row r="124" spans="1:6" s="498" customFormat="1" ht="15" customHeight="1" x14ac:dyDescent="0.25">
      <c r="A124" s="508">
        <f>'Rekap. Upah Pekerja'!A121</f>
        <v>33</v>
      </c>
      <c r="B124" s="520" t="str">
        <f>'Rekap. Upah Pekerja'!B121</f>
        <v>1 m3 cor Beton Lantai k 100 - 350 fe 110</v>
      </c>
      <c r="C124" s="528"/>
      <c r="D124" s="525"/>
      <c r="E124" s="522"/>
      <c r="F124" s="523"/>
    </row>
    <row r="125" spans="1:6" s="498" customFormat="1" ht="15" customHeight="1" x14ac:dyDescent="0.25">
      <c r="A125" s="504" t="str">
        <f>'Rekap. Upah Pekerja'!A122</f>
        <v>33.1</v>
      </c>
      <c r="B125" s="505" t="str">
        <f>'Rekap. Upah Pekerja'!B122</f>
        <v>Harga Satuan Pekerjaan (D+E) (k 100) Fe 110</v>
      </c>
      <c r="C125" s="526">
        <f>RAB!C125</f>
        <v>0</v>
      </c>
      <c r="D125" s="524" t="str">
        <f>RAB!D125</f>
        <v>m3</v>
      </c>
      <c r="E125" s="506">
        <f>'Rekap. Upah Pekerja'!D122</f>
        <v>482200</v>
      </c>
      <c r="F125" s="507">
        <f t="shared" si="4"/>
        <v>0</v>
      </c>
    </row>
    <row r="126" spans="1:6" s="498" customFormat="1" ht="15" customHeight="1" x14ac:dyDescent="0.25">
      <c r="A126" s="504" t="str">
        <f>'Rekap. Upah Pekerja'!A123</f>
        <v>33.2</v>
      </c>
      <c r="B126" s="505" t="str">
        <f>'Rekap. Upah Pekerja'!B123</f>
        <v>Harga satuan pekerjaan Beton ( K 125 )  FE  110</v>
      </c>
      <c r="C126" s="526">
        <f>RAB!C126</f>
        <v>0</v>
      </c>
      <c r="D126" s="524" t="str">
        <f>RAB!D126</f>
        <v>m3</v>
      </c>
      <c r="E126" s="506">
        <f>'Rekap. Upah Pekerja'!D123</f>
        <v>482200</v>
      </c>
      <c r="F126" s="507">
        <f t="shared" si="4"/>
        <v>0</v>
      </c>
    </row>
    <row r="127" spans="1:6" s="498" customFormat="1" ht="15" customHeight="1" x14ac:dyDescent="0.25">
      <c r="A127" s="504" t="str">
        <f>'Rekap. Upah Pekerja'!A124</f>
        <v>33.3</v>
      </c>
      <c r="B127" s="505" t="str">
        <f>'Rekap. Upah Pekerja'!B124</f>
        <v>Harga satuan pekerjaan Beton ( K 150 )  FE  110</v>
      </c>
      <c r="C127" s="526">
        <f>RAB!C127</f>
        <v>0</v>
      </c>
      <c r="D127" s="524" t="str">
        <f>RAB!D127</f>
        <v>m3</v>
      </c>
      <c r="E127" s="506">
        <f>'Rekap. Upah Pekerja'!D124</f>
        <v>482200</v>
      </c>
      <c r="F127" s="507">
        <f t="shared" si="4"/>
        <v>0</v>
      </c>
    </row>
    <row r="128" spans="1:6" s="498" customFormat="1" ht="15" customHeight="1" x14ac:dyDescent="0.25">
      <c r="A128" s="504" t="str">
        <f>'Rekap. Upah Pekerja'!A125</f>
        <v>33.4</v>
      </c>
      <c r="B128" s="505" t="str">
        <f>'Rekap. Upah Pekerja'!B125</f>
        <v>Harga Satuan Pekerjaan Beton ( K 175 )  FE  110</v>
      </c>
      <c r="C128" s="526">
        <f>RAB!C128</f>
        <v>0</v>
      </c>
      <c r="D128" s="524" t="str">
        <f>RAB!D128</f>
        <v>m3</v>
      </c>
      <c r="E128" s="506">
        <f>'Rekap. Upah Pekerja'!D125</f>
        <v>482200</v>
      </c>
      <c r="F128" s="507">
        <f t="shared" si="4"/>
        <v>0</v>
      </c>
    </row>
    <row r="129" spans="1:6" s="498" customFormat="1" ht="15" customHeight="1" x14ac:dyDescent="0.25">
      <c r="A129" s="504" t="str">
        <f>'Rekap. Upah Pekerja'!A126</f>
        <v>33.5</v>
      </c>
      <c r="B129" s="505" t="str">
        <f>'Rekap. Upah Pekerja'!B126</f>
        <v>Harga Satuan Pekerjaan Beton ( K 200 )  FE  110</v>
      </c>
      <c r="C129" s="526">
        <f>RAB!C129</f>
        <v>0</v>
      </c>
      <c r="D129" s="524" t="str">
        <f>RAB!D129</f>
        <v>m3</v>
      </c>
      <c r="E129" s="506">
        <f>'Rekap. Upah Pekerja'!D126</f>
        <v>482200</v>
      </c>
      <c r="F129" s="507">
        <f t="shared" si="4"/>
        <v>0</v>
      </c>
    </row>
    <row r="130" spans="1:6" s="498" customFormat="1" ht="15" customHeight="1" x14ac:dyDescent="0.25">
      <c r="A130" s="504" t="str">
        <f>'Rekap. Upah Pekerja'!A127</f>
        <v>33.6</v>
      </c>
      <c r="B130" s="505" t="str">
        <f>'Rekap. Upah Pekerja'!B127</f>
        <v>Harga Satuan Pekerjaan Beton ( K 225 )  FE  110</v>
      </c>
      <c r="C130" s="526">
        <f>RAB!C130</f>
        <v>0</v>
      </c>
      <c r="D130" s="524" t="str">
        <f>RAB!D130</f>
        <v>m3</v>
      </c>
      <c r="E130" s="506">
        <f>'Rekap. Upah Pekerja'!D127</f>
        <v>482200</v>
      </c>
      <c r="F130" s="507">
        <f t="shared" si="4"/>
        <v>0</v>
      </c>
    </row>
    <row r="131" spans="1:6" s="498" customFormat="1" ht="15" customHeight="1" x14ac:dyDescent="0.25">
      <c r="A131" s="504" t="str">
        <f>'Rekap. Upah Pekerja'!A128</f>
        <v>33.7</v>
      </c>
      <c r="B131" s="505" t="str">
        <f>'Rekap. Upah Pekerja'!B128</f>
        <v>Harga Satuan Pekerjaan Beton ( K 250 )  FE  110</v>
      </c>
      <c r="C131" s="526">
        <f>RAB!C131</f>
        <v>0</v>
      </c>
      <c r="D131" s="524" t="str">
        <f>RAB!D131</f>
        <v>m3</v>
      </c>
      <c r="E131" s="506">
        <f>'Rekap. Upah Pekerja'!D128</f>
        <v>482200</v>
      </c>
      <c r="F131" s="507">
        <f t="shared" si="4"/>
        <v>0</v>
      </c>
    </row>
    <row r="132" spans="1:6" s="498" customFormat="1" ht="15" customHeight="1" x14ac:dyDescent="0.25">
      <c r="A132" s="504" t="str">
        <f>'Rekap. Upah Pekerja'!A129</f>
        <v>33.8</v>
      </c>
      <c r="B132" s="505" t="str">
        <f>'Rekap. Upah Pekerja'!B129</f>
        <v>Harga Satuan Pekerjaan Beton ( K 275 )  FE  110</v>
      </c>
      <c r="C132" s="526">
        <f>RAB!C132</f>
        <v>0</v>
      </c>
      <c r="D132" s="524" t="str">
        <f>RAB!D132</f>
        <v>m3</v>
      </c>
      <c r="E132" s="506">
        <f>'Rekap. Upah Pekerja'!D129</f>
        <v>482200</v>
      </c>
      <c r="F132" s="507">
        <f t="shared" si="4"/>
        <v>0</v>
      </c>
    </row>
    <row r="133" spans="1:6" s="498" customFormat="1" ht="15" customHeight="1" x14ac:dyDescent="0.25">
      <c r="A133" s="504" t="str">
        <f>'Rekap. Upah Pekerja'!A130</f>
        <v>33.9</v>
      </c>
      <c r="B133" s="505" t="str">
        <f>'Rekap. Upah Pekerja'!B130</f>
        <v>Harga Satuan Pekerjaan Beton ( K 300 )  FE  110</v>
      </c>
      <c r="C133" s="526">
        <f>RAB!C133</f>
        <v>0</v>
      </c>
      <c r="D133" s="524" t="str">
        <f>RAB!D133</f>
        <v>m3</v>
      </c>
      <c r="E133" s="506">
        <f>'Rekap. Upah Pekerja'!D130</f>
        <v>482200</v>
      </c>
      <c r="F133" s="507">
        <f t="shared" si="4"/>
        <v>0</v>
      </c>
    </row>
    <row r="134" spans="1:6" s="498" customFormat="1" ht="15" customHeight="1" x14ac:dyDescent="0.25">
      <c r="A134" s="504" t="str">
        <f>'Rekap. Upah Pekerja'!A131</f>
        <v>33.10</v>
      </c>
      <c r="B134" s="505" t="str">
        <f>'Rekap. Upah Pekerja'!B131</f>
        <v>Harga Satuan Pekerjaan Beton ( K 325 )  FE  110</v>
      </c>
      <c r="C134" s="526">
        <f>RAB!C134</f>
        <v>0</v>
      </c>
      <c r="D134" s="524" t="str">
        <f>RAB!D134</f>
        <v>m3</v>
      </c>
      <c r="E134" s="506">
        <f>'Rekap. Upah Pekerja'!D131</f>
        <v>537100</v>
      </c>
      <c r="F134" s="507">
        <f t="shared" si="4"/>
        <v>0</v>
      </c>
    </row>
    <row r="135" spans="1:6" s="498" customFormat="1" ht="15" customHeight="1" x14ac:dyDescent="0.25">
      <c r="A135" s="504" t="str">
        <f>'Rekap. Upah Pekerja'!A132</f>
        <v>33.11</v>
      </c>
      <c r="B135" s="505" t="str">
        <f>'Rekap. Upah Pekerja'!B132</f>
        <v>Harga Satuan Pekerjaan Beton ( K 350)  FE 110</v>
      </c>
      <c r="C135" s="526">
        <f>RAB!C135</f>
        <v>0</v>
      </c>
      <c r="D135" s="524" t="str">
        <f>RAB!D135</f>
        <v>m3</v>
      </c>
      <c r="E135" s="506">
        <f>'Rekap. Upah Pekerja'!D132</f>
        <v>537100</v>
      </c>
      <c r="F135" s="507">
        <f t="shared" si="4"/>
        <v>0</v>
      </c>
    </row>
    <row r="136" spans="1:6" s="498" customFormat="1" ht="15" customHeight="1" x14ac:dyDescent="0.25">
      <c r="A136" s="508">
        <f>'Rekap. Upah Pekerja'!A133</f>
        <v>34</v>
      </c>
      <c r="B136" s="520" t="str">
        <f>'Rekap. Upah Pekerja'!B133</f>
        <v>1 m3 cor Beton Kolom k 100- 350 fe 175</v>
      </c>
      <c r="C136" s="528"/>
      <c r="D136" s="525"/>
      <c r="E136" s="522"/>
      <c r="F136" s="523"/>
    </row>
    <row r="137" spans="1:6" s="498" customFormat="1" ht="15" customHeight="1" x14ac:dyDescent="0.25">
      <c r="A137" s="504" t="str">
        <f>'Rekap. Upah Pekerja'!A134</f>
        <v>34.1</v>
      </c>
      <c r="B137" s="505" t="str">
        <f>'Rekap. Upah Pekerja'!B134</f>
        <v>Harga Satuan Pekerjaan (D+E) (k 100) Fe 175</v>
      </c>
      <c r="C137" s="526">
        <f>RAB!C137</f>
        <v>0</v>
      </c>
      <c r="D137" s="524" t="str">
        <f>RAB!D137</f>
        <v>m3</v>
      </c>
      <c r="E137" s="506">
        <f>'Rekap. Upah Pekerja'!D134</f>
        <v>584300</v>
      </c>
      <c r="F137" s="507">
        <f t="shared" si="4"/>
        <v>0</v>
      </c>
    </row>
    <row r="138" spans="1:6" s="498" customFormat="1" ht="15" customHeight="1" x14ac:dyDescent="0.25">
      <c r="A138" s="504" t="str">
        <f>'Rekap. Upah Pekerja'!A135</f>
        <v>34.2</v>
      </c>
      <c r="B138" s="505" t="str">
        <f>'Rekap. Upah Pekerja'!B135</f>
        <v>Harga satuan pekerjaan Beton ( K 125 )  FE  175</v>
      </c>
      <c r="C138" s="526">
        <f>RAB!C138</f>
        <v>0</v>
      </c>
      <c r="D138" s="524" t="str">
        <f>RAB!D138</f>
        <v>m3</v>
      </c>
      <c r="E138" s="506">
        <f>'Rekap. Upah Pekerja'!D135</f>
        <v>584300</v>
      </c>
      <c r="F138" s="507">
        <f t="shared" si="4"/>
        <v>0</v>
      </c>
    </row>
    <row r="139" spans="1:6" s="498" customFormat="1" ht="15" customHeight="1" x14ac:dyDescent="0.25">
      <c r="A139" s="504" t="str">
        <f>'Rekap. Upah Pekerja'!A136</f>
        <v>34.3</v>
      </c>
      <c r="B139" s="505" t="str">
        <f>'Rekap. Upah Pekerja'!B136</f>
        <v>Harga satuan pekerjaan Beton ( K 150 )  FE  175</v>
      </c>
      <c r="C139" s="526">
        <f>RAB!C139</f>
        <v>0</v>
      </c>
      <c r="D139" s="524" t="str">
        <f>RAB!D139</f>
        <v>m3</v>
      </c>
      <c r="E139" s="506">
        <f>'Rekap. Upah Pekerja'!D136</f>
        <v>584300</v>
      </c>
      <c r="F139" s="507">
        <f t="shared" si="4"/>
        <v>0</v>
      </c>
    </row>
    <row r="140" spans="1:6" s="498" customFormat="1" ht="15" customHeight="1" x14ac:dyDescent="0.25">
      <c r="A140" s="504" t="str">
        <f>'Rekap. Upah Pekerja'!A137</f>
        <v>34.4</v>
      </c>
      <c r="B140" s="505" t="str">
        <f>'Rekap. Upah Pekerja'!B137</f>
        <v>Harga Satuan Pekerjaan Beton ( K 175 )  FE  175</v>
      </c>
      <c r="C140" s="526">
        <f>RAB!C140</f>
        <v>0</v>
      </c>
      <c r="D140" s="524" t="str">
        <f>RAB!D140</f>
        <v>m3</v>
      </c>
      <c r="E140" s="506">
        <f>'Rekap. Upah Pekerja'!D137</f>
        <v>584300</v>
      </c>
      <c r="F140" s="507">
        <f t="shared" si="4"/>
        <v>0</v>
      </c>
    </row>
    <row r="141" spans="1:6" s="498" customFormat="1" ht="15" customHeight="1" x14ac:dyDescent="0.25">
      <c r="A141" s="504" t="str">
        <f>'Rekap. Upah Pekerja'!A138</f>
        <v>34.5</v>
      </c>
      <c r="B141" s="505" t="str">
        <f>'Rekap. Upah Pekerja'!B138</f>
        <v>Harga Satuan Pekerjaan Beton ( K 200 )  FE  175</v>
      </c>
      <c r="C141" s="526">
        <f>RAB!C141</f>
        <v>0</v>
      </c>
      <c r="D141" s="524" t="str">
        <f>RAB!D141</f>
        <v>m3</v>
      </c>
      <c r="E141" s="506">
        <f>'Rekap. Upah Pekerja'!D138</f>
        <v>584300</v>
      </c>
      <c r="F141" s="507">
        <f t="shared" si="4"/>
        <v>0</v>
      </c>
    </row>
    <row r="142" spans="1:6" s="498" customFormat="1" ht="15" customHeight="1" x14ac:dyDescent="0.25">
      <c r="A142" s="504" t="str">
        <f>'Rekap. Upah Pekerja'!A139</f>
        <v>34.6</v>
      </c>
      <c r="B142" s="505" t="str">
        <f>'Rekap. Upah Pekerja'!B139</f>
        <v>Harga Satuan Pekerjaan Beton ( K 225 )  FE  175</v>
      </c>
      <c r="C142" s="526">
        <f>RAB!C142</f>
        <v>0</v>
      </c>
      <c r="D142" s="524" t="str">
        <f>RAB!D142</f>
        <v>m3</v>
      </c>
      <c r="E142" s="506">
        <f>'Rekap. Upah Pekerja'!D139</f>
        <v>584300</v>
      </c>
      <c r="F142" s="507">
        <f t="shared" si="4"/>
        <v>0</v>
      </c>
    </row>
    <row r="143" spans="1:6" s="498" customFormat="1" ht="15" customHeight="1" x14ac:dyDescent="0.25">
      <c r="A143" s="504" t="str">
        <f>'Rekap. Upah Pekerja'!A140</f>
        <v>34.7</v>
      </c>
      <c r="B143" s="505" t="str">
        <f>'Rekap. Upah Pekerja'!B140</f>
        <v>Harga Satuan Pekerjaan Beton ( K 250 )  FE  175</v>
      </c>
      <c r="C143" s="526">
        <f>RAB!C143</f>
        <v>0</v>
      </c>
      <c r="D143" s="524" t="str">
        <f>RAB!D143</f>
        <v>m3</v>
      </c>
      <c r="E143" s="506">
        <f>'Rekap. Upah Pekerja'!D140</f>
        <v>584300</v>
      </c>
      <c r="F143" s="507">
        <f t="shared" si="4"/>
        <v>0</v>
      </c>
    </row>
    <row r="144" spans="1:6" s="498" customFormat="1" ht="15" customHeight="1" x14ac:dyDescent="0.25">
      <c r="A144" s="504" t="str">
        <f>'Rekap. Upah Pekerja'!A141</f>
        <v>34.8</v>
      </c>
      <c r="B144" s="505" t="str">
        <f>'Rekap. Upah Pekerja'!B141</f>
        <v>Harga Satuan Pekerjaan Beton ( K 275 )  FE  175</v>
      </c>
      <c r="C144" s="526">
        <f>RAB!C144</f>
        <v>0</v>
      </c>
      <c r="D144" s="524" t="str">
        <f>RAB!D144</f>
        <v>m3</v>
      </c>
      <c r="E144" s="506">
        <f>'Rekap. Upah Pekerja'!D141</f>
        <v>584300</v>
      </c>
      <c r="F144" s="507">
        <f t="shared" si="4"/>
        <v>0</v>
      </c>
    </row>
    <row r="145" spans="1:6" s="498" customFormat="1" ht="15" customHeight="1" x14ac:dyDescent="0.25">
      <c r="A145" s="504" t="str">
        <f>'Rekap. Upah Pekerja'!A142</f>
        <v>34.9</v>
      </c>
      <c r="B145" s="505" t="str">
        <f>'Rekap. Upah Pekerja'!B142</f>
        <v>Harga Satuan Pekerjaan Beton ( K 300 )  FE  175</v>
      </c>
      <c r="C145" s="526">
        <f>RAB!C145</f>
        <v>0</v>
      </c>
      <c r="D145" s="524" t="str">
        <f>RAB!D145</f>
        <v>m3</v>
      </c>
      <c r="E145" s="506">
        <f>'Rekap. Upah Pekerja'!D142</f>
        <v>584300</v>
      </c>
      <c r="F145" s="507">
        <f t="shared" si="4"/>
        <v>0</v>
      </c>
    </row>
    <row r="146" spans="1:6" s="498" customFormat="1" ht="15" customHeight="1" x14ac:dyDescent="0.25">
      <c r="A146" s="504" t="str">
        <f>'Rekap. Upah Pekerja'!A143</f>
        <v>34.10</v>
      </c>
      <c r="B146" s="505" t="str">
        <f>'Rekap. Upah Pekerja'!B143</f>
        <v>Harga Satuan Pekerjaan Beton ( K 325 )  FE  175</v>
      </c>
      <c r="C146" s="526">
        <f>RAB!C146</f>
        <v>0</v>
      </c>
      <c r="D146" s="524" t="str">
        <f>RAB!D146</f>
        <v>m3</v>
      </c>
      <c r="E146" s="506">
        <f>'Rekap. Upah Pekerja'!D143</f>
        <v>639200</v>
      </c>
      <c r="F146" s="507">
        <f t="shared" si="4"/>
        <v>0</v>
      </c>
    </row>
    <row r="147" spans="1:6" s="498" customFormat="1" ht="15" customHeight="1" x14ac:dyDescent="0.25">
      <c r="A147" s="504" t="str">
        <f>'Rekap. Upah Pekerja'!A144</f>
        <v>34.11</v>
      </c>
      <c r="B147" s="505" t="str">
        <f>'Rekap. Upah Pekerja'!B144</f>
        <v>Harga Satuan Pekerjaan Beton ( K 350)  FE 175</v>
      </c>
      <c r="C147" s="526">
        <f>RAB!C147</f>
        <v>0</v>
      </c>
      <c r="D147" s="524" t="str">
        <f>RAB!D147</f>
        <v>m3</v>
      </c>
      <c r="E147" s="506">
        <f>'Rekap. Upah Pekerja'!D144</f>
        <v>639200</v>
      </c>
      <c r="F147" s="507">
        <f t="shared" si="4"/>
        <v>0</v>
      </c>
    </row>
    <row r="148" spans="1:6" s="498" customFormat="1" ht="15" customHeight="1" x14ac:dyDescent="0.25">
      <c r="A148" s="508">
        <f>'Rekap. Upah Pekerja'!A145</f>
        <v>35</v>
      </c>
      <c r="B148" s="520" t="str">
        <f>'Rekap. Upah Pekerja'!B145</f>
        <v>1 m3 cor Beton Balok k 100-350 fe 200</v>
      </c>
      <c r="C148" s="528"/>
      <c r="D148" s="525"/>
      <c r="E148" s="522"/>
      <c r="F148" s="523"/>
    </row>
    <row r="149" spans="1:6" s="498" customFormat="1" ht="15" customHeight="1" x14ac:dyDescent="0.25">
      <c r="A149" s="504" t="str">
        <f>'Rekap. Upah Pekerja'!A146</f>
        <v>35.1</v>
      </c>
      <c r="B149" s="505" t="str">
        <f>'Rekap. Upah Pekerja'!B146</f>
        <v>Harga Satuan Pekerjaan (D+E) (k 100) Fe 200</v>
      </c>
      <c r="C149" s="526">
        <f>RAB!C149</f>
        <v>0</v>
      </c>
      <c r="D149" s="524" t="str">
        <f>RAB!D149</f>
        <v>m3</v>
      </c>
      <c r="E149" s="506">
        <f>'Rekap. Upah Pekerja'!D146</f>
        <v>623600</v>
      </c>
      <c r="F149" s="507">
        <f t="shared" si="4"/>
        <v>0</v>
      </c>
    </row>
    <row r="150" spans="1:6" s="498" customFormat="1" ht="15" customHeight="1" x14ac:dyDescent="0.25">
      <c r="A150" s="504" t="str">
        <f>'Rekap. Upah Pekerja'!A147</f>
        <v>35.2</v>
      </c>
      <c r="B150" s="505" t="str">
        <f>'Rekap. Upah Pekerja'!B147</f>
        <v>Harga satuan pekerjaan Beton ( K 125 )  FE  200</v>
      </c>
      <c r="C150" s="526">
        <f>RAB!C150</f>
        <v>0</v>
      </c>
      <c r="D150" s="524" t="str">
        <f>RAB!D150</f>
        <v>m3</v>
      </c>
      <c r="E150" s="506">
        <f>'Rekap. Upah Pekerja'!D147</f>
        <v>623600</v>
      </c>
      <c r="F150" s="507">
        <f t="shared" si="4"/>
        <v>0</v>
      </c>
    </row>
    <row r="151" spans="1:6" s="498" customFormat="1" ht="15" customHeight="1" x14ac:dyDescent="0.25">
      <c r="A151" s="504" t="str">
        <f>'Rekap. Upah Pekerja'!A148</f>
        <v>35.3</v>
      </c>
      <c r="B151" s="505" t="str">
        <f>'Rekap. Upah Pekerja'!B148</f>
        <v>Harga satuan pekerjaan Beton ( K 150 )  FE  200</v>
      </c>
      <c r="C151" s="526">
        <f>RAB!C151</f>
        <v>0</v>
      </c>
      <c r="D151" s="524" t="str">
        <f>RAB!D151</f>
        <v>m3</v>
      </c>
      <c r="E151" s="506">
        <f>'Rekap. Upah Pekerja'!D148</f>
        <v>623600</v>
      </c>
      <c r="F151" s="507">
        <f t="shared" si="4"/>
        <v>0</v>
      </c>
    </row>
    <row r="152" spans="1:6" s="498" customFormat="1" ht="15" customHeight="1" x14ac:dyDescent="0.25">
      <c r="A152" s="504" t="str">
        <f>'Rekap. Upah Pekerja'!A149</f>
        <v>35.4</v>
      </c>
      <c r="B152" s="505" t="str">
        <f>'Rekap. Upah Pekerja'!B149</f>
        <v>Harga Satuan Pekerjaan Beton ( K 175 )  FE  200</v>
      </c>
      <c r="C152" s="526">
        <f>RAB!C152</f>
        <v>0</v>
      </c>
      <c r="D152" s="524" t="str">
        <f>RAB!D152</f>
        <v>m3</v>
      </c>
      <c r="E152" s="506">
        <f>'Rekap. Upah Pekerja'!D149</f>
        <v>623600</v>
      </c>
      <c r="F152" s="507">
        <f t="shared" si="4"/>
        <v>0</v>
      </c>
    </row>
    <row r="153" spans="1:6" s="498" customFormat="1" ht="15" customHeight="1" x14ac:dyDescent="0.25">
      <c r="A153" s="504" t="str">
        <f>'Rekap. Upah Pekerja'!A150</f>
        <v>35.5</v>
      </c>
      <c r="B153" s="505" t="str">
        <f>'Rekap. Upah Pekerja'!B150</f>
        <v>Harga Satuan Pekerjaan Beton ( K 200 )  FE  200</v>
      </c>
      <c r="C153" s="526">
        <f>RAB!C153</f>
        <v>0</v>
      </c>
      <c r="D153" s="524" t="str">
        <f>RAB!D153</f>
        <v>m3</v>
      </c>
      <c r="E153" s="506">
        <f>'Rekap. Upah Pekerja'!D150</f>
        <v>623600</v>
      </c>
      <c r="F153" s="507">
        <f t="shared" si="4"/>
        <v>0</v>
      </c>
    </row>
    <row r="154" spans="1:6" s="498" customFormat="1" ht="15" customHeight="1" x14ac:dyDescent="0.25">
      <c r="A154" s="504" t="str">
        <f>'Rekap. Upah Pekerja'!A151</f>
        <v>35.6</v>
      </c>
      <c r="B154" s="505" t="str">
        <f>'Rekap. Upah Pekerja'!B151</f>
        <v>Harga Satuan Pekerjaan Beton ( K 225 )  FE  200</v>
      </c>
      <c r="C154" s="526">
        <f>RAB!C154</f>
        <v>0</v>
      </c>
      <c r="D154" s="524" t="str">
        <f>RAB!D154</f>
        <v>m3</v>
      </c>
      <c r="E154" s="506">
        <f>'Rekap. Upah Pekerja'!D151</f>
        <v>623600</v>
      </c>
      <c r="F154" s="507">
        <f t="shared" si="4"/>
        <v>0</v>
      </c>
    </row>
    <row r="155" spans="1:6" s="498" customFormat="1" ht="15" customHeight="1" x14ac:dyDescent="0.25">
      <c r="A155" s="504" t="str">
        <f>'Rekap. Upah Pekerja'!A152</f>
        <v>35.7</v>
      </c>
      <c r="B155" s="505" t="str">
        <f>'Rekap. Upah Pekerja'!B152</f>
        <v>Harga Satuan Pekerjaan Beton ( K 250 )  FE  200</v>
      </c>
      <c r="C155" s="526">
        <f>RAB!C155</f>
        <v>0</v>
      </c>
      <c r="D155" s="524" t="str">
        <f>RAB!D155</f>
        <v>m3</v>
      </c>
      <c r="E155" s="506">
        <f>'Rekap. Upah Pekerja'!D152</f>
        <v>623600</v>
      </c>
      <c r="F155" s="507">
        <f t="shared" si="4"/>
        <v>0</v>
      </c>
    </row>
    <row r="156" spans="1:6" s="498" customFormat="1" ht="15" customHeight="1" x14ac:dyDescent="0.25">
      <c r="A156" s="504" t="str">
        <f>'Rekap. Upah Pekerja'!A153</f>
        <v>35.8</v>
      </c>
      <c r="B156" s="505" t="str">
        <f>'Rekap. Upah Pekerja'!B153</f>
        <v>Harga Satuan Pekerjaan Beton ( K 275 )  FE  200</v>
      </c>
      <c r="C156" s="526">
        <f>RAB!C156</f>
        <v>0</v>
      </c>
      <c r="D156" s="524" t="str">
        <f>RAB!D156</f>
        <v>m3</v>
      </c>
      <c r="E156" s="506">
        <f>'Rekap. Upah Pekerja'!D153</f>
        <v>623600</v>
      </c>
      <c r="F156" s="507">
        <f t="shared" si="4"/>
        <v>0</v>
      </c>
    </row>
    <row r="157" spans="1:6" s="498" customFormat="1" ht="15" customHeight="1" x14ac:dyDescent="0.25">
      <c r="A157" s="504" t="str">
        <f>'Rekap. Upah Pekerja'!A154</f>
        <v>35.9</v>
      </c>
      <c r="B157" s="505" t="str">
        <f>'Rekap. Upah Pekerja'!B154</f>
        <v>Harga Satuan Pekerjaan Beton ( K 300 )  FE  200</v>
      </c>
      <c r="C157" s="526">
        <f>RAB!C157</f>
        <v>0</v>
      </c>
      <c r="D157" s="524" t="str">
        <f>RAB!D157</f>
        <v>m3</v>
      </c>
      <c r="E157" s="506">
        <f>'Rekap. Upah Pekerja'!D154</f>
        <v>623600</v>
      </c>
      <c r="F157" s="507">
        <f t="shared" si="4"/>
        <v>0</v>
      </c>
    </row>
    <row r="158" spans="1:6" s="498" customFormat="1" ht="15" customHeight="1" x14ac:dyDescent="0.25">
      <c r="A158" s="504" t="str">
        <f>'Rekap. Upah Pekerja'!A155</f>
        <v>35.10</v>
      </c>
      <c r="B158" s="505" t="str">
        <f>'Rekap. Upah Pekerja'!B155</f>
        <v>Harga Satuan Pekerjaan Beton ( K 325 )  FE  200</v>
      </c>
      <c r="C158" s="526">
        <f>RAB!C158</f>
        <v>0</v>
      </c>
      <c r="D158" s="524" t="str">
        <f>RAB!D158</f>
        <v>m3</v>
      </c>
      <c r="E158" s="506">
        <f>'Rekap. Upah Pekerja'!D155</f>
        <v>678500</v>
      </c>
      <c r="F158" s="507">
        <f t="shared" si="4"/>
        <v>0</v>
      </c>
    </row>
    <row r="159" spans="1:6" s="498" customFormat="1" ht="15" customHeight="1" x14ac:dyDescent="0.25">
      <c r="A159" s="504" t="str">
        <f>'Rekap. Upah Pekerja'!A156</f>
        <v>35.11</v>
      </c>
      <c r="B159" s="505" t="str">
        <f>'Rekap. Upah Pekerja'!B156</f>
        <v>Harga Satuan Pekerjaan Beton ( K 350)  FE 200</v>
      </c>
      <c r="C159" s="526">
        <f>RAB!C159</f>
        <v>0</v>
      </c>
      <c r="D159" s="524" t="str">
        <f>RAB!D159</f>
        <v>m3</v>
      </c>
      <c r="E159" s="506">
        <f>'Rekap. Upah Pekerja'!D156</f>
        <v>678500</v>
      </c>
      <c r="F159" s="507">
        <f t="shared" si="4"/>
        <v>0</v>
      </c>
    </row>
    <row r="160" spans="1:6" s="498" customFormat="1" ht="15" customHeight="1" x14ac:dyDescent="0.25">
      <c r="A160" s="508">
        <f>'Rekap. Upah Pekerja'!A157</f>
        <v>36</v>
      </c>
      <c r="B160" s="520" t="str">
        <f>'Rekap. Upah Pekerja'!B157</f>
        <v>1 m3 cor Beton Tangga k 100-350 fe 110</v>
      </c>
      <c r="C160" s="528"/>
      <c r="D160" s="525"/>
      <c r="E160" s="522"/>
      <c r="F160" s="523"/>
    </row>
    <row r="161" spans="1:6" s="498" customFormat="1" ht="15" customHeight="1" x14ac:dyDescent="0.25">
      <c r="A161" s="504" t="str">
        <f>'Rekap. Upah Pekerja'!A158</f>
        <v>36.1</v>
      </c>
      <c r="B161" s="505" t="str">
        <f>'Rekap. Upah Pekerja'!B158</f>
        <v>Harga Satuan Pekerjaan (D+E) (k 100) Fe 110</v>
      </c>
      <c r="C161" s="526">
        <f>RAB!C161</f>
        <v>0</v>
      </c>
      <c r="D161" s="524" t="str">
        <f>RAB!D161</f>
        <v>m3</v>
      </c>
      <c r="E161" s="506">
        <f>'Rekap. Upah Pekerja'!D158</f>
        <v>482200</v>
      </c>
      <c r="F161" s="507">
        <f t="shared" si="4"/>
        <v>0</v>
      </c>
    </row>
    <row r="162" spans="1:6" s="498" customFormat="1" ht="15" customHeight="1" x14ac:dyDescent="0.25">
      <c r="A162" s="504" t="str">
        <f>'Rekap. Upah Pekerja'!A159</f>
        <v>36.2</v>
      </c>
      <c r="B162" s="505" t="str">
        <f>'Rekap. Upah Pekerja'!B159</f>
        <v>Harga satuan pekerjaan Beton ( K 125 )  FE  110</v>
      </c>
      <c r="C162" s="526">
        <f>RAB!C162</f>
        <v>0</v>
      </c>
      <c r="D162" s="524" t="str">
        <f>RAB!D162</f>
        <v>m3</v>
      </c>
      <c r="E162" s="506">
        <f>'Rekap. Upah Pekerja'!D159</f>
        <v>482200</v>
      </c>
      <c r="F162" s="507">
        <f t="shared" si="4"/>
        <v>0</v>
      </c>
    </row>
    <row r="163" spans="1:6" s="498" customFormat="1" ht="15" customHeight="1" x14ac:dyDescent="0.25">
      <c r="A163" s="504" t="str">
        <f>'Rekap. Upah Pekerja'!A160</f>
        <v>36.3</v>
      </c>
      <c r="B163" s="505" t="str">
        <f>'Rekap. Upah Pekerja'!B160</f>
        <v>Harga satuan pekerjaan Beton ( K 150 )  FE  110</v>
      </c>
      <c r="C163" s="526">
        <f>RAB!C163</f>
        <v>0</v>
      </c>
      <c r="D163" s="524" t="str">
        <f>RAB!D163</f>
        <v>m3</v>
      </c>
      <c r="E163" s="506">
        <f>'Rekap. Upah Pekerja'!D160</f>
        <v>482200</v>
      </c>
      <c r="F163" s="507">
        <f t="shared" si="4"/>
        <v>0</v>
      </c>
    </row>
    <row r="164" spans="1:6" s="498" customFormat="1" ht="15" customHeight="1" x14ac:dyDescent="0.25">
      <c r="A164" s="504" t="str">
        <f>'Rekap. Upah Pekerja'!A161</f>
        <v>36.4</v>
      </c>
      <c r="B164" s="505" t="str">
        <f>'Rekap. Upah Pekerja'!B161</f>
        <v>Harga Satuan Pekerjaan Beton ( K 175 )  FE  110</v>
      </c>
      <c r="C164" s="526">
        <f>RAB!C164</f>
        <v>0</v>
      </c>
      <c r="D164" s="524" t="str">
        <f>RAB!D164</f>
        <v>m3</v>
      </c>
      <c r="E164" s="506">
        <f>'Rekap. Upah Pekerja'!D161</f>
        <v>482200</v>
      </c>
      <c r="F164" s="507">
        <f t="shared" si="4"/>
        <v>0</v>
      </c>
    </row>
    <row r="165" spans="1:6" s="498" customFormat="1" ht="15" customHeight="1" x14ac:dyDescent="0.25">
      <c r="A165" s="504" t="str">
        <f>'Rekap. Upah Pekerja'!A162</f>
        <v>36.5</v>
      </c>
      <c r="B165" s="505" t="str">
        <f>'Rekap. Upah Pekerja'!B162</f>
        <v>Harga Satuan Pekerjaan Beton ( K 200 )  FE  110</v>
      </c>
      <c r="C165" s="526">
        <f>RAB!C165</f>
        <v>0</v>
      </c>
      <c r="D165" s="524" t="str">
        <f>RAB!D165</f>
        <v>m3</v>
      </c>
      <c r="E165" s="506">
        <f>'Rekap. Upah Pekerja'!D162</f>
        <v>482200</v>
      </c>
      <c r="F165" s="507">
        <f t="shared" si="4"/>
        <v>0</v>
      </c>
    </row>
    <row r="166" spans="1:6" s="498" customFormat="1" ht="15" customHeight="1" x14ac:dyDescent="0.25">
      <c r="A166" s="504" t="str">
        <f>'Rekap. Upah Pekerja'!A163</f>
        <v>36.6</v>
      </c>
      <c r="B166" s="505" t="str">
        <f>'Rekap. Upah Pekerja'!B163</f>
        <v>Harga Satuan Pekerjaan Beton ( K 225 )  FE  110</v>
      </c>
      <c r="C166" s="526">
        <f>RAB!C166</f>
        <v>0</v>
      </c>
      <c r="D166" s="524" t="str">
        <f>RAB!D166</f>
        <v>m3</v>
      </c>
      <c r="E166" s="506">
        <f>'Rekap. Upah Pekerja'!D163</f>
        <v>482200</v>
      </c>
      <c r="F166" s="507">
        <f t="shared" si="4"/>
        <v>0</v>
      </c>
    </row>
    <row r="167" spans="1:6" s="498" customFormat="1" ht="15" customHeight="1" x14ac:dyDescent="0.25">
      <c r="A167" s="504" t="str">
        <f>'Rekap. Upah Pekerja'!A164</f>
        <v>36.7</v>
      </c>
      <c r="B167" s="505" t="str">
        <f>'Rekap. Upah Pekerja'!B164</f>
        <v>Harga Satuan Pekerjaan Beton ( K 250 )  FE  110</v>
      </c>
      <c r="C167" s="526">
        <f>RAB!C167</f>
        <v>0</v>
      </c>
      <c r="D167" s="524" t="str">
        <f>RAB!D167</f>
        <v>m3</v>
      </c>
      <c r="E167" s="506">
        <f>'Rekap. Upah Pekerja'!D164</f>
        <v>482200</v>
      </c>
      <c r="F167" s="507">
        <f t="shared" si="4"/>
        <v>0</v>
      </c>
    </row>
    <row r="168" spans="1:6" s="498" customFormat="1" ht="15" customHeight="1" x14ac:dyDescent="0.25">
      <c r="A168" s="504" t="str">
        <f>'Rekap. Upah Pekerja'!A165</f>
        <v>36.8</v>
      </c>
      <c r="B168" s="505" t="str">
        <f>'Rekap. Upah Pekerja'!B165</f>
        <v>Harga Satuan Pekerjaan Beton ( K 275 )  FE  110</v>
      </c>
      <c r="C168" s="526">
        <f>RAB!C168</f>
        <v>0</v>
      </c>
      <c r="D168" s="524" t="str">
        <f>RAB!D168</f>
        <v>m3</v>
      </c>
      <c r="E168" s="506">
        <f>'Rekap. Upah Pekerja'!D165</f>
        <v>482200</v>
      </c>
      <c r="F168" s="507">
        <f t="shared" si="4"/>
        <v>0</v>
      </c>
    </row>
    <row r="169" spans="1:6" s="498" customFormat="1" ht="15" customHeight="1" x14ac:dyDescent="0.25">
      <c r="A169" s="504" t="str">
        <f>'Rekap. Upah Pekerja'!A166</f>
        <v>36.9</v>
      </c>
      <c r="B169" s="505" t="str">
        <f>'Rekap. Upah Pekerja'!B166</f>
        <v>Harga Satuan Pekerjaan Beton ( K 300 )  FE  110</v>
      </c>
      <c r="C169" s="526">
        <f>RAB!C169</f>
        <v>0</v>
      </c>
      <c r="D169" s="524" t="str">
        <f>RAB!D169</f>
        <v>m3</v>
      </c>
      <c r="E169" s="506">
        <f>'Rekap. Upah Pekerja'!D166</f>
        <v>482200</v>
      </c>
      <c r="F169" s="507">
        <f t="shared" si="4"/>
        <v>0</v>
      </c>
    </row>
    <row r="170" spans="1:6" s="498" customFormat="1" ht="15" customHeight="1" x14ac:dyDescent="0.25">
      <c r="A170" s="504" t="str">
        <f>'Rekap. Upah Pekerja'!A167</f>
        <v>36.10</v>
      </c>
      <c r="B170" s="505" t="str">
        <f>'Rekap. Upah Pekerja'!B167</f>
        <v>Harga Satuan Pekerjaan Beton ( K 325 )  FE  110</v>
      </c>
      <c r="C170" s="526">
        <f>RAB!C170</f>
        <v>0</v>
      </c>
      <c r="D170" s="524" t="str">
        <f>RAB!D170</f>
        <v>m3</v>
      </c>
      <c r="E170" s="506">
        <f>'Rekap. Upah Pekerja'!D167</f>
        <v>537100</v>
      </c>
      <c r="F170" s="507">
        <f t="shared" si="4"/>
        <v>0</v>
      </c>
    </row>
    <row r="171" spans="1:6" s="498" customFormat="1" ht="15" customHeight="1" thickBot="1" x14ac:dyDescent="0.3">
      <c r="A171" s="504" t="str">
        <f>'Rekap. Upah Pekerja'!A168</f>
        <v>36.11</v>
      </c>
      <c r="B171" s="505" t="str">
        <f>'Rekap. Upah Pekerja'!B168</f>
        <v>Harga Satuan Pekerjaan Beton ( K 350)  FE 110</v>
      </c>
      <c r="C171" s="526">
        <f>RAB!C171</f>
        <v>0</v>
      </c>
      <c r="D171" s="524" t="str">
        <f>RAB!D171</f>
        <v>m3</v>
      </c>
      <c r="E171" s="506">
        <f>'Rekap. Upah Pekerja'!D168</f>
        <v>537100</v>
      </c>
      <c r="F171" s="517">
        <f t="shared" si="4"/>
        <v>0</v>
      </c>
    </row>
    <row r="172" spans="1:6" s="498" customFormat="1" ht="21" customHeight="1" thickTop="1" thickBot="1" x14ac:dyDescent="0.3">
      <c r="A172" s="602" t="s">
        <v>1756</v>
      </c>
      <c r="B172" s="602"/>
      <c r="C172" s="602"/>
      <c r="D172" s="602"/>
      <c r="E172" s="602"/>
      <c r="F172" s="502">
        <f>SUM(F58:F171)</f>
        <v>0</v>
      </c>
    </row>
    <row r="173" spans="1:6" s="498" customFormat="1" ht="15" customHeight="1" thickTop="1" x14ac:dyDescent="0.25">
      <c r="A173" s="499"/>
      <c r="B173" s="496"/>
      <c r="C173" s="527"/>
      <c r="D173" s="501"/>
      <c r="E173" s="497"/>
    </row>
    <row r="174" spans="1:6" s="498" customFormat="1" ht="15" customHeight="1" x14ac:dyDescent="0.25">
      <c r="A174" s="503" t="str">
        <f>'Rekap. Upah Pekerja'!A170</f>
        <v>V.</v>
      </c>
      <c r="B174" s="605" t="str">
        <f>'Rekap. Upah Pekerja'!B170</f>
        <v>HARGA SATUAN PEKERJAAN BESI DAN ALUMINIUM</v>
      </c>
      <c r="C174" s="605"/>
      <c r="D174" s="605"/>
      <c r="E174" s="605"/>
      <c r="F174" s="605"/>
    </row>
    <row r="175" spans="1:6" s="498" customFormat="1" ht="15" customHeight="1" x14ac:dyDescent="0.25">
      <c r="A175" s="504">
        <f>'Rekap. Upah Pekerja'!A171</f>
        <v>1</v>
      </c>
      <c r="B175" s="505" t="str">
        <f>'Rekap. Upah Pekerja'!B171</f>
        <v>Pemasangan 1 kg besi profil</v>
      </c>
      <c r="C175" s="526">
        <f>RAB!C175</f>
        <v>0</v>
      </c>
      <c r="D175" s="524" t="str">
        <f>RAB!D175</f>
        <v>kg</v>
      </c>
      <c r="E175" s="506">
        <f>'Rekap. Upah Pekerja'!D171</f>
        <v>9400</v>
      </c>
      <c r="F175" s="507">
        <f t="shared" ref="F175:F202" si="5">C175*E175</f>
        <v>0</v>
      </c>
    </row>
    <row r="176" spans="1:6" s="498" customFormat="1" ht="25.5" x14ac:dyDescent="0.25">
      <c r="A176" s="504" t="str">
        <f>'Rekap. Upah Pekerja'!A172</f>
        <v>2.1.</v>
      </c>
      <c r="B176" s="505" t="str">
        <f>'Rekap. Upah Pekerja'!B172</f>
        <v>Pemasangan 1 kg rangka kuda-kuda IWF 250 dengan cat menie</v>
      </c>
      <c r="C176" s="526">
        <f>RAB!C176</f>
        <v>0</v>
      </c>
      <c r="D176" s="524" t="str">
        <f>RAB!D176</f>
        <v>kg</v>
      </c>
      <c r="E176" s="506">
        <f>'Rekap. Upah Pekerja'!D172</f>
        <v>16500</v>
      </c>
      <c r="F176" s="507">
        <f t="shared" si="5"/>
        <v>0</v>
      </c>
    </row>
    <row r="177" spans="1:6" s="498" customFormat="1" ht="25.5" x14ac:dyDescent="0.25">
      <c r="A177" s="504" t="str">
        <f>'Rekap. Upah Pekerja'!A173</f>
        <v>2.2.</v>
      </c>
      <c r="B177" s="505" t="str">
        <f>'Rekap. Upah Pekerja'!B173</f>
        <v>Pemasangan 1 kg rangka kuda-kuda IWF 200 dengan cat menie</v>
      </c>
      <c r="C177" s="526">
        <f>RAB!C177</f>
        <v>0</v>
      </c>
      <c r="D177" s="524" t="str">
        <f>RAB!D177</f>
        <v>kg</v>
      </c>
      <c r="E177" s="506">
        <f>'Rekap. Upah Pekerja'!D173</f>
        <v>16500</v>
      </c>
      <c r="F177" s="507">
        <f t="shared" si="5"/>
        <v>0</v>
      </c>
    </row>
    <row r="178" spans="1:6" s="498" customFormat="1" ht="25.5" x14ac:dyDescent="0.25">
      <c r="A178" s="504" t="str">
        <f>'Rekap. Upah Pekerja'!A174</f>
        <v>2.3.</v>
      </c>
      <c r="B178" s="505" t="str">
        <f>'Rekap. Upah Pekerja'!B174</f>
        <v>Pemasangan 1 kg rangka kuda-kuda IWF 150 dengan cat menie</v>
      </c>
      <c r="C178" s="526">
        <f>RAB!C178</f>
        <v>0</v>
      </c>
      <c r="D178" s="524" t="str">
        <f>RAB!D178</f>
        <v>kg</v>
      </c>
      <c r="E178" s="506">
        <f>'Rekap. Upah Pekerja'!D174</f>
        <v>16500</v>
      </c>
      <c r="F178" s="507">
        <f t="shared" si="5"/>
        <v>0</v>
      </c>
    </row>
    <row r="179" spans="1:6" s="498" customFormat="1" ht="25.5" x14ac:dyDescent="0.25">
      <c r="A179" s="504" t="str">
        <f>'Rekap. Upah Pekerja'!A175</f>
        <v>2.4.</v>
      </c>
      <c r="B179" s="505" t="str">
        <f>'Rekap. Upah Pekerja'!B175</f>
        <v>Pemasangan 1 kg rangka kuda-kuda IWF 150 dengan cat menie</v>
      </c>
      <c r="C179" s="526">
        <f>RAB!C179</f>
        <v>0</v>
      </c>
      <c r="D179" s="524" t="str">
        <f>RAB!D179</f>
        <v>kg</v>
      </c>
      <c r="E179" s="506">
        <f>'Rekap. Upah Pekerja'!D175</f>
        <v>16500</v>
      </c>
      <c r="F179" s="507">
        <f t="shared" si="5"/>
        <v>0</v>
      </c>
    </row>
    <row r="180" spans="1:6" s="498" customFormat="1" ht="15" customHeight="1" x14ac:dyDescent="0.25">
      <c r="A180" s="504">
        <f>'Rekap. Upah Pekerja'!A176</f>
        <v>3</v>
      </c>
      <c r="B180" s="505" t="str">
        <f>'Rekap. Upah Pekerja'!B176</f>
        <v>Pengerjaan 100 kg pekerjaan perakitan</v>
      </c>
      <c r="C180" s="526">
        <f>RAB!C180</f>
        <v>0</v>
      </c>
      <c r="D180" s="524" t="str">
        <f>RAB!D180</f>
        <v>kg</v>
      </c>
      <c r="E180" s="506">
        <f>'Rekap. Upah Pekerja'!D176</f>
        <v>11900</v>
      </c>
      <c r="F180" s="507">
        <f t="shared" si="5"/>
        <v>0</v>
      </c>
    </row>
    <row r="181" spans="1:6" s="498" customFormat="1" ht="25.5" x14ac:dyDescent="0.25">
      <c r="A181" s="504">
        <f>'Rekap. Upah Pekerja'!A177</f>
        <v>4</v>
      </c>
      <c r="B181" s="505" t="str">
        <f>'Rekap. Upah Pekerja'!B177</f>
        <v>Pembuatan 1 m2 pintu besi plat baja tebal 2 mm rangkap,rangka baja siku</v>
      </c>
      <c r="C181" s="526">
        <f>RAB!C181</f>
        <v>0</v>
      </c>
      <c r="D181" s="524" t="str">
        <f>RAB!D181</f>
        <v>m2</v>
      </c>
      <c r="E181" s="506">
        <f>'Rekap. Upah Pekerja'!D177</f>
        <v>237900</v>
      </c>
      <c r="F181" s="507">
        <f t="shared" si="5"/>
        <v>0</v>
      </c>
    </row>
    <row r="182" spans="1:6" s="498" customFormat="1" ht="15" customHeight="1" x14ac:dyDescent="0.25">
      <c r="A182" s="504">
        <f>'Rekap. Upah Pekerja'!A178</f>
        <v>5</v>
      </c>
      <c r="B182" s="505" t="str">
        <f>'Rekap. Upah Pekerja'!B178</f>
        <v>Pengerjaan 10 cm pengelasan dengan las listrik</v>
      </c>
      <c r="C182" s="526">
        <f>RAB!C182</f>
        <v>0</v>
      </c>
      <c r="D182" s="524" t="str">
        <f>RAB!D182</f>
        <v>cm</v>
      </c>
      <c r="E182" s="506">
        <f>'Rekap. Upah Pekerja'!D178</f>
        <v>9900</v>
      </c>
      <c r="F182" s="507">
        <f t="shared" si="5"/>
        <v>0</v>
      </c>
    </row>
    <row r="183" spans="1:6" s="498" customFormat="1" ht="25.5" x14ac:dyDescent="0.25">
      <c r="A183" s="504">
        <f>'Rekap. Upah Pekerja'!A179</f>
        <v>6</v>
      </c>
      <c r="B183" s="505" t="str">
        <f>'Rekap. Upah Pekerja'!B179</f>
        <v>Pembuatan 1 m2 rangka jendela besi scuare tube (25 x 5) cm</v>
      </c>
      <c r="C183" s="526">
        <f>RAB!C183</f>
        <v>0</v>
      </c>
      <c r="D183" s="524" t="str">
        <f>RAB!D183</f>
        <v>m2</v>
      </c>
      <c r="E183" s="506">
        <f>'Rekap. Upah Pekerja'!D179</f>
        <v>146500</v>
      </c>
      <c r="F183" s="507">
        <f t="shared" si="5"/>
        <v>0</v>
      </c>
    </row>
    <row r="184" spans="1:6" s="498" customFormat="1" ht="25.5" x14ac:dyDescent="0.25">
      <c r="A184" s="504">
        <f>'Rekap. Upah Pekerja'!A180</f>
        <v>7</v>
      </c>
      <c r="B184" s="505" t="str">
        <f>'Rekap. Upah Pekerja'!B180</f>
        <v>Pemasangan 1 m2 pintu rolling door besi/ pintu harmonika</v>
      </c>
      <c r="C184" s="526">
        <f>RAB!C184</f>
        <v>0</v>
      </c>
      <c r="D184" s="524" t="str">
        <f>RAB!D184</f>
        <v>m2</v>
      </c>
      <c r="E184" s="506">
        <f>'Rekap. Upah Pekerja'!D180</f>
        <v>260700</v>
      </c>
      <c r="F184" s="507">
        <f t="shared" si="5"/>
        <v>0</v>
      </c>
    </row>
    <row r="185" spans="1:6" s="498" customFormat="1" ht="15" customHeight="1" x14ac:dyDescent="0.25">
      <c r="A185" s="504">
        <f>'Rekap. Upah Pekerja'!A181</f>
        <v>8</v>
      </c>
      <c r="B185" s="505" t="str">
        <f>'Rekap. Upah Pekerja'!B181</f>
        <v>Pemasangan 1 m2 pintu rolling door aluminium</v>
      </c>
      <c r="C185" s="526">
        <f>RAB!C185</f>
        <v>0</v>
      </c>
      <c r="D185" s="524" t="str">
        <f>RAB!D185</f>
        <v>m2</v>
      </c>
      <c r="E185" s="506">
        <f>'Rekap. Upah Pekerja'!D181</f>
        <v>227000</v>
      </c>
      <c r="F185" s="507">
        <f t="shared" si="5"/>
        <v>0</v>
      </c>
    </row>
    <row r="186" spans="1:6" s="498" customFormat="1" ht="15" customHeight="1" x14ac:dyDescent="0.25">
      <c r="A186" s="504">
        <f>'Rekap. Upah Pekerja'!A182</f>
        <v>9</v>
      </c>
      <c r="B186" s="505" t="str">
        <f>'Rekap. Upah Pekerja'!B182</f>
        <v>Pemasangan 1 m2 sunscreen alluminium</v>
      </c>
      <c r="C186" s="526">
        <f>RAB!C186</f>
        <v>0</v>
      </c>
      <c r="D186" s="524" t="str">
        <f>RAB!D186</f>
        <v>m2</v>
      </c>
      <c r="E186" s="506">
        <f>'Rekap. Upah Pekerja'!D182</f>
        <v>105400</v>
      </c>
      <c r="F186" s="507">
        <f t="shared" si="5"/>
        <v>0</v>
      </c>
    </row>
    <row r="187" spans="1:6" s="498" customFormat="1" ht="25.5" x14ac:dyDescent="0.25">
      <c r="A187" s="504" t="str">
        <f>'Rekap. Upah Pekerja'!A183</f>
        <v>10.1</v>
      </c>
      <c r="B187" s="505" t="str">
        <f>'Rekap. Upah Pekerja'!B183</f>
        <v>Pemasangan 1 m kusen alluminium fropil aluminium 4"</v>
      </c>
      <c r="C187" s="526">
        <f>RAB!C187</f>
        <v>0</v>
      </c>
      <c r="D187" s="524" t="str">
        <f>RAB!D187</f>
        <v>m1</v>
      </c>
      <c r="E187" s="506">
        <f>'Rekap. Upah Pekerja'!D183</f>
        <v>37700</v>
      </c>
      <c r="F187" s="507">
        <f t="shared" si="5"/>
        <v>0</v>
      </c>
    </row>
    <row r="188" spans="1:6" s="498" customFormat="1" ht="25.5" x14ac:dyDescent="0.25">
      <c r="A188" s="504" t="str">
        <f>'Rekap. Upah Pekerja'!A184</f>
        <v>10.2</v>
      </c>
      <c r="B188" s="505" t="str">
        <f>'Rekap. Upah Pekerja'!B184</f>
        <v>Pemasangan 1 m kusen alluminium fropil aluminium 3"</v>
      </c>
      <c r="C188" s="526">
        <f>RAB!C188</f>
        <v>0</v>
      </c>
      <c r="D188" s="524" t="str">
        <f>RAB!D188</f>
        <v>m1</v>
      </c>
      <c r="E188" s="506">
        <f>'Rekap. Upah Pekerja'!D184</f>
        <v>37700</v>
      </c>
      <c r="F188" s="507">
        <f t="shared" si="5"/>
        <v>0</v>
      </c>
    </row>
    <row r="189" spans="1:6" s="498" customFormat="1" ht="25.5" x14ac:dyDescent="0.25">
      <c r="A189" s="504">
        <f>'Rekap. Upah Pekerja'!A185</f>
        <v>11</v>
      </c>
      <c r="B189" s="505" t="str">
        <f>'Rekap. Upah Pekerja'!B185</f>
        <v xml:space="preserve">Pemasangan 1 m² pintu alluminium strip lebar 8 cm </v>
      </c>
      <c r="C189" s="526">
        <f>RAB!C189</f>
        <v>0</v>
      </c>
      <c r="D189" s="524" t="str">
        <f>RAB!D189</f>
        <v>m2</v>
      </c>
      <c r="E189" s="506">
        <f>'Rekap. Upah Pekerja'!D185</f>
        <v>19000</v>
      </c>
      <c r="F189" s="507">
        <f t="shared" si="5"/>
        <v>0</v>
      </c>
    </row>
    <row r="190" spans="1:6" s="498" customFormat="1" ht="25.5" x14ac:dyDescent="0.25">
      <c r="A190" s="504">
        <f>'Rekap. Upah Pekerja'!A186</f>
        <v>12</v>
      </c>
      <c r="B190" s="505" t="str">
        <f>'Rekap. Upah Pekerja'!B186</f>
        <v>Pemasangan 1 m² pintu kaca rangka alluminium 2'. 0,75 mm</v>
      </c>
      <c r="C190" s="526">
        <f>RAB!C190</f>
        <v>0</v>
      </c>
      <c r="D190" s="524" t="str">
        <f>RAB!D190</f>
        <v>m2</v>
      </c>
      <c r="E190" s="506">
        <f>'Rekap. Upah Pekerja'!D186</f>
        <v>19200</v>
      </c>
      <c r="F190" s="507">
        <f t="shared" si="5"/>
        <v>0</v>
      </c>
    </row>
    <row r="191" spans="1:6" s="498" customFormat="1" ht="25.5" x14ac:dyDescent="0.25">
      <c r="A191" s="504">
        <f>'Rekap. Upah Pekerja'!A187</f>
        <v>13</v>
      </c>
      <c r="B191" s="505" t="str">
        <f>'Rekap. Upah Pekerja'!B187</f>
        <v>Pemasangan 1 m² venetions blinds dan vertical blinds</v>
      </c>
      <c r="C191" s="526">
        <f>RAB!C191</f>
        <v>0</v>
      </c>
      <c r="D191" s="524" t="str">
        <f>RAB!D191</f>
        <v>m2</v>
      </c>
      <c r="E191" s="506">
        <f>'Rekap. Upah Pekerja'!D187</f>
        <v>78300</v>
      </c>
      <c r="F191" s="507">
        <f t="shared" si="5"/>
        <v>0</v>
      </c>
    </row>
    <row r="192" spans="1:6" s="498" customFormat="1" ht="15" customHeight="1" x14ac:dyDescent="0.25">
      <c r="A192" s="504">
        <f>'Rekap. Upah Pekerja'!A188</f>
        <v>14</v>
      </c>
      <c r="B192" s="505" t="str">
        <f>'Rekap. Upah Pekerja'!B188</f>
        <v>Pemasangan 1 m² terali besi strip (2x3) mm</v>
      </c>
      <c r="C192" s="526">
        <f>RAB!C192</f>
        <v>0</v>
      </c>
      <c r="D192" s="524" t="str">
        <f>RAB!D192</f>
        <v>m2</v>
      </c>
      <c r="E192" s="506">
        <f>'Rekap. Upah Pekerja'!D188</f>
        <v>373200</v>
      </c>
      <c r="F192" s="507">
        <f t="shared" si="5"/>
        <v>0</v>
      </c>
    </row>
    <row r="193" spans="1:6" s="498" customFormat="1" ht="15" customHeight="1" x14ac:dyDescent="0.25">
      <c r="A193" s="504">
        <f>'Rekap. Upah Pekerja'!A189</f>
        <v>15</v>
      </c>
      <c r="B193" s="505" t="str">
        <f>'Rekap. Upah Pekerja'!B189</f>
        <v>Pemasangan 1 m² kawat nyamuk</v>
      </c>
      <c r="C193" s="526">
        <f>RAB!C193</f>
        <v>0</v>
      </c>
      <c r="D193" s="524" t="str">
        <f>RAB!D193</f>
        <v>m2</v>
      </c>
      <c r="E193" s="506">
        <f>'Rekap. Upah Pekerja'!D189</f>
        <v>22400</v>
      </c>
      <c r="F193" s="507">
        <f t="shared" si="5"/>
        <v>0</v>
      </c>
    </row>
    <row r="194" spans="1:6" s="498" customFormat="1" ht="15" customHeight="1" x14ac:dyDescent="0.25">
      <c r="A194" s="504">
        <f>'Rekap. Upah Pekerja'!A190</f>
        <v>16</v>
      </c>
      <c r="B194" s="505" t="str">
        <f>'Rekap. Upah Pekerja'!B190</f>
        <v>Pemasangan 1 m² jendela nako &amp; tralis</v>
      </c>
      <c r="C194" s="526">
        <f>RAB!C194</f>
        <v>0</v>
      </c>
      <c r="D194" s="524" t="str">
        <f>RAB!D194</f>
        <v>m2</v>
      </c>
      <c r="E194" s="506">
        <f>'Rekap. Upah Pekerja'!D190</f>
        <v>43500</v>
      </c>
      <c r="F194" s="507">
        <f t="shared" si="5"/>
        <v>0</v>
      </c>
    </row>
    <row r="195" spans="1:6" s="498" customFormat="1" ht="25.5" x14ac:dyDescent="0.25">
      <c r="A195" s="504">
        <f>'Rekap. Upah Pekerja'!A191</f>
        <v>17</v>
      </c>
      <c r="B195" s="505" t="str">
        <f>'Rekap. Upah Pekerja'!B191</f>
        <v>Pemasangan 1 m1 talang datar ,seng BJLS 28 lebar 90</v>
      </c>
      <c r="C195" s="526">
        <f>RAB!C195</f>
        <v>0</v>
      </c>
      <c r="D195" s="524" t="str">
        <f>RAB!D195</f>
        <v>m1</v>
      </c>
      <c r="E195" s="506">
        <f>'Rekap. Upah Pekerja'!D191</f>
        <v>43500</v>
      </c>
      <c r="F195" s="507">
        <f t="shared" si="5"/>
        <v>0</v>
      </c>
    </row>
    <row r="196" spans="1:6" s="498" customFormat="1" ht="25.5" x14ac:dyDescent="0.25">
      <c r="A196" s="504">
        <f>'Rekap. Upah Pekerja'!A192</f>
        <v>18</v>
      </c>
      <c r="B196" s="505" t="str">
        <f>'Rekap. Upah Pekerja'!B192</f>
        <v>Pemasangan 1 m talang 1/2 lingkaran dia. 15 cm, Seng BJLS 20</v>
      </c>
      <c r="C196" s="526">
        <f>RAB!C196</f>
        <v>0</v>
      </c>
      <c r="D196" s="524" t="str">
        <f>RAB!D196</f>
        <v>m1</v>
      </c>
      <c r="E196" s="506">
        <f>'Rekap. Upah Pekerja'!D192</f>
        <v>51900</v>
      </c>
      <c r="F196" s="507">
        <f t="shared" si="5"/>
        <v>0</v>
      </c>
    </row>
    <row r="197" spans="1:6" s="498" customFormat="1" ht="15" customHeight="1" x14ac:dyDescent="0.25">
      <c r="A197" s="504">
        <f>'Rekap. Upah Pekerja'!A193</f>
        <v>19</v>
      </c>
      <c r="B197" s="505" t="str">
        <f>'Rekap. Upah Pekerja'!B193</f>
        <v>Pemasangan 1 m1 Pasang Talang Karet</v>
      </c>
      <c r="C197" s="526">
        <f>RAB!C197</f>
        <v>0</v>
      </c>
      <c r="D197" s="524" t="str">
        <f>RAB!D197</f>
        <v>m1</v>
      </c>
      <c r="E197" s="506">
        <f>'Rekap. Upah Pekerja'!D193</f>
        <v>54200</v>
      </c>
      <c r="F197" s="507">
        <f t="shared" si="5"/>
        <v>0</v>
      </c>
    </row>
    <row r="198" spans="1:6" s="498" customFormat="1" ht="25.5" x14ac:dyDescent="0.25">
      <c r="A198" s="504">
        <f>'Rekap. Upah Pekerja'!A194</f>
        <v>20</v>
      </c>
      <c r="B198" s="505" t="str">
        <f>'Rekap. Upah Pekerja'!B194</f>
        <v>Pemasangan 1 m² rangka besi hollow 1x40.40.2 mm, modul 60x120 cm dinding partisi</v>
      </c>
      <c r="C198" s="526">
        <f>RAB!C198</f>
        <v>0</v>
      </c>
      <c r="D198" s="524" t="str">
        <f>RAB!D198</f>
        <v>m2</v>
      </c>
      <c r="E198" s="506">
        <f>'Rekap. Upah Pekerja'!D194</f>
        <v>56000</v>
      </c>
      <c r="F198" s="507">
        <f t="shared" si="5"/>
        <v>0</v>
      </c>
    </row>
    <row r="199" spans="1:6" s="498" customFormat="1" ht="25.5" x14ac:dyDescent="0.25">
      <c r="A199" s="504">
        <f>'Rekap. Upah Pekerja'!A195</f>
        <v>21</v>
      </c>
      <c r="B199" s="505" t="str">
        <f>'Rekap. Upah Pekerja'!B195</f>
        <v>Pemasangan 1 m² rangka kap baja C   utk penutup genteng metal</v>
      </c>
      <c r="C199" s="526">
        <f>RAB!C199</f>
        <v>0</v>
      </c>
      <c r="D199" s="524" t="str">
        <f>RAB!D199</f>
        <v>m2</v>
      </c>
      <c r="E199" s="506">
        <f>'Rekap. Upah Pekerja'!D195</f>
        <v>85200</v>
      </c>
      <c r="F199" s="507">
        <f t="shared" si="5"/>
        <v>0</v>
      </c>
    </row>
    <row r="200" spans="1:6" s="498" customFormat="1" ht="25.5" x14ac:dyDescent="0.25">
      <c r="A200" s="504">
        <f>'Rekap. Upah Pekerja'!A196</f>
        <v>22</v>
      </c>
      <c r="B200" s="505" t="str">
        <f>'Rekap. Upah Pekerja'!B196</f>
        <v>Pemasangan 1 m² rangka kap baja C  utk penutup genteng tanah</v>
      </c>
      <c r="C200" s="526">
        <f>RAB!C200</f>
        <v>0</v>
      </c>
      <c r="D200" s="524" t="str">
        <f>RAB!D200</f>
        <v>m2</v>
      </c>
      <c r="E200" s="506">
        <f>'Rekap. Upah Pekerja'!D196</f>
        <v>85200</v>
      </c>
      <c r="F200" s="507">
        <f t="shared" si="5"/>
        <v>0</v>
      </c>
    </row>
    <row r="201" spans="1:6" s="498" customFormat="1" ht="25.5" x14ac:dyDescent="0.25">
      <c r="A201" s="504">
        <f>'Rekap. Upah Pekerja'!A197</f>
        <v>23</v>
      </c>
      <c r="B201" s="505" t="str">
        <f>'Rekap. Upah Pekerja'!B197</f>
        <v>Pemasangan 1 m² rangka kap baja   UK  utk penutup genteng tanah</v>
      </c>
      <c r="C201" s="526">
        <f>RAB!C201</f>
        <v>0</v>
      </c>
      <c r="D201" s="524" t="str">
        <f>RAB!D201</f>
        <v>m2</v>
      </c>
      <c r="E201" s="506">
        <f>'Rekap. Upah Pekerja'!D197</f>
        <v>85200</v>
      </c>
      <c r="F201" s="507">
        <f t="shared" si="5"/>
        <v>0</v>
      </c>
    </row>
    <row r="202" spans="1:6" s="498" customFormat="1" ht="26.25" thickBot="1" x14ac:dyDescent="0.3">
      <c r="A202" s="504">
        <f>'Rekap. Upah Pekerja'!A198</f>
        <v>24</v>
      </c>
      <c r="B202" s="505" t="str">
        <f>'Rekap. Upah Pekerja'!B198</f>
        <v>Pemasangan 1 m² rangka kap baja   UK  utk penutup genteng metal</v>
      </c>
      <c r="C202" s="526">
        <f>RAB!C202</f>
        <v>0</v>
      </c>
      <c r="D202" s="524" t="str">
        <f>RAB!D202</f>
        <v>m2</v>
      </c>
      <c r="E202" s="506">
        <f>'Rekap. Upah Pekerja'!D198</f>
        <v>85200</v>
      </c>
      <c r="F202" s="517">
        <f t="shared" si="5"/>
        <v>0</v>
      </c>
    </row>
    <row r="203" spans="1:6" s="498" customFormat="1" ht="21" customHeight="1" thickTop="1" thickBot="1" x14ac:dyDescent="0.3">
      <c r="A203" s="602" t="s">
        <v>1757</v>
      </c>
      <c r="B203" s="602"/>
      <c r="C203" s="602"/>
      <c r="D203" s="602"/>
      <c r="E203" s="602"/>
      <c r="F203" s="502">
        <f>SUM(F175:F202)</f>
        <v>0</v>
      </c>
    </row>
    <row r="204" spans="1:6" s="498" customFormat="1" ht="15" customHeight="1" thickTop="1" x14ac:dyDescent="0.25">
      <c r="A204" s="499"/>
      <c r="B204" s="496"/>
      <c r="C204" s="527"/>
      <c r="D204" s="501"/>
      <c r="E204" s="497"/>
    </row>
    <row r="205" spans="1:6" s="498" customFormat="1" ht="15" customHeight="1" x14ac:dyDescent="0.25">
      <c r="A205" s="503" t="str">
        <f>'Rekap. Upah Pekerja'!A200</f>
        <v>VI.</v>
      </c>
      <c r="B205" s="605" t="str">
        <f>'Rekap. Upah Pekerja'!B200</f>
        <v>HARGA SATUAN PEKERJAAN PASANGAN DINDING</v>
      </c>
      <c r="C205" s="605"/>
      <c r="D205" s="605"/>
      <c r="E205" s="605"/>
      <c r="F205" s="605"/>
    </row>
    <row r="206" spans="1:6" s="498" customFormat="1" ht="25.5" x14ac:dyDescent="0.25">
      <c r="A206" s="504">
        <f>'Rekap. Upah Pekerja'!A201</f>
        <v>1</v>
      </c>
      <c r="B206" s="505" t="str">
        <f>'Rekap. Upah Pekerja'!B201</f>
        <v>Pemasangan 1 m² dinding bata merah (5x11x12) cm tebal 1 bata campuran 1 SP : 2 PP</v>
      </c>
      <c r="C206" s="526">
        <f>RAB!C206</f>
        <v>0</v>
      </c>
      <c r="D206" s="524" t="str">
        <f>RAB!D206</f>
        <v>m2</v>
      </c>
      <c r="E206" s="506">
        <f>'Rekap. Upah Pekerja'!D201</f>
        <v>77000</v>
      </c>
      <c r="F206" s="507">
        <f t="shared" ref="F206:F230" si="6">C206*E206</f>
        <v>0</v>
      </c>
    </row>
    <row r="207" spans="1:6" s="498" customFormat="1" ht="25.5" x14ac:dyDescent="0.25">
      <c r="A207" s="504">
        <f>'Rekap. Upah Pekerja'!A202</f>
        <v>2</v>
      </c>
      <c r="B207" s="505" t="str">
        <f>'Rekap. Upah Pekerja'!B202</f>
        <v>Pemasangan 1 m² dinding bata merah (5x11x12) cm tebal 1 bata campuran 1 SP : 3 PP</v>
      </c>
      <c r="C207" s="526">
        <f>RAB!C207</f>
        <v>0</v>
      </c>
      <c r="D207" s="524" t="str">
        <f>RAB!D207</f>
        <v>m2</v>
      </c>
      <c r="E207" s="506">
        <f>'Rekap. Upah Pekerja'!D202</f>
        <v>80800</v>
      </c>
      <c r="F207" s="507">
        <f t="shared" si="6"/>
        <v>0</v>
      </c>
    </row>
    <row r="208" spans="1:6" s="498" customFormat="1" ht="25.5" x14ac:dyDescent="0.25">
      <c r="A208" s="504">
        <f>'Rekap. Upah Pekerja'!A203</f>
        <v>3</v>
      </c>
      <c r="B208" s="505" t="str">
        <f>'Rekap. Upah Pekerja'!B203</f>
        <v>Pemasangan 1 m² dinding bata merah (5x11x12) cm tebal 1 bata campuran 1 SP : 4 PP</v>
      </c>
      <c r="C208" s="526">
        <f>RAB!C208</f>
        <v>0</v>
      </c>
      <c r="D208" s="524" t="str">
        <f>RAB!D208</f>
        <v>m2</v>
      </c>
      <c r="E208" s="506">
        <f>'Rekap. Upah Pekerja'!D203</f>
        <v>80800</v>
      </c>
      <c r="F208" s="507">
        <f t="shared" si="6"/>
        <v>0</v>
      </c>
    </row>
    <row r="209" spans="1:6" s="498" customFormat="1" ht="25.5" x14ac:dyDescent="0.25">
      <c r="A209" s="504">
        <f>'Rekap. Upah Pekerja'!A204</f>
        <v>4</v>
      </c>
      <c r="B209" s="505" t="str">
        <f>'Rekap. Upah Pekerja'!B204</f>
        <v>Pemasangan 1 m² dinding bata merah (5x11x12) cm tebal 1 bata campuran 1 SP : 5 PP</v>
      </c>
      <c r="C209" s="526">
        <f>RAB!C209</f>
        <v>0</v>
      </c>
      <c r="D209" s="524" t="str">
        <f>RAB!D209</f>
        <v>m2</v>
      </c>
      <c r="E209" s="506">
        <f>'Rekap. Upah Pekerja'!D204</f>
        <v>80800</v>
      </c>
      <c r="F209" s="507">
        <f t="shared" si="6"/>
        <v>0</v>
      </c>
    </row>
    <row r="210" spans="1:6" s="498" customFormat="1" ht="25.5" x14ac:dyDescent="0.25">
      <c r="A210" s="504">
        <f>'Rekap. Upah Pekerja'!A205</f>
        <v>5</v>
      </c>
      <c r="B210" s="505" t="str">
        <f>'Rekap. Upah Pekerja'!B205</f>
        <v>Pemasangan 1 m² dinding bata merah (5x11x12) cm tebal 1 bata campuran 1 SP : 6 PP</v>
      </c>
      <c r="C210" s="526">
        <f>RAB!C210</f>
        <v>0</v>
      </c>
      <c r="D210" s="524" t="str">
        <f>RAB!D210</f>
        <v>m2</v>
      </c>
      <c r="E210" s="506">
        <f>'Rekap. Upah Pekerja'!D205</f>
        <v>80800</v>
      </c>
      <c r="F210" s="507">
        <f t="shared" si="6"/>
        <v>0</v>
      </c>
    </row>
    <row r="211" spans="1:6" s="498" customFormat="1" ht="38.25" x14ac:dyDescent="0.25">
      <c r="A211" s="504">
        <f>'Rekap. Upah Pekerja'!A206</f>
        <v>6</v>
      </c>
      <c r="B211" s="505" t="str">
        <f>'Rekap. Upah Pekerja'!B206</f>
        <v>Pemasangan 1 m² dinding bata merah (5x11x12) cm tebal 1 bata campuran 1 SP : 3KP : 10 PP</v>
      </c>
      <c r="C211" s="526">
        <f>RAB!C211</f>
        <v>0</v>
      </c>
      <c r="D211" s="524" t="str">
        <f>RAB!D211</f>
        <v>m2</v>
      </c>
      <c r="E211" s="506">
        <f>'Rekap. Upah Pekerja'!D206</f>
        <v>80800</v>
      </c>
      <c r="F211" s="507">
        <f t="shared" si="6"/>
        <v>0</v>
      </c>
    </row>
    <row r="212" spans="1:6" s="498" customFormat="1" ht="25.5" x14ac:dyDescent="0.25">
      <c r="A212" s="504">
        <f>'Rekap. Upah Pekerja'!A207</f>
        <v>7</v>
      </c>
      <c r="B212" s="505" t="str">
        <f>'Rekap. Upah Pekerja'!B207</f>
        <v>Pemasangan 1 m² dinding bata merah (5x11x12) cm tebal ½ bata campuran 1 SP : 2 PP</v>
      </c>
      <c r="C212" s="526">
        <f>RAB!C212</f>
        <v>0</v>
      </c>
      <c r="D212" s="524" t="str">
        <f>RAB!D212</f>
        <v>m2</v>
      </c>
      <c r="E212" s="506">
        <f>'Rekap. Upah Pekerja'!D207</f>
        <v>42800</v>
      </c>
      <c r="F212" s="507">
        <f t="shared" si="6"/>
        <v>0</v>
      </c>
    </row>
    <row r="213" spans="1:6" s="498" customFormat="1" ht="25.5" x14ac:dyDescent="0.25">
      <c r="A213" s="504">
        <f>'Rekap. Upah Pekerja'!A208</f>
        <v>8</v>
      </c>
      <c r="B213" s="505" t="str">
        <f>'Rekap. Upah Pekerja'!B208</f>
        <v>Pemasangan 1 m² dinding bata merah (5x11x12) cm tebal ½ bata campuran 1 SP : 3 PP</v>
      </c>
      <c r="C213" s="526">
        <f>RAB!C213</f>
        <v>0</v>
      </c>
      <c r="D213" s="524" t="str">
        <f>RAB!D213</f>
        <v>m2</v>
      </c>
      <c r="E213" s="506">
        <f>'Rekap. Upah Pekerja'!D208</f>
        <v>42800</v>
      </c>
      <c r="F213" s="507">
        <f t="shared" si="6"/>
        <v>0</v>
      </c>
    </row>
    <row r="214" spans="1:6" s="498" customFormat="1" ht="25.5" x14ac:dyDescent="0.25">
      <c r="A214" s="504">
        <f>'Rekap. Upah Pekerja'!A209</f>
        <v>9</v>
      </c>
      <c r="B214" s="505" t="str">
        <f>'Rekap. Upah Pekerja'!B209</f>
        <v>Pemasangan 1 m² dinding bata merah (5x11x12) cm tebal ½ bata campuran 1 SP : 4 PP</v>
      </c>
      <c r="C214" s="526">
        <f>RAB!C214</f>
        <v>0</v>
      </c>
      <c r="D214" s="524" t="str">
        <f>RAB!D214</f>
        <v>m2</v>
      </c>
      <c r="E214" s="506">
        <f>'Rekap. Upah Pekerja'!D209</f>
        <v>42800</v>
      </c>
      <c r="F214" s="507">
        <f t="shared" si="6"/>
        <v>0</v>
      </c>
    </row>
    <row r="215" spans="1:6" s="498" customFormat="1" ht="25.5" x14ac:dyDescent="0.25">
      <c r="A215" s="504">
        <f>'Rekap. Upah Pekerja'!A210</f>
        <v>10</v>
      </c>
      <c r="B215" s="505" t="str">
        <f>'Rekap. Upah Pekerja'!B210</f>
        <v>Pemasangan 1 m² dinding bata merah (5x11x12) cm tebal ½ bata campuran 1 SP : 5 PP</v>
      </c>
      <c r="C215" s="526">
        <f>RAB!C215</f>
        <v>0</v>
      </c>
      <c r="D215" s="524" t="str">
        <f>RAB!D215</f>
        <v>m2</v>
      </c>
      <c r="E215" s="506">
        <f>'Rekap. Upah Pekerja'!D210</f>
        <v>42800</v>
      </c>
      <c r="F215" s="507">
        <f t="shared" si="6"/>
        <v>0</v>
      </c>
    </row>
    <row r="216" spans="1:6" s="498" customFormat="1" ht="25.5" x14ac:dyDescent="0.25">
      <c r="A216" s="504">
        <f>'Rekap. Upah Pekerja'!A211</f>
        <v>11</v>
      </c>
      <c r="B216" s="505" t="str">
        <f>'Rekap. Upah Pekerja'!B211</f>
        <v>Pemasangan 1 m² dinding bata merah (5x11x12) cm tebal ½ bata campuran 1 SP : 6 PP</v>
      </c>
      <c r="C216" s="526">
        <f>RAB!C216</f>
        <v>0</v>
      </c>
      <c r="D216" s="524" t="str">
        <f>RAB!D216</f>
        <v>m2</v>
      </c>
      <c r="E216" s="506">
        <f>'Rekap. Upah Pekerja'!D211</f>
        <v>42800</v>
      </c>
      <c r="F216" s="507">
        <f t="shared" si="6"/>
        <v>0</v>
      </c>
    </row>
    <row r="217" spans="1:6" s="498" customFormat="1" ht="25.5" x14ac:dyDescent="0.25">
      <c r="A217" s="504">
        <f>'Rekap. Upah Pekerja'!A212</f>
        <v>12</v>
      </c>
      <c r="B217" s="505" t="str">
        <f>'Rekap. Upah Pekerja'!B212</f>
        <v>Pemasangan 1 m² dinding bata merah (5x11x12) cm tebal ½ batu campuran 1 SP : 8 PP</v>
      </c>
      <c r="C217" s="526">
        <f>RAB!C217</f>
        <v>0</v>
      </c>
      <c r="D217" s="524" t="str">
        <f>RAB!D217</f>
        <v>m2</v>
      </c>
      <c r="E217" s="506">
        <f>'Rekap. Upah Pekerja'!D212</f>
        <v>25400</v>
      </c>
      <c r="F217" s="507">
        <f t="shared" si="6"/>
        <v>0</v>
      </c>
    </row>
    <row r="218" spans="1:6" s="498" customFormat="1" ht="38.25" x14ac:dyDescent="0.25">
      <c r="A218" s="504">
        <f>'Rekap. Upah Pekerja'!A213</f>
        <v>13</v>
      </c>
      <c r="B218" s="505" t="str">
        <f>'Rekap. Upah Pekerja'!B213</f>
        <v>Pemasangan 1 m² dinding bata merah (5x11x12) cm tebal ½ bata campuran 1 SM : 1 KP : 1 PP</v>
      </c>
      <c r="C218" s="526">
        <f>RAB!C218</f>
        <v>0</v>
      </c>
      <c r="D218" s="524" t="str">
        <f>RAB!D218</f>
        <v>m2</v>
      </c>
      <c r="E218" s="506">
        <f>'Rekap. Upah Pekerja'!D213</f>
        <v>42800</v>
      </c>
      <c r="F218" s="507">
        <f t="shared" si="6"/>
        <v>0</v>
      </c>
    </row>
    <row r="219" spans="1:6" s="498" customFormat="1" ht="38.25" x14ac:dyDescent="0.25">
      <c r="A219" s="504">
        <f>'Rekap. Upah Pekerja'!A214</f>
        <v>14</v>
      </c>
      <c r="B219" s="505" t="str">
        <f>'Rekap. Upah Pekerja'!B214</f>
        <v>Pemasangan 1 m² dinding bata merah (5x11x12) cm tebal ½ batu campuran 1 SM : 1 KP : 2 PP</v>
      </c>
      <c r="C219" s="526">
        <f>RAB!C219</f>
        <v>0</v>
      </c>
      <c r="D219" s="524" t="str">
        <f>RAB!D219</f>
        <v>m2</v>
      </c>
      <c r="E219" s="506">
        <f>'Rekap. Upah Pekerja'!D214</f>
        <v>42800</v>
      </c>
      <c r="F219" s="507">
        <f t="shared" si="6"/>
        <v>0</v>
      </c>
    </row>
    <row r="220" spans="1:6" s="498" customFormat="1" ht="25.5" x14ac:dyDescent="0.25">
      <c r="A220" s="504">
        <f>'Rekap. Upah Pekerja'!A215</f>
        <v>15</v>
      </c>
      <c r="B220" s="505" t="str">
        <f>'Rekap. Upah Pekerja'!B215</f>
        <v>Pemasangan 1 m² dinding conblock HB20 campuran 1 SP : 3 PP</v>
      </c>
      <c r="C220" s="526">
        <f>RAB!C220</f>
        <v>0</v>
      </c>
      <c r="D220" s="524" t="str">
        <f>RAB!D220</f>
        <v>m2</v>
      </c>
      <c r="E220" s="506">
        <f>'Rekap. Upah Pekerja'!D215</f>
        <v>54000</v>
      </c>
      <c r="F220" s="507">
        <f t="shared" si="6"/>
        <v>0</v>
      </c>
    </row>
    <row r="221" spans="1:6" s="498" customFormat="1" ht="25.5" x14ac:dyDescent="0.25">
      <c r="A221" s="504">
        <f>'Rekap. Upah Pekerja'!A216</f>
        <v>16</v>
      </c>
      <c r="B221" s="505" t="str">
        <f>'Rekap. Upah Pekerja'!B216</f>
        <v>Pemasangan 1 m² dinding conblock HB20 campuran 1 SP : 4 PP</v>
      </c>
      <c r="C221" s="526">
        <f>RAB!C221</f>
        <v>0</v>
      </c>
      <c r="D221" s="524" t="str">
        <f>RAB!D221</f>
        <v>m2</v>
      </c>
      <c r="E221" s="506">
        <f>'Rekap. Upah Pekerja'!D216</f>
        <v>54000</v>
      </c>
      <c r="F221" s="507">
        <f t="shared" si="6"/>
        <v>0</v>
      </c>
    </row>
    <row r="222" spans="1:6" s="498" customFormat="1" ht="25.5" x14ac:dyDescent="0.25">
      <c r="A222" s="504">
        <f>'Rekap. Upah Pekerja'!A217</f>
        <v>17</v>
      </c>
      <c r="B222" s="505" t="str">
        <f>'Rekap. Upah Pekerja'!B217</f>
        <v>Pemasangan 1 m² dinding conblock HB15 campuran 1 SP : 3 PP</v>
      </c>
      <c r="C222" s="526">
        <f>RAB!C222</f>
        <v>0</v>
      </c>
      <c r="D222" s="524" t="str">
        <f>RAB!D222</f>
        <v>m2</v>
      </c>
      <c r="E222" s="506">
        <f>'Rekap. Upah Pekerja'!D217</f>
        <v>47300</v>
      </c>
      <c r="F222" s="507">
        <f t="shared" si="6"/>
        <v>0</v>
      </c>
    </row>
    <row r="223" spans="1:6" s="498" customFormat="1" ht="25.5" x14ac:dyDescent="0.25">
      <c r="A223" s="504">
        <f>'Rekap. Upah Pekerja'!A218</f>
        <v>18</v>
      </c>
      <c r="B223" s="505" t="str">
        <f>'Rekap. Upah Pekerja'!B218</f>
        <v>Pemasangan 1 m² dinding conblock HB15 campuran 1 SP : 4 PP</v>
      </c>
      <c r="C223" s="526">
        <f>RAB!C223</f>
        <v>0</v>
      </c>
      <c r="D223" s="524" t="str">
        <f>RAB!D223</f>
        <v>m2</v>
      </c>
      <c r="E223" s="506">
        <f>'Rekap. Upah Pekerja'!D218</f>
        <v>47300</v>
      </c>
      <c r="F223" s="507">
        <f t="shared" si="6"/>
        <v>0</v>
      </c>
    </row>
    <row r="224" spans="1:6" s="498" customFormat="1" ht="25.5" x14ac:dyDescent="0.25">
      <c r="A224" s="504">
        <f>'Rekap. Upah Pekerja'!A219</f>
        <v>19</v>
      </c>
      <c r="B224" s="505" t="str">
        <f>'Rekap. Upah Pekerja'!B219</f>
        <v>Pemasangan 1 m² dinding conblock HB10 campuran 1 SP : 3 PP</v>
      </c>
      <c r="C224" s="526">
        <f>RAB!C224</f>
        <v>0</v>
      </c>
      <c r="D224" s="524" t="str">
        <f>RAB!D224</f>
        <v>m2</v>
      </c>
      <c r="E224" s="506">
        <f>'Rekap. Upah Pekerja'!D219</f>
        <v>42800</v>
      </c>
      <c r="F224" s="507">
        <f t="shared" si="6"/>
        <v>0</v>
      </c>
    </row>
    <row r="225" spans="1:6" s="498" customFormat="1" ht="25.5" x14ac:dyDescent="0.25">
      <c r="A225" s="504">
        <f>'Rekap. Upah Pekerja'!A220</f>
        <v>20</v>
      </c>
      <c r="B225" s="505" t="str">
        <f>'Rekap. Upah Pekerja'!B220</f>
        <v>Pemasangan 1 m² dinding conblock HB10 campuran 1 SP : 4 PP</v>
      </c>
      <c r="C225" s="526">
        <f>RAB!C225</f>
        <v>0</v>
      </c>
      <c r="D225" s="524" t="str">
        <f>RAB!D225</f>
        <v>m2</v>
      </c>
      <c r="E225" s="506">
        <f>'Rekap. Upah Pekerja'!D220</f>
        <v>42800</v>
      </c>
      <c r="F225" s="507">
        <f t="shared" si="6"/>
        <v>0</v>
      </c>
    </row>
    <row r="226" spans="1:6" s="498" customFormat="1" ht="25.5" x14ac:dyDescent="0.25">
      <c r="A226" s="504" t="str">
        <f>'Rekap. Upah Pekerja'!A221</f>
        <v>21.1</v>
      </c>
      <c r="B226" s="505" t="str">
        <f>'Rekap. Upah Pekerja'!B221</f>
        <v>Pemasangan 1 m² dinding Batako buntu 1 SP : 4 PP</v>
      </c>
      <c r="C226" s="526">
        <f>RAB!C226</f>
        <v>0</v>
      </c>
      <c r="D226" s="524" t="str">
        <f>RAB!D226</f>
        <v>m2</v>
      </c>
      <c r="E226" s="506">
        <f>'Rekap. Upah Pekerja'!D221</f>
        <v>42800</v>
      </c>
      <c r="F226" s="507">
        <f t="shared" si="6"/>
        <v>0</v>
      </c>
    </row>
    <row r="227" spans="1:6" s="498" customFormat="1" ht="25.5" x14ac:dyDescent="0.25">
      <c r="A227" s="504" t="str">
        <f>'Rekap. Upah Pekerja'!A222</f>
        <v>21.2</v>
      </c>
      <c r="B227" s="505" t="str">
        <f>'Rekap. Upah Pekerja'!B222</f>
        <v>Pemasangan 1 m² dinding batako berlubang 1 SP : 4 PP</v>
      </c>
      <c r="C227" s="526">
        <f>RAB!C227</f>
        <v>0</v>
      </c>
      <c r="D227" s="524" t="str">
        <f>RAB!D227</f>
        <v>m2</v>
      </c>
      <c r="E227" s="506">
        <f>'Rekap. Upah Pekerja'!D222</f>
        <v>42800</v>
      </c>
      <c r="F227" s="507">
        <f t="shared" si="6"/>
        <v>0</v>
      </c>
    </row>
    <row r="228" spans="1:6" s="498" customFormat="1" ht="25.5" x14ac:dyDescent="0.25">
      <c r="A228" s="504">
        <f>'Rekap. Upah Pekerja'!A223</f>
        <v>22</v>
      </c>
      <c r="B228" s="505" t="str">
        <f>'Rekap. Upah Pekerja'!B223</f>
        <v>Pemasangan 1 m² dinding kerawang (rooster bata) 12x11x24 campuran 1 SP : 3 PP</v>
      </c>
      <c r="C228" s="526">
        <f>RAB!C228</f>
        <v>0</v>
      </c>
      <c r="D228" s="524" t="str">
        <f>RAB!D228</f>
        <v>m2</v>
      </c>
      <c r="E228" s="506">
        <f>'Rekap. Upah Pekerja'!D223</f>
        <v>42800</v>
      </c>
      <c r="F228" s="507">
        <f t="shared" si="6"/>
        <v>0</v>
      </c>
    </row>
    <row r="229" spans="1:6" s="498" customFormat="1" ht="25.5" x14ac:dyDescent="0.25">
      <c r="A229" s="504">
        <f>'Rekap. Upah Pekerja'!A224</f>
        <v>23</v>
      </c>
      <c r="B229" s="505" t="str">
        <f>'Rekap. Upah Pekerja'!B224</f>
        <v>Pemasangan 1 m² dinding kerawang (rooster) 12x11x24 campuran 1 SP : 4 PP</v>
      </c>
      <c r="C229" s="526">
        <f>RAB!C229</f>
        <v>0</v>
      </c>
      <c r="D229" s="524" t="str">
        <f>RAB!D229</f>
        <v>m2</v>
      </c>
      <c r="E229" s="506">
        <f>'Rekap. Upah Pekerja'!D224</f>
        <v>42800</v>
      </c>
      <c r="F229" s="507">
        <f t="shared" si="6"/>
        <v>0</v>
      </c>
    </row>
    <row r="230" spans="1:6" s="498" customFormat="1" ht="39" thickBot="1" x14ac:dyDescent="0.3">
      <c r="A230" s="504">
        <f>'Rekap. Upah Pekerja'!A225</f>
        <v>24</v>
      </c>
      <c r="B230" s="505" t="str">
        <f>'Rekap. Upah Pekerja'!B225</f>
        <v>Pemasangan 1 m² dinding bata berongga ekspose (roster kerawang pc) campuran 1 SP : 3 PP</v>
      </c>
      <c r="C230" s="526">
        <f>RAB!C230</f>
        <v>0</v>
      </c>
      <c r="D230" s="524" t="str">
        <f>RAB!D230</f>
        <v>m2</v>
      </c>
      <c r="E230" s="506">
        <f>'Rekap. Upah Pekerja'!D225</f>
        <v>18000</v>
      </c>
      <c r="F230" s="517">
        <f t="shared" si="6"/>
        <v>0</v>
      </c>
    </row>
    <row r="231" spans="1:6" s="498" customFormat="1" ht="21" customHeight="1" thickTop="1" thickBot="1" x14ac:dyDescent="0.3">
      <c r="A231" s="602" t="s">
        <v>1758</v>
      </c>
      <c r="B231" s="602"/>
      <c r="C231" s="602"/>
      <c r="D231" s="602"/>
      <c r="E231" s="602"/>
      <c r="F231" s="502">
        <f>SUM(F206:F230)</f>
        <v>0</v>
      </c>
    </row>
    <row r="232" spans="1:6" s="498" customFormat="1" ht="15" customHeight="1" thickTop="1" x14ac:dyDescent="0.25">
      <c r="A232" s="499"/>
      <c r="B232" s="496"/>
      <c r="C232" s="527"/>
      <c r="D232" s="501"/>
      <c r="E232" s="497"/>
    </row>
    <row r="233" spans="1:6" s="498" customFormat="1" ht="15" customHeight="1" x14ac:dyDescent="0.25">
      <c r="A233" s="503" t="str">
        <f>'Rekap. Upah Pekerja'!A227</f>
        <v>VII.</v>
      </c>
      <c r="B233" s="605" t="str">
        <f>'Rekap. Upah Pekerja'!B227</f>
        <v>HARGA SATUAN PEKERJAAN PLESTERAN</v>
      </c>
      <c r="C233" s="605"/>
      <c r="D233" s="605"/>
      <c r="E233" s="605"/>
      <c r="F233" s="605"/>
    </row>
    <row r="234" spans="1:6" s="498" customFormat="1" ht="25.5" x14ac:dyDescent="0.25">
      <c r="A234" s="504">
        <f>'Rekap. Upah Pekerja'!A228</f>
        <v>1</v>
      </c>
      <c r="B234" s="505" t="str">
        <f>'Rekap. Upah Pekerja'!B228</f>
        <v>Pemasangan 1 m² plesteran 1 SP : 1 PP tebal 15 mm</v>
      </c>
      <c r="C234" s="526">
        <f>RAB!C234</f>
        <v>0</v>
      </c>
      <c r="D234" s="524" t="str">
        <f>RAB!D234</f>
        <v>m2</v>
      </c>
      <c r="E234" s="506">
        <f>'Rekap. Upah Pekerja'!D228</f>
        <v>48900</v>
      </c>
      <c r="F234" s="507">
        <f t="shared" ref="F234:F260" si="7">C234*E234</f>
        <v>0</v>
      </c>
    </row>
    <row r="235" spans="1:6" s="498" customFormat="1" ht="25.5" x14ac:dyDescent="0.25">
      <c r="A235" s="504">
        <f>'Rekap. Upah Pekerja'!A229</f>
        <v>2</v>
      </c>
      <c r="B235" s="505" t="str">
        <f>'Rekap. Upah Pekerja'!B229</f>
        <v>Pemasangan 1 m² plesteran 1 SP : 2 PP tebal 15 mm</v>
      </c>
      <c r="C235" s="526">
        <f>RAB!C235</f>
        <v>0</v>
      </c>
      <c r="D235" s="524" t="str">
        <f>RAB!D235</f>
        <v>m2</v>
      </c>
      <c r="E235" s="506">
        <f>'Rekap. Upah Pekerja'!D229</f>
        <v>48900</v>
      </c>
      <c r="F235" s="507">
        <f t="shared" si="7"/>
        <v>0</v>
      </c>
    </row>
    <row r="236" spans="1:6" s="498" customFormat="1" ht="25.5" x14ac:dyDescent="0.25">
      <c r="A236" s="504">
        <f>'Rekap. Upah Pekerja'!A230</f>
        <v>3</v>
      </c>
      <c r="B236" s="505" t="str">
        <f>'Rekap. Upah Pekerja'!B230</f>
        <v>Pemasangan 1 m² plesteran 1 SP : 3 PP tebal 15 mm</v>
      </c>
      <c r="C236" s="526">
        <f>RAB!C236</f>
        <v>0</v>
      </c>
      <c r="D236" s="524" t="str">
        <f>RAB!D236</f>
        <v>m2</v>
      </c>
      <c r="E236" s="506">
        <f>'Rekap. Upah Pekerja'!D230</f>
        <v>48900</v>
      </c>
      <c r="F236" s="507">
        <f t="shared" si="7"/>
        <v>0</v>
      </c>
    </row>
    <row r="237" spans="1:6" s="498" customFormat="1" ht="25.5" x14ac:dyDescent="0.25">
      <c r="A237" s="504">
        <f>'Rekap. Upah Pekerja'!A231</f>
        <v>4</v>
      </c>
      <c r="B237" s="505" t="str">
        <f>'Rekap. Upah Pekerja'!B231</f>
        <v>Pemasangan 1 m² plesteran 1 SP : 4 PP tebal 15 mm</v>
      </c>
      <c r="C237" s="526">
        <f>RAB!C237</f>
        <v>0</v>
      </c>
      <c r="D237" s="524" t="str">
        <f>RAB!D237</f>
        <v>m2</v>
      </c>
      <c r="E237" s="506">
        <f>'Rekap. Upah Pekerja'!D231</f>
        <v>48900</v>
      </c>
      <c r="F237" s="507">
        <f t="shared" si="7"/>
        <v>0</v>
      </c>
    </row>
    <row r="238" spans="1:6" s="498" customFormat="1" ht="25.5" x14ac:dyDescent="0.25">
      <c r="A238" s="504">
        <f>'Rekap. Upah Pekerja'!A232</f>
        <v>5</v>
      </c>
      <c r="B238" s="505" t="str">
        <f>'Rekap. Upah Pekerja'!B232</f>
        <v>Pemasangan 1 m² plesteran 1 SP : 5 PP tebal 15 mm</v>
      </c>
      <c r="C238" s="526">
        <f>RAB!C238</f>
        <v>0</v>
      </c>
      <c r="D238" s="524" t="str">
        <f>RAB!D238</f>
        <v>m2</v>
      </c>
      <c r="E238" s="506">
        <f>'Rekap. Upah Pekerja'!D232</f>
        <v>48900</v>
      </c>
      <c r="F238" s="507">
        <f t="shared" si="7"/>
        <v>0</v>
      </c>
    </row>
    <row r="239" spans="1:6" s="498" customFormat="1" ht="25.5" x14ac:dyDescent="0.25">
      <c r="A239" s="504">
        <f>'Rekap. Upah Pekerja'!A233</f>
        <v>6</v>
      </c>
      <c r="B239" s="505" t="str">
        <f>'Rekap. Upah Pekerja'!B233</f>
        <v>Pemasangan 1 m² plesteran 1 SP : 6 PP tebal 15 mm</v>
      </c>
      <c r="C239" s="526">
        <f>RAB!C239</f>
        <v>0</v>
      </c>
      <c r="D239" s="524" t="str">
        <f>RAB!D239</f>
        <v>m2</v>
      </c>
      <c r="E239" s="506">
        <f>'Rekap. Upah Pekerja'!D233</f>
        <v>48900</v>
      </c>
      <c r="F239" s="507">
        <f t="shared" si="7"/>
        <v>0</v>
      </c>
    </row>
    <row r="240" spans="1:6" s="498" customFormat="1" ht="25.5" x14ac:dyDescent="0.25">
      <c r="A240" s="504">
        <f>'Rekap. Upah Pekerja'!A234</f>
        <v>7</v>
      </c>
      <c r="B240" s="505" t="str">
        <f>'Rekap. Upah Pekerja'!B234</f>
        <v>Pemasangan 1 m² plesteran 1 SP : 7 PP tebal 15 mm</v>
      </c>
      <c r="C240" s="526">
        <f>RAB!C240</f>
        <v>0</v>
      </c>
      <c r="D240" s="524" t="str">
        <f>RAB!D240</f>
        <v>m2</v>
      </c>
      <c r="E240" s="506">
        <f>'Rekap. Upah Pekerja'!D234</f>
        <v>48900</v>
      </c>
      <c r="F240" s="507">
        <f t="shared" si="7"/>
        <v>0</v>
      </c>
    </row>
    <row r="241" spans="1:6" s="498" customFormat="1" ht="25.5" x14ac:dyDescent="0.25">
      <c r="A241" s="504">
        <f>'Rekap. Upah Pekerja'!A235</f>
        <v>8</v>
      </c>
      <c r="B241" s="505" t="str">
        <f>'Rekap. Upah Pekerja'!B235</f>
        <v>Pemasangan 1 m² plesteran 1 SP : 8 PP tebal 15 mm</v>
      </c>
      <c r="C241" s="526">
        <f>RAB!C241</f>
        <v>0</v>
      </c>
      <c r="D241" s="524" t="str">
        <f>RAB!D241</f>
        <v>m2</v>
      </c>
      <c r="E241" s="506">
        <f>'Rekap. Upah Pekerja'!D235</f>
        <v>48900</v>
      </c>
      <c r="F241" s="507">
        <f t="shared" si="7"/>
        <v>0</v>
      </c>
    </row>
    <row r="242" spans="1:6" s="498" customFormat="1" ht="25.5" x14ac:dyDescent="0.25">
      <c r="A242" s="504">
        <f>'Rekap. Upah Pekerja'!A236</f>
        <v>9</v>
      </c>
      <c r="B242" s="505" t="str">
        <f>'Rekap. Upah Pekerja'!B236</f>
        <v>Pemasangan 1 m² plesteran 1 SP : ½ KP : 3 PP tebal 15 mm</v>
      </c>
      <c r="C242" s="526">
        <f>RAB!C242</f>
        <v>0</v>
      </c>
      <c r="D242" s="524" t="str">
        <f>RAB!D242</f>
        <v>m2</v>
      </c>
      <c r="E242" s="506">
        <f>'Rekap. Upah Pekerja'!D236</f>
        <v>51300</v>
      </c>
      <c r="F242" s="507">
        <f t="shared" si="7"/>
        <v>0</v>
      </c>
    </row>
    <row r="243" spans="1:6" s="498" customFormat="1" ht="25.5" x14ac:dyDescent="0.25">
      <c r="A243" s="504">
        <f>'Rekap. Upah Pekerja'!A237</f>
        <v>10</v>
      </c>
      <c r="B243" s="505" t="str">
        <f>'Rekap. Upah Pekerja'!B237</f>
        <v>Pemasangan 1 m² plesteran 1 SP : 2 KP : 8 PP tebal 15 mm</v>
      </c>
      <c r="C243" s="526">
        <f>RAB!C243</f>
        <v>0</v>
      </c>
      <c r="D243" s="524" t="str">
        <f>RAB!D243</f>
        <v>m2</v>
      </c>
      <c r="E243" s="506">
        <f>'Rekap. Upah Pekerja'!D237</f>
        <v>51300</v>
      </c>
      <c r="F243" s="507">
        <f t="shared" si="7"/>
        <v>0</v>
      </c>
    </row>
    <row r="244" spans="1:6" s="498" customFormat="1" ht="25.5" x14ac:dyDescent="0.25">
      <c r="A244" s="504">
        <f>'Rekap. Upah Pekerja'!A238</f>
        <v>11</v>
      </c>
      <c r="B244" s="505" t="str">
        <f>'Rekap. Upah Pekerja'!B238</f>
        <v>Pemasangan 1 m² plesteran 1 SM : 1 KP : 1 PP tebal 15 mm</v>
      </c>
      <c r="C244" s="526">
        <f>RAB!C244</f>
        <v>0</v>
      </c>
      <c r="D244" s="524" t="str">
        <f>RAB!D244</f>
        <v>m2</v>
      </c>
      <c r="E244" s="506">
        <f>'Rekap. Upah Pekerja'!D238</f>
        <v>51300</v>
      </c>
      <c r="F244" s="507">
        <f t="shared" si="7"/>
        <v>0</v>
      </c>
    </row>
    <row r="245" spans="1:6" s="498" customFormat="1" ht="25.5" x14ac:dyDescent="0.25">
      <c r="A245" s="504">
        <f>'Rekap. Upah Pekerja'!A239</f>
        <v>12</v>
      </c>
      <c r="B245" s="505" t="str">
        <f>'Rekap. Upah Pekerja'!B239</f>
        <v>Pemasangan 1 m² plesteran 1 SM : 1 KP : 2 PP tebal 15 mm</v>
      </c>
      <c r="C245" s="526">
        <f>RAB!C245</f>
        <v>0</v>
      </c>
      <c r="D245" s="524" t="str">
        <f>RAB!D245</f>
        <v>m2</v>
      </c>
      <c r="E245" s="506">
        <f>'Rekap. Upah Pekerja'!D239</f>
        <v>51300</v>
      </c>
      <c r="F245" s="507">
        <f t="shared" si="7"/>
        <v>0</v>
      </c>
    </row>
    <row r="246" spans="1:6" s="498" customFormat="1" ht="25.5" x14ac:dyDescent="0.25">
      <c r="A246" s="504">
        <f>'Rekap. Upah Pekerja'!A240</f>
        <v>13</v>
      </c>
      <c r="B246" s="505" t="str">
        <f>'Rekap. Upah Pekerja'!B240</f>
        <v>Pemasangan 1 m² plesteran 1 SP : 1 PP tebal 20 mm</v>
      </c>
      <c r="C246" s="526">
        <f>RAB!C246</f>
        <v>0</v>
      </c>
      <c r="D246" s="524" t="str">
        <f>RAB!D246</f>
        <v>m2</v>
      </c>
      <c r="E246" s="506">
        <f>'Rekap. Upah Pekerja'!D240</f>
        <v>65400</v>
      </c>
      <c r="F246" s="507">
        <f t="shared" si="7"/>
        <v>0</v>
      </c>
    </row>
    <row r="247" spans="1:6" s="498" customFormat="1" ht="25.5" x14ac:dyDescent="0.25">
      <c r="A247" s="504">
        <f>'Rekap. Upah Pekerja'!A241</f>
        <v>14</v>
      </c>
      <c r="B247" s="505" t="str">
        <f>'Rekap. Upah Pekerja'!B241</f>
        <v>Pemasangan 1 m² plesteran 1 SP : 3 PP tebal 20 mm</v>
      </c>
      <c r="C247" s="526">
        <f>RAB!C247</f>
        <v>0</v>
      </c>
      <c r="D247" s="524" t="str">
        <f>RAB!D247</f>
        <v>m2</v>
      </c>
      <c r="E247" s="506">
        <f>'Rekap. Upah Pekerja'!D241</f>
        <v>50900</v>
      </c>
      <c r="F247" s="507">
        <f t="shared" si="7"/>
        <v>0</v>
      </c>
    </row>
    <row r="248" spans="1:6" s="498" customFormat="1" ht="25.5" x14ac:dyDescent="0.25">
      <c r="A248" s="504">
        <f>'Rekap. Upah Pekerja'!A242</f>
        <v>15</v>
      </c>
      <c r="B248" s="505" t="str">
        <f>'Rekap. Upah Pekerja'!B242</f>
        <v>Pemasangan 1 m² plesteran 1 SP : 4 PP tebal 20 mm</v>
      </c>
      <c r="C248" s="526">
        <f>RAB!C248</f>
        <v>0</v>
      </c>
      <c r="D248" s="524" t="str">
        <f>RAB!D248</f>
        <v>m2</v>
      </c>
      <c r="E248" s="506">
        <f>'Rekap. Upah Pekerja'!D242</f>
        <v>65400</v>
      </c>
      <c r="F248" s="507">
        <f t="shared" si="7"/>
        <v>0</v>
      </c>
    </row>
    <row r="249" spans="1:6" s="498" customFormat="1" ht="25.5" x14ac:dyDescent="0.25">
      <c r="A249" s="504">
        <f>'Rekap. Upah Pekerja'!A243</f>
        <v>16</v>
      </c>
      <c r="B249" s="505" t="str">
        <f>'Rekap. Upah Pekerja'!B243</f>
        <v>Pemasangan 1 m² plesteran 1 SP : 5 PP tebal 20 mm</v>
      </c>
      <c r="C249" s="526">
        <f>RAB!C249</f>
        <v>0</v>
      </c>
      <c r="D249" s="524" t="str">
        <f>RAB!D249</f>
        <v>m2</v>
      </c>
      <c r="E249" s="506">
        <f>'Rekap. Upah Pekerja'!D243</f>
        <v>65400</v>
      </c>
      <c r="F249" s="507">
        <f t="shared" si="7"/>
        <v>0</v>
      </c>
    </row>
    <row r="250" spans="1:6" s="498" customFormat="1" ht="25.5" x14ac:dyDescent="0.25">
      <c r="A250" s="504">
        <f>'Rekap. Upah Pekerja'!A244</f>
        <v>17</v>
      </c>
      <c r="B250" s="505" t="str">
        <f>'Rekap. Upah Pekerja'!B244</f>
        <v>Pemasangan 1 m² plesteran 1 SP : 6 PP tebal 20 mm</v>
      </c>
      <c r="C250" s="526">
        <f>RAB!C250</f>
        <v>0</v>
      </c>
      <c r="D250" s="524" t="str">
        <f>RAB!D250</f>
        <v>m2</v>
      </c>
      <c r="E250" s="506">
        <f>'Rekap. Upah Pekerja'!D244</f>
        <v>65400</v>
      </c>
      <c r="F250" s="507">
        <f t="shared" si="7"/>
        <v>0</v>
      </c>
    </row>
    <row r="251" spans="1:6" s="498" customFormat="1" ht="25.5" x14ac:dyDescent="0.25">
      <c r="A251" s="504">
        <f>'Rekap. Upah Pekerja'!A245</f>
        <v>18</v>
      </c>
      <c r="B251" s="505" t="str">
        <f>'Rekap. Upah Pekerja'!B245</f>
        <v>Pemasangan 1 m² plesteran 1 SM : 1 KP : 2 PP tebal 20 mm</v>
      </c>
      <c r="C251" s="526">
        <f>RAB!C251</f>
        <v>0</v>
      </c>
      <c r="D251" s="524" t="str">
        <f>RAB!D251</f>
        <v>m2</v>
      </c>
      <c r="E251" s="506">
        <f>'Rekap. Upah Pekerja'!D245</f>
        <v>71700</v>
      </c>
      <c r="F251" s="507">
        <f t="shared" si="7"/>
        <v>0</v>
      </c>
    </row>
    <row r="252" spans="1:6" s="498" customFormat="1" ht="15" customHeight="1" x14ac:dyDescent="0.25">
      <c r="A252" s="504">
        <f>'Rekap. Upah Pekerja'!A246</f>
        <v>19</v>
      </c>
      <c r="B252" s="505" t="str">
        <f>'Rekap. Upah Pekerja'!B246</f>
        <v>Pemasangan 1 m² Plesteran beton 1 pc : 2 ps</v>
      </c>
      <c r="C252" s="526">
        <f>RAB!C252</f>
        <v>0</v>
      </c>
      <c r="D252" s="524" t="str">
        <f>RAB!D252</f>
        <v>m2</v>
      </c>
      <c r="E252" s="506">
        <f>'Rekap. Upah Pekerja'!D246</f>
        <v>50900</v>
      </c>
      <c r="F252" s="507">
        <f t="shared" si="7"/>
        <v>0</v>
      </c>
    </row>
    <row r="253" spans="1:6" s="498" customFormat="1" ht="25.5" x14ac:dyDescent="0.25">
      <c r="A253" s="504">
        <f>'Rekap. Upah Pekerja'!A247</f>
        <v>20</v>
      </c>
      <c r="B253" s="505" t="str">
        <f>'Rekap. Upah Pekerja'!B247</f>
        <v>Pemasangan 1 m1 plesteran skoning 1 SP : 3 PP lebar 10 mm</v>
      </c>
      <c r="C253" s="526">
        <f>RAB!C253</f>
        <v>0</v>
      </c>
      <c r="D253" s="524" t="str">
        <f>RAB!D253</f>
        <v>m1</v>
      </c>
      <c r="E253" s="506">
        <f>'Rekap. Upah Pekerja'!D247</f>
        <v>60800</v>
      </c>
      <c r="F253" s="507">
        <f t="shared" si="7"/>
        <v>0</v>
      </c>
    </row>
    <row r="254" spans="1:6" s="498" customFormat="1" ht="25.5" x14ac:dyDescent="0.25">
      <c r="A254" s="504">
        <f>'Rekap. Upah Pekerja'!A248</f>
        <v>21</v>
      </c>
      <c r="B254" s="505" t="str">
        <f>'Rekap. Upah Pekerja'!B248</f>
        <v>Pemasangan 1 m² plesteran granit 1 SP : 2 Granit tebal 1 cm</v>
      </c>
      <c r="C254" s="526">
        <f>RAB!C254</f>
        <v>0</v>
      </c>
      <c r="D254" s="524" t="str">
        <f>RAB!D254</f>
        <v>m2</v>
      </c>
      <c r="E254" s="506">
        <f>'Rekap. Upah Pekerja'!D248</f>
        <v>73400</v>
      </c>
      <c r="F254" s="507">
        <f t="shared" si="7"/>
        <v>0</v>
      </c>
    </row>
    <row r="255" spans="1:6" s="498" customFormat="1" ht="25.5" x14ac:dyDescent="0.25">
      <c r="A255" s="504">
        <f>'Rekap. Upah Pekerja'!A249</f>
        <v>22</v>
      </c>
      <c r="B255" s="505" t="str">
        <f>'Rekap. Upah Pekerja'!B249</f>
        <v>Pemasangan 1 m² plesteran traso 1 SP : 2 Traso tebal 1 cm</v>
      </c>
      <c r="C255" s="526">
        <f>RAB!C255</f>
        <v>0</v>
      </c>
      <c r="D255" s="524" t="str">
        <f>RAB!D255</f>
        <v>m2</v>
      </c>
      <c r="E255" s="506">
        <f>'Rekap. Upah Pekerja'!D249</f>
        <v>73400</v>
      </c>
      <c r="F255" s="507">
        <f t="shared" si="7"/>
        <v>0</v>
      </c>
    </row>
    <row r="256" spans="1:6" s="498" customFormat="1" ht="15" customHeight="1" x14ac:dyDescent="0.25">
      <c r="A256" s="504">
        <f>'Rekap. Upah Pekerja'!A250</f>
        <v>23</v>
      </c>
      <c r="B256" s="505" t="str">
        <f>'Rekap. Upah Pekerja'!B250</f>
        <v>Pemasangan 1 m² Acian dengan Mill / ngelabur</v>
      </c>
      <c r="C256" s="526">
        <f>RAB!C256</f>
        <v>0</v>
      </c>
      <c r="D256" s="524" t="str">
        <f>RAB!D256</f>
        <v>m2</v>
      </c>
      <c r="E256" s="506">
        <f>'Rekap. Upah Pekerja'!D250</f>
        <v>20000</v>
      </c>
      <c r="F256" s="507">
        <f t="shared" si="7"/>
        <v>0</v>
      </c>
    </row>
    <row r="257" spans="1:6" s="498" customFormat="1" ht="25.5" x14ac:dyDescent="0.25">
      <c r="A257" s="504">
        <f>'Rekap. Upah Pekerja'!A251</f>
        <v>24</v>
      </c>
      <c r="B257" s="505" t="str">
        <f>'Rekap. Upah Pekerja'!B251</f>
        <v>Pemasangan 1 m² finishing siar pasangan bata merah</v>
      </c>
      <c r="C257" s="526">
        <f>RAB!C257</f>
        <v>0</v>
      </c>
      <c r="D257" s="524" t="str">
        <f>RAB!D257</f>
        <v>m2</v>
      </c>
      <c r="E257" s="506">
        <f>'Rekap. Upah Pekerja'!D251</f>
        <v>24600</v>
      </c>
      <c r="F257" s="507">
        <f t="shared" si="7"/>
        <v>0</v>
      </c>
    </row>
    <row r="258" spans="1:6" s="498" customFormat="1" ht="25.5" x14ac:dyDescent="0.25">
      <c r="A258" s="504">
        <f>'Rekap. Upah Pekerja'!A252</f>
        <v>25</v>
      </c>
      <c r="B258" s="505" t="str">
        <f>'Rekap. Upah Pekerja'!B252</f>
        <v>Pemasangan 1 m² finishing siar pasangan conblock ekspose</v>
      </c>
      <c r="C258" s="526">
        <f>RAB!C258</f>
        <v>0</v>
      </c>
      <c r="D258" s="524" t="str">
        <f>RAB!D258</f>
        <v>m2</v>
      </c>
      <c r="E258" s="506">
        <f>'Rekap. Upah Pekerja'!D252</f>
        <v>11600</v>
      </c>
      <c r="F258" s="507">
        <f t="shared" si="7"/>
        <v>0</v>
      </c>
    </row>
    <row r="259" spans="1:6" s="498" customFormat="1" ht="25.5" x14ac:dyDescent="0.25">
      <c r="A259" s="504">
        <f>'Rekap. Upah Pekerja'!A253</f>
        <v>26</v>
      </c>
      <c r="B259" s="505" t="str">
        <f>'Rekap. Upah Pekerja'!B253</f>
        <v>Pemasangan 1 m² finishing siar pasangan batu kali , campuran 1 SP : 2 PP</v>
      </c>
      <c r="C259" s="526">
        <f>RAB!C259</f>
        <v>0</v>
      </c>
      <c r="D259" s="524" t="str">
        <f>RAB!D259</f>
        <v>m2</v>
      </c>
      <c r="E259" s="506">
        <f>'Rekap. Upah Pekerja'!D253</f>
        <v>48900</v>
      </c>
      <c r="F259" s="507">
        <f t="shared" si="7"/>
        <v>0</v>
      </c>
    </row>
    <row r="260" spans="1:6" s="498" customFormat="1" ht="15" customHeight="1" thickBot="1" x14ac:dyDescent="0.3">
      <c r="A260" s="504">
        <f>'Rekap. Upah Pekerja'!A254</f>
        <v>27</v>
      </c>
      <c r="B260" s="505" t="str">
        <f>'Rekap. Upah Pekerja'!B254</f>
        <v>Pemasangan 1 m² acian dengan semen</v>
      </c>
      <c r="C260" s="526">
        <f>RAB!C260</f>
        <v>0</v>
      </c>
      <c r="D260" s="524" t="str">
        <f>RAB!D260</f>
        <v>m2</v>
      </c>
      <c r="E260" s="506">
        <f>'Rekap. Upah Pekerja'!D254</f>
        <v>32600</v>
      </c>
      <c r="F260" s="517">
        <f t="shared" si="7"/>
        <v>0</v>
      </c>
    </row>
    <row r="261" spans="1:6" s="498" customFormat="1" ht="21" customHeight="1" thickTop="1" thickBot="1" x14ac:dyDescent="0.3">
      <c r="A261" s="602" t="s">
        <v>1759</v>
      </c>
      <c r="B261" s="602"/>
      <c r="C261" s="602"/>
      <c r="D261" s="602"/>
      <c r="E261" s="602"/>
      <c r="F261" s="502">
        <f>SUM(F234:F260)</f>
        <v>0</v>
      </c>
    </row>
    <row r="262" spans="1:6" s="498" customFormat="1" ht="15" customHeight="1" thickTop="1" x14ac:dyDescent="0.25">
      <c r="A262" s="499"/>
      <c r="B262" s="496"/>
      <c r="C262" s="527"/>
      <c r="D262" s="501"/>
      <c r="E262" s="497"/>
    </row>
    <row r="263" spans="1:6" s="498" customFormat="1" ht="15" customHeight="1" x14ac:dyDescent="0.25">
      <c r="A263" s="503" t="str">
        <f>'Rekap. Upah Pekerja'!A256</f>
        <v>VIII.</v>
      </c>
      <c r="B263" s="605" t="str">
        <f>'Rekap. Upah Pekerja'!B256</f>
        <v>HARGA SATUAN PEKERJAAN PENUTUP LANTAI DAN PENUTUP DINDING</v>
      </c>
      <c r="C263" s="605"/>
      <c r="D263" s="605"/>
      <c r="E263" s="605"/>
      <c r="F263" s="605"/>
    </row>
    <row r="264" spans="1:6" s="498" customFormat="1" ht="25.5" x14ac:dyDescent="0.25">
      <c r="A264" s="504">
        <f>'Rekap. Upah Pekerja'!A257</f>
        <v>1</v>
      </c>
      <c r="B264" s="505" t="str">
        <f>'Rekap. Upah Pekerja'!B257</f>
        <v>Pemasangan 1 m² lantai ubin PC abu-abu ukuran 40 cmx 40 cm</v>
      </c>
      <c r="C264" s="526">
        <f>RAB!C264</f>
        <v>0</v>
      </c>
      <c r="D264" s="524" t="str">
        <f>RAB!D264</f>
        <v>m2</v>
      </c>
      <c r="E264" s="506">
        <f>'Rekap. Upah Pekerja'!D257</f>
        <v>40900</v>
      </c>
      <c r="F264" s="507">
        <f t="shared" ref="F264:F322" si="8">C264*E264</f>
        <v>0</v>
      </c>
    </row>
    <row r="265" spans="1:6" s="498" customFormat="1" ht="25.5" x14ac:dyDescent="0.25">
      <c r="A265" s="504">
        <f>'Rekap. Upah Pekerja'!A258</f>
        <v>2</v>
      </c>
      <c r="B265" s="505" t="str">
        <f>'Rekap. Upah Pekerja'!B258</f>
        <v>Pemasangan 1 m² lantai ubin PC abu-abu ukuran 30 cmx 30 cm</v>
      </c>
      <c r="C265" s="526">
        <f>RAB!C265</f>
        <v>0</v>
      </c>
      <c r="D265" s="524" t="str">
        <f>RAB!D265</f>
        <v>m2</v>
      </c>
      <c r="E265" s="506">
        <f>'Rekap. Upah Pekerja'!D258</f>
        <v>40900</v>
      </c>
      <c r="F265" s="507">
        <f t="shared" si="8"/>
        <v>0</v>
      </c>
    </row>
    <row r="266" spans="1:6" s="498" customFormat="1" ht="25.5" x14ac:dyDescent="0.25">
      <c r="A266" s="504">
        <f>'Rekap. Upah Pekerja'!A259</f>
        <v>3</v>
      </c>
      <c r="B266" s="505" t="str">
        <f>'Rekap. Upah Pekerja'!B259</f>
        <v>Pemasangan 1 m² lantai ubin PC abu-abu ukuran 20 cmx 20 cm</v>
      </c>
      <c r="C266" s="526">
        <f>RAB!C266</f>
        <v>0</v>
      </c>
      <c r="D266" s="524" t="str">
        <f>RAB!D266</f>
        <v>m2</v>
      </c>
      <c r="E266" s="506">
        <f>'Rekap. Upah Pekerja'!D259</f>
        <v>44100</v>
      </c>
      <c r="F266" s="507">
        <f t="shared" si="8"/>
        <v>0</v>
      </c>
    </row>
    <row r="267" spans="1:6" s="498" customFormat="1" ht="25.5" x14ac:dyDescent="0.25">
      <c r="A267" s="504">
        <f>'Rekap. Upah Pekerja'!A260</f>
        <v>4</v>
      </c>
      <c r="B267" s="505" t="str">
        <f>'Rekap. Upah Pekerja'!B260</f>
        <v>Pemasangan 1 m² lantai ubin warna ukuran 40 cmx 40 cm</v>
      </c>
      <c r="C267" s="526">
        <f>RAB!C267</f>
        <v>0</v>
      </c>
      <c r="D267" s="524" t="str">
        <f>RAB!D267</f>
        <v>m2</v>
      </c>
      <c r="E267" s="506">
        <f>'Rekap. Upah Pekerja'!D260</f>
        <v>40900</v>
      </c>
      <c r="F267" s="507">
        <f t="shared" si="8"/>
        <v>0</v>
      </c>
    </row>
    <row r="268" spans="1:6" s="498" customFormat="1" ht="25.5" x14ac:dyDescent="0.25">
      <c r="A268" s="504">
        <f>'Rekap. Upah Pekerja'!A261</f>
        <v>5</v>
      </c>
      <c r="B268" s="505" t="str">
        <f>'Rekap. Upah Pekerja'!B261</f>
        <v>Pemasangan 1 m² lantai ubin warna ukuran 30 cmx 30 cm</v>
      </c>
      <c r="C268" s="526">
        <f>RAB!C268</f>
        <v>0</v>
      </c>
      <c r="D268" s="524" t="str">
        <f>RAB!D268</f>
        <v>m2</v>
      </c>
      <c r="E268" s="506">
        <f>'Rekap. Upah Pekerja'!D261</f>
        <v>42400</v>
      </c>
      <c r="F268" s="507">
        <f t="shared" si="8"/>
        <v>0</v>
      </c>
    </row>
    <row r="269" spans="1:6" s="498" customFormat="1" ht="25.5" x14ac:dyDescent="0.25">
      <c r="A269" s="504">
        <f>'Rekap. Upah Pekerja'!A262</f>
        <v>6</v>
      </c>
      <c r="B269" s="505" t="str">
        <f>'Rekap. Upah Pekerja'!B262</f>
        <v>Pemasangan 1 m² lantai ubin warna ukuran 20 cmx 20 cm</v>
      </c>
      <c r="C269" s="526">
        <f>RAB!C269</f>
        <v>0</v>
      </c>
      <c r="D269" s="524" t="str">
        <f>RAB!D269</f>
        <v>m2</v>
      </c>
      <c r="E269" s="506">
        <f>'Rekap. Upah Pekerja'!D262</f>
        <v>44100</v>
      </c>
      <c r="F269" s="507">
        <f t="shared" si="8"/>
        <v>0</v>
      </c>
    </row>
    <row r="270" spans="1:6" s="498" customFormat="1" ht="25.5" x14ac:dyDescent="0.25">
      <c r="A270" s="504">
        <f>'Rekap. Upah Pekerja'!A263</f>
        <v>7</v>
      </c>
      <c r="B270" s="505" t="str">
        <f>'Rekap. Upah Pekerja'!B263</f>
        <v>Pemasangan 1 m² lantai ubin teraso ukuran 40 cmx 40 cm</v>
      </c>
      <c r="C270" s="526">
        <f>RAB!C270</f>
        <v>0</v>
      </c>
      <c r="D270" s="524" t="str">
        <f>RAB!D270</f>
        <v>m2</v>
      </c>
      <c r="E270" s="506">
        <f>'Rekap. Upah Pekerja'!D263</f>
        <v>40900</v>
      </c>
      <c r="F270" s="507">
        <f t="shared" si="8"/>
        <v>0</v>
      </c>
    </row>
    <row r="271" spans="1:6" s="498" customFormat="1" ht="25.5" x14ac:dyDescent="0.25">
      <c r="A271" s="504">
        <f>'Rekap. Upah Pekerja'!A264</f>
        <v>8</v>
      </c>
      <c r="B271" s="505" t="str">
        <f>'Rekap. Upah Pekerja'!B264</f>
        <v>Pemasangan 1 m² lantai ubin teraso ukuran 30 cmx 30 cm</v>
      </c>
      <c r="C271" s="526">
        <f>RAB!C271</f>
        <v>0</v>
      </c>
      <c r="D271" s="524" t="str">
        <f>RAB!D271</f>
        <v>m2</v>
      </c>
      <c r="E271" s="506">
        <f>'Rekap. Upah Pekerja'!D264</f>
        <v>42400</v>
      </c>
      <c r="F271" s="507">
        <f t="shared" si="8"/>
        <v>0</v>
      </c>
    </row>
    <row r="272" spans="1:6" s="498" customFormat="1" ht="25.5" x14ac:dyDescent="0.25">
      <c r="A272" s="504">
        <f>'Rekap. Upah Pekerja'!A265</f>
        <v>9</v>
      </c>
      <c r="B272" s="505" t="str">
        <f>'Rekap. Upah Pekerja'!B265</f>
        <v>Pemasangan 1 m² lantai ubin granit ukuran 40 cmx 40 cm</v>
      </c>
      <c r="C272" s="526">
        <f>RAB!C272</f>
        <v>0</v>
      </c>
      <c r="D272" s="524" t="str">
        <f>RAB!D272</f>
        <v>m2</v>
      </c>
      <c r="E272" s="506">
        <f>'Rekap. Upah Pekerja'!D265</f>
        <v>40900</v>
      </c>
      <c r="F272" s="507">
        <f t="shared" si="8"/>
        <v>0</v>
      </c>
    </row>
    <row r="273" spans="1:6" s="498" customFormat="1" ht="25.5" x14ac:dyDescent="0.25">
      <c r="A273" s="504">
        <f>'Rekap. Upah Pekerja'!A266</f>
        <v>10</v>
      </c>
      <c r="B273" s="505" t="str">
        <f>'Rekap. Upah Pekerja'!B266</f>
        <v>Pemasangan 1 m² lantai ubin granit ukuran 30 cmx 30 cm</v>
      </c>
      <c r="C273" s="526">
        <f>RAB!C273</f>
        <v>0</v>
      </c>
      <c r="D273" s="524" t="str">
        <f>RAB!D273</f>
        <v>m2</v>
      </c>
      <c r="E273" s="506">
        <f>'Rekap. Upah Pekerja'!D266</f>
        <v>42400</v>
      </c>
      <c r="F273" s="507">
        <f t="shared" si="8"/>
        <v>0</v>
      </c>
    </row>
    <row r="274" spans="1:6" s="498" customFormat="1" ht="25.5" x14ac:dyDescent="0.25">
      <c r="A274" s="504">
        <f>'Rekap. Upah Pekerja'!A267</f>
        <v>11</v>
      </c>
      <c r="B274" s="505" t="str">
        <f>'Rekap. Upah Pekerja'!B267</f>
        <v>Pemasangan 1 m² lantai ubin teralux marmer ukuran 60 cmx 60 cm</v>
      </c>
      <c r="C274" s="526">
        <f>RAB!C274</f>
        <v>0</v>
      </c>
      <c r="D274" s="524" t="str">
        <f>RAB!D274</f>
        <v>m2</v>
      </c>
      <c r="E274" s="506">
        <f>'Rekap. Upah Pekerja'!D267</f>
        <v>39100</v>
      </c>
      <c r="F274" s="507">
        <f t="shared" si="8"/>
        <v>0</v>
      </c>
    </row>
    <row r="275" spans="1:6" s="498" customFormat="1" ht="25.5" x14ac:dyDescent="0.25">
      <c r="A275" s="504">
        <f>'Rekap. Upah Pekerja'!A268</f>
        <v>12</v>
      </c>
      <c r="B275" s="505" t="str">
        <f>'Rekap. Upah Pekerja'!B268</f>
        <v>Pemasangan 1 m² lantai ubin teralux marmer ukuran 40 cmx 40 cm</v>
      </c>
      <c r="C275" s="526">
        <f>RAB!C275</f>
        <v>0</v>
      </c>
      <c r="D275" s="524" t="str">
        <f>RAB!D275</f>
        <v>m2</v>
      </c>
      <c r="E275" s="506">
        <f>'Rekap. Upah Pekerja'!D268</f>
        <v>40900</v>
      </c>
      <c r="F275" s="507">
        <f t="shared" si="8"/>
        <v>0</v>
      </c>
    </row>
    <row r="276" spans="1:6" s="498" customFormat="1" ht="25.5" x14ac:dyDescent="0.25">
      <c r="A276" s="504">
        <f>'Rekap. Upah Pekerja'!A269</f>
        <v>13</v>
      </c>
      <c r="B276" s="505" t="str">
        <f>'Rekap. Upah Pekerja'!B269</f>
        <v>Pemasangan 1 m² lantai ubin teralux marmer ukuran 30 cmx 30 cm</v>
      </c>
      <c r="C276" s="526">
        <f>RAB!C276</f>
        <v>0</v>
      </c>
      <c r="D276" s="524" t="str">
        <f>RAB!D276</f>
        <v>m2</v>
      </c>
      <c r="E276" s="506">
        <f>'Rekap. Upah Pekerja'!D269</f>
        <v>42400</v>
      </c>
      <c r="F276" s="507">
        <f t="shared" si="8"/>
        <v>0</v>
      </c>
    </row>
    <row r="277" spans="1:6" s="498" customFormat="1" ht="25.5" x14ac:dyDescent="0.25">
      <c r="A277" s="504">
        <f>'Rekap. Upah Pekerja'!A270</f>
        <v>14</v>
      </c>
      <c r="B277" s="505" t="str">
        <f>'Rekap. Upah Pekerja'!B270</f>
        <v>Pemasangan 1 m1 plint ubin PC abu-abu ukuran 15 cmx 20 cm</v>
      </c>
      <c r="C277" s="526">
        <f>RAB!C277</f>
        <v>0</v>
      </c>
      <c r="D277" s="524" t="str">
        <f>RAB!D277</f>
        <v>m1</v>
      </c>
      <c r="E277" s="506">
        <f>'Rekap. Upah Pekerja'!D270</f>
        <v>20200</v>
      </c>
      <c r="F277" s="507">
        <f t="shared" si="8"/>
        <v>0</v>
      </c>
    </row>
    <row r="278" spans="1:6" s="498" customFormat="1" ht="25.5" x14ac:dyDescent="0.25">
      <c r="A278" s="504">
        <f>'Rekap. Upah Pekerja'!A271</f>
        <v>15</v>
      </c>
      <c r="B278" s="505" t="str">
        <f>'Rekap. Upah Pekerja'!B271</f>
        <v>Pemasangan 1 m1 plint ubin PC abu-abu ukuran 10 cmx 30 cm</v>
      </c>
      <c r="C278" s="526">
        <f>RAB!C278</f>
        <v>0</v>
      </c>
      <c r="D278" s="524" t="str">
        <f>RAB!D278</f>
        <v>m1</v>
      </c>
      <c r="E278" s="506">
        <f>'Rekap. Upah Pekerja'!D271</f>
        <v>20200</v>
      </c>
      <c r="F278" s="507">
        <f t="shared" si="8"/>
        <v>0</v>
      </c>
    </row>
    <row r="279" spans="1:6" s="498" customFormat="1" ht="25.5" x14ac:dyDescent="0.25">
      <c r="A279" s="504">
        <f>'Rekap. Upah Pekerja'!A272</f>
        <v>16</v>
      </c>
      <c r="B279" s="505" t="str">
        <f>'Rekap. Upah Pekerja'!B272</f>
        <v>Pemasangan 1 m1 plint ubin PC abu-abu ukuran 10 cmx 40 cm</v>
      </c>
      <c r="C279" s="526">
        <f>RAB!C279</f>
        <v>0</v>
      </c>
      <c r="D279" s="524" t="str">
        <f>RAB!D279</f>
        <v>m1</v>
      </c>
      <c r="E279" s="506">
        <f>'Rekap. Upah Pekerja'!D272</f>
        <v>20200</v>
      </c>
      <c r="F279" s="507">
        <f t="shared" si="8"/>
        <v>0</v>
      </c>
    </row>
    <row r="280" spans="1:6" s="498" customFormat="1" ht="25.5" x14ac:dyDescent="0.25">
      <c r="A280" s="504">
        <f>'Rekap. Upah Pekerja'!A273</f>
        <v>17</v>
      </c>
      <c r="B280" s="505" t="str">
        <f>'Rekap. Upah Pekerja'!B273</f>
        <v>Pemasangan 1 m1 plint ubin warna ukuran 10 cmx 20 cm</v>
      </c>
      <c r="C280" s="526">
        <f>RAB!C280</f>
        <v>0</v>
      </c>
      <c r="D280" s="524" t="str">
        <f>RAB!D280</f>
        <v>m1</v>
      </c>
      <c r="E280" s="506">
        <f>'Rekap. Upah Pekerja'!D273</f>
        <v>20200</v>
      </c>
      <c r="F280" s="507">
        <f t="shared" si="8"/>
        <v>0</v>
      </c>
    </row>
    <row r="281" spans="1:6" s="498" customFormat="1" ht="25.5" x14ac:dyDescent="0.25">
      <c r="A281" s="504">
        <f>'Rekap. Upah Pekerja'!A274</f>
        <v>18</v>
      </c>
      <c r="B281" s="505" t="str">
        <f>'Rekap. Upah Pekerja'!B274</f>
        <v>Pemasangan 1 m1 plint ubin warna ukuran 10 cmx 30 cm</v>
      </c>
      <c r="C281" s="526">
        <f>RAB!C281</f>
        <v>0</v>
      </c>
      <c r="D281" s="524" t="str">
        <f>RAB!D281</f>
        <v>m1</v>
      </c>
      <c r="E281" s="506">
        <f>'Rekap. Upah Pekerja'!D274</f>
        <v>11200</v>
      </c>
      <c r="F281" s="507">
        <f t="shared" si="8"/>
        <v>0</v>
      </c>
    </row>
    <row r="282" spans="1:6" s="498" customFormat="1" ht="25.5" x14ac:dyDescent="0.25">
      <c r="A282" s="504">
        <f>'Rekap. Upah Pekerja'!A275</f>
        <v>19</v>
      </c>
      <c r="B282" s="505" t="str">
        <f>'Rekap. Upah Pekerja'!B275</f>
        <v>Pemasangan 1 m1 plint ubin warna ukuran 10 cmx 40 cm</v>
      </c>
      <c r="C282" s="526">
        <f>RAB!C282</f>
        <v>0</v>
      </c>
      <c r="D282" s="524" t="str">
        <f>RAB!D282</f>
        <v>m1</v>
      </c>
      <c r="E282" s="506">
        <f>'Rekap. Upah Pekerja'!D275</f>
        <v>20200</v>
      </c>
      <c r="F282" s="507">
        <f t="shared" si="8"/>
        <v>0</v>
      </c>
    </row>
    <row r="283" spans="1:6" s="498" customFormat="1" ht="25.5" x14ac:dyDescent="0.25">
      <c r="A283" s="504">
        <f>'Rekap. Upah Pekerja'!A276</f>
        <v>20</v>
      </c>
      <c r="B283" s="505" t="str">
        <f>'Rekap. Upah Pekerja'!B276</f>
        <v>Pemasangan 1 m1 plint ubin teraso ukuran 10 cmx 30 cm</v>
      </c>
      <c r="C283" s="526">
        <f>RAB!C283</f>
        <v>0</v>
      </c>
      <c r="D283" s="524" t="str">
        <f>RAB!D283</f>
        <v>m1</v>
      </c>
      <c r="E283" s="506">
        <f>'Rekap. Upah Pekerja'!D276</f>
        <v>20200</v>
      </c>
      <c r="F283" s="507">
        <f t="shared" si="8"/>
        <v>0</v>
      </c>
    </row>
    <row r="284" spans="1:6" s="498" customFormat="1" ht="25.5" x14ac:dyDescent="0.25">
      <c r="A284" s="504">
        <f>'Rekap. Upah Pekerja'!A277</f>
        <v>21</v>
      </c>
      <c r="B284" s="505" t="str">
        <f>'Rekap. Upah Pekerja'!B277</f>
        <v>Pemasangan 1 m1 plint ubin teraso ukuran 10 cmx 40 cm</v>
      </c>
      <c r="C284" s="526">
        <f>RAB!C284</f>
        <v>0</v>
      </c>
      <c r="D284" s="524" t="str">
        <f>RAB!D284</f>
        <v>m1</v>
      </c>
      <c r="E284" s="506">
        <f>'Rekap. Upah Pekerja'!D277</f>
        <v>20200</v>
      </c>
      <c r="F284" s="507">
        <f t="shared" si="8"/>
        <v>0</v>
      </c>
    </row>
    <row r="285" spans="1:6" s="498" customFormat="1" ht="25.5" x14ac:dyDescent="0.25">
      <c r="A285" s="504">
        <f>'Rekap. Upah Pekerja'!A278</f>
        <v>22</v>
      </c>
      <c r="B285" s="505" t="str">
        <f>'Rekap. Upah Pekerja'!B278</f>
        <v>Pemasangan 1 m1 plint ubin granit ukuran 10 cmx 40 cm</v>
      </c>
      <c r="C285" s="526">
        <f>RAB!C285</f>
        <v>0</v>
      </c>
      <c r="D285" s="524" t="str">
        <f>RAB!D285</f>
        <v>m1</v>
      </c>
      <c r="E285" s="506">
        <f>'Rekap. Upah Pekerja'!D278</f>
        <v>20200</v>
      </c>
      <c r="F285" s="507">
        <f t="shared" si="8"/>
        <v>0</v>
      </c>
    </row>
    <row r="286" spans="1:6" s="498" customFormat="1" ht="25.5" x14ac:dyDescent="0.25">
      <c r="A286" s="504">
        <f>'Rekap. Upah Pekerja'!A279</f>
        <v>23</v>
      </c>
      <c r="B286" s="505" t="str">
        <f>'Rekap. Upah Pekerja'!B279</f>
        <v>Pemasangan 1 m1 plint ubin granit ukuran 10 cmx 30 cm</v>
      </c>
      <c r="C286" s="526">
        <f>RAB!C286</f>
        <v>0</v>
      </c>
      <c r="D286" s="524" t="str">
        <f>RAB!D286</f>
        <v>m1</v>
      </c>
      <c r="E286" s="506">
        <f>'Rekap. Upah Pekerja'!D279</f>
        <v>20200</v>
      </c>
      <c r="F286" s="507">
        <f t="shared" si="8"/>
        <v>0</v>
      </c>
    </row>
    <row r="287" spans="1:6" s="498" customFormat="1" ht="25.5" x14ac:dyDescent="0.25">
      <c r="A287" s="504">
        <f>'Rekap. Upah Pekerja'!A280</f>
        <v>24</v>
      </c>
      <c r="B287" s="505" t="str">
        <f>'Rekap. Upah Pekerja'!B280</f>
        <v>Pemasangan 1 m1 plint ubin teralux kerang ukuran 10 cmx 40 cm</v>
      </c>
      <c r="C287" s="526">
        <f>RAB!C287</f>
        <v>0</v>
      </c>
      <c r="D287" s="524" t="str">
        <f>RAB!D287</f>
        <v>m1</v>
      </c>
      <c r="E287" s="506">
        <f>'Rekap. Upah Pekerja'!D280</f>
        <v>20200</v>
      </c>
      <c r="F287" s="507">
        <f t="shared" si="8"/>
        <v>0</v>
      </c>
    </row>
    <row r="288" spans="1:6" s="498" customFormat="1" ht="25.5" x14ac:dyDescent="0.25">
      <c r="A288" s="504">
        <f>'Rekap. Upah Pekerja'!A281</f>
        <v>25</v>
      </c>
      <c r="B288" s="505" t="str">
        <f>'Rekap. Upah Pekerja'!B281</f>
        <v>Pemasangan 1 m1 plint ubin teralux kerang ukuran 10 cmx 30 cm</v>
      </c>
      <c r="C288" s="526">
        <f>RAB!C288</f>
        <v>0</v>
      </c>
      <c r="D288" s="524" t="str">
        <f>RAB!D288</f>
        <v>m1</v>
      </c>
      <c r="E288" s="506">
        <f>'Rekap. Upah Pekerja'!D281</f>
        <v>20200</v>
      </c>
      <c r="F288" s="507">
        <f t="shared" si="8"/>
        <v>0</v>
      </c>
    </row>
    <row r="289" spans="1:6" s="498" customFormat="1" ht="25.5" x14ac:dyDescent="0.25">
      <c r="A289" s="504">
        <f>'Rekap. Upah Pekerja'!A282</f>
        <v>26</v>
      </c>
      <c r="B289" s="505" t="str">
        <f>'Rekap. Upah Pekerja'!B282</f>
        <v>Pemasangan 1 m1 plint ubin teralux marmer ukuran 10 cmx 60 cm</v>
      </c>
      <c r="C289" s="526">
        <f>RAB!C289</f>
        <v>0</v>
      </c>
      <c r="D289" s="524" t="str">
        <f>RAB!D289</f>
        <v>m1</v>
      </c>
      <c r="E289" s="506">
        <f>'Rekap. Upah Pekerja'!D282</f>
        <v>20200</v>
      </c>
      <c r="F289" s="507">
        <f t="shared" si="8"/>
        <v>0</v>
      </c>
    </row>
    <row r="290" spans="1:6" s="498" customFormat="1" ht="25.5" x14ac:dyDescent="0.25">
      <c r="A290" s="504">
        <f>'Rekap. Upah Pekerja'!A283</f>
        <v>27</v>
      </c>
      <c r="B290" s="505" t="str">
        <f>'Rekap. Upah Pekerja'!B283</f>
        <v>Pemasangan 1 m1 plint ubin teralux marmer ukuran 10 cmx 40 cm</v>
      </c>
      <c r="C290" s="526">
        <f>RAB!C290</f>
        <v>0</v>
      </c>
      <c r="D290" s="524" t="str">
        <f>RAB!D290</f>
        <v>m1</v>
      </c>
      <c r="E290" s="506">
        <f>'Rekap. Upah Pekerja'!D283</f>
        <v>20200</v>
      </c>
      <c r="F290" s="507">
        <f t="shared" si="8"/>
        <v>0</v>
      </c>
    </row>
    <row r="291" spans="1:6" s="498" customFormat="1" ht="25.5" x14ac:dyDescent="0.25">
      <c r="A291" s="504">
        <f>'Rekap. Upah Pekerja'!A284</f>
        <v>28</v>
      </c>
      <c r="B291" s="505" t="str">
        <f>'Rekap. Upah Pekerja'!B284</f>
        <v>Pemasangan 1 m1 plint ubin teralux marmer ukuran 10 cmx 30 cm</v>
      </c>
      <c r="C291" s="526">
        <f>RAB!C291</f>
        <v>0</v>
      </c>
      <c r="D291" s="524" t="str">
        <f>RAB!D291</f>
        <v>m1</v>
      </c>
      <c r="E291" s="506">
        <f>'Rekap. Upah Pekerja'!D284</f>
        <v>20200</v>
      </c>
      <c r="F291" s="507">
        <f t="shared" si="8"/>
        <v>0</v>
      </c>
    </row>
    <row r="292" spans="1:6" s="498" customFormat="1" ht="25.5" x14ac:dyDescent="0.25">
      <c r="A292" s="504">
        <f>'Rekap. Upah Pekerja'!A285</f>
        <v>29</v>
      </c>
      <c r="B292" s="505" t="str">
        <f>'Rekap. Upah Pekerja'!B285</f>
        <v>Pemasangan 1 m² lantai teraso cor di tempat, tebal 3 cm</v>
      </c>
      <c r="C292" s="526">
        <f>RAB!C292</f>
        <v>0</v>
      </c>
      <c r="D292" s="524" t="str">
        <f>RAB!D292</f>
        <v>m2</v>
      </c>
      <c r="E292" s="506">
        <f>'Rekap. Upah Pekerja'!D285</f>
        <v>58600</v>
      </c>
      <c r="F292" s="507">
        <f t="shared" si="8"/>
        <v>0</v>
      </c>
    </row>
    <row r="293" spans="1:6" s="498" customFormat="1" ht="25.5" x14ac:dyDescent="0.25">
      <c r="A293" s="504">
        <f>'Rekap. Upah Pekerja'!A286</f>
        <v>30</v>
      </c>
      <c r="B293" s="505" t="str">
        <f>'Rekap. Upah Pekerja'!B286</f>
        <v>Pemasangan 1 m² lantai keramik artistik 10 cm x 20 cm</v>
      </c>
      <c r="C293" s="526">
        <f>RAB!C293</f>
        <v>0</v>
      </c>
      <c r="D293" s="524" t="str">
        <f>RAB!D293</f>
        <v>m2</v>
      </c>
      <c r="E293" s="506">
        <f>'Rekap. Upah Pekerja'!D286</f>
        <v>114000</v>
      </c>
      <c r="F293" s="507">
        <f t="shared" si="8"/>
        <v>0</v>
      </c>
    </row>
    <row r="294" spans="1:6" s="498" customFormat="1" ht="25.5" x14ac:dyDescent="0.25">
      <c r="A294" s="504">
        <f>'Rekap. Upah Pekerja'!A287</f>
        <v>31</v>
      </c>
      <c r="B294" s="505" t="str">
        <f>'Rekap. Upah Pekerja'!B287</f>
        <v>Pemasangan 1 m² lantai keramik artistik 10 cm x 10 cm atau 5cm x 20 cm</v>
      </c>
      <c r="C294" s="526">
        <f>RAB!C294</f>
        <v>0</v>
      </c>
      <c r="D294" s="524" t="str">
        <f>RAB!D294</f>
        <v>m2</v>
      </c>
      <c r="E294" s="506">
        <f>'Rekap. Upah Pekerja'!D287</f>
        <v>114000</v>
      </c>
      <c r="F294" s="507">
        <f t="shared" si="8"/>
        <v>0</v>
      </c>
    </row>
    <row r="295" spans="1:6" s="498" customFormat="1" ht="25.5" x14ac:dyDescent="0.25">
      <c r="A295" s="504">
        <f>'Rekap. Upah Pekerja'!A288</f>
        <v>32</v>
      </c>
      <c r="B295" s="505" t="str">
        <f>'Rekap. Upah Pekerja'!B288</f>
        <v>Pemasangan 1 m² lantai keramik ukuran 33 cm x 33 cm</v>
      </c>
      <c r="C295" s="526">
        <f>RAB!C295</f>
        <v>0</v>
      </c>
      <c r="D295" s="524" t="str">
        <f>RAB!D295</f>
        <v>m2</v>
      </c>
      <c r="E295" s="506">
        <f>'Rekap. Upah Pekerja'!D288</f>
        <v>114000</v>
      </c>
      <c r="F295" s="507">
        <f t="shared" si="8"/>
        <v>0</v>
      </c>
    </row>
    <row r="296" spans="1:6" s="498" customFormat="1" ht="25.5" x14ac:dyDescent="0.25">
      <c r="A296" s="504" t="str">
        <f>'Rekap. Upah Pekerja'!A289</f>
        <v>33.1</v>
      </c>
      <c r="B296" s="505" t="str">
        <f>'Rekap. Upah Pekerja'!B289</f>
        <v xml:space="preserve">Pemasangan 1 m² lantai keramik ukuran 40 cm x 40 cm </v>
      </c>
      <c r="C296" s="526">
        <f>RAB!C296</f>
        <v>0</v>
      </c>
      <c r="D296" s="524" t="str">
        <f>RAB!D296</f>
        <v>m2</v>
      </c>
      <c r="E296" s="506">
        <f>'Rekap. Upah Pekerja'!D289</f>
        <v>76000</v>
      </c>
      <c r="F296" s="507">
        <f t="shared" si="8"/>
        <v>0</v>
      </c>
    </row>
    <row r="297" spans="1:6" s="498" customFormat="1" ht="25.5" x14ac:dyDescent="0.25">
      <c r="A297" s="504" t="str">
        <f>'Rekap. Upah Pekerja'!A290</f>
        <v>33.2</v>
      </c>
      <c r="B297" s="505" t="str">
        <f>'Rekap. Upah Pekerja'!B290</f>
        <v>Pemasangan 1 m² lantai keramik ukuran 40 cm x 40 cm anti slip</v>
      </c>
      <c r="C297" s="526">
        <f>RAB!C297</f>
        <v>0</v>
      </c>
      <c r="D297" s="524" t="str">
        <f>RAB!D297</f>
        <v>m2</v>
      </c>
      <c r="E297" s="506">
        <f>'Rekap. Upah Pekerja'!D290</f>
        <v>76000</v>
      </c>
      <c r="F297" s="507">
        <f t="shared" si="8"/>
        <v>0</v>
      </c>
    </row>
    <row r="298" spans="1:6" s="498" customFormat="1" ht="25.5" x14ac:dyDescent="0.25">
      <c r="A298" s="504" t="str">
        <f>'Rekap. Upah Pekerja'!A291</f>
        <v>34.1</v>
      </c>
      <c r="B298" s="505" t="str">
        <f>'Rekap. Upah Pekerja'!B291</f>
        <v xml:space="preserve">Pemasangan 1 m² lantai keramik ukuran 20 cm x 20 cm </v>
      </c>
      <c r="C298" s="526">
        <f>RAB!C298</f>
        <v>0</v>
      </c>
      <c r="D298" s="524" t="str">
        <f>RAB!D298</f>
        <v>m2</v>
      </c>
      <c r="E298" s="506">
        <f>'Rekap. Upah Pekerja'!D291</f>
        <v>106400</v>
      </c>
      <c r="F298" s="507">
        <f t="shared" si="8"/>
        <v>0</v>
      </c>
    </row>
    <row r="299" spans="1:6" s="498" customFormat="1" ht="25.5" x14ac:dyDescent="0.25">
      <c r="A299" s="504" t="str">
        <f>'Rekap. Upah Pekerja'!A292</f>
        <v>34.2</v>
      </c>
      <c r="B299" s="505" t="str">
        <f>'Rekap. Upah Pekerja'!B292</f>
        <v>Pemasangan 1 m² lantai keramik ukuran 20 cm x 20 cm anti slip</v>
      </c>
      <c r="C299" s="526">
        <f>RAB!C299</f>
        <v>0</v>
      </c>
      <c r="D299" s="524" t="str">
        <f>RAB!D299</f>
        <v>m2</v>
      </c>
      <c r="E299" s="506">
        <f>'Rekap. Upah Pekerja'!D292</f>
        <v>106400</v>
      </c>
      <c r="F299" s="507">
        <f t="shared" si="8"/>
        <v>0</v>
      </c>
    </row>
    <row r="300" spans="1:6" s="498" customFormat="1" ht="25.5" x14ac:dyDescent="0.25">
      <c r="A300" s="504">
        <f>'Rekap. Upah Pekerja'!A293</f>
        <v>35</v>
      </c>
      <c r="B300" s="505" t="str">
        <f>'Rekap. Upah Pekerja'!B293</f>
        <v xml:space="preserve">Pemasangan 1 m² lantai keramik ukuran 10 cm x 40 cm untuk variasi /border </v>
      </c>
      <c r="C300" s="526">
        <f>RAB!C300</f>
        <v>0</v>
      </c>
      <c r="D300" s="524" t="str">
        <f>RAB!D300</f>
        <v>m2</v>
      </c>
      <c r="E300" s="506">
        <f>'Rekap. Upah Pekerja'!D293</f>
        <v>177700</v>
      </c>
      <c r="F300" s="507">
        <f t="shared" si="8"/>
        <v>0</v>
      </c>
    </row>
    <row r="301" spans="1:6" s="498" customFormat="1" ht="25.5" x14ac:dyDescent="0.25">
      <c r="A301" s="504" t="str">
        <f>'Rekap. Upah Pekerja'!A294</f>
        <v>36.1</v>
      </c>
      <c r="B301" s="505" t="str">
        <f>'Rekap. Upah Pekerja'!B294</f>
        <v>Pemasangan 1 m² lantai keramik ukuran 30 cm x 30 cm</v>
      </c>
      <c r="C301" s="526">
        <f>RAB!C301</f>
        <v>0</v>
      </c>
      <c r="D301" s="524" t="str">
        <f>RAB!D301</f>
        <v>m2</v>
      </c>
      <c r="E301" s="506">
        <f>'Rekap. Upah Pekerja'!D294</f>
        <v>114000</v>
      </c>
      <c r="F301" s="507">
        <f t="shared" si="8"/>
        <v>0</v>
      </c>
    </row>
    <row r="302" spans="1:6" s="498" customFormat="1" ht="25.5" x14ac:dyDescent="0.25">
      <c r="A302" s="504" t="str">
        <f>'Rekap. Upah Pekerja'!A295</f>
        <v>36.2</v>
      </c>
      <c r="B302" s="505" t="str">
        <f>'Rekap. Upah Pekerja'!B295</f>
        <v>Pemasangan 1 m² lantai keramik ukuran 30 cm x 30 cm Anti Slip</v>
      </c>
      <c r="C302" s="526">
        <f>RAB!C302</f>
        <v>0</v>
      </c>
      <c r="D302" s="524" t="str">
        <f>RAB!D302</f>
        <v>m2</v>
      </c>
      <c r="E302" s="506">
        <f>'Rekap. Upah Pekerja'!D295</f>
        <v>114000</v>
      </c>
      <c r="F302" s="507">
        <f t="shared" si="8"/>
        <v>0</v>
      </c>
    </row>
    <row r="303" spans="1:6" s="498" customFormat="1" ht="25.5" x14ac:dyDescent="0.25">
      <c r="A303" s="504" t="str">
        <f>'Rekap. Upah Pekerja'!A296</f>
        <v>37.1</v>
      </c>
      <c r="B303" s="505" t="str">
        <f>'Rekap. Upah Pekerja'!B296</f>
        <v>Pemasangan 1 m1 plint keramik ukuran 10 cm x 30 cm</v>
      </c>
      <c r="C303" s="526">
        <f>RAB!C303</f>
        <v>0</v>
      </c>
      <c r="D303" s="524" t="str">
        <f>RAB!D303</f>
        <v>m1</v>
      </c>
      <c r="E303" s="506">
        <f>'Rekap. Upah Pekerja'!D296</f>
        <v>16200</v>
      </c>
      <c r="F303" s="507">
        <f t="shared" si="8"/>
        <v>0</v>
      </c>
    </row>
    <row r="304" spans="1:6" s="498" customFormat="1" ht="25.5" x14ac:dyDescent="0.25">
      <c r="A304" s="504" t="str">
        <f>'Rekap. Upah Pekerja'!A297</f>
        <v>37.2</v>
      </c>
      <c r="B304" s="505" t="str">
        <f>'Rekap. Upah Pekerja'!B297</f>
        <v xml:space="preserve">Pemasangan 1 m1 plint keramik ukuran 10 cm x 20 cm </v>
      </c>
      <c r="C304" s="526">
        <f>RAB!C304</f>
        <v>0</v>
      </c>
      <c r="D304" s="524" t="str">
        <f>RAB!D304</f>
        <v>m1</v>
      </c>
      <c r="E304" s="506">
        <f>'Rekap. Upah Pekerja'!D297</f>
        <v>16200</v>
      </c>
      <c r="F304" s="507">
        <f t="shared" si="8"/>
        <v>0</v>
      </c>
    </row>
    <row r="305" spans="1:6" s="498" customFormat="1" ht="25.5" x14ac:dyDescent="0.25">
      <c r="A305" s="504">
        <f>'Rekap. Upah Pekerja'!A298</f>
        <v>38</v>
      </c>
      <c r="B305" s="505" t="str">
        <f>'Rekap. Upah Pekerja'!B298</f>
        <v xml:space="preserve">Pemasangan 1 m1 plint kayu ukuran 2 cm x 10 cm </v>
      </c>
      <c r="C305" s="526">
        <f>RAB!C305</f>
        <v>0</v>
      </c>
      <c r="D305" s="524" t="str">
        <f>RAB!D305</f>
        <v>m1</v>
      </c>
      <c r="E305" s="506">
        <f>'Rekap. Upah Pekerja'!D298</f>
        <v>26900</v>
      </c>
      <c r="F305" s="507">
        <f t="shared" si="8"/>
        <v>0</v>
      </c>
    </row>
    <row r="306" spans="1:6" s="498" customFormat="1" ht="25.5" x14ac:dyDescent="0.25">
      <c r="A306" s="504">
        <f>'Rekap. Upah Pekerja'!A299</f>
        <v>39</v>
      </c>
      <c r="B306" s="505" t="str">
        <f>'Rekap. Upah Pekerja'!B299</f>
        <v xml:space="preserve">Pemasangan 1 m1 plint keramik ukuran 5 cm x 20 cm </v>
      </c>
      <c r="C306" s="526">
        <f>RAB!C306</f>
        <v>0</v>
      </c>
      <c r="D306" s="524" t="str">
        <f>RAB!D306</f>
        <v>m1</v>
      </c>
      <c r="E306" s="506">
        <f>'Rekap. Upah Pekerja'!D299</f>
        <v>23200</v>
      </c>
      <c r="F306" s="507">
        <f t="shared" si="8"/>
        <v>0</v>
      </c>
    </row>
    <row r="307" spans="1:6" s="498" customFormat="1" ht="25.5" x14ac:dyDescent="0.25">
      <c r="A307" s="504">
        <f>'Rekap. Upah Pekerja'!A300</f>
        <v>40</v>
      </c>
      <c r="B307" s="505" t="str">
        <f>'Rekap. Upah Pekerja'!B300</f>
        <v xml:space="preserve">Pemasangan 1 m² lantai marmer ukuran 100 cm x 100 cm </v>
      </c>
      <c r="C307" s="526">
        <f>RAB!C307</f>
        <v>0</v>
      </c>
      <c r="D307" s="524" t="str">
        <f>RAB!D307</f>
        <v>m2</v>
      </c>
      <c r="E307" s="506">
        <f>'Rekap. Upah Pekerja'!D300</f>
        <v>114000</v>
      </c>
      <c r="F307" s="507">
        <f t="shared" si="8"/>
        <v>0</v>
      </c>
    </row>
    <row r="308" spans="1:6" s="498" customFormat="1" ht="15" customHeight="1" x14ac:dyDescent="0.25">
      <c r="A308" s="504">
        <f>'Rekap. Upah Pekerja'!A301</f>
        <v>41</v>
      </c>
      <c r="B308" s="505" t="str">
        <f>'Rekap. Upah Pekerja'!B301</f>
        <v xml:space="preserve">Pemasangan 1 m² lantai karpet </v>
      </c>
      <c r="C308" s="526">
        <f>RAB!C308</f>
        <v>0</v>
      </c>
      <c r="D308" s="524" t="str">
        <f>RAB!D308</f>
        <v>m2</v>
      </c>
      <c r="E308" s="506">
        <f>'Rekap. Upah Pekerja'!D301</f>
        <v>38100</v>
      </c>
      <c r="F308" s="507">
        <f t="shared" si="8"/>
        <v>0</v>
      </c>
    </row>
    <row r="309" spans="1:6" s="498" customFormat="1" ht="15" customHeight="1" x14ac:dyDescent="0.25">
      <c r="A309" s="504">
        <f>'Rekap. Upah Pekerja'!A302</f>
        <v>42</v>
      </c>
      <c r="B309" s="505" t="str">
        <f>'Rekap. Upah Pekerja'!B302</f>
        <v xml:space="preserve">Pemasangan 1 m² lantai parquet kayu </v>
      </c>
      <c r="C309" s="526">
        <f>RAB!C309</f>
        <v>0</v>
      </c>
      <c r="D309" s="524" t="str">
        <f>RAB!D309</f>
        <v>m2</v>
      </c>
      <c r="E309" s="506">
        <f>'Rekap. Upah Pekerja'!D302</f>
        <v>114000</v>
      </c>
      <c r="F309" s="507">
        <f t="shared" si="8"/>
        <v>0</v>
      </c>
    </row>
    <row r="310" spans="1:6" s="498" customFormat="1" ht="15" customHeight="1" x14ac:dyDescent="0.25">
      <c r="A310" s="504">
        <f>'Rekap. Upah Pekerja'!A303</f>
        <v>43</v>
      </c>
      <c r="B310" s="505" t="str">
        <f>'Rekap. Upah Pekerja'!B303</f>
        <v xml:space="preserve">Pemasangan 1 m² lantai kayu gymfloor </v>
      </c>
      <c r="C310" s="526">
        <f>RAB!C310</f>
        <v>0</v>
      </c>
      <c r="D310" s="524" t="str">
        <f>RAB!D310</f>
        <v>m2</v>
      </c>
      <c r="E310" s="506">
        <f>'Rekap. Upah Pekerja'!D303</f>
        <v>114000</v>
      </c>
      <c r="F310" s="507">
        <f t="shared" si="8"/>
        <v>0</v>
      </c>
    </row>
    <row r="311" spans="1:6" s="498" customFormat="1" ht="25.5" x14ac:dyDescent="0.25">
      <c r="A311" s="504">
        <f>'Rekap. Upah Pekerja'!A304</f>
        <v>44</v>
      </c>
      <c r="B311" s="505" t="str">
        <f>'Rekap. Upah Pekerja'!B304</f>
        <v>Pemasangan 1 m² dinding porselin 11 cm x 11 cm</v>
      </c>
      <c r="C311" s="526">
        <f>RAB!C311</f>
        <v>0</v>
      </c>
      <c r="D311" s="524" t="str">
        <f>RAB!D311</f>
        <v>m2</v>
      </c>
      <c r="E311" s="506">
        <f>'Rekap. Upah Pekerja'!D304</f>
        <v>169200</v>
      </c>
      <c r="F311" s="507">
        <f t="shared" si="8"/>
        <v>0</v>
      </c>
    </row>
    <row r="312" spans="1:6" s="498" customFormat="1" ht="25.5" x14ac:dyDescent="0.25">
      <c r="A312" s="504">
        <f>'Rekap. Upah Pekerja'!A305</f>
        <v>45</v>
      </c>
      <c r="B312" s="505" t="str">
        <f>'Rekap. Upah Pekerja'!B305</f>
        <v>Pemasangan 1 m² dinding porselin 10 cm x 20 cm</v>
      </c>
      <c r="C312" s="526">
        <f>RAB!C312</f>
        <v>0</v>
      </c>
      <c r="D312" s="524" t="str">
        <f>RAB!D312</f>
        <v>m2</v>
      </c>
      <c r="E312" s="506">
        <f>'Rekap. Upah Pekerja'!D305</f>
        <v>154300</v>
      </c>
      <c r="F312" s="507">
        <f t="shared" si="8"/>
        <v>0</v>
      </c>
    </row>
    <row r="313" spans="1:6" s="498" customFormat="1" ht="25.5" x14ac:dyDescent="0.25">
      <c r="A313" s="504">
        <f>'Rekap. Upah Pekerja'!A306</f>
        <v>46</v>
      </c>
      <c r="B313" s="505" t="str">
        <f>'Rekap. Upah Pekerja'!B306</f>
        <v>Pemasangan 1 m² dinding porselin 20 cm x 20 cm</v>
      </c>
      <c r="C313" s="526">
        <f>RAB!C313</f>
        <v>0</v>
      </c>
      <c r="D313" s="524" t="str">
        <f>RAB!D313</f>
        <v>m2</v>
      </c>
      <c r="E313" s="506">
        <f>'Rekap. Upah Pekerja'!D306</f>
        <v>154300</v>
      </c>
      <c r="F313" s="507">
        <f t="shared" si="8"/>
        <v>0</v>
      </c>
    </row>
    <row r="314" spans="1:6" s="498" customFormat="1" ht="25.5" x14ac:dyDescent="0.25">
      <c r="A314" s="504">
        <f>'Rekap. Upah Pekerja'!A307</f>
        <v>47</v>
      </c>
      <c r="B314" s="505" t="str">
        <f>'Rekap. Upah Pekerja'!B307</f>
        <v>Pemasangan 1 m² dinding keramik artistik 10 cm x 20 cm</v>
      </c>
      <c r="C314" s="526">
        <f>RAB!C314</f>
        <v>0</v>
      </c>
      <c r="D314" s="524" t="str">
        <f>RAB!D314</f>
        <v>m2</v>
      </c>
      <c r="E314" s="506">
        <f>'Rekap. Upah Pekerja'!D307</f>
        <v>154300</v>
      </c>
      <c r="F314" s="507">
        <f t="shared" si="8"/>
        <v>0</v>
      </c>
    </row>
    <row r="315" spans="1:6" s="498" customFormat="1" ht="25.5" x14ac:dyDescent="0.25">
      <c r="A315" s="504">
        <f>'Rekap. Upah Pekerja'!A308</f>
        <v>48</v>
      </c>
      <c r="B315" s="505" t="str">
        <f>'Rekap. Upah Pekerja'!B308</f>
        <v>Pemasangan 1 m² dinding keramik artistik 5 cm x 20 cm</v>
      </c>
      <c r="C315" s="526">
        <f>RAB!C315</f>
        <v>0</v>
      </c>
      <c r="D315" s="524" t="str">
        <f>RAB!D315</f>
        <v>m2</v>
      </c>
      <c r="E315" s="506">
        <f>'Rekap. Upah Pekerja'!D308</f>
        <v>154300</v>
      </c>
      <c r="F315" s="507">
        <f t="shared" si="8"/>
        <v>0</v>
      </c>
    </row>
    <row r="316" spans="1:6" s="498" customFormat="1" ht="25.5" x14ac:dyDescent="0.25">
      <c r="A316" s="504">
        <f>'Rekap. Upah Pekerja'!A309</f>
        <v>49</v>
      </c>
      <c r="B316" s="505" t="str">
        <f>'Rekap. Upah Pekerja'!B309</f>
        <v>Pemasangan 1 m² dinding keramik 10 cm x 20 cm</v>
      </c>
      <c r="C316" s="526">
        <f>RAB!C316</f>
        <v>0</v>
      </c>
      <c r="D316" s="524" t="str">
        <f>RAB!D316</f>
        <v>m2</v>
      </c>
      <c r="E316" s="506">
        <f>'Rekap. Upah Pekerja'!D309</f>
        <v>154300</v>
      </c>
      <c r="F316" s="507">
        <f t="shared" si="8"/>
        <v>0</v>
      </c>
    </row>
    <row r="317" spans="1:6" s="498" customFormat="1" ht="25.5" x14ac:dyDescent="0.25">
      <c r="A317" s="504">
        <f>'Rekap. Upah Pekerja'!A310</f>
        <v>50</v>
      </c>
      <c r="B317" s="505" t="str">
        <f>'Rekap. Upah Pekerja'!B310</f>
        <v>Pemasangan 1 m² dinding keramik 20 cm x 20 cm</v>
      </c>
      <c r="C317" s="526">
        <f>RAB!C317</f>
        <v>0</v>
      </c>
      <c r="D317" s="524" t="str">
        <f>RAB!D317</f>
        <v>m2</v>
      </c>
      <c r="E317" s="506">
        <f>'Rekap. Upah Pekerja'!D310</f>
        <v>154300</v>
      </c>
      <c r="F317" s="507">
        <f t="shared" si="8"/>
        <v>0</v>
      </c>
    </row>
    <row r="318" spans="1:6" s="498" customFormat="1" ht="25.5" x14ac:dyDescent="0.25">
      <c r="A318" s="504">
        <f>'Rekap. Upah Pekerja'!A311</f>
        <v>51</v>
      </c>
      <c r="B318" s="505" t="str">
        <f>'Rekap. Upah Pekerja'!B311</f>
        <v>Pemasangan 1 m² dinding marmer 100 cm x 100 cm</v>
      </c>
      <c r="C318" s="526">
        <f>RAB!C318</f>
        <v>0</v>
      </c>
      <c r="D318" s="524" t="str">
        <f>RAB!D318</f>
        <v>m2</v>
      </c>
      <c r="E318" s="506">
        <f>'Rekap. Upah Pekerja'!D311</f>
        <v>214300</v>
      </c>
      <c r="F318" s="507">
        <f t="shared" si="8"/>
        <v>0</v>
      </c>
    </row>
    <row r="319" spans="1:6" s="498" customFormat="1" ht="15" customHeight="1" x14ac:dyDescent="0.25">
      <c r="A319" s="504">
        <f>'Rekap. Upah Pekerja'!A312</f>
        <v>52</v>
      </c>
      <c r="B319" s="505" t="str">
        <f>'Rekap. Upah Pekerja'!B312</f>
        <v xml:space="preserve">Pemasangan 1 m² dinding bata pelapis </v>
      </c>
      <c r="C319" s="526">
        <f>RAB!C319</f>
        <v>0</v>
      </c>
      <c r="D319" s="524" t="str">
        <f>RAB!D319</f>
        <v>m2</v>
      </c>
      <c r="E319" s="506">
        <f>'Rekap. Upah Pekerja'!D312</f>
        <v>169200</v>
      </c>
      <c r="F319" s="507">
        <f t="shared" si="8"/>
        <v>0</v>
      </c>
    </row>
    <row r="320" spans="1:6" s="498" customFormat="1" ht="25.5" x14ac:dyDescent="0.25">
      <c r="A320" s="504">
        <f>'Rekap. Upah Pekerja'!A313</f>
        <v>53</v>
      </c>
      <c r="B320" s="505" t="str">
        <f>'Rekap. Upah Pekerja'!B313</f>
        <v xml:space="preserve">Pemasangan 1 m² dinding batu paras sarwagenep </v>
      </c>
      <c r="C320" s="526">
        <f>RAB!C320</f>
        <v>0</v>
      </c>
      <c r="D320" s="524" t="str">
        <f>RAB!D320</f>
        <v>m2</v>
      </c>
      <c r="E320" s="506">
        <f>'Rekap. Upah Pekerja'!D313</f>
        <v>114000</v>
      </c>
      <c r="F320" s="507">
        <f t="shared" si="8"/>
        <v>0</v>
      </c>
    </row>
    <row r="321" spans="1:6" s="498" customFormat="1" ht="15" customHeight="1" x14ac:dyDescent="0.25">
      <c r="A321" s="504">
        <f>'Rekap. Upah Pekerja'!A314</f>
        <v>54</v>
      </c>
      <c r="B321" s="505" t="str">
        <f>'Rekap. Upah Pekerja'!B314</f>
        <v xml:space="preserve">Pemasangan 1 m² dinding batu tempel hitam </v>
      </c>
      <c r="C321" s="526">
        <f>RAB!C321</f>
        <v>0</v>
      </c>
      <c r="D321" s="524" t="str">
        <f>RAB!D321</f>
        <v>m2</v>
      </c>
      <c r="E321" s="506">
        <f>'Rekap. Upah Pekerja'!D314</f>
        <v>114000</v>
      </c>
      <c r="F321" s="507">
        <f t="shared" si="8"/>
        <v>0</v>
      </c>
    </row>
    <row r="322" spans="1:6" s="498" customFormat="1" ht="15" customHeight="1" thickBot="1" x14ac:dyDescent="0.3">
      <c r="A322" s="504">
        <f>'Rekap. Upah Pekerja'!A315</f>
        <v>55</v>
      </c>
      <c r="B322" s="505" t="str">
        <f>'Rekap. Upah Pekerja'!B315</f>
        <v>Pemasangan 1 m² dindig batu bali green</v>
      </c>
      <c r="C322" s="526">
        <f>RAB!C322</f>
        <v>0</v>
      </c>
      <c r="D322" s="524" t="str">
        <f>RAB!D322</f>
        <v>m2</v>
      </c>
      <c r="E322" s="506">
        <f>'Rekap. Upah Pekerja'!D315</f>
        <v>109600</v>
      </c>
      <c r="F322" s="517">
        <f t="shared" si="8"/>
        <v>0</v>
      </c>
    </row>
    <row r="323" spans="1:6" s="498" customFormat="1" ht="21" customHeight="1" thickTop="1" thickBot="1" x14ac:dyDescent="0.3">
      <c r="A323" s="602" t="s">
        <v>1760</v>
      </c>
      <c r="B323" s="602"/>
      <c r="C323" s="602"/>
      <c r="D323" s="602"/>
      <c r="E323" s="602"/>
      <c r="F323" s="502">
        <f>SUM(F264:F322)</f>
        <v>0</v>
      </c>
    </row>
    <row r="324" spans="1:6" s="498" customFormat="1" ht="15" customHeight="1" thickTop="1" x14ac:dyDescent="0.25">
      <c r="A324" s="499"/>
      <c r="B324" s="496"/>
      <c r="C324" s="527"/>
      <c r="D324" s="501"/>
      <c r="E324" s="497"/>
    </row>
    <row r="325" spans="1:6" s="498" customFormat="1" ht="15" customHeight="1" x14ac:dyDescent="0.25">
      <c r="A325" s="503" t="str">
        <f>'Rekap. Upah Pekerja'!A317</f>
        <v>IX.</v>
      </c>
      <c r="B325" s="605" t="str">
        <f>'Rekap. Upah Pekerja'!B317</f>
        <v>SATUAN PEKERJAAN LANGIT-LANGIT (PLAFOND)</v>
      </c>
      <c r="C325" s="605"/>
      <c r="D325" s="605"/>
      <c r="E325" s="605"/>
      <c r="F325" s="605"/>
    </row>
    <row r="326" spans="1:6" s="498" customFormat="1" ht="38.25" x14ac:dyDescent="0.25">
      <c r="A326" s="504">
        <f>'Rekap. Upah Pekerja'!A318</f>
        <v>1</v>
      </c>
      <c r="B326" s="505" t="str">
        <f>'Rekap. Upah Pekerja'!B318</f>
        <v>Pemasangan 1 m² langit-langit asbes 1 x 1 m/3.2 ( tanpa rangka ) semen tebal 4 mm, 5 mm, 6 mm</v>
      </c>
      <c r="C326" s="526">
        <f>RAB!C326</f>
        <v>0</v>
      </c>
      <c r="D326" s="524" t="str">
        <f>RAB!D326</f>
        <v>m2</v>
      </c>
      <c r="E326" s="506">
        <f>'Rekap. Upah Pekerja'!D318</f>
        <v>12000</v>
      </c>
      <c r="F326" s="507">
        <f t="shared" ref="F326:F340" si="9">C326*E326</f>
        <v>0</v>
      </c>
    </row>
    <row r="327" spans="1:6" s="498" customFormat="1" ht="15" customHeight="1" x14ac:dyDescent="0.25">
      <c r="A327" s="504">
        <f>'Rekap. Upah Pekerja'!A319</f>
        <v>2</v>
      </c>
      <c r="B327" s="505" t="str">
        <f>'Rekap. Upah Pekerja'!B319</f>
        <v>Pemasangan 1 m² rangka langit-langit 50 x 1 m</v>
      </c>
      <c r="C327" s="526">
        <f>RAB!C327</f>
        <v>0</v>
      </c>
      <c r="D327" s="524" t="str">
        <f>RAB!D327</f>
        <v>m2</v>
      </c>
      <c r="E327" s="506">
        <f>'Rekap. Upah Pekerja'!D319</f>
        <v>61200</v>
      </c>
      <c r="F327" s="507">
        <f t="shared" si="9"/>
        <v>0</v>
      </c>
    </row>
    <row r="328" spans="1:6" s="498" customFormat="1" ht="25.5" x14ac:dyDescent="0.25">
      <c r="A328" s="504">
        <f>'Rekap. Upah Pekerja'!A320</f>
        <v>3</v>
      </c>
      <c r="B328" s="505" t="str">
        <f>'Rekap. Upah Pekerja'!B320</f>
        <v>Pemasangan 1 m² langit-langit akustik ukuran 60 x 120cm</v>
      </c>
      <c r="C328" s="526">
        <f>RAB!C328</f>
        <v>0</v>
      </c>
      <c r="D328" s="524" t="str">
        <f>RAB!D328</f>
        <v>m2</v>
      </c>
      <c r="E328" s="506">
        <f>'Rekap. Upah Pekerja'!D320</f>
        <v>22400</v>
      </c>
      <c r="F328" s="507">
        <f t="shared" si="9"/>
        <v>0</v>
      </c>
    </row>
    <row r="329" spans="1:6" s="498" customFormat="1" ht="25.5" x14ac:dyDescent="0.25">
      <c r="A329" s="504">
        <f>'Rekap. Upah Pekerja'!A321</f>
        <v>4</v>
      </c>
      <c r="B329" s="505" t="str">
        <f>'Rekap. Upah Pekerja'!B321</f>
        <v xml:space="preserve">Pemasangan 1 m² langit-langit plywood 30x60 cm/4mm tanpa rangka </v>
      </c>
      <c r="C329" s="526">
        <f>RAB!C329</f>
        <v>0</v>
      </c>
      <c r="D329" s="524" t="str">
        <f>RAB!D329</f>
        <v>m2</v>
      </c>
      <c r="E329" s="506">
        <f>'Rekap. Upah Pekerja'!D321</f>
        <v>19400</v>
      </c>
      <c r="F329" s="507">
        <f t="shared" si="9"/>
        <v>0</v>
      </c>
    </row>
    <row r="330" spans="1:6" s="498" customFormat="1" ht="25.5" x14ac:dyDescent="0.25">
      <c r="A330" s="504">
        <f>'Rekap. Upah Pekerja'!A322</f>
        <v>5</v>
      </c>
      <c r="B330" s="505" t="str">
        <f>'Rekap. Upah Pekerja'!B322</f>
        <v xml:space="preserve">Pemasangan 1 m² langit-langit plywood 30x60 cm/4mm + rangka </v>
      </c>
      <c r="C330" s="526">
        <f>RAB!C330</f>
        <v>0</v>
      </c>
      <c r="D330" s="524" t="str">
        <f>RAB!D330</f>
        <v>m2</v>
      </c>
      <c r="E330" s="506">
        <f>'Rekap. Upah Pekerja'!D322</f>
        <v>78300</v>
      </c>
      <c r="F330" s="507">
        <f t="shared" si="9"/>
        <v>0</v>
      </c>
    </row>
    <row r="331" spans="1:6" s="498" customFormat="1" ht="15" customHeight="1" x14ac:dyDescent="0.25">
      <c r="A331" s="504">
        <f>'Rekap. Upah Pekerja'!A323</f>
        <v>6</v>
      </c>
      <c r="B331" s="505" t="str">
        <f>'Rekap. Upah Pekerja'!B323</f>
        <v xml:space="preserve">Pemasangan 1 m² langit-langit asbes + rangka </v>
      </c>
      <c r="C331" s="526">
        <f>RAB!C331</f>
        <v>0</v>
      </c>
      <c r="D331" s="524" t="str">
        <f>RAB!D331</f>
        <v>m2</v>
      </c>
      <c r="E331" s="506">
        <f>'Rekap. Upah Pekerja'!D323</f>
        <v>57300</v>
      </c>
      <c r="F331" s="507">
        <f t="shared" si="9"/>
        <v>0</v>
      </c>
    </row>
    <row r="332" spans="1:6" s="498" customFormat="1" ht="38.25" x14ac:dyDescent="0.25">
      <c r="A332" s="504">
        <f>'Rekap. Upah Pekerja'!A324</f>
        <v>7</v>
      </c>
      <c r="B332" s="505" t="str">
        <f>'Rekap. Upah Pekerja'!B324</f>
        <v>Pemasangan 1 m² langit-langit gypsum board ukuran (120 x 240 x 9 )mm, tebal 9 mm tanpa rangka</v>
      </c>
      <c r="C332" s="526">
        <f>RAB!C332</f>
        <v>0</v>
      </c>
      <c r="D332" s="524" t="str">
        <f>RAB!D332</f>
        <v>m2</v>
      </c>
      <c r="E332" s="506">
        <f>'Rekap. Upah Pekerja'!D324</f>
        <v>19100</v>
      </c>
      <c r="F332" s="507">
        <f t="shared" si="9"/>
        <v>0</v>
      </c>
    </row>
    <row r="333" spans="1:6" s="498" customFormat="1" ht="25.5" x14ac:dyDescent="0.25">
      <c r="A333" s="504">
        <f>'Rekap. Upah Pekerja'!A325</f>
        <v>8</v>
      </c>
      <c r="B333" s="505" t="str">
        <f>'Rekap. Upah Pekerja'!B325</f>
        <v>Pemasangan 1 m² langit-langit  klasiboard 1x1m + rangka</v>
      </c>
      <c r="C333" s="526">
        <f>RAB!C333</f>
        <v>0</v>
      </c>
      <c r="D333" s="524" t="str">
        <f>RAB!D333</f>
        <v>m2</v>
      </c>
      <c r="E333" s="506">
        <f>'Rekap. Upah Pekerja'!D325</f>
        <v>57300</v>
      </c>
      <c r="F333" s="507">
        <f t="shared" si="9"/>
        <v>0</v>
      </c>
    </row>
    <row r="334" spans="1:6" s="498" customFormat="1" ht="25.5" x14ac:dyDescent="0.25">
      <c r="A334" s="504">
        <f>'Rekap. Upah Pekerja'!A326</f>
        <v>9</v>
      </c>
      <c r="B334" s="505" t="str">
        <f>'Rekap. Upah Pekerja'!B326</f>
        <v>Pemasangan 1 m² langit-langit lambrisering  kayu , tebal 9 mm</v>
      </c>
      <c r="C334" s="526">
        <f>RAB!C334</f>
        <v>0</v>
      </c>
      <c r="D334" s="524" t="str">
        <f>RAB!D334</f>
        <v>m2</v>
      </c>
      <c r="E334" s="506">
        <f>'Rekap. Upah Pekerja'!D326</f>
        <v>183700</v>
      </c>
      <c r="F334" s="507">
        <f t="shared" si="9"/>
        <v>0</v>
      </c>
    </row>
    <row r="335" spans="1:6" s="498" customFormat="1" ht="25.5" x14ac:dyDescent="0.25">
      <c r="A335" s="504">
        <f>'Rekap. Upah Pekerja'!A327</f>
        <v>10</v>
      </c>
      <c r="B335" s="505" t="str">
        <f>'Rekap. Upah Pekerja'!B327</f>
        <v>Pas. 1 m² langit-langit rangka besi hollow 1 x 40.40.2mm, modul 60 x 60 cm</v>
      </c>
      <c r="C335" s="526">
        <f>RAB!C335</f>
        <v>0</v>
      </c>
      <c r="D335" s="524" t="str">
        <f>RAB!D335</f>
        <v>m2</v>
      </c>
      <c r="E335" s="506">
        <f>'Rekap. Upah Pekerja'!D327</f>
        <v>78300</v>
      </c>
      <c r="F335" s="507">
        <f t="shared" si="9"/>
        <v>0</v>
      </c>
    </row>
    <row r="336" spans="1:6" s="498" customFormat="1" ht="25.5" x14ac:dyDescent="0.25">
      <c r="A336" s="504">
        <f>'Rekap. Upah Pekerja'!A328</f>
        <v>11</v>
      </c>
      <c r="B336" s="505" t="str">
        <f>'Rekap. Upah Pekerja'!B328</f>
        <v>Pemasangan 1 m² langit-langit akustik ukuran (60 x 120) cm, berikut rangka alluminium</v>
      </c>
      <c r="C336" s="526">
        <f>RAB!C336</f>
        <v>0</v>
      </c>
      <c r="D336" s="524" t="str">
        <f>RAB!D336</f>
        <v>m2</v>
      </c>
      <c r="E336" s="506">
        <f>'Rekap. Upah Pekerja'!D328</f>
        <v>114700</v>
      </c>
      <c r="F336" s="507">
        <f t="shared" si="9"/>
        <v>0</v>
      </c>
    </row>
    <row r="337" spans="1:6" s="498" customFormat="1" ht="15" customHeight="1" x14ac:dyDescent="0.25">
      <c r="A337" s="504" t="str">
        <f>'Rekap. Upah Pekerja'!A329</f>
        <v>12.1</v>
      </c>
      <c r="B337" s="505" t="str">
        <f>'Rekap. Upah Pekerja'!B329</f>
        <v>Pemasangan 1 m1 list langit-langit kayu profil</v>
      </c>
      <c r="C337" s="526">
        <f>RAB!C337</f>
        <v>0</v>
      </c>
      <c r="D337" s="524" t="str">
        <f>RAB!D337</f>
        <v>m1</v>
      </c>
      <c r="E337" s="506">
        <f>'Rekap. Upah Pekerja'!D329</f>
        <v>16400</v>
      </c>
      <c r="F337" s="507">
        <f t="shared" si="9"/>
        <v>0</v>
      </c>
    </row>
    <row r="338" spans="1:6" s="498" customFormat="1" ht="15" customHeight="1" x14ac:dyDescent="0.25">
      <c r="A338" s="504" t="str">
        <f>'Rekap. Upah Pekerja'!A330</f>
        <v>12.2</v>
      </c>
      <c r="B338" s="505" t="str">
        <f>'Rekap. Upah Pekerja'!B330</f>
        <v>Pemasangan 1 m1 list langit-langit list gypsum</v>
      </c>
      <c r="C338" s="526">
        <f>RAB!C338</f>
        <v>0</v>
      </c>
      <c r="D338" s="524" t="str">
        <f>RAB!D338</f>
        <v>m1</v>
      </c>
      <c r="E338" s="506">
        <f>'Rekap. Upah Pekerja'!D330</f>
        <v>16400</v>
      </c>
      <c r="F338" s="507">
        <f t="shared" si="9"/>
        <v>0</v>
      </c>
    </row>
    <row r="339" spans="1:6" s="498" customFormat="1" ht="25.5" x14ac:dyDescent="0.25">
      <c r="A339" s="504">
        <f>'Rekap. Upah Pekerja'!A331</f>
        <v>13</v>
      </c>
      <c r="B339" s="505" t="str">
        <f>'Rekap. Upah Pekerja'!B331</f>
        <v>Pemasangan 1 m2 Langit - Langit Gedeg kulit + Rangka</v>
      </c>
      <c r="C339" s="526">
        <f>RAB!C339</f>
        <v>0</v>
      </c>
      <c r="D339" s="524" t="str">
        <f>RAB!D339</f>
        <v>m2</v>
      </c>
      <c r="E339" s="506">
        <f>'Rekap. Upah Pekerja'!D331</f>
        <v>57300</v>
      </c>
      <c r="F339" s="507">
        <f t="shared" si="9"/>
        <v>0</v>
      </c>
    </row>
    <row r="340" spans="1:6" s="498" customFormat="1" ht="15" customHeight="1" thickBot="1" x14ac:dyDescent="0.3">
      <c r="A340" s="504">
        <f>'Rekap. Upah Pekerja'!A332</f>
        <v>14</v>
      </c>
      <c r="B340" s="505" t="str">
        <f>'Rekap. Upah Pekerja'!B332</f>
        <v>Pemasangan 1 m2 Plafond Kalsiboard 4.5 mm</v>
      </c>
      <c r="C340" s="526">
        <f>RAB!C340</f>
        <v>0</v>
      </c>
      <c r="D340" s="524" t="str">
        <f>RAB!D340</f>
        <v>m2</v>
      </c>
      <c r="E340" s="506">
        <f>'Rekap. Upah Pekerja'!D332</f>
        <v>19100</v>
      </c>
      <c r="F340" s="517">
        <f t="shared" si="9"/>
        <v>0</v>
      </c>
    </row>
    <row r="341" spans="1:6" s="498" customFormat="1" ht="21" customHeight="1" thickTop="1" thickBot="1" x14ac:dyDescent="0.3">
      <c r="A341" s="602" t="s">
        <v>1761</v>
      </c>
      <c r="B341" s="602"/>
      <c r="C341" s="602"/>
      <c r="D341" s="602"/>
      <c r="E341" s="602"/>
      <c r="F341" s="502">
        <f>SUM(F326:F340)</f>
        <v>0</v>
      </c>
    </row>
    <row r="342" spans="1:6" s="498" customFormat="1" ht="15" customHeight="1" thickTop="1" x14ac:dyDescent="0.25">
      <c r="A342" s="499"/>
      <c r="B342" s="496"/>
      <c r="C342" s="527"/>
      <c r="D342" s="501"/>
      <c r="E342" s="497"/>
    </row>
    <row r="343" spans="1:6" s="498" customFormat="1" ht="15" customHeight="1" x14ac:dyDescent="0.25">
      <c r="A343" s="503" t="str">
        <f>'Rekap. Upah Pekerja'!A334</f>
        <v>X.</v>
      </c>
      <c r="B343" s="605" t="str">
        <f>'Rekap. Upah Pekerja'!B334</f>
        <v>HARGA SATUAN PEKERJAAN PENUTUP ATAP</v>
      </c>
      <c r="C343" s="605"/>
      <c r="D343" s="605"/>
      <c r="E343" s="605"/>
      <c r="F343" s="605"/>
    </row>
    <row r="344" spans="1:6" s="498" customFormat="1" ht="15" customHeight="1" x14ac:dyDescent="0.25">
      <c r="A344" s="504">
        <f>'Rekap. Upah Pekerja'!A335</f>
        <v>1</v>
      </c>
      <c r="B344" s="505" t="str">
        <f>'Rekap. Upah Pekerja'!B335</f>
        <v>Pemasangan 1 m² atap genteng press mini</v>
      </c>
      <c r="C344" s="526">
        <f>RAB!C344</f>
        <v>0</v>
      </c>
      <c r="D344" s="524" t="str">
        <f>RAB!D344</f>
        <v>m2</v>
      </c>
      <c r="E344" s="506">
        <f>'Rekap. Upah Pekerja'!D335</f>
        <v>32000</v>
      </c>
      <c r="F344" s="507">
        <f t="shared" ref="F344:F365" si="10">C344*E344</f>
        <v>0</v>
      </c>
    </row>
    <row r="345" spans="1:6" s="498" customFormat="1" ht="25.5" x14ac:dyDescent="0.25">
      <c r="A345" s="504">
        <f>'Rekap. Upah Pekerja'!A336</f>
        <v>2</v>
      </c>
      <c r="B345" s="505" t="str">
        <f>'Rekap. Upah Pekerja'!B336</f>
        <v>Pemasangan 1 m² atap genteng kodok glazuur isi 25</v>
      </c>
      <c r="C345" s="526">
        <f>RAB!C345</f>
        <v>0</v>
      </c>
      <c r="D345" s="524" t="str">
        <f>RAB!D345</f>
        <v>m2</v>
      </c>
      <c r="E345" s="506">
        <f>'Rekap. Upah Pekerja'!D336</f>
        <v>24600</v>
      </c>
      <c r="F345" s="507">
        <f t="shared" si="10"/>
        <v>0</v>
      </c>
    </row>
    <row r="346" spans="1:6" s="498" customFormat="1" ht="15" customHeight="1" x14ac:dyDescent="0.25">
      <c r="A346" s="504">
        <f>'Rekap. Upah Pekerja'!A337</f>
        <v>3</v>
      </c>
      <c r="B346" s="505" t="str">
        <f>'Rekap. Upah Pekerja'!B337</f>
        <v>Pemasangan 1 m² atap genteng pelentong kecil</v>
      </c>
      <c r="C346" s="526">
        <f>RAB!C346</f>
        <v>0</v>
      </c>
      <c r="D346" s="524" t="str">
        <f>RAB!D346</f>
        <v>m2</v>
      </c>
      <c r="E346" s="506">
        <f>'Rekap. Upah Pekerja'!D337</f>
        <v>24600</v>
      </c>
      <c r="F346" s="507">
        <f t="shared" si="10"/>
        <v>0</v>
      </c>
    </row>
    <row r="347" spans="1:6" s="498" customFormat="1" ht="15" customHeight="1" x14ac:dyDescent="0.25">
      <c r="A347" s="504">
        <f>'Rekap. Upah Pekerja'!A338</f>
        <v>4</v>
      </c>
      <c r="B347" s="505" t="str">
        <f>'Rekap. Upah Pekerja'!B338</f>
        <v xml:space="preserve">Pemasangan 1 m1 bubungan genteng pelentong </v>
      </c>
      <c r="C347" s="526">
        <f>RAB!C347</f>
        <v>0</v>
      </c>
      <c r="D347" s="524" t="str">
        <f>RAB!D347</f>
        <v>m1</v>
      </c>
      <c r="E347" s="506">
        <f>'Rekap. Upah Pekerja'!D338</f>
        <v>62600</v>
      </c>
      <c r="F347" s="507">
        <f t="shared" si="10"/>
        <v>0</v>
      </c>
    </row>
    <row r="348" spans="1:6" s="498" customFormat="1" ht="15" customHeight="1" x14ac:dyDescent="0.25">
      <c r="A348" s="504">
        <f>'Rekap. Upah Pekerja'!A339</f>
        <v>5</v>
      </c>
      <c r="B348" s="505" t="str">
        <f>'Rekap. Upah Pekerja'!B339</f>
        <v xml:space="preserve">Pemasangan 1 m1 bubung genteng kodok </v>
      </c>
      <c r="C348" s="526">
        <f>RAB!C348</f>
        <v>0</v>
      </c>
      <c r="D348" s="524" t="str">
        <f>RAB!D348</f>
        <v>m1</v>
      </c>
      <c r="E348" s="506">
        <f>'Rekap. Upah Pekerja'!D339</f>
        <v>62600</v>
      </c>
      <c r="F348" s="507">
        <f t="shared" si="10"/>
        <v>0</v>
      </c>
    </row>
    <row r="349" spans="1:6" s="498" customFormat="1" ht="15" customHeight="1" x14ac:dyDescent="0.25">
      <c r="A349" s="504">
        <f>'Rekap. Upah Pekerja'!A340</f>
        <v>6</v>
      </c>
      <c r="B349" s="505" t="str">
        <f>'Rekap. Upah Pekerja'!B340</f>
        <v>Pemasangan 1 m1 bubungan  genteng pres mini</v>
      </c>
      <c r="C349" s="526">
        <f>RAB!C349</f>
        <v>0</v>
      </c>
      <c r="D349" s="524" t="str">
        <f>RAB!D349</f>
        <v>m1</v>
      </c>
      <c r="E349" s="506">
        <f>'Rekap. Upah Pekerja'!D340</f>
        <v>62600</v>
      </c>
      <c r="F349" s="507">
        <f t="shared" si="10"/>
        <v>0</v>
      </c>
    </row>
    <row r="350" spans="1:6" s="498" customFormat="1" ht="15" customHeight="1" x14ac:dyDescent="0.25">
      <c r="A350" s="504">
        <f>'Rekap. Upah Pekerja'!A341</f>
        <v>7</v>
      </c>
      <c r="B350" s="505" t="str">
        <f>'Rekap. Upah Pekerja'!B341</f>
        <v xml:space="preserve">Pemasangan 1 m² roof light fibreglass 90 x 180 </v>
      </c>
      <c r="C350" s="526">
        <f>RAB!C350</f>
        <v>0</v>
      </c>
      <c r="D350" s="524" t="str">
        <f>RAB!D350</f>
        <v>m2</v>
      </c>
      <c r="E350" s="506">
        <f>'Rekap. Upah Pekerja'!D341</f>
        <v>23500</v>
      </c>
      <c r="F350" s="507">
        <f t="shared" si="10"/>
        <v>0</v>
      </c>
    </row>
    <row r="351" spans="1:6" s="498" customFormat="1" ht="25.5" x14ac:dyDescent="0.25">
      <c r="A351" s="504">
        <f>'Rekap. Upah Pekerja'!A342</f>
        <v>8</v>
      </c>
      <c r="B351" s="505" t="str">
        <f>'Rekap. Upah Pekerja'!B342</f>
        <v>Pemasangan 1 m² atap asbes gelombang 0,8 m  x 1,8 m x 4 mm</v>
      </c>
      <c r="C351" s="526">
        <f>RAB!C351</f>
        <v>0</v>
      </c>
      <c r="D351" s="524" t="str">
        <f>RAB!D351</f>
        <v>m2</v>
      </c>
      <c r="E351" s="506">
        <f>'Rekap. Upah Pekerja'!D342</f>
        <v>22800</v>
      </c>
      <c r="F351" s="507">
        <f t="shared" si="10"/>
        <v>0</v>
      </c>
    </row>
    <row r="352" spans="1:6" s="498" customFormat="1" ht="15" customHeight="1" x14ac:dyDescent="0.25">
      <c r="A352" s="504">
        <f>'Rekap. Upah Pekerja'!A343</f>
        <v>9</v>
      </c>
      <c r="B352" s="505" t="str">
        <f>'Rekap. Upah Pekerja'!B343</f>
        <v xml:space="preserve">Pemasangan 1 m1 bubung steel gelombang </v>
      </c>
      <c r="C352" s="526">
        <f>RAB!C352</f>
        <v>0</v>
      </c>
      <c r="D352" s="524" t="str">
        <f>RAB!D352</f>
        <v>m1</v>
      </c>
      <c r="E352" s="506">
        <f>'Rekap. Upah Pekerja'!D343</f>
        <v>23800</v>
      </c>
      <c r="F352" s="507">
        <f t="shared" si="10"/>
        <v>0</v>
      </c>
    </row>
    <row r="353" spans="1:6" s="498" customFormat="1" ht="15" customHeight="1" x14ac:dyDescent="0.25">
      <c r="A353" s="504">
        <f>'Rekap. Upah Pekerja'!A344</f>
        <v>10</v>
      </c>
      <c r="B353" s="505" t="str">
        <f>'Rekap. Upah Pekerja'!B344</f>
        <v>Pemasangan 1 m1 nok paten</v>
      </c>
      <c r="C353" s="526">
        <f>RAB!C353</f>
        <v>0</v>
      </c>
      <c r="D353" s="524" t="str">
        <f>RAB!D353</f>
        <v>m1</v>
      </c>
      <c r="E353" s="506">
        <f>'Rekap. Upah Pekerja'!D344</f>
        <v>23800</v>
      </c>
      <c r="F353" s="507">
        <f t="shared" si="10"/>
        <v>0</v>
      </c>
    </row>
    <row r="354" spans="1:6" s="498" customFormat="1" ht="15" customHeight="1" x14ac:dyDescent="0.25">
      <c r="A354" s="504">
        <f>'Rekap. Upah Pekerja'!A345</f>
        <v>11</v>
      </c>
      <c r="B354" s="505" t="str">
        <f>'Rekap. Upah Pekerja'!B345</f>
        <v>Pemasangan 1 m1 nok genteng metal berpasir</v>
      </c>
      <c r="C354" s="526">
        <f>RAB!C354</f>
        <v>0</v>
      </c>
      <c r="D354" s="524" t="str">
        <f>RAB!D354</f>
        <v>m1</v>
      </c>
      <c r="E354" s="506">
        <f>'Rekap. Upah Pekerja'!D345</f>
        <v>30300</v>
      </c>
      <c r="F354" s="507">
        <f t="shared" si="10"/>
        <v>0</v>
      </c>
    </row>
    <row r="355" spans="1:6" s="498" customFormat="1" ht="15" customHeight="1" x14ac:dyDescent="0.25">
      <c r="A355" s="504">
        <f>'Rekap. Upah Pekerja'!A346</f>
        <v>12</v>
      </c>
      <c r="B355" s="505" t="str">
        <f>'Rekap. Upah Pekerja'!B346</f>
        <v>Pemasangan 1 m² atap sirap kayu</v>
      </c>
      <c r="C355" s="526">
        <f>RAB!C355</f>
        <v>0</v>
      </c>
      <c r="D355" s="524" t="str">
        <f>RAB!D355</f>
        <v>m2</v>
      </c>
      <c r="E355" s="506">
        <f>'Rekap. Upah Pekerja'!D346</f>
        <v>47300</v>
      </c>
      <c r="F355" s="507">
        <f t="shared" si="10"/>
        <v>0</v>
      </c>
    </row>
    <row r="356" spans="1:6" s="498" customFormat="1" ht="15" customHeight="1" x14ac:dyDescent="0.25">
      <c r="A356" s="504">
        <f>'Rekap. Upah Pekerja'!A347</f>
        <v>13</v>
      </c>
      <c r="B356" s="505" t="str">
        <f>'Rekap. Upah Pekerja'!B347</f>
        <v>Pemasangan 1 m1 nok genteng beton</v>
      </c>
      <c r="C356" s="526">
        <f>RAB!C356</f>
        <v>0</v>
      </c>
      <c r="D356" s="524" t="str">
        <f>RAB!D356</f>
        <v>m1</v>
      </c>
      <c r="E356" s="506">
        <f>'Rekap. Upah Pekerja'!D347</f>
        <v>65100</v>
      </c>
      <c r="F356" s="507">
        <f t="shared" si="10"/>
        <v>0</v>
      </c>
    </row>
    <row r="357" spans="1:6" s="498" customFormat="1" ht="15" customHeight="1" x14ac:dyDescent="0.25">
      <c r="A357" s="504">
        <f>'Rekap. Upah Pekerja'!A348</f>
        <v>14</v>
      </c>
      <c r="B357" s="505" t="str">
        <f>'Rekap. Upah Pekerja'!B348</f>
        <v>Pemasangan 1 m1 nok atap sirap</v>
      </c>
      <c r="C357" s="526">
        <f>RAB!C357</f>
        <v>0</v>
      </c>
      <c r="D357" s="524" t="str">
        <f>RAB!D357</f>
        <v>m1</v>
      </c>
      <c r="E357" s="506">
        <f>'Rekap. Upah Pekerja'!D348</f>
        <v>43100</v>
      </c>
      <c r="F357" s="507">
        <f t="shared" si="10"/>
        <v>0</v>
      </c>
    </row>
    <row r="358" spans="1:6" s="498" customFormat="1" ht="15" customHeight="1" x14ac:dyDescent="0.25">
      <c r="A358" s="504">
        <f>'Rekap. Upah Pekerja'!A349</f>
        <v>15</v>
      </c>
      <c r="B358" s="505" t="str">
        <f>'Rekap. Upah Pekerja'!B349</f>
        <v xml:space="preserve">Pemasangan 1 m2  genteng metal </v>
      </c>
      <c r="C358" s="526">
        <f>RAB!C358</f>
        <v>0</v>
      </c>
      <c r="D358" s="524" t="str">
        <f>RAB!D358</f>
        <v>m2</v>
      </c>
      <c r="E358" s="506">
        <f>'Rekap. Upah Pekerja'!D349</f>
        <v>43800</v>
      </c>
      <c r="F358" s="507">
        <f t="shared" si="10"/>
        <v>0</v>
      </c>
    </row>
    <row r="359" spans="1:6" s="498" customFormat="1" ht="15" customHeight="1" x14ac:dyDescent="0.25">
      <c r="A359" s="504">
        <f>'Rekap. Upah Pekerja'!A350</f>
        <v>16</v>
      </c>
      <c r="B359" s="505" t="str">
        <f>'Rekap. Upah Pekerja'!B350</f>
        <v>Pemasangan 1 m2  genteng beton</v>
      </c>
      <c r="C359" s="526">
        <f>RAB!C359</f>
        <v>0</v>
      </c>
      <c r="D359" s="524" t="str">
        <f>RAB!D359</f>
        <v>m2</v>
      </c>
      <c r="E359" s="506">
        <f>'Rekap. Upah Pekerja'!D350</f>
        <v>32600</v>
      </c>
      <c r="F359" s="507">
        <f t="shared" si="10"/>
        <v>0</v>
      </c>
    </row>
    <row r="360" spans="1:6" s="498" customFormat="1" ht="15" customHeight="1" x14ac:dyDescent="0.25">
      <c r="A360" s="504">
        <f>'Rekap. Upah Pekerja'!A351</f>
        <v>17</v>
      </c>
      <c r="B360" s="505" t="str">
        <f>'Rekap. Upah Pekerja'!B351</f>
        <v>Pemasangan 1 m2  bubungan genteng beton</v>
      </c>
      <c r="C360" s="526">
        <f>RAB!C360</f>
        <v>0</v>
      </c>
      <c r="D360" s="524" t="str">
        <f>RAB!D360</f>
        <v>m2</v>
      </c>
      <c r="E360" s="506">
        <f>'Rekap. Upah Pekerja'!D351</f>
        <v>65100</v>
      </c>
      <c r="F360" s="507">
        <f t="shared" si="10"/>
        <v>0</v>
      </c>
    </row>
    <row r="361" spans="1:6" s="498" customFormat="1" ht="15" customHeight="1" x14ac:dyDescent="0.25">
      <c r="A361" s="504">
        <f>'Rekap. Upah Pekerja'!A352</f>
        <v>18</v>
      </c>
      <c r="B361" s="505" t="str">
        <f>'Rekap. Upah Pekerja'!B352</f>
        <v>Pemasangan 1 m1 atap seng gelombang</v>
      </c>
      <c r="C361" s="526">
        <f>RAB!C361</f>
        <v>0</v>
      </c>
      <c r="D361" s="524" t="str">
        <f>RAB!D361</f>
        <v>m1</v>
      </c>
      <c r="E361" s="506">
        <f>'Rekap. Upah Pekerja'!D352</f>
        <v>21200</v>
      </c>
      <c r="F361" s="507">
        <f t="shared" si="10"/>
        <v>0</v>
      </c>
    </row>
    <row r="362" spans="1:6" s="498" customFormat="1" ht="15" customHeight="1" x14ac:dyDescent="0.25">
      <c r="A362" s="504">
        <f>'Rekap. Upah Pekerja'!A353</f>
        <v>19</v>
      </c>
      <c r="B362" s="505" t="str">
        <f>'Rekap. Upah Pekerja'!B353</f>
        <v xml:space="preserve">Pemasangan 1 m1 nok atap seng </v>
      </c>
      <c r="C362" s="526">
        <f>RAB!C362</f>
        <v>0</v>
      </c>
      <c r="D362" s="524" t="str">
        <f>RAB!D362</f>
        <v>m1</v>
      </c>
      <c r="E362" s="506">
        <f>'Rekap. Upah Pekerja'!D353</f>
        <v>23600</v>
      </c>
      <c r="F362" s="507">
        <f t="shared" si="10"/>
        <v>0</v>
      </c>
    </row>
    <row r="363" spans="1:6" s="498" customFormat="1" ht="25.5" x14ac:dyDescent="0.25">
      <c r="A363" s="504">
        <f>'Rekap. Upah Pekerja'!A354</f>
        <v>20</v>
      </c>
      <c r="B363" s="505" t="str">
        <f>'Rekap. Upah Pekerja'!B354</f>
        <v xml:space="preserve">Pemasangan 1 m1 atap aluminium/spandek 3mm </v>
      </c>
      <c r="C363" s="526">
        <f>RAB!C363</f>
        <v>0</v>
      </c>
      <c r="D363" s="524" t="str">
        <f>RAB!D363</f>
        <v>m1</v>
      </c>
      <c r="E363" s="506">
        <f>'Rekap. Upah Pekerja'!D354</f>
        <v>106800</v>
      </c>
      <c r="F363" s="507">
        <f t="shared" si="10"/>
        <v>0</v>
      </c>
    </row>
    <row r="364" spans="1:6" s="498" customFormat="1" ht="15" customHeight="1" x14ac:dyDescent="0.25">
      <c r="A364" s="504">
        <f>'Rekap. Upah Pekerja'!A355</f>
        <v>21</v>
      </c>
      <c r="B364" s="505" t="str">
        <f>'Rekap. Upah Pekerja'!B355</f>
        <v xml:space="preserve">Pemasangan 1 m1 nok aluminium </v>
      </c>
      <c r="C364" s="526">
        <f>RAB!C364</f>
        <v>0</v>
      </c>
      <c r="D364" s="524" t="str">
        <f>RAB!D364</f>
        <v>m1</v>
      </c>
      <c r="E364" s="506">
        <f>'Rekap. Upah Pekerja'!D355</f>
        <v>139800</v>
      </c>
      <c r="F364" s="507">
        <f t="shared" si="10"/>
        <v>0</v>
      </c>
    </row>
    <row r="365" spans="1:6" s="498" customFormat="1" ht="15" customHeight="1" thickBot="1" x14ac:dyDescent="0.3">
      <c r="A365" s="504">
        <f>'Rekap. Upah Pekerja'!A356</f>
        <v>22</v>
      </c>
      <c r="B365" s="505" t="str">
        <f>'Rekap. Upah Pekerja'!B356</f>
        <v xml:space="preserve">Pemasangan 1 m² aluminium foil </v>
      </c>
      <c r="C365" s="526">
        <f>RAB!C365</f>
        <v>0</v>
      </c>
      <c r="D365" s="524" t="str">
        <f>RAB!D365</f>
        <v>m2</v>
      </c>
      <c r="E365" s="506">
        <f>'Rekap. Upah Pekerja'!D356</f>
        <v>24200</v>
      </c>
      <c r="F365" s="517">
        <f t="shared" si="10"/>
        <v>0</v>
      </c>
    </row>
    <row r="366" spans="1:6" s="498" customFormat="1" ht="21" customHeight="1" thickTop="1" thickBot="1" x14ac:dyDescent="0.3">
      <c r="A366" s="602" t="s">
        <v>1762</v>
      </c>
      <c r="B366" s="602"/>
      <c r="C366" s="602"/>
      <c r="D366" s="602"/>
      <c r="E366" s="602"/>
      <c r="F366" s="502">
        <f>SUM(F344:F365)</f>
        <v>0</v>
      </c>
    </row>
    <row r="367" spans="1:6" s="498" customFormat="1" ht="15" customHeight="1" thickTop="1" x14ac:dyDescent="0.25">
      <c r="A367" s="499"/>
      <c r="B367" s="496"/>
      <c r="C367" s="527"/>
      <c r="D367" s="501"/>
      <c r="E367" s="497"/>
    </row>
    <row r="368" spans="1:6" s="498" customFormat="1" ht="15" customHeight="1" x14ac:dyDescent="0.25">
      <c r="A368" s="503" t="str">
        <f>'Rekap. Upah Pekerja'!A358</f>
        <v>XI.</v>
      </c>
      <c r="B368" s="605" t="str">
        <f>'Rekap. Upah Pekerja'!B358</f>
        <v>HARGA SATUAN PEKERJAAN KAYU</v>
      </c>
      <c r="C368" s="605"/>
      <c r="D368" s="605"/>
      <c r="E368" s="605"/>
      <c r="F368" s="605"/>
    </row>
    <row r="369" spans="1:6" s="498" customFormat="1" ht="25.5" x14ac:dyDescent="0.25">
      <c r="A369" s="504">
        <f>'Rekap. Upah Pekerja'!A359</f>
        <v>1</v>
      </c>
      <c r="B369" s="505" t="str">
        <f>'Rekap. Upah Pekerja'!B359</f>
        <v>Pembuatan dan pemasangan 1 m³ kusen pintu dan kusen jendela , kayu klas I.</v>
      </c>
      <c r="C369" s="526">
        <f>RAB!C369</f>
        <v>0</v>
      </c>
      <c r="D369" s="524" t="str">
        <f>RAB!D369</f>
        <v>m3</v>
      </c>
      <c r="E369" s="506">
        <f>'Rekap. Upah Pekerja'!D359</f>
        <v>3265500</v>
      </c>
      <c r="F369" s="507">
        <f t="shared" ref="F369:F432" si="11">C369*E369</f>
        <v>0</v>
      </c>
    </row>
    <row r="370" spans="1:6" s="498" customFormat="1" ht="25.5" x14ac:dyDescent="0.25">
      <c r="A370" s="504">
        <f>'Rekap. Upah Pekerja'!A360</f>
        <v>2</v>
      </c>
      <c r="B370" s="505" t="str">
        <f>'Rekap. Upah Pekerja'!B360</f>
        <v>Pembuatan dan pemasangan 1 m³ kusen pintu dan kusen jendela , kayu klas II</v>
      </c>
      <c r="C370" s="526">
        <f>RAB!C370</f>
        <v>0</v>
      </c>
      <c r="D370" s="524" t="str">
        <f>RAB!D370</f>
        <v>m3</v>
      </c>
      <c r="E370" s="506">
        <f>'Rekap. Upah Pekerja'!D360</f>
        <v>2799000</v>
      </c>
      <c r="F370" s="507">
        <f t="shared" si="11"/>
        <v>0</v>
      </c>
    </row>
    <row r="371" spans="1:6" s="498" customFormat="1" ht="25.5" x14ac:dyDescent="0.25">
      <c r="A371" s="504">
        <f>'Rekap. Upah Pekerja'!A361</f>
        <v>3</v>
      </c>
      <c r="B371" s="505" t="str">
        <f>'Rekap. Upah Pekerja'!B361</f>
        <v>Pembuatan dan pemasangan 1 m² pintu klamp standard , kayu klas II</v>
      </c>
      <c r="C371" s="526">
        <f>RAB!C371</f>
        <v>0</v>
      </c>
      <c r="D371" s="524" t="str">
        <f>RAB!D371</f>
        <v>m2</v>
      </c>
      <c r="E371" s="506">
        <f>'Rekap. Upah Pekerja'!D361</f>
        <v>163400</v>
      </c>
      <c r="F371" s="507">
        <f t="shared" si="11"/>
        <v>0</v>
      </c>
    </row>
    <row r="372" spans="1:6" s="498" customFormat="1" ht="15" customHeight="1" x14ac:dyDescent="0.25">
      <c r="A372" s="504">
        <f>'Rekap. Upah Pekerja'!A362</f>
        <v>4</v>
      </c>
      <c r="B372" s="505" t="str">
        <f>'Rekap. Upah Pekerja'!B362</f>
        <v>Pembuatan pekerjaan raam kayu kamper</v>
      </c>
      <c r="C372" s="526">
        <f>RAB!C372</f>
        <v>0</v>
      </c>
      <c r="D372" s="524" t="str">
        <f>RAB!D372</f>
        <v>LS</v>
      </c>
      <c r="E372" s="506">
        <f>'Rekap. Upah Pekerja'!D362</f>
        <v>153000</v>
      </c>
      <c r="F372" s="507">
        <f t="shared" si="11"/>
        <v>0</v>
      </c>
    </row>
    <row r="373" spans="1:6" s="498" customFormat="1" ht="25.5" x14ac:dyDescent="0.25">
      <c r="A373" s="504">
        <f>'Rekap. Upah Pekerja'!A363</f>
        <v>5</v>
      </c>
      <c r="B373" s="505" t="str">
        <f>'Rekap. Upah Pekerja'!B363</f>
        <v>1 m2 Pekerjaan Jaro bubut diameter 3 cm Kamper</v>
      </c>
      <c r="C373" s="526">
        <f>RAB!C373</f>
        <v>0</v>
      </c>
      <c r="D373" s="524" t="str">
        <f>RAB!D373</f>
        <v>m2</v>
      </c>
      <c r="E373" s="506">
        <f>'Rekap. Upah Pekerja'!D363</f>
        <v>108600</v>
      </c>
      <c r="F373" s="507">
        <f t="shared" si="11"/>
        <v>0</v>
      </c>
    </row>
    <row r="374" spans="1:6" s="498" customFormat="1" ht="25.5" x14ac:dyDescent="0.25">
      <c r="A374" s="504">
        <f>'Rekap. Upah Pekerja'!A364</f>
        <v>6</v>
      </c>
      <c r="B374" s="505" t="str">
        <f>'Rekap. Upah Pekerja'!B364</f>
        <v xml:space="preserve">Pembuatan dan pemasangan 1 m² daun pintu panel, kayu klas I atau kelas II </v>
      </c>
      <c r="C374" s="526">
        <f>RAB!C374</f>
        <v>0</v>
      </c>
      <c r="D374" s="524" t="str">
        <f>RAB!D374</f>
        <v>m2</v>
      </c>
      <c r="E374" s="506">
        <f>'Rekap. Upah Pekerja'!D364</f>
        <v>470000</v>
      </c>
      <c r="F374" s="507">
        <f t="shared" si="11"/>
        <v>0</v>
      </c>
    </row>
    <row r="375" spans="1:6" s="498" customFormat="1" ht="25.5" x14ac:dyDescent="0.25">
      <c r="A375" s="504">
        <f>'Rekap. Upah Pekerja'!A365</f>
        <v>7</v>
      </c>
      <c r="B375" s="505" t="str">
        <f>'Rekap. Upah Pekerja'!B365</f>
        <v>Pembuatan dan pemasangan 1 m² pintu dan jendela kaca, kayu klas I atau klas II</v>
      </c>
      <c r="C375" s="526">
        <f>RAB!C375</f>
        <v>0</v>
      </c>
      <c r="D375" s="524" t="str">
        <f>RAB!D375</f>
        <v>m2</v>
      </c>
      <c r="E375" s="506">
        <f>'Rekap. Upah Pekerja'!D365</f>
        <v>378100</v>
      </c>
      <c r="F375" s="507">
        <f t="shared" si="11"/>
        <v>0</v>
      </c>
    </row>
    <row r="376" spans="1:6" s="498" customFormat="1" ht="38.25" x14ac:dyDescent="0.25">
      <c r="A376" s="504">
        <f>'Rekap. Upah Pekerja'!A366</f>
        <v>8</v>
      </c>
      <c r="B376" s="505" t="str">
        <f>'Rekap. Upah Pekerja'!B366</f>
        <v>Pembuatan dan pemasangan 1 m² pintu plywood lapisan aluminium rangka kayu klas I atau klas 2</v>
      </c>
      <c r="C376" s="526">
        <f>RAB!C376</f>
        <v>0</v>
      </c>
      <c r="D376" s="524" t="str">
        <f>RAB!D376</f>
        <v>m2</v>
      </c>
      <c r="E376" s="506">
        <f>'Rekap. Upah Pekerja'!D366</f>
        <v>304200</v>
      </c>
      <c r="F376" s="507">
        <f t="shared" si="11"/>
        <v>0</v>
      </c>
    </row>
    <row r="377" spans="1:6" s="498" customFormat="1" ht="25.5" x14ac:dyDescent="0.25">
      <c r="A377" s="504">
        <f>'Rekap. Upah Pekerja'!A367</f>
        <v>9</v>
      </c>
      <c r="B377" s="505" t="str">
        <f>'Rekap. Upah Pekerja'!B367</f>
        <v>Pembuatan 1 m² daun pintu teakwood rangkap , rangka kayu klas I atau klas 2</v>
      </c>
      <c r="C377" s="526">
        <f>RAB!C377</f>
        <v>0</v>
      </c>
      <c r="D377" s="524" t="str">
        <f>RAB!D377</f>
        <v>m2</v>
      </c>
      <c r="E377" s="506">
        <f>'Rekap. Upah Pekerja'!D367</f>
        <v>378100</v>
      </c>
      <c r="F377" s="507">
        <f t="shared" si="11"/>
        <v>0</v>
      </c>
    </row>
    <row r="378" spans="1:6" s="498" customFormat="1" ht="25.5" x14ac:dyDescent="0.25">
      <c r="A378" s="504">
        <f>'Rekap. Upah Pekerja'!A368</f>
        <v>10</v>
      </c>
      <c r="B378" s="505" t="str">
        <f>'Rekap. Upah Pekerja'!B368</f>
        <v>Pembuatan 1 m² daun pintu plywood rangkap , rangka expose kayu klas I atau II</v>
      </c>
      <c r="C378" s="526">
        <f>RAB!C378</f>
        <v>0</v>
      </c>
      <c r="D378" s="524" t="str">
        <f>RAB!D378</f>
        <v>m2</v>
      </c>
      <c r="E378" s="506">
        <f>'Rekap. Upah Pekerja'!D368</f>
        <v>304200</v>
      </c>
      <c r="F378" s="507">
        <f t="shared" si="11"/>
        <v>0</v>
      </c>
    </row>
    <row r="379" spans="1:6" s="498" customFormat="1" ht="15" customHeight="1" x14ac:dyDescent="0.25">
      <c r="A379" s="504">
        <f>'Rekap. Upah Pekerja'!A369</f>
        <v>10</v>
      </c>
      <c r="B379" s="505" t="str">
        <f>'Rekap. Upah Pekerja'!B369</f>
        <v>Pemasangan 1 m² jalusi kusen , kayu klas  II</v>
      </c>
      <c r="C379" s="526">
        <f>RAB!C379</f>
        <v>0</v>
      </c>
      <c r="D379" s="524" t="str">
        <f>RAB!D379</f>
        <v>m2</v>
      </c>
      <c r="E379" s="506">
        <f>'Rekap. Upah Pekerja'!D369</f>
        <v>249200</v>
      </c>
      <c r="F379" s="507">
        <f t="shared" si="11"/>
        <v>0</v>
      </c>
    </row>
    <row r="380" spans="1:6" s="498" customFormat="1" ht="25.5" x14ac:dyDescent="0.25">
      <c r="A380" s="504">
        <f>'Rekap. Upah Pekerja'!A370</f>
        <v>11</v>
      </c>
      <c r="B380" s="505" t="str">
        <f>'Rekap. Upah Pekerja'!B370</f>
        <v>Pemasangan 1 m² teakwood rangkap, rangka expose kayu klas I atau klas 2</v>
      </c>
      <c r="C380" s="526">
        <f>RAB!C380</f>
        <v>0</v>
      </c>
      <c r="D380" s="524" t="str">
        <f>RAB!D380</f>
        <v>m2</v>
      </c>
      <c r="E380" s="506">
        <f>'Rekap. Upah Pekerja'!D370</f>
        <v>378100</v>
      </c>
      <c r="F380" s="507">
        <f t="shared" si="11"/>
        <v>0</v>
      </c>
    </row>
    <row r="381" spans="1:6" s="498" customFormat="1" ht="25.5" x14ac:dyDescent="0.25">
      <c r="A381" s="504">
        <f>'Rekap. Upah Pekerja'!A371</f>
        <v>12</v>
      </c>
      <c r="B381" s="505" t="str">
        <f>'Rekap. Upah Pekerja'!B371</f>
        <v>Pemasangan 1 m² teakwood rangkap lapis formika , rangka expose kayu klas II</v>
      </c>
      <c r="C381" s="526">
        <f>RAB!C381</f>
        <v>0</v>
      </c>
      <c r="D381" s="524" t="str">
        <f>RAB!D381</f>
        <v>m2</v>
      </c>
      <c r="E381" s="506">
        <f>'Rekap. Upah Pekerja'!D371</f>
        <v>401200</v>
      </c>
      <c r="F381" s="507">
        <f t="shared" si="11"/>
        <v>0</v>
      </c>
    </row>
    <row r="382" spans="1:6" s="498" customFormat="1" ht="25.5" x14ac:dyDescent="0.25">
      <c r="A382" s="504" t="str">
        <f>'Rekap. Upah Pekerja'!A372</f>
        <v>13.1</v>
      </c>
      <c r="B382" s="505" t="str">
        <f>'Rekap. Upah Pekerja'!B372</f>
        <v>Pemasangan 1 m³ konstruksi kuda-kuda konvensional, kayu klas I</v>
      </c>
      <c r="C382" s="526">
        <f>RAB!C382</f>
        <v>0</v>
      </c>
      <c r="D382" s="524" t="str">
        <f>RAB!D382</f>
        <v>m3</v>
      </c>
      <c r="E382" s="506">
        <f>'Rekap. Upah Pekerja'!D372</f>
        <v>1866000</v>
      </c>
      <c r="F382" s="507">
        <f t="shared" si="11"/>
        <v>0</v>
      </c>
    </row>
    <row r="383" spans="1:6" s="498" customFormat="1" ht="25.5" x14ac:dyDescent="0.25">
      <c r="A383" s="504" t="str">
        <f>'Rekap. Upah Pekerja'!A373</f>
        <v>13.2</v>
      </c>
      <c r="B383" s="505" t="str">
        <f>'Rekap. Upah Pekerja'!B373</f>
        <v>Pemasangan 1 m³ konstruksi kuda-kuda konvensional, kayu klas II</v>
      </c>
      <c r="C383" s="526">
        <f>RAB!C383</f>
        <v>0</v>
      </c>
      <c r="D383" s="524" t="str">
        <f>RAB!D383</f>
        <v>m3</v>
      </c>
      <c r="E383" s="506">
        <f>'Rekap. Upah Pekerja'!D373</f>
        <v>1866000</v>
      </c>
      <c r="F383" s="507">
        <f t="shared" si="11"/>
        <v>0</v>
      </c>
    </row>
    <row r="384" spans="1:6" s="498" customFormat="1" ht="25.5" x14ac:dyDescent="0.25">
      <c r="A384" s="504" t="str">
        <f>'Rekap. Upah Pekerja'!A374</f>
        <v>13.3</v>
      </c>
      <c r="B384" s="505" t="str">
        <f>'Rekap. Upah Pekerja'!B374</f>
        <v>Pemasangan 1 m³ konstruksi kuda-kuda konvensional, kayu klas III</v>
      </c>
      <c r="C384" s="526">
        <f>RAB!C384</f>
        <v>0</v>
      </c>
      <c r="D384" s="524" t="str">
        <f>RAB!D384</f>
        <v>m3</v>
      </c>
      <c r="E384" s="506">
        <f>'Rekap. Upah Pekerja'!D374</f>
        <v>1866000</v>
      </c>
      <c r="F384" s="507">
        <f t="shared" si="11"/>
        <v>0</v>
      </c>
    </row>
    <row r="385" spans="1:6" s="498" customFormat="1" ht="25.5" x14ac:dyDescent="0.25">
      <c r="A385" s="504" t="str">
        <f>'Rekap. Upah Pekerja'!A375</f>
        <v>14.1</v>
      </c>
      <c r="B385" s="505" t="str">
        <f>'Rekap. Upah Pekerja'!B375</f>
        <v>Pemasangan 1 m³ konstruksi kuda-kuda expose, kayu klas I</v>
      </c>
      <c r="C385" s="526">
        <f>RAB!C385</f>
        <v>0</v>
      </c>
      <c r="D385" s="524" t="str">
        <f>RAB!D385</f>
        <v>m3</v>
      </c>
      <c r="E385" s="506">
        <f>'Rekap. Upah Pekerja'!D375</f>
        <v>3125600</v>
      </c>
      <c r="F385" s="507">
        <f t="shared" si="11"/>
        <v>0</v>
      </c>
    </row>
    <row r="386" spans="1:6" s="498" customFormat="1" ht="25.5" x14ac:dyDescent="0.25">
      <c r="A386" s="504" t="str">
        <f>'Rekap. Upah Pekerja'!A376</f>
        <v>14.2</v>
      </c>
      <c r="B386" s="505" t="str">
        <f>'Rekap. Upah Pekerja'!B376</f>
        <v>Pemasangan 1 m³ konstruksi kuda-kuda expose, kayu klas II</v>
      </c>
      <c r="C386" s="526">
        <f>RAB!C386</f>
        <v>0</v>
      </c>
      <c r="D386" s="524" t="str">
        <f>RAB!D386</f>
        <v>m3</v>
      </c>
      <c r="E386" s="506">
        <f>'Rekap. Upah Pekerja'!D376</f>
        <v>3125600</v>
      </c>
      <c r="F386" s="507">
        <f t="shared" si="11"/>
        <v>0</v>
      </c>
    </row>
    <row r="387" spans="1:6" s="498" customFormat="1" ht="25.5" x14ac:dyDescent="0.25">
      <c r="A387" s="504" t="str">
        <f>'Rekap. Upah Pekerja'!A377</f>
        <v>14.3</v>
      </c>
      <c r="B387" s="505" t="str">
        <f>'Rekap. Upah Pekerja'!B377</f>
        <v>Pemasangan 1 m³ konstruksi kuda-kuda expose, kayu klas III</v>
      </c>
      <c r="C387" s="526">
        <f>RAB!C387</f>
        <v>0</v>
      </c>
      <c r="D387" s="524" t="str">
        <f>RAB!D387</f>
        <v>m3</v>
      </c>
      <c r="E387" s="506">
        <f>'Rekap. Upah Pekerja'!D377</f>
        <v>3125600</v>
      </c>
      <c r="F387" s="507">
        <f t="shared" si="11"/>
        <v>0</v>
      </c>
    </row>
    <row r="388" spans="1:6" s="498" customFormat="1" ht="25.5" x14ac:dyDescent="0.25">
      <c r="A388" s="504">
        <f>'Rekap. Upah Pekerja'!A378</f>
        <v>15</v>
      </c>
      <c r="B388" s="505" t="str">
        <f>'Rekap. Upah Pekerja'!B378</f>
        <v>Pemasangan 1 m2 Reng / rangka atap genteng keramik kayu klas 2</v>
      </c>
      <c r="C388" s="526">
        <f>RAB!C388</f>
        <v>0</v>
      </c>
      <c r="D388" s="524" t="str">
        <f>RAB!D388</f>
        <v>m2</v>
      </c>
      <c r="E388" s="506">
        <f>'Rekap. Upah Pekerja'!D378</f>
        <v>22400</v>
      </c>
      <c r="F388" s="507">
        <f t="shared" si="11"/>
        <v>0</v>
      </c>
    </row>
    <row r="389" spans="1:6" s="498" customFormat="1" ht="25.5" x14ac:dyDescent="0.25">
      <c r="A389" s="504">
        <f>'Rekap. Upah Pekerja'!A379</f>
        <v>16</v>
      </c>
      <c r="B389" s="505" t="str">
        <f>'Rekap. Upah Pekerja'!B379</f>
        <v>Pemasangan 1 m²  pasang usuk kamfer + reng  kayu  kamper utk genteng beton</v>
      </c>
      <c r="C389" s="526">
        <f>RAB!C389</f>
        <v>0</v>
      </c>
      <c r="D389" s="524" t="str">
        <f>RAB!D389</f>
        <v>m2</v>
      </c>
      <c r="E389" s="506">
        <f>'Rekap. Upah Pekerja'!D379</f>
        <v>22400</v>
      </c>
      <c r="F389" s="507">
        <f t="shared" si="11"/>
        <v>0</v>
      </c>
    </row>
    <row r="390" spans="1:6" s="498" customFormat="1" ht="25.5" x14ac:dyDescent="0.25">
      <c r="A390" s="504">
        <f>'Rekap. Upah Pekerja'!A380</f>
        <v>17</v>
      </c>
      <c r="B390" s="505" t="str">
        <f>'Rekap. Upah Pekerja'!B380</f>
        <v>Pemasangan 1 m²  pasang usuk kruing + reng  kayu  kamper utk genteng beton</v>
      </c>
      <c r="C390" s="526">
        <f>RAB!C390</f>
        <v>0</v>
      </c>
      <c r="D390" s="524" t="str">
        <f>RAB!D390</f>
        <v>m2</v>
      </c>
      <c r="E390" s="506">
        <f>'Rekap. Upah Pekerja'!D380</f>
        <v>22400</v>
      </c>
      <c r="F390" s="507">
        <f t="shared" si="11"/>
        <v>0</v>
      </c>
    </row>
    <row r="391" spans="1:6" s="498" customFormat="1" ht="15" customHeight="1" x14ac:dyDescent="0.25">
      <c r="A391" s="504">
        <f>'Rekap. Upah Pekerja'!A381</f>
        <v>18</v>
      </c>
      <c r="B391" s="505" t="str">
        <f>'Rekap. Upah Pekerja'!B381</f>
        <v>Pemasangan 1 m²  pasang usuk kamfer</v>
      </c>
      <c r="C391" s="526">
        <f>RAB!C391</f>
        <v>0</v>
      </c>
      <c r="D391" s="524" t="str">
        <f>RAB!D391</f>
        <v>m2</v>
      </c>
      <c r="E391" s="506">
        <f>'Rekap. Upah Pekerja'!D381</f>
        <v>13800</v>
      </c>
      <c r="F391" s="507">
        <f t="shared" si="11"/>
        <v>0</v>
      </c>
    </row>
    <row r="392" spans="1:6" s="498" customFormat="1" ht="15" customHeight="1" x14ac:dyDescent="0.25">
      <c r="A392" s="504">
        <f>'Rekap. Upah Pekerja'!A382</f>
        <v>19</v>
      </c>
      <c r="B392" s="505" t="str">
        <f>'Rekap. Upah Pekerja'!B382</f>
        <v>Pemasangan 1 m²  pasang usuk  kayu  kruing</v>
      </c>
      <c r="C392" s="526">
        <f>RAB!C392</f>
        <v>0</v>
      </c>
      <c r="D392" s="524" t="str">
        <f>RAB!D392</f>
        <v>m2</v>
      </c>
      <c r="E392" s="506">
        <f>'Rekap. Upah Pekerja'!D382</f>
        <v>13800</v>
      </c>
      <c r="F392" s="507">
        <f t="shared" si="11"/>
        <v>0</v>
      </c>
    </row>
    <row r="393" spans="1:6" s="498" customFormat="1" ht="15" customHeight="1" x14ac:dyDescent="0.25">
      <c r="A393" s="504">
        <f>'Rekap. Upah Pekerja'!A383</f>
        <v>20</v>
      </c>
      <c r="B393" s="505" t="str">
        <f>'Rekap. Upah Pekerja'!B383</f>
        <v>Pemasangan 1 m²  pasang reng kayu kamfer</v>
      </c>
      <c r="C393" s="526">
        <f>RAB!C393</f>
        <v>0</v>
      </c>
      <c r="D393" s="524" t="str">
        <f>RAB!D393</f>
        <v>m2</v>
      </c>
      <c r="E393" s="506">
        <f>'Rekap. Upah Pekerja'!D383</f>
        <v>13700</v>
      </c>
      <c r="F393" s="507">
        <f t="shared" si="11"/>
        <v>0</v>
      </c>
    </row>
    <row r="394" spans="1:6" s="498" customFormat="1" ht="25.5" x14ac:dyDescent="0.25">
      <c r="A394" s="504" t="str">
        <f>'Rekap. Upah Pekerja'!A384</f>
        <v>21.1</v>
      </c>
      <c r="B394" s="505" t="str">
        <f>'Rekap. Upah Pekerja'!B384</f>
        <v>Pemasangan 1 m²  usuk ekspose kayu kamfer + reng (teakwood)</v>
      </c>
      <c r="C394" s="526">
        <f>RAB!C394</f>
        <v>0</v>
      </c>
      <c r="D394" s="524" t="str">
        <f>RAB!D394</f>
        <v>m2</v>
      </c>
      <c r="E394" s="506">
        <f>'Rekap. Upah Pekerja'!D384</f>
        <v>16300</v>
      </c>
      <c r="F394" s="507">
        <f t="shared" si="11"/>
        <v>0</v>
      </c>
    </row>
    <row r="395" spans="1:6" s="498" customFormat="1" ht="25.5" x14ac:dyDescent="0.25">
      <c r="A395" s="504" t="str">
        <f>'Rekap. Upah Pekerja'!A385</f>
        <v>21.2</v>
      </c>
      <c r="B395" s="505" t="str">
        <f>'Rekap. Upah Pekerja'!B385</f>
        <v>Pemasangan 1 m²  usuk ekspose kayu kamfer + reng (gedeg kulit)</v>
      </c>
      <c r="C395" s="526">
        <f>RAB!C395</f>
        <v>0</v>
      </c>
      <c r="D395" s="524" t="str">
        <f>RAB!D395</f>
        <v>m2</v>
      </c>
      <c r="E395" s="506">
        <f>'Rekap. Upah Pekerja'!D385</f>
        <v>16300</v>
      </c>
      <c r="F395" s="507">
        <f t="shared" si="11"/>
        <v>0</v>
      </c>
    </row>
    <row r="396" spans="1:6" s="498" customFormat="1" ht="15" customHeight="1" x14ac:dyDescent="0.25">
      <c r="A396" s="504">
        <f>'Rekap. Upah Pekerja'!A386</f>
        <v>22</v>
      </c>
      <c r="B396" s="505" t="str">
        <f>'Rekap. Upah Pekerja'!B386</f>
        <v>Pemasangan 1 m² rangka atap sirap kayu klas II</v>
      </c>
      <c r="C396" s="526">
        <f>RAB!C396</f>
        <v>0</v>
      </c>
      <c r="D396" s="524" t="str">
        <f>RAB!D396</f>
        <v>m2</v>
      </c>
      <c r="E396" s="506">
        <f>'Rekap. Upah Pekerja'!D386</f>
        <v>36500</v>
      </c>
      <c r="F396" s="507">
        <f t="shared" si="11"/>
        <v>0</v>
      </c>
    </row>
    <row r="397" spans="1:6" s="498" customFormat="1" ht="25.5" x14ac:dyDescent="0.25">
      <c r="A397" s="504">
        <f>'Rekap. Upah Pekerja'!A387</f>
        <v>23</v>
      </c>
      <c r="B397" s="505" t="str">
        <f>'Rekap. Upah Pekerja'!B387</f>
        <v>Pemasangan 1 m² rangka langit-langit (50x100) cm, kayu klas II atau III</v>
      </c>
      <c r="C397" s="526">
        <f>RAB!C397</f>
        <v>0</v>
      </c>
      <c r="D397" s="524" t="str">
        <f>RAB!D397</f>
        <v>m2</v>
      </c>
      <c r="E397" s="506">
        <f>'Rekap. Upah Pekerja'!D387</f>
        <v>61200</v>
      </c>
      <c r="F397" s="507">
        <f t="shared" si="11"/>
        <v>0</v>
      </c>
    </row>
    <row r="398" spans="1:6" s="498" customFormat="1" ht="25.5" x14ac:dyDescent="0.25">
      <c r="A398" s="504">
        <f>'Rekap. Upah Pekerja'!A388</f>
        <v>24</v>
      </c>
      <c r="B398" s="505" t="str">
        <f>'Rekap. Upah Pekerja'!B388</f>
        <v>Pemasangan 1 m² rangka langit-langit (60x60) cm, kayu klas II atau III</v>
      </c>
      <c r="C398" s="526">
        <f>RAB!C398</f>
        <v>0</v>
      </c>
      <c r="D398" s="524" t="str">
        <f>RAB!D398</f>
        <v>m2</v>
      </c>
      <c r="E398" s="506">
        <f>'Rekap. Upah Pekerja'!D388</f>
        <v>56900</v>
      </c>
      <c r="F398" s="507">
        <f t="shared" si="11"/>
        <v>0</v>
      </c>
    </row>
    <row r="399" spans="1:6" s="498" customFormat="1" ht="15" customHeight="1" x14ac:dyDescent="0.25">
      <c r="A399" s="504" t="str">
        <f>'Rekap. Upah Pekerja'!A389</f>
        <v>25.1</v>
      </c>
      <c r="B399" s="505" t="str">
        <f>'Rekap. Upah Pekerja'!B389</f>
        <v>Pemasangan 1 m² list plank ukuran 3 x 20  cm</v>
      </c>
      <c r="C399" s="526">
        <f>RAB!C399</f>
        <v>0</v>
      </c>
      <c r="D399" s="524" t="str">
        <f>RAB!D399</f>
        <v>m2</v>
      </c>
      <c r="E399" s="506">
        <f>'Rekap. Upah Pekerja'!D389</f>
        <v>34500</v>
      </c>
      <c r="F399" s="507">
        <f t="shared" si="11"/>
        <v>0</v>
      </c>
    </row>
    <row r="400" spans="1:6" s="498" customFormat="1" ht="15" customHeight="1" x14ac:dyDescent="0.25">
      <c r="A400" s="504" t="str">
        <f>'Rekap. Upah Pekerja'!A390</f>
        <v>25.2</v>
      </c>
      <c r="B400" s="505" t="str">
        <f>'Rekap. Upah Pekerja'!B390</f>
        <v>Pemasangan 1 m² list plank ukuran 3 x 30  cm</v>
      </c>
      <c r="C400" s="526">
        <f>RAB!C400</f>
        <v>0</v>
      </c>
      <c r="D400" s="524" t="str">
        <f>RAB!D400</f>
        <v>m2</v>
      </c>
      <c r="E400" s="506">
        <f>'Rekap. Upah Pekerja'!D390</f>
        <v>34500</v>
      </c>
      <c r="F400" s="507">
        <f t="shared" si="11"/>
        <v>0</v>
      </c>
    </row>
    <row r="401" spans="1:6" s="498" customFormat="1" ht="25.5" x14ac:dyDescent="0.25">
      <c r="A401" s="504">
        <f>'Rekap. Upah Pekerja'!A391</f>
        <v>26</v>
      </c>
      <c r="B401" s="505" t="str">
        <f>'Rekap. Upah Pekerja'!B391</f>
        <v>Pemasangan 1 m² list plank double ukuran 2 x(2x30) cm , kayu kamper</v>
      </c>
      <c r="C401" s="526">
        <f>RAB!C401</f>
        <v>0</v>
      </c>
      <c r="D401" s="524" t="str">
        <f>RAB!D401</f>
        <v>m2</v>
      </c>
      <c r="E401" s="506">
        <f>'Rekap. Upah Pekerja'!D391</f>
        <v>34500</v>
      </c>
      <c r="F401" s="507">
        <f t="shared" si="11"/>
        <v>0</v>
      </c>
    </row>
    <row r="402" spans="1:6" s="498" customFormat="1" ht="25.5" x14ac:dyDescent="0.25">
      <c r="A402" s="504">
        <f>'Rekap. Upah Pekerja'!A392</f>
        <v>27</v>
      </c>
      <c r="B402" s="505" t="str">
        <f>'Rekap. Upah Pekerja'!B392</f>
        <v>Pemasangan 1 m1 Listplank 2 x 25 conwood teksture /plain</v>
      </c>
      <c r="C402" s="526">
        <f>RAB!C402</f>
        <v>0</v>
      </c>
      <c r="D402" s="524" t="str">
        <f>RAB!D402</f>
        <v>m1</v>
      </c>
      <c r="E402" s="506">
        <f>'Rekap. Upah Pekerja'!D392</f>
        <v>34500</v>
      </c>
      <c r="F402" s="507">
        <f t="shared" si="11"/>
        <v>0</v>
      </c>
    </row>
    <row r="403" spans="1:6" s="498" customFormat="1" ht="25.5" x14ac:dyDescent="0.25">
      <c r="A403" s="504">
        <f>'Rekap. Upah Pekerja'!A393</f>
        <v>28</v>
      </c>
      <c r="B403" s="505" t="str">
        <f>'Rekap. Upah Pekerja'!B393</f>
        <v>Pemasangan 1 m² list palnk 2 x 25 (2in1) double conwood teksture/plain</v>
      </c>
      <c r="C403" s="526">
        <f>RAB!C403</f>
        <v>0</v>
      </c>
      <c r="D403" s="524" t="str">
        <f>RAB!D403</f>
        <v>m2</v>
      </c>
      <c r="E403" s="506">
        <f>'Rekap. Upah Pekerja'!D393</f>
        <v>42600</v>
      </c>
      <c r="F403" s="507">
        <f t="shared" si="11"/>
        <v>0</v>
      </c>
    </row>
    <row r="404" spans="1:6" s="498" customFormat="1" ht="25.5" x14ac:dyDescent="0.25">
      <c r="A404" s="504">
        <f>'Rekap. Upah Pekerja'!A394</f>
        <v>29</v>
      </c>
      <c r="B404" s="505" t="str">
        <f>'Rekap. Upah Pekerja'!B394</f>
        <v>Pemasangan 1 m² dinding pemisah teakwood rangkap , kayu kruing</v>
      </c>
      <c r="C404" s="526">
        <f>RAB!C404</f>
        <v>0</v>
      </c>
      <c r="D404" s="524" t="str">
        <f>RAB!D404</f>
        <v>m2</v>
      </c>
      <c r="E404" s="506">
        <f>'Rekap. Upah Pekerja'!D394</f>
        <v>73600</v>
      </c>
      <c r="F404" s="507">
        <f t="shared" si="11"/>
        <v>0</v>
      </c>
    </row>
    <row r="405" spans="1:6" s="498" customFormat="1" ht="25.5" x14ac:dyDescent="0.25">
      <c r="A405" s="504">
        <f>'Rekap. Upah Pekerja'!A395</f>
        <v>30</v>
      </c>
      <c r="B405" s="505" t="str">
        <f>'Rekap. Upah Pekerja'!B395</f>
        <v>Pemasangan 1 m² dinding pemisah plywood rangkap , kayu kruing</v>
      </c>
      <c r="C405" s="526">
        <f>RAB!C405</f>
        <v>0</v>
      </c>
      <c r="D405" s="524" t="str">
        <f>RAB!D405</f>
        <v>m2</v>
      </c>
      <c r="E405" s="506">
        <f>'Rekap. Upah Pekerja'!D395</f>
        <v>95100</v>
      </c>
      <c r="F405" s="507">
        <f t="shared" si="11"/>
        <v>0</v>
      </c>
    </row>
    <row r="406" spans="1:6" s="498" customFormat="1" ht="25.5" x14ac:dyDescent="0.25">
      <c r="A406" s="504">
        <f>'Rekap. Upah Pekerja'!A396</f>
        <v>31</v>
      </c>
      <c r="B406" s="505" t="str">
        <f>'Rekap. Upah Pekerja'!B396</f>
        <v>Pemasangan 1 m² dinding lambrisering dari papan kayu kelas I atau kelas 2</v>
      </c>
      <c r="C406" s="526">
        <f>RAB!C406</f>
        <v>0</v>
      </c>
      <c r="D406" s="524" t="str">
        <f>RAB!D406</f>
        <v>m2</v>
      </c>
      <c r="E406" s="506">
        <f>'Rekap. Upah Pekerja'!D396</f>
        <v>279900</v>
      </c>
      <c r="F406" s="507">
        <f t="shared" si="11"/>
        <v>0</v>
      </c>
    </row>
    <row r="407" spans="1:6" s="498" customFormat="1" ht="25.5" x14ac:dyDescent="0.25">
      <c r="A407" s="504">
        <f>'Rekap. Upah Pekerja'!A397</f>
        <v>32</v>
      </c>
      <c r="B407" s="505" t="str">
        <f>'Rekap. Upah Pekerja'!B397</f>
        <v>Pemasangan 1 m² dinding lambrisering dari plywood ukuran (120 x 240) cm</v>
      </c>
      <c r="C407" s="526">
        <f>RAB!C407</f>
        <v>0</v>
      </c>
      <c r="D407" s="524" t="str">
        <f>RAB!D407</f>
        <v>m2</v>
      </c>
      <c r="E407" s="506">
        <f>'Rekap. Upah Pekerja'!D397</f>
        <v>11700</v>
      </c>
      <c r="F407" s="507">
        <f t="shared" si="11"/>
        <v>0</v>
      </c>
    </row>
    <row r="408" spans="1:6" s="498" customFormat="1" ht="25.5" x14ac:dyDescent="0.25">
      <c r="A408" s="504">
        <f>'Rekap. Upah Pekerja'!A398</f>
        <v>33</v>
      </c>
      <c r="B408" s="505" t="str">
        <f>'Rekap. Upah Pekerja'!B398</f>
        <v>Pemasangan 1 m² dinding bilik ,rangka kayu III atau IV</v>
      </c>
      <c r="C408" s="526">
        <f>RAB!C408</f>
        <v>0</v>
      </c>
      <c r="D408" s="524" t="str">
        <f>RAB!D408</f>
        <v>m2</v>
      </c>
      <c r="E408" s="506">
        <f>'Rekap. Upah Pekerja'!D398</f>
        <v>19100</v>
      </c>
      <c r="F408" s="507">
        <f t="shared" si="11"/>
        <v>0</v>
      </c>
    </row>
    <row r="409" spans="1:6" s="498" customFormat="1" ht="25.5" x14ac:dyDescent="0.25">
      <c r="A409" s="504">
        <f>'Rekap. Upah Pekerja'!A399</f>
        <v>34</v>
      </c>
      <c r="B409" s="505" t="str">
        <f>'Rekap. Upah Pekerja'!B399</f>
        <v>Pemasangan 1 m² Rangka Dinding Pemisah Teakwood Rangkap, Rangka Holo</v>
      </c>
      <c r="C409" s="526">
        <f>RAB!C409</f>
        <v>0</v>
      </c>
      <c r="D409" s="524" t="str">
        <f>RAB!D409</f>
        <v>m2</v>
      </c>
      <c r="E409" s="506">
        <f>'Rekap. Upah Pekerja'!D399</f>
        <v>73600</v>
      </c>
      <c r="F409" s="507">
        <f t="shared" si="11"/>
        <v>0</v>
      </c>
    </row>
    <row r="410" spans="1:6" s="498" customFormat="1" ht="25.5" x14ac:dyDescent="0.25">
      <c r="A410" s="504">
        <f>'Rekap. Upah Pekerja'!A400</f>
        <v>35</v>
      </c>
      <c r="B410" s="505" t="str">
        <f>'Rekap. Upah Pekerja'!B400</f>
        <v>Pemasangan 1 m² Rangka Dinding Pemisah Plywood Rangkap, Rangka Holo</v>
      </c>
      <c r="C410" s="526">
        <f>RAB!C410</f>
        <v>0</v>
      </c>
      <c r="D410" s="524" t="str">
        <f>RAB!D410</f>
        <v>m2</v>
      </c>
      <c r="E410" s="506">
        <f>'Rekap. Upah Pekerja'!D400</f>
        <v>77700</v>
      </c>
      <c r="F410" s="507">
        <f t="shared" si="11"/>
        <v>0</v>
      </c>
    </row>
    <row r="411" spans="1:6" s="498" customFormat="1" ht="15" customHeight="1" x14ac:dyDescent="0.25">
      <c r="A411" s="504">
        <f>'Rekap. Upah Pekerja'!A401</f>
        <v>36</v>
      </c>
      <c r="B411" s="505" t="str">
        <f>'Rekap. Upah Pekerja'!B401</f>
        <v>Membuat 1 BT Saka Jati 11x11 cm</v>
      </c>
      <c r="C411" s="526">
        <f>RAB!C411</f>
        <v>0</v>
      </c>
      <c r="D411" s="524" t="str">
        <f>RAB!D411</f>
        <v>bt</v>
      </c>
      <c r="E411" s="506">
        <f>'Rekap. Upah Pekerja'!D401</f>
        <v>142900</v>
      </c>
      <c r="F411" s="507">
        <f t="shared" si="11"/>
        <v>0</v>
      </c>
    </row>
    <row r="412" spans="1:6" s="498" customFormat="1" ht="15" customHeight="1" x14ac:dyDescent="0.25">
      <c r="A412" s="504">
        <f>'Rekap. Upah Pekerja'!A402</f>
        <v>37</v>
      </c>
      <c r="B412" s="505" t="str">
        <f>'Rekap. Upah Pekerja'!B402</f>
        <v>Membuat 1 BT Canggawang Jati 5/18</v>
      </c>
      <c r="C412" s="526">
        <f>RAB!C412</f>
        <v>0</v>
      </c>
      <c r="D412" s="524" t="str">
        <f>RAB!D412</f>
        <v>bt</v>
      </c>
      <c r="E412" s="506">
        <f>'Rekap. Upah Pekerja'!D402</f>
        <v>142900</v>
      </c>
      <c r="F412" s="507">
        <f t="shared" si="11"/>
        <v>0</v>
      </c>
    </row>
    <row r="413" spans="1:6" s="498" customFormat="1" ht="15" customHeight="1" x14ac:dyDescent="0.25">
      <c r="A413" s="504">
        <f>'Rekap. Upah Pekerja'!A403</f>
        <v>38</v>
      </c>
      <c r="B413" s="505" t="str">
        <f>'Rekap. Upah Pekerja'!B403</f>
        <v xml:space="preserve"> Membuat 1 m1 Lambang Mayang 11/12 kayu jati</v>
      </c>
      <c r="C413" s="526">
        <f>RAB!C413</f>
        <v>0</v>
      </c>
      <c r="D413" s="524" t="str">
        <f>RAB!D413</f>
        <v>m1</v>
      </c>
      <c r="E413" s="506">
        <f>'Rekap. Upah Pekerja'!D403</f>
        <v>541100</v>
      </c>
      <c r="F413" s="507">
        <f t="shared" si="11"/>
        <v>0</v>
      </c>
    </row>
    <row r="414" spans="1:6" s="498" customFormat="1" ht="25.5" x14ac:dyDescent="0.25">
      <c r="A414" s="504">
        <f>'Rekap. Upah Pekerja'!A404</f>
        <v>39</v>
      </c>
      <c r="B414" s="505" t="str">
        <f>'Rekap. Upah Pekerja'!B404</f>
        <v>Pas. m1 Kayu kamper Diatas Lambang Mayeng 6/12</v>
      </c>
      <c r="C414" s="526">
        <f>RAB!C414</f>
        <v>0</v>
      </c>
      <c r="D414" s="524" t="str">
        <f>RAB!D414</f>
        <v>m1</v>
      </c>
      <c r="E414" s="506">
        <f>'Rekap. Upah Pekerja'!D404</f>
        <v>38100</v>
      </c>
      <c r="F414" s="507">
        <f t="shared" si="11"/>
        <v>0</v>
      </c>
    </row>
    <row r="415" spans="1:6" s="498" customFormat="1" ht="15" customHeight="1" x14ac:dyDescent="0.25">
      <c r="A415" s="504">
        <f>'Rekap. Upah Pekerja'!A405</f>
        <v>40</v>
      </c>
      <c r="B415" s="505" t="str">
        <f>'Rekap. Upah Pekerja'!B405</f>
        <v>Membuat 1 Bh Bintang Aring (60x60 cm )</v>
      </c>
      <c r="C415" s="526">
        <f>RAB!C415</f>
        <v>0</v>
      </c>
      <c r="D415" s="524" t="str">
        <f>RAB!D415</f>
        <v>bh</v>
      </c>
      <c r="E415" s="506">
        <f>'Rekap. Upah Pekerja'!D405</f>
        <v>52600</v>
      </c>
      <c r="F415" s="507">
        <f t="shared" si="11"/>
        <v>0</v>
      </c>
    </row>
    <row r="416" spans="1:6" s="498" customFormat="1" ht="15" customHeight="1" x14ac:dyDescent="0.25">
      <c r="A416" s="504">
        <f>'Rekap. Upah Pekerja'!A406</f>
        <v>41</v>
      </c>
      <c r="B416" s="505" t="str">
        <f>'Rekap. Upah Pekerja'!B406</f>
        <v>Membuat 1 BT Saka Tugeh Jati 7x7cm</v>
      </c>
      <c r="C416" s="526">
        <f>RAB!C416</f>
        <v>0</v>
      </c>
      <c r="D416" s="524" t="str">
        <f>RAB!D416</f>
        <v>bt</v>
      </c>
      <c r="E416" s="506">
        <f>'Rekap. Upah Pekerja'!D406</f>
        <v>154800</v>
      </c>
      <c r="F416" s="507">
        <f t="shared" si="11"/>
        <v>0</v>
      </c>
    </row>
    <row r="417" spans="1:6" s="498" customFormat="1" ht="15" customHeight="1" x14ac:dyDescent="0.25">
      <c r="A417" s="504">
        <f>'Rekap. Upah Pekerja'!A407</f>
        <v>42</v>
      </c>
      <c r="B417" s="505" t="str">
        <f>'Rekap. Upah Pekerja'!B407</f>
        <v xml:space="preserve">Membuat 1 Bh Sendi Tugeh Jati </v>
      </c>
      <c r="C417" s="526">
        <f>RAB!C417</f>
        <v>0</v>
      </c>
      <c r="D417" s="524" t="str">
        <f>RAB!D417</f>
        <v>bh</v>
      </c>
      <c r="E417" s="506">
        <f>'Rekap. Upah Pekerja'!D407</f>
        <v>122900</v>
      </c>
      <c r="F417" s="507">
        <f t="shared" si="11"/>
        <v>0</v>
      </c>
    </row>
    <row r="418" spans="1:6" s="498" customFormat="1" ht="15" customHeight="1" x14ac:dyDescent="0.25">
      <c r="A418" s="504">
        <f>'Rekap. Upah Pekerja'!A408</f>
        <v>43</v>
      </c>
      <c r="B418" s="505" t="str">
        <f>'Rekap. Upah Pekerja'!B408</f>
        <v>Pas. m1 ring-Ring Kamfer 2/12</v>
      </c>
      <c r="C418" s="526">
        <f>RAB!C418</f>
        <v>0</v>
      </c>
      <c r="D418" s="524" t="str">
        <f>RAB!D418</f>
        <v>m1</v>
      </c>
      <c r="E418" s="506">
        <f>'Rekap. Upah Pekerja'!D408</f>
        <v>28000</v>
      </c>
      <c r="F418" s="507">
        <f t="shared" si="11"/>
        <v>0</v>
      </c>
    </row>
    <row r="419" spans="1:6" s="498" customFormat="1" ht="15" customHeight="1" x14ac:dyDescent="0.25">
      <c r="A419" s="504">
        <f>'Rekap. Upah Pekerja'!A409</f>
        <v>44</v>
      </c>
      <c r="B419" s="505" t="str">
        <f>'Rekap. Upah Pekerja'!B409</f>
        <v xml:space="preserve">Pas. m2 Reng Kamfer </v>
      </c>
      <c r="C419" s="526">
        <f>RAB!C419</f>
        <v>0</v>
      </c>
      <c r="D419" s="524" t="str">
        <f>RAB!D419</f>
        <v>m2</v>
      </c>
      <c r="E419" s="506">
        <f>'Rekap. Upah Pekerja'!D409</f>
        <v>35100</v>
      </c>
      <c r="F419" s="507">
        <f t="shared" si="11"/>
        <v>0</v>
      </c>
    </row>
    <row r="420" spans="1:6" s="498" customFormat="1" ht="15" customHeight="1" x14ac:dyDescent="0.25">
      <c r="A420" s="504">
        <f>'Rekap. Upah Pekerja'!A410</f>
        <v>45</v>
      </c>
      <c r="B420" s="505" t="str">
        <f>'Rekap. Upah Pekerja'!B410</f>
        <v>Pas. m1 Gigin Barong Kamfer 3/9</v>
      </c>
      <c r="C420" s="526">
        <f>RAB!C420</f>
        <v>0</v>
      </c>
      <c r="D420" s="524" t="str">
        <f>RAB!D420</f>
        <v>m1</v>
      </c>
      <c r="E420" s="506">
        <f>'Rekap. Upah Pekerja'!D410</f>
        <v>76300</v>
      </c>
      <c r="F420" s="507">
        <f t="shared" si="11"/>
        <v>0</v>
      </c>
    </row>
    <row r="421" spans="1:6" s="498" customFormat="1" ht="15" customHeight="1" x14ac:dyDescent="0.25">
      <c r="A421" s="504">
        <f>'Rekap. Upah Pekerja'!A411</f>
        <v>46</v>
      </c>
      <c r="B421" s="505" t="str">
        <f>'Rekap. Upah Pekerja'!B411</f>
        <v>Pas. m1 Kamfer Dililit Tali Ijuk 3/9</v>
      </c>
      <c r="C421" s="526">
        <f>RAB!C421</f>
        <v>0</v>
      </c>
      <c r="D421" s="524" t="str">
        <f>RAB!D421</f>
        <v>m1</v>
      </c>
      <c r="E421" s="506">
        <f>'Rekap. Upah Pekerja'!D411</f>
        <v>87200</v>
      </c>
      <c r="F421" s="507">
        <f t="shared" si="11"/>
        <v>0</v>
      </c>
    </row>
    <row r="422" spans="1:6" s="498" customFormat="1" ht="15" customHeight="1" x14ac:dyDescent="0.25">
      <c r="A422" s="504">
        <f>'Rekap. Upah Pekerja'!A412</f>
        <v>47</v>
      </c>
      <c r="B422" s="505" t="str">
        <f>'Rekap. Upah Pekerja'!B412</f>
        <v>Pas. m1 Pemade/Pemucu Diketam Kamfer  6/12</v>
      </c>
      <c r="C422" s="526">
        <f>RAB!C422</f>
        <v>0</v>
      </c>
      <c r="D422" s="524" t="str">
        <f>RAB!D422</f>
        <v>m1</v>
      </c>
      <c r="E422" s="506">
        <f>'Rekap. Upah Pekerja'!D412</f>
        <v>34100</v>
      </c>
      <c r="F422" s="507">
        <f t="shared" si="11"/>
        <v>0</v>
      </c>
    </row>
    <row r="423" spans="1:6" s="498" customFormat="1" ht="15" customHeight="1" x14ac:dyDescent="0.25">
      <c r="A423" s="504">
        <f>'Rekap. Upah Pekerja'!A413</f>
        <v>48</v>
      </c>
      <c r="B423" s="505" t="str">
        <f>'Rekap. Upah Pekerja'!B413</f>
        <v>Pas. m2 Usuk/Gerantang Expose Kamfer  5/7</v>
      </c>
      <c r="C423" s="526">
        <f>RAB!C423</f>
        <v>0</v>
      </c>
      <c r="D423" s="524" t="str">
        <f>RAB!D423</f>
        <v>m2</v>
      </c>
      <c r="E423" s="506">
        <f>'Rekap. Upah Pekerja'!D413</f>
        <v>49900</v>
      </c>
      <c r="F423" s="507">
        <f t="shared" si="11"/>
        <v>0</v>
      </c>
    </row>
    <row r="424" spans="1:6" s="498" customFormat="1" ht="15" customHeight="1" x14ac:dyDescent="0.25">
      <c r="A424" s="504">
        <f>'Rekap. Upah Pekerja'!A414</f>
        <v>49</v>
      </c>
      <c r="B424" s="505" t="str">
        <f>'Rekap. Upah Pekerja'!B414</f>
        <v>Pas. m2 Usuk Maling Kamfer  5/7</v>
      </c>
      <c r="C424" s="526">
        <f>RAB!C424</f>
        <v>0</v>
      </c>
      <c r="D424" s="524" t="str">
        <f>RAB!D424</f>
        <v>m2</v>
      </c>
      <c r="E424" s="506">
        <f>'Rekap. Upah Pekerja'!D414</f>
        <v>13800</v>
      </c>
      <c r="F424" s="507">
        <f t="shared" si="11"/>
        <v>0</v>
      </c>
    </row>
    <row r="425" spans="1:6" s="498" customFormat="1" ht="15" customHeight="1" x14ac:dyDescent="0.25">
      <c r="A425" s="504">
        <f>'Rekap. Upah Pekerja'!A415</f>
        <v>50</v>
      </c>
      <c r="B425" s="505" t="str">
        <f>'Rekap. Upah Pekerja'!B415</f>
        <v xml:space="preserve">Pas. m1 Tatab Kamfer  </v>
      </c>
      <c r="C425" s="526">
        <f>RAB!C425</f>
        <v>0</v>
      </c>
      <c r="D425" s="524" t="str">
        <f>RAB!D425</f>
        <v>m1</v>
      </c>
      <c r="E425" s="506">
        <f>'Rekap. Upah Pekerja'!D415</f>
        <v>36600</v>
      </c>
      <c r="F425" s="507">
        <f t="shared" si="11"/>
        <v>0</v>
      </c>
    </row>
    <row r="426" spans="1:6" s="498" customFormat="1" ht="15" customHeight="1" x14ac:dyDescent="0.25">
      <c r="A426" s="504">
        <f>'Rekap. Upah Pekerja'!A416</f>
        <v>51</v>
      </c>
      <c r="B426" s="505" t="str">
        <f>'Rekap. Upah Pekerja'!B416</f>
        <v>Pas. m1 Bingkai Praba Kayu Jati</v>
      </c>
      <c r="C426" s="526">
        <f>RAB!C426</f>
        <v>0</v>
      </c>
      <c r="D426" s="524" t="str">
        <f>RAB!D426</f>
        <v>m1</v>
      </c>
      <c r="E426" s="506">
        <f>'Rekap. Upah Pekerja'!D416</f>
        <v>34100</v>
      </c>
      <c r="F426" s="507">
        <f t="shared" si="11"/>
        <v>0</v>
      </c>
    </row>
    <row r="427" spans="1:6" s="498" customFormat="1" ht="15" customHeight="1" x14ac:dyDescent="0.25">
      <c r="A427" s="504">
        <f>'Rekap. Upah Pekerja'!A417</f>
        <v>52</v>
      </c>
      <c r="B427" s="505" t="str">
        <f>'Rekap. Upah Pekerja'!B417</f>
        <v>Pekerjaan 1 Bt Ukiran Saka</v>
      </c>
      <c r="C427" s="526">
        <f>RAB!C427</f>
        <v>0</v>
      </c>
      <c r="D427" s="524" t="str">
        <f>RAB!D427</f>
        <v>bt</v>
      </c>
      <c r="E427" s="506">
        <f>'Rekap. Upah Pekerja'!D417</f>
        <v>529400</v>
      </c>
      <c r="F427" s="507">
        <f t="shared" si="11"/>
        <v>0</v>
      </c>
    </row>
    <row r="428" spans="1:6" s="498" customFormat="1" ht="15" customHeight="1" x14ac:dyDescent="0.25">
      <c r="A428" s="504">
        <f>'Rekap. Upah Pekerja'!A418</f>
        <v>53</v>
      </c>
      <c r="B428" s="505" t="str">
        <f>'Rekap. Upah Pekerja'!B418</f>
        <v>Pekerjaan 1 Bt Ukiran Tugeh</v>
      </c>
      <c r="C428" s="526">
        <f>RAB!C428</f>
        <v>0</v>
      </c>
      <c r="D428" s="524" t="str">
        <f>RAB!D428</f>
        <v>bt</v>
      </c>
      <c r="E428" s="506">
        <f>'Rekap. Upah Pekerja'!D418</f>
        <v>398500</v>
      </c>
      <c r="F428" s="507">
        <f t="shared" si="11"/>
        <v>0</v>
      </c>
    </row>
    <row r="429" spans="1:6" s="498" customFormat="1" ht="15" customHeight="1" x14ac:dyDescent="0.25">
      <c r="A429" s="504">
        <f>'Rekap. Upah Pekerja'!A419</f>
        <v>54</v>
      </c>
      <c r="B429" s="505" t="str">
        <f>'Rekap. Upah Pekerja'!B419</f>
        <v>Pekerjaan 1 Bt Ukiran  Canggah Wang</v>
      </c>
      <c r="C429" s="526">
        <f>RAB!C429</f>
        <v>0</v>
      </c>
      <c r="D429" s="524" t="str">
        <f>RAB!D429</f>
        <v>bt</v>
      </c>
      <c r="E429" s="506">
        <f>'Rekap. Upah Pekerja'!D419</f>
        <v>860500</v>
      </c>
      <c r="F429" s="507">
        <f t="shared" si="11"/>
        <v>0</v>
      </c>
    </row>
    <row r="430" spans="1:6" s="498" customFormat="1" ht="15" customHeight="1" x14ac:dyDescent="0.25">
      <c r="A430" s="504">
        <f>'Rekap. Upah Pekerja'!A420</f>
        <v>55</v>
      </c>
      <c r="B430" s="505" t="str">
        <f>'Rekap. Upah Pekerja'!B420</f>
        <v>Pekerjaan 1 Bt Ukiran  Kapu-kapu</v>
      </c>
      <c r="C430" s="526">
        <f>RAB!C430</f>
        <v>0</v>
      </c>
      <c r="D430" s="524" t="str">
        <f>RAB!D430</f>
        <v>bt</v>
      </c>
      <c r="E430" s="506">
        <f>'Rekap. Upah Pekerja'!D420</f>
        <v>738700</v>
      </c>
      <c r="F430" s="507">
        <f t="shared" si="11"/>
        <v>0</v>
      </c>
    </row>
    <row r="431" spans="1:6" s="498" customFormat="1" ht="15" customHeight="1" x14ac:dyDescent="0.25">
      <c r="A431" s="504">
        <f>'Rekap. Upah Pekerja'!A421</f>
        <v>56</v>
      </c>
      <c r="B431" s="505" t="str">
        <f>'Rekap. Upah Pekerja'!B421</f>
        <v>Pekerjaan 1 Bt Ukiran  Kincut</v>
      </c>
      <c r="C431" s="526">
        <f>RAB!C431</f>
        <v>0</v>
      </c>
      <c r="D431" s="524">
        <f>RAB!D431</f>
        <v>0</v>
      </c>
      <c r="E431" s="506">
        <f>'Rekap. Upah Pekerja'!D421</f>
        <v>594000</v>
      </c>
      <c r="F431" s="507">
        <f t="shared" si="11"/>
        <v>0</v>
      </c>
    </row>
    <row r="432" spans="1:6" s="498" customFormat="1" ht="15" customHeight="1" x14ac:dyDescent="0.25">
      <c r="A432" s="504">
        <f>'Rekap. Upah Pekerja'!A422</f>
        <v>57</v>
      </c>
      <c r="B432" s="505" t="str">
        <f>'Rekap. Upah Pekerja'!B422</f>
        <v>Pekerjaan 1 Bt Ukiran  Lambang Mayeng</v>
      </c>
      <c r="C432" s="526">
        <f>RAB!C432</f>
        <v>0</v>
      </c>
      <c r="D432" s="524" t="str">
        <f>RAB!D432</f>
        <v>bt</v>
      </c>
      <c r="E432" s="506">
        <f>'Rekap. Upah Pekerja'!D422</f>
        <v>1528200</v>
      </c>
      <c r="F432" s="507">
        <f t="shared" si="11"/>
        <v>0</v>
      </c>
    </row>
    <row r="433" spans="1:6" s="498" customFormat="1" ht="15" customHeight="1" x14ac:dyDescent="0.25">
      <c r="A433" s="504">
        <f>'Rekap. Upah Pekerja'!A423</f>
        <v>58</v>
      </c>
      <c r="B433" s="505" t="str">
        <f>'Rekap. Upah Pekerja'!B423</f>
        <v>Pekerjaan 1 Bh Ukiran  Petaka</v>
      </c>
      <c r="C433" s="526">
        <f>RAB!C433</f>
        <v>0</v>
      </c>
      <c r="D433" s="524" t="str">
        <f>RAB!D433</f>
        <v>bg</v>
      </c>
      <c r="E433" s="506">
        <f>'Rekap. Upah Pekerja'!D423</f>
        <v>1169500</v>
      </c>
      <c r="F433" s="507">
        <f t="shared" ref="F433:F441" si="12">C433*E433</f>
        <v>0</v>
      </c>
    </row>
    <row r="434" spans="1:6" s="498" customFormat="1" ht="25.5" x14ac:dyDescent="0.25">
      <c r="A434" s="504">
        <f>'Rekap. Upah Pekerja'!A424</f>
        <v>59</v>
      </c>
      <c r="B434" s="505" t="str">
        <f>'Rekap. Upah Pekerja'!B424</f>
        <v>Pekerjaan 1 m1 Ukiran  Papan Listplang Type Patra Masir T</v>
      </c>
      <c r="C434" s="526">
        <f>RAB!C434</f>
        <v>0</v>
      </c>
      <c r="D434" s="524" t="str">
        <f>RAB!D434</f>
        <v>m1</v>
      </c>
      <c r="E434" s="506">
        <f>'Rekap. Upah Pekerja'!D424</f>
        <v>304800</v>
      </c>
      <c r="F434" s="507">
        <f t="shared" si="12"/>
        <v>0</v>
      </c>
    </row>
    <row r="435" spans="1:6" s="498" customFormat="1" ht="15" customHeight="1" x14ac:dyDescent="0.25">
      <c r="A435" s="504">
        <f>'Rekap. Upah Pekerja'!A425</f>
        <v>60</v>
      </c>
      <c r="B435" s="505" t="str">
        <f>'Rekap. Upah Pekerja'!B425</f>
        <v>Pekerjaan 1 m1 Ukiran  Bingkai</v>
      </c>
      <c r="C435" s="526">
        <f>RAB!C435</f>
        <v>0</v>
      </c>
      <c r="D435" s="524" t="str">
        <f>RAB!D435</f>
        <v>m1</v>
      </c>
      <c r="E435" s="506">
        <f>'Rekap. Upah Pekerja'!D425</f>
        <v>304800</v>
      </c>
      <c r="F435" s="507">
        <f t="shared" si="12"/>
        <v>0</v>
      </c>
    </row>
    <row r="436" spans="1:6" s="498" customFormat="1" ht="15" customHeight="1" x14ac:dyDescent="0.25">
      <c r="A436" s="504">
        <f>'Rekap. Upah Pekerja'!A426</f>
        <v>61</v>
      </c>
      <c r="B436" s="505" t="str">
        <f>'Rekap. Upah Pekerja'!B426</f>
        <v>Pekerjaan 1 bh Ukiran  Ring-ring Sudut</v>
      </c>
      <c r="C436" s="526">
        <f>RAB!C436</f>
        <v>0</v>
      </c>
      <c r="D436" s="524" t="str">
        <f>RAB!D436</f>
        <v>bh</v>
      </c>
      <c r="E436" s="506">
        <f>'Rekap. Upah Pekerja'!D426</f>
        <v>211300</v>
      </c>
      <c r="F436" s="507">
        <f t="shared" si="12"/>
        <v>0</v>
      </c>
    </row>
    <row r="437" spans="1:6" s="498" customFormat="1" ht="15" customHeight="1" x14ac:dyDescent="0.25">
      <c r="A437" s="504">
        <f>'Rekap. Upah Pekerja'!A427</f>
        <v>62</v>
      </c>
      <c r="B437" s="505" t="str">
        <f>'Rekap. Upah Pekerja'!B427</f>
        <v xml:space="preserve">Pekerjaan 1 m1 Ukiran  Ring-ring  </v>
      </c>
      <c r="C437" s="526">
        <f>RAB!C437</f>
        <v>0</v>
      </c>
      <c r="D437" s="524" t="str">
        <f>RAB!D437</f>
        <v>m1</v>
      </c>
      <c r="E437" s="506">
        <f>'Rekap. Upah Pekerja'!D427</f>
        <v>298200</v>
      </c>
      <c r="F437" s="507">
        <f t="shared" si="12"/>
        <v>0</v>
      </c>
    </row>
    <row r="438" spans="1:6" s="498" customFormat="1" ht="15" customHeight="1" x14ac:dyDescent="0.25">
      <c r="A438" s="504">
        <f>'Rekap. Upah Pekerja'!A428</f>
        <v>63</v>
      </c>
      <c r="B438" s="505" t="str">
        <f>'Rekap. Upah Pekerja'!B428</f>
        <v>Pekerjaan 1 m1 Ukiran  Klurak (lebar 6cm)</v>
      </c>
      <c r="C438" s="526">
        <f>RAB!C438</f>
        <v>0</v>
      </c>
      <c r="D438" s="524" t="str">
        <f>RAB!D438</f>
        <v>m1</v>
      </c>
      <c r="E438" s="506">
        <f>'Rekap. Upah Pekerja'!D428</f>
        <v>270300</v>
      </c>
      <c r="F438" s="507">
        <f t="shared" si="12"/>
        <v>0</v>
      </c>
    </row>
    <row r="439" spans="1:6" s="498" customFormat="1" ht="15" customHeight="1" x14ac:dyDescent="0.25">
      <c r="A439" s="504">
        <f>'Rekap. Upah Pekerja'!A429</f>
        <v>64</v>
      </c>
      <c r="B439" s="505" t="str">
        <f>'Rekap. Upah Pekerja'!B429</f>
        <v>Pekerjaan 1 m1 Ukiran  Mas-masan (lebar 3 cm)</v>
      </c>
      <c r="C439" s="526">
        <f>RAB!C439</f>
        <v>0</v>
      </c>
      <c r="D439" s="524" t="str">
        <f>RAB!D439</f>
        <v>m1</v>
      </c>
      <c r="E439" s="506">
        <f>'Rekap. Upah Pekerja'!D429</f>
        <v>188800</v>
      </c>
      <c r="F439" s="507">
        <f t="shared" si="12"/>
        <v>0</v>
      </c>
    </row>
    <row r="440" spans="1:6" s="498" customFormat="1" ht="25.5" x14ac:dyDescent="0.25">
      <c r="A440" s="504">
        <f>'Rekap. Upah Pekerja'!A430</f>
        <v>65</v>
      </c>
      <c r="B440" s="505" t="str">
        <f>'Rekap. Upah Pekerja'!B430</f>
        <v>Pekerjaan 1 m1 Ukiran Tempelan Listplang Type Samblung (lebar 10 Cm)</v>
      </c>
      <c r="C440" s="526">
        <f>RAB!C440</f>
        <v>0</v>
      </c>
      <c r="D440" s="524" t="str">
        <f>RAB!D440</f>
        <v>m1</v>
      </c>
      <c r="E440" s="506">
        <f>'Rekap. Upah Pekerja'!D430</f>
        <v>354300</v>
      </c>
      <c r="F440" s="507">
        <f t="shared" si="12"/>
        <v>0</v>
      </c>
    </row>
    <row r="441" spans="1:6" s="498" customFormat="1" ht="15" customHeight="1" thickBot="1" x14ac:dyDescent="0.3">
      <c r="A441" s="504">
        <f>'Rekap. Upah Pekerja'!A431</f>
        <v>66</v>
      </c>
      <c r="B441" s="505" t="str">
        <f>'Rekap. Upah Pekerja'!B431</f>
        <v>Pekerjaan 1 m2 Ukiran Panil</v>
      </c>
      <c r="C441" s="526">
        <f>RAB!C441</f>
        <v>0</v>
      </c>
      <c r="D441" s="524" t="str">
        <f>RAB!D441</f>
        <v>m2</v>
      </c>
      <c r="E441" s="506">
        <f>'Rekap. Upah Pekerja'!D431</f>
        <v>2587400</v>
      </c>
      <c r="F441" s="517">
        <f t="shared" si="12"/>
        <v>0</v>
      </c>
    </row>
    <row r="442" spans="1:6" s="498" customFormat="1" ht="21" customHeight="1" thickTop="1" thickBot="1" x14ac:dyDescent="0.3">
      <c r="A442" s="602" t="s">
        <v>1763</v>
      </c>
      <c r="B442" s="602"/>
      <c r="C442" s="602"/>
      <c r="D442" s="602"/>
      <c r="E442" s="602"/>
      <c r="F442" s="502">
        <f>SUM(F369:F441)</f>
        <v>0</v>
      </c>
    </row>
    <row r="443" spans="1:6" s="498" customFormat="1" ht="15" customHeight="1" thickTop="1" x14ac:dyDescent="0.25">
      <c r="A443" s="499"/>
      <c r="B443" s="496"/>
      <c r="C443" s="527"/>
      <c r="D443" s="501"/>
      <c r="E443" s="497"/>
    </row>
    <row r="444" spans="1:6" s="498" customFormat="1" ht="15" customHeight="1" x14ac:dyDescent="0.25">
      <c r="A444" s="503" t="str">
        <f>'Rekap. Upah Pekerja'!A433</f>
        <v>XII.</v>
      </c>
      <c r="B444" s="605" t="str">
        <f>'Rekap. Upah Pekerja'!B433</f>
        <v>HARGA SATUAN PEKERJAAN KUNCI DAN KACA</v>
      </c>
      <c r="C444" s="605"/>
      <c r="D444" s="605"/>
      <c r="E444" s="605"/>
      <c r="F444" s="605"/>
    </row>
    <row r="445" spans="1:6" s="498" customFormat="1" ht="15" customHeight="1" x14ac:dyDescent="0.25">
      <c r="A445" s="504">
        <f>'Rekap. Upah Pekerja'!A434</f>
        <v>1</v>
      </c>
      <c r="B445" s="505" t="str">
        <f>'Rekap. Upah Pekerja'!B434</f>
        <v>Pemasangan 1 buah kunci tanam  biasa</v>
      </c>
      <c r="C445" s="526">
        <f>RAB!C445</f>
        <v>0</v>
      </c>
      <c r="D445" s="524" t="str">
        <f>RAB!D445</f>
        <v>bh</v>
      </c>
      <c r="E445" s="506">
        <f>'Rekap. Upah Pekerja'!D434</f>
        <v>65000</v>
      </c>
      <c r="F445" s="507">
        <f t="shared" ref="F445:F466" si="13">C445*E445</f>
        <v>0</v>
      </c>
    </row>
    <row r="446" spans="1:6" s="498" customFormat="1" ht="15" customHeight="1" x14ac:dyDescent="0.25">
      <c r="A446" s="504">
        <f>'Rekap. Upah Pekerja'!A435</f>
        <v>2</v>
      </c>
      <c r="B446" s="505" t="str">
        <f>'Rekap. Upah Pekerja'!B435</f>
        <v>Pemasangan 1 buah kunci  kamar mandi</v>
      </c>
      <c r="C446" s="526">
        <f>RAB!C446</f>
        <v>0</v>
      </c>
      <c r="D446" s="524" t="str">
        <f>RAB!D446</f>
        <v>bh</v>
      </c>
      <c r="E446" s="506">
        <f>'Rekap. Upah Pekerja'!D435</f>
        <v>64600</v>
      </c>
      <c r="F446" s="507">
        <f t="shared" si="13"/>
        <v>0</v>
      </c>
    </row>
    <row r="447" spans="1:6" s="498" customFormat="1" ht="15" customHeight="1" x14ac:dyDescent="0.25">
      <c r="A447" s="504">
        <f>'Rekap. Upah Pekerja'!A436</f>
        <v>3</v>
      </c>
      <c r="B447" s="505" t="str">
        <f>'Rekap. Upah Pekerja'!B436</f>
        <v>Pemasangan 1 buah kunci lemari</v>
      </c>
      <c r="C447" s="526">
        <f>RAB!C447</f>
        <v>0</v>
      </c>
      <c r="D447" s="524" t="str">
        <f>RAB!D447</f>
        <v>bh</v>
      </c>
      <c r="E447" s="506">
        <f>'Rekap. Upah Pekerja'!D436</f>
        <v>29200</v>
      </c>
      <c r="F447" s="507">
        <f t="shared" si="13"/>
        <v>0</v>
      </c>
    </row>
    <row r="448" spans="1:6" s="498" customFormat="1" ht="15" customHeight="1" x14ac:dyDescent="0.25">
      <c r="A448" s="504">
        <f>'Rekap. Upah Pekerja'!A437</f>
        <v>4</v>
      </c>
      <c r="B448" s="505" t="str">
        <f>'Rekap. Upah Pekerja'!B437</f>
        <v>Pemasangan 1 buah kunci silinder</v>
      </c>
      <c r="C448" s="526">
        <f>RAB!C448</f>
        <v>0</v>
      </c>
      <c r="D448" s="524" t="str">
        <f>RAB!D448</f>
        <v>bh</v>
      </c>
      <c r="E448" s="506">
        <f>'Rekap. Upah Pekerja'!D437</f>
        <v>63200</v>
      </c>
      <c r="F448" s="507">
        <f t="shared" si="13"/>
        <v>0</v>
      </c>
    </row>
    <row r="449" spans="1:6" s="498" customFormat="1" ht="15" customHeight="1" x14ac:dyDescent="0.25">
      <c r="A449" s="504">
        <f>'Rekap. Upah Pekerja'!A438</f>
        <v>5</v>
      </c>
      <c r="B449" s="505" t="str">
        <f>'Rekap. Upah Pekerja'!B438</f>
        <v>Pemasangan 1 pasang engsel pintu</v>
      </c>
      <c r="C449" s="526">
        <f>RAB!C449</f>
        <v>0</v>
      </c>
      <c r="D449" s="524" t="str">
        <f>RAB!D449</f>
        <v>ps</v>
      </c>
      <c r="E449" s="506">
        <f>'Rekap. Upah Pekerja'!D438</f>
        <v>19800</v>
      </c>
      <c r="F449" s="507">
        <f t="shared" si="13"/>
        <v>0</v>
      </c>
    </row>
    <row r="450" spans="1:6" s="498" customFormat="1" ht="15" customHeight="1" x14ac:dyDescent="0.25">
      <c r="A450" s="504">
        <f>'Rekap. Upah Pekerja'!A439</f>
        <v>6</v>
      </c>
      <c r="B450" s="505" t="str">
        <f>'Rekap. Upah Pekerja'!B439</f>
        <v>Pemasangan 1 ps engsel jendela kupu-kupu</v>
      </c>
      <c r="C450" s="526">
        <f>RAB!C450</f>
        <v>0</v>
      </c>
      <c r="D450" s="524" t="str">
        <f>RAB!D450</f>
        <v>ps</v>
      </c>
      <c r="E450" s="506">
        <f>'Rekap. Upah Pekerja'!D439</f>
        <v>9500</v>
      </c>
      <c r="F450" s="507">
        <f t="shared" si="13"/>
        <v>0</v>
      </c>
    </row>
    <row r="451" spans="1:6" s="498" customFormat="1" ht="15" customHeight="1" x14ac:dyDescent="0.25">
      <c r="A451" s="504">
        <f>'Rekap. Upah Pekerja'!A440</f>
        <v>7</v>
      </c>
      <c r="B451" s="505" t="str">
        <f>'Rekap. Upah Pekerja'!B440</f>
        <v>Pemasangan 1 buah engsel angin</v>
      </c>
      <c r="C451" s="526">
        <f>RAB!C451</f>
        <v>0</v>
      </c>
      <c r="D451" s="524" t="str">
        <f>RAB!D451</f>
        <v>bh</v>
      </c>
      <c r="E451" s="506">
        <f>'Rekap. Upah Pekerja'!D440</f>
        <v>25300</v>
      </c>
      <c r="F451" s="507">
        <f t="shared" si="13"/>
        <v>0</v>
      </c>
    </row>
    <row r="452" spans="1:6" s="498" customFormat="1" ht="15" customHeight="1" x14ac:dyDescent="0.25">
      <c r="A452" s="504">
        <f>'Rekap. Upah Pekerja'!A441</f>
        <v>8</v>
      </c>
      <c r="B452" s="505" t="str">
        <f>'Rekap. Upah Pekerja'!B441</f>
        <v>Pemasangan 1 buah kunci slot</v>
      </c>
      <c r="C452" s="526">
        <f>RAB!C452</f>
        <v>0</v>
      </c>
      <c r="D452" s="524" t="str">
        <f>RAB!D452</f>
        <v>bh</v>
      </c>
      <c r="E452" s="506">
        <f>'Rekap. Upah Pekerja'!D441</f>
        <v>26400</v>
      </c>
      <c r="F452" s="507">
        <f t="shared" si="13"/>
        <v>0</v>
      </c>
    </row>
    <row r="453" spans="1:6" s="498" customFormat="1" ht="15" customHeight="1" x14ac:dyDescent="0.25">
      <c r="A453" s="504">
        <f>'Rekap. Upah Pekerja'!A442</f>
        <v>9</v>
      </c>
      <c r="B453" s="505" t="str">
        <f>'Rekap. Upah Pekerja'!B442</f>
        <v>Pemasangan 1 buah kait angin</v>
      </c>
      <c r="C453" s="526">
        <f>RAB!C453</f>
        <v>0</v>
      </c>
      <c r="D453" s="524" t="str">
        <f>RAB!D453</f>
        <v>bh</v>
      </c>
      <c r="E453" s="506">
        <f>'Rekap. Upah Pekerja'!D442</f>
        <v>19800</v>
      </c>
      <c r="F453" s="507">
        <f t="shared" si="13"/>
        <v>0</v>
      </c>
    </row>
    <row r="454" spans="1:6" s="498" customFormat="1" ht="15" customHeight="1" x14ac:dyDescent="0.25">
      <c r="A454" s="504">
        <f>'Rekap. Upah Pekerja'!A443</f>
        <v>10</v>
      </c>
      <c r="B454" s="505" t="str">
        <f>'Rekap. Upah Pekerja'!B443</f>
        <v>Pemasangan 1 set espagnoleth</v>
      </c>
      <c r="C454" s="526">
        <f>RAB!C454</f>
        <v>0</v>
      </c>
      <c r="D454" s="524" t="str">
        <f>RAB!D454</f>
        <v>set</v>
      </c>
      <c r="E454" s="506">
        <f>'Rekap. Upah Pekerja'!D443</f>
        <v>20800</v>
      </c>
      <c r="F454" s="507">
        <f t="shared" si="13"/>
        <v>0</v>
      </c>
    </row>
    <row r="455" spans="1:6" s="498" customFormat="1" ht="15" customHeight="1" x14ac:dyDescent="0.25">
      <c r="A455" s="504">
        <f>'Rekap. Upah Pekerja'!A444</f>
        <v>11</v>
      </c>
      <c r="B455" s="505" t="str">
        <f>'Rekap. Upah Pekerja'!B444</f>
        <v>Pemasangan 1 buah door holder</v>
      </c>
      <c r="C455" s="526">
        <f>RAB!C455</f>
        <v>0</v>
      </c>
      <c r="D455" s="524" t="str">
        <f>RAB!D455</f>
        <v>bh</v>
      </c>
      <c r="E455" s="506">
        <f>'Rekap. Upah Pekerja'!D444</f>
        <v>71200</v>
      </c>
      <c r="F455" s="507">
        <f t="shared" si="13"/>
        <v>0</v>
      </c>
    </row>
    <row r="456" spans="1:6" s="498" customFormat="1" ht="15" customHeight="1" x14ac:dyDescent="0.25">
      <c r="A456" s="504">
        <f>'Rekap. Upah Pekerja'!A445</f>
        <v>12</v>
      </c>
      <c r="B456" s="505" t="str">
        <f>'Rekap. Upah Pekerja'!B445</f>
        <v>Pemasangan 1 buah door closer</v>
      </c>
      <c r="C456" s="526">
        <f>RAB!C456</f>
        <v>0</v>
      </c>
      <c r="D456" s="524" t="str">
        <f>RAB!D456</f>
        <v>bh</v>
      </c>
      <c r="E456" s="506">
        <f>'Rekap. Upah Pekerja'!D445</f>
        <v>70800</v>
      </c>
      <c r="F456" s="507">
        <f t="shared" si="13"/>
        <v>0</v>
      </c>
    </row>
    <row r="457" spans="1:6" s="498" customFormat="1" ht="15" customHeight="1" x14ac:dyDescent="0.25">
      <c r="A457" s="504">
        <f>'Rekap. Upah Pekerja'!A446</f>
        <v>13</v>
      </c>
      <c r="B457" s="505" t="str">
        <f>'Rekap. Upah Pekerja'!B446</f>
        <v>Pemasangan 1 buah rel pintu sorong</v>
      </c>
      <c r="C457" s="526">
        <f>RAB!C457</f>
        <v>0</v>
      </c>
      <c r="D457" s="524" t="str">
        <f>RAB!D457</f>
        <v>bh</v>
      </c>
      <c r="E457" s="506">
        <f>'Rekap. Upah Pekerja'!D446</f>
        <v>76900</v>
      </c>
      <c r="F457" s="507">
        <f t="shared" si="13"/>
        <v>0</v>
      </c>
    </row>
    <row r="458" spans="1:6" s="498" customFormat="1" ht="15" customHeight="1" x14ac:dyDescent="0.25">
      <c r="A458" s="504">
        <f>'Rekap. Upah Pekerja'!A447</f>
        <v>14</v>
      </c>
      <c r="B458" s="505" t="str">
        <f>'Rekap. Upah Pekerja'!B447</f>
        <v>Pemasangan 1 m² kaca tebal 3 mm</v>
      </c>
      <c r="C458" s="526">
        <f>RAB!C458</f>
        <v>0</v>
      </c>
      <c r="D458" s="524" t="str">
        <f>RAB!D458</f>
        <v>m2</v>
      </c>
      <c r="E458" s="506">
        <f>'Rekap. Upah Pekerja'!D447</f>
        <v>19800</v>
      </c>
      <c r="F458" s="507">
        <f t="shared" si="13"/>
        <v>0</v>
      </c>
    </row>
    <row r="459" spans="1:6" s="498" customFormat="1" ht="15" customHeight="1" x14ac:dyDescent="0.25">
      <c r="A459" s="504">
        <f>'Rekap. Upah Pekerja'!A448</f>
        <v>15</v>
      </c>
      <c r="B459" s="505" t="str">
        <f>'Rekap. Upah Pekerja'!B448</f>
        <v>Pemasangan 1 m² kaca tebal 5 mm</v>
      </c>
      <c r="C459" s="526">
        <f>RAB!C459</f>
        <v>0</v>
      </c>
      <c r="D459" s="524" t="str">
        <f>RAB!D459</f>
        <v>m2</v>
      </c>
      <c r="E459" s="506">
        <f>'Rekap. Upah Pekerja'!D448</f>
        <v>18800</v>
      </c>
      <c r="F459" s="507">
        <f t="shared" si="13"/>
        <v>0</v>
      </c>
    </row>
    <row r="460" spans="1:6" s="498" customFormat="1" ht="15" customHeight="1" x14ac:dyDescent="0.25">
      <c r="A460" s="504">
        <f>'Rekap. Upah Pekerja'!A449</f>
        <v>16</v>
      </c>
      <c r="B460" s="505" t="str">
        <f>'Rekap. Upah Pekerja'!B449</f>
        <v>Pemasangan 1 m² kaca tebal 8 mm</v>
      </c>
      <c r="C460" s="526">
        <f>RAB!C460</f>
        <v>0</v>
      </c>
      <c r="D460" s="524" t="str">
        <f>RAB!D460</f>
        <v>m2</v>
      </c>
      <c r="E460" s="506">
        <f>'Rekap. Upah Pekerja'!D449</f>
        <v>12900</v>
      </c>
      <c r="F460" s="507">
        <f t="shared" si="13"/>
        <v>0</v>
      </c>
    </row>
    <row r="461" spans="1:6" s="498" customFormat="1" ht="15" customHeight="1" x14ac:dyDescent="0.25">
      <c r="A461" s="504">
        <f>'Rekap. Upah Pekerja'!A450</f>
        <v>17</v>
      </c>
      <c r="B461" s="505" t="str">
        <f>'Rekap. Upah Pekerja'!B450</f>
        <v>Pemasangan 1 m² kaca buram tebal 12 mm</v>
      </c>
      <c r="C461" s="526">
        <f>RAB!C461</f>
        <v>0</v>
      </c>
      <c r="D461" s="524" t="str">
        <f>RAB!D461</f>
        <v>m2</v>
      </c>
      <c r="E461" s="506">
        <f>'Rekap. Upah Pekerja'!D450</f>
        <v>33000</v>
      </c>
      <c r="F461" s="507">
        <f t="shared" si="13"/>
        <v>0</v>
      </c>
    </row>
    <row r="462" spans="1:6" s="498" customFormat="1" ht="15" customHeight="1" x14ac:dyDescent="0.25">
      <c r="A462" s="504">
        <f>'Rekap. Upah Pekerja'!A451</f>
        <v>18</v>
      </c>
      <c r="B462" s="505" t="str">
        <f>'Rekap. Upah Pekerja'!B451</f>
        <v>Pemasangan 1 m² kaca cermin tebal 5 mm</v>
      </c>
      <c r="C462" s="526">
        <f>RAB!C462</f>
        <v>0</v>
      </c>
      <c r="D462" s="524" t="str">
        <f>RAB!D462</f>
        <v>m2</v>
      </c>
      <c r="E462" s="506">
        <f>'Rekap. Upah Pekerja'!D451</f>
        <v>20800</v>
      </c>
      <c r="F462" s="507">
        <f t="shared" si="13"/>
        <v>0</v>
      </c>
    </row>
    <row r="463" spans="1:6" s="498" customFormat="1" ht="15" customHeight="1" x14ac:dyDescent="0.25">
      <c r="A463" s="504">
        <f>'Rekap. Upah Pekerja'!A452</f>
        <v>19</v>
      </c>
      <c r="B463" s="505" t="str">
        <f>'Rekap. Upah Pekerja'!B452</f>
        <v>Pemasangan 1 m² kaca cermin tebal 8 mm</v>
      </c>
      <c r="C463" s="526">
        <f>RAB!C463</f>
        <v>0</v>
      </c>
      <c r="D463" s="524" t="str">
        <f>RAB!D463</f>
        <v>m2</v>
      </c>
      <c r="E463" s="506">
        <f>'Rekap. Upah Pekerja'!D452</f>
        <v>23600</v>
      </c>
      <c r="F463" s="507">
        <f t="shared" si="13"/>
        <v>0</v>
      </c>
    </row>
    <row r="464" spans="1:6" s="498" customFormat="1" ht="15" customHeight="1" x14ac:dyDescent="0.25">
      <c r="A464" s="504">
        <f>'Rekap. Upah Pekerja'!A453</f>
        <v>20</v>
      </c>
      <c r="B464" s="505" t="str">
        <f>'Rekap. Upah Pekerja'!B453</f>
        <v>Pemasangan 1 m² kaca wireglassed tebal 5 mm</v>
      </c>
      <c r="C464" s="526">
        <f>RAB!C464</f>
        <v>0</v>
      </c>
      <c r="D464" s="524" t="str">
        <f>RAB!D464</f>
        <v>m2</v>
      </c>
      <c r="E464" s="506">
        <f>'Rekap. Upah Pekerja'!D453</f>
        <v>20800</v>
      </c>
      <c r="F464" s="507">
        <f t="shared" si="13"/>
        <v>0</v>
      </c>
    </row>
    <row r="465" spans="1:6" s="498" customFormat="1" ht="15" customHeight="1" x14ac:dyDescent="0.25">
      <c r="A465" s="504">
        <f>'Rekap. Upah Pekerja'!A454</f>
        <v>21</v>
      </c>
      <c r="B465" s="505" t="str">
        <f>'Rekap. Upah Pekerja'!B454</f>
        <v>Pemasangan 1 m² kaca patri tebal 5 mm</v>
      </c>
      <c r="C465" s="526">
        <f>RAB!C465</f>
        <v>0</v>
      </c>
      <c r="D465" s="524" t="str">
        <f>RAB!D465</f>
        <v>m2</v>
      </c>
      <c r="E465" s="506">
        <f>'Rekap. Upah Pekerja'!D454</f>
        <v>26000</v>
      </c>
      <c r="F465" s="507">
        <f t="shared" si="13"/>
        <v>0</v>
      </c>
    </row>
    <row r="466" spans="1:6" s="498" customFormat="1" ht="15" customHeight="1" thickBot="1" x14ac:dyDescent="0.3">
      <c r="A466" s="504">
        <f>'Rekap. Upah Pekerja'!A455</f>
        <v>22</v>
      </c>
      <c r="B466" s="505" t="str">
        <f>'Rekap. Upah Pekerja'!B455</f>
        <v>Pemasangan 1 m² kaca buram  tebal 12 mm</v>
      </c>
      <c r="C466" s="526">
        <f>RAB!C466</f>
        <v>0</v>
      </c>
      <c r="D466" s="524" t="str">
        <f>RAB!D466</f>
        <v>m2</v>
      </c>
      <c r="E466" s="506">
        <f>'Rekap. Upah Pekerja'!D455</f>
        <v>23600</v>
      </c>
      <c r="F466" s="517">
        <f t="shared" si="13"/>
        <v>0</v>
      </c>
    </row>
    <row r="467" spans="1:6" s="498" customFormat="1" ht="21" customHeight="1" thickTop="1" thickBot="1" x14ac:dyDescent="0.3">
      <c r="A467" s="602" t="s">
        <v>1764</v>
      </c>
      <c r="B467" s="602"/>
      <c r="C467" s="602"/>
      <c r="D467" s="602"/>
      <c r="E467" s="602"/>
      <c r="F467" s="502">
        <f>SUM(F445:F466)</f>
        <v>0</v>
      </c>
    </row>
    <row r="468" spans="1:6" s="498" customFormat="1" ht="15" customHeight="1" thickTop="1" x14ac:dyDescent="0.25">
      <c r="A468" s="499"/>
      <c r="B468" s="496"/>
      <c r="C468" s="527"/>
      <c r="D468" s="501"/>
      <c r="E468" s="497"/>
    </row>
    <row r="469" spans="1:6" s="498" customFormat="1" ht="15" customHeight="1" x14ac:dyDescent="0.25">
      <c r="A469" s="503" t="str">
        <f>'Rekap. Upah Pekerja'!A457</f>
        <v>XIII.</v>
      </c>
      <c r="B469" s="605" t="str">
        <f>'Rekap. Upah Pekerja'!B457</f>
        <v>HARGA SATUAN PEKERJAAN PENGECATAN</v>
      </c>
      <c r="C469" s="605"/>
      <c r="D469" s="605"/>
      <c r="E469" s="605"/>
      <c r="F469" s="605"/>
    </row>
    <row r="470" spans="1:6" s="498" customFormat="1" ht="25.5" x14ac:dyDescent="0.25">
      <c r="A470" s="504">
        <f>'Rekap. Upah Pekerja'!A458</f>
        <v>1</v>
      </c>
      <c r="B470" s="505" t="str">
        <f>'Rekap. Upah Pekerja'!B458</f>
        <v>1 M² Pengikisan  / pengerokan permukaan cat lama</v>
      </c>
      <c r="C470" s="526">
        <f>RAB!C470</f>
        <v>0</v>
      </c>
      <c r="D470" s="524" t="str">
        <f>RAB!D470</f>
        <v>m2</v>
      </c>
      <c r="E470" s="506">
        <f>'Rekap. Upah Pekerja'!D458</f>
        <v>14700</v>
      </c>
      <c r="F470" s="507">
        <f t="shared" ref="F470:F492" si="14">C470*E470</f>
        <v>0</v>
      </c>
    </row>
    <row r="471" spans="1:6" s="498" customFormat="1" ht="25.5" x14ac:dyDescent="0.25">
      <c r="A471" s="504">
        <f>'Rekap. Upah Pekerja'!A459</f>
        <v>2</v>
      </c>
      <c r="B471" s="505" t="str">
        <f>'Rekap. Upah Pekerja'!B459</f>
        <v>1 M² Pencucian bidang permukaan tembok yang pernah di cat</v>
      </c>
      <c r="C471" s="526">
        <f>RAB!C471</f>
        <v>0</v>
      </c>
      <c r="D471" s="524" t="str">
        <f>RAB!D471</f>
        <v>m2</v>
      </c>
      <c r="E471" s="506">
        <f>'Rekap. Upah Pekerja'!D459</f>
        <v>14700</v>
      </c>
      <c r="F471" s="507">
        <f t="shared" si="14"/>
        <v>0</v>
      </c>
    </row>
    <row r="472" spans="1:6" s="498" customFormat="1" ht="25.5" x14ac:dyDescent="0.25">
      <c r="A472" s="504">
        <f>'Rekap. Upah Pekerja'!A460</f>
        <v>3</v>
      </c>
      <c r="B472" s="505" t="str">
        <f>'Rekap. Upah Pekerja'!B460</f>
        <v>1 M² Pengerokan karat pada permukaan baja secara manual</v>
      </c>
      <c r="C472" s="526">
        <f>RAB!C472</f>
        <v>0</v>
      </c>
      <c r="D472" s="524" t="str">
        <f>RAB!D472</f>
        <v>m2</v>
      </c>
      <c r="E472" s="506">
        <f>'Rekap. Upah Pekerja'!D460</f>
        <v>15400</v>
      </c>
      <c r="F472" s="507">
        <f t="shared" si="14"/>
        <v>0</v>
      </c>
    </row>
    <row r="473" spans="1:6" s="498" customFormat="1" ht="25.5" x14ac:dyDescent="0.25">
      <c r="A473" s="504" t="str">
        <f>'Rekap. Upah Pekerja'!A461</f>
        <v>4.1</v>
      </c>
      <c r="B473" s="505" t="str">
        <f>'Rekap. Upah Pekerja'!B461</f>
        <v>1 M² Pengecatan bidang kayu baru (1 lapis plamier, 1 lapis cat dasar, 2 lapis cat penutup)</v>
      </c>
      <c r="C473" s="526">
        <f>RAB!C473</f>
        <v>0</v>
      </c>
      <c r="D473" s="524" t="str">
        <f>RAB!D473</f>
        <v>m2</v>
      </c>
      <c r="E473" s="506">
        <f>'Rekap. Upah Pekerja'!D461</f>
        <v>11900</v>
      </c>
      <c r="F473" s="507">
        <f t="shared" si="14"/>
        <v>0</v>
      </c>
    </row>
    <row r="474" spans="1:6" s="498" customFormat="1" ht="25.5" x14ac:dyDescent="0.25">
      <c r="A474" s="504" t="str">
        <f>'Rekap. Upah Pekerja'!A462</f>
        <v>4.2</v>
      </c>
      <c r="B474" s="505" t="str">
        <f>'Rekap. Upah Pekerja'!B462</f>
        <v>1 M² Pengecatan bidang kayu lama (1 lapis plamier, 1 lapis cat dasar, 2 lapis cat penutup)</v>
      </c>
      <c r="C474" s="526">
        <f>RAB!C474</f>
        <v>0</v>
      </c>
      <c r="D474" s="524" t="str">
        <f>RAB!D474</f>
        <v>m2</v>
      </c>
      <c r="E474" s="506">
        <f>'Rekap. Upah Pekerja'!D462</f>
        <v>11900</v>
      </c>
      <c r="F474" s="507">
        <f t="shared" si="14"/>
        <v>0</v>
      </c>
    </row>
    <row r="475" spans="1:6" s="498" customFormat="1" ht="25.5" x14ac:dyDescent="0.25">
      <c r="A475" s="504">
        <f>'Rekap. Upah Pekerja'!A463</f>
        <v>5</v>
      </c>
      <c r="B475" s="505" t="str">
        <f>'Rekap. Upah Pekerja'!B463</f>
        <v>Pengecatan 1 M² bidang kayu baru (1 lapis plamier, 1 lapis cat dasar, 3 lapis cat penutup)</v>
      </c>
      <c r="C475" s="526">
        <f>RAB!C475</f>
        <v>0</v>
      </c>
      <c r="D475" s="524" t="str">
        <f>RAB!D475</f>
        <v>m2</v>
      </c>
      <c r="E475" s="506">
        <f>'Rekap. Upah Pekerja'!D463</f>
        <v>11900</v>
      </c>
      <c r="F475" s="507">
        <f t="shared" si="14"/>
        <v>0</v>
      </c>
    </row>
    <row r="476" spans="1:6" s="498" customFormat="1" ht="15" customHeight="1" x14ac:dyDescent="0.25">
      <c r="A476" s="504">
        <f>'Rekap. Upah Pekerja'!A464</f>
        <v>6</v>
      </c>
      <c r="B476" s="505" t="str">
        <f>'Rekap. Upah Pekerja'!B464</f>
        <v>Pelaburan 1 M² bidang kayu dengan teak oil</v>
      </c>
      <c r="C476" s="526">
        <f>RAB!C476</f>
        <v>0</v>
      </c>
      <c r="D476" s="524" t="str">
        <f>RAB!D476</f>
        <v>m2</v>
      </c>
      <c r="E476" s="506">
        <f>'Rekap. Upah Pekerja'!D464</f>
        <v>24500</v>
      </c>
      <c r="F476" s="507">
        <f t="shared" si="14"/>
        <v>0</v>
      </c>
    </row>
    <row r="477" spans="1:6" s="498" customFormat="1" ht="15" customHeight="1" x14ac:dyDescent="0.25">
      <c r="A477" s="504">
        <f>'Rekap. Upah Pekerja'!A465</f>
        <v>7</v>
      </c>
      <c r="B477" s="505" t="str">
        <f>'Rekap. Upah Pekerja'!B465</f>
        <v>Pelaburan 1 M² bidang kayu dengan politur</v>
      </c>
      <c r="C477" s="526">
        <f>RAB!C477</f>
        <v>0</v>
      </c>
      <c r="D477" s="524" t="str">
        <f>RAB!D477</f>
        <v>m2</v>
      </c>
      <c r="E477" s="506">
        <f>'Rekap. Upah Pekerja'!D465</f>
        <v>25800</v>
      </c>
      <c r="F477" s="507">
        <f t="shared" si="14"/>
        <v>0</v>
      </c>
    </row>
    <row r="478" spans="1:6" s="498" customFormat="1" ht="25.5" x14ac:dyDescent="0.25">
      <c r="A478" s="504">
        <f>'Rekap. Upah Pekerja'!A466</f>
        <v>8</v>
      </c>
      <c r="B478" s="505" t="str">
        <f>'Rekap. Upah Pekerja'!B466</f>
        <v>Pelaburan 1 M² bidang kayu dengan cat residu dan ter</v>
      </c>
      <c r="C478" s="526">
        <f>RAB!C478</f>
        <v>0</v>
      </c>
      <c r="D478" s="524" t="str">
        <f>RAB!D478</f>
        <v>m2</v>
      </c>
      <c r="E478" s="506">
        <f>'Rekap. Upah Pekerja'!D466</f>
        <v>10400</v>
      </c>
      <c r="F478" s="507">
        <f t="shared" si="14"/>
        <v>0</v>
      </c>
    </row>
    <row r="479" spans="1:6" s="498" customFormat="1" ht="15" customHeight="1" x14ac:dyDescent="0.25">
      <c r="A479" s="504">
        <f>'Rekap. Upah Pekerja'!A467</f>
        <v>9</v>
      </c>
      <c r="B479" s="505" t="str">
        <f>'Rekap. Upah Pekerja'!B467</f>
        <v>Pelaburan 1 M² bidang kayu dengan vernis</v>
      </c>
      <c r="C479" s="526">
        <f>RAB!C479</f>
        <v>0</v>
      </c>
      <c r="D479" s="524" t="str">
        <f>RAB!D479</f>
        <v>m2</v>
      </c>
      <c r="E479" s="506">
        <f>'Rekap. Upah Pekerja'!D467</f>
        <v>35100</v>
      </c>
      <c r="F479" s="507">
        <f t="shared" si="14"/>
        <v>0</v>
      </c>
    </row>
    <row r="480" spans="1:6" s="498" customFormat="1" ht="25.5" x14ac:dyDescent="0.25">
      <c r="A480" s="504">
        <f>'Rekap. Upah Pekerja'!A468</f>
        <v>10</v>
      </c>
      <c r="B480" s="505" t="str">
        <f>'Rekap. Upah Pekerja'!B468</f>
        <v>Pengecatan 1 M² tembok baru (1 lapis plamuur, 1 lapis cat dasar, 2 lapis cat penutup)</v>
      </c>
      <c r="C480" s="526">
        <f>RAB!C480</f>
        <v>0</v>
      </c>
      <c r="D480" s="524" t="str">
        <f>RAB!D480</f>
        <v>m2</v>
      </c>
      <c r="E480" s="506">
        <f>'Rekap. Upah Pekerja'!D468</f>
        <v>11400</v>
      </c>
      <c r="F480" s="507">
        <f t="shared" si="14"/>
        <v>0</v>
      </c>
    </row>
    <row r="481" spans="1:6" s="498" customFormat="1" ht="25.5" x14ac:dyDescent="0.25">
      <c r="A481" s="504">
        <f>'Rekap. Upah Pekerja'!A469</f>
        <v>11</v>
      </c>
      <c r="B481" s="505" t="str">
        <f>'Rekap. Upah Pekerja'!B469</f>
        <v>Pengecatan 1 M² tembok lama (1 lapis cat dasar, 2 lapis cat penutup)</v>
      </c>
      <c r="C481" s="526">
        <f>RAB!C481</f>
        <v>0</v>
      </c>
      <c r="D481" s="524" t="str">
        <f>RAB!D481</f>
        <v>m2</v>
      </c>
      <c r="E481" s="506">
        <f>'Rekap. Upah Pekerja'!D469</f>
        <v>11900</v>
      </c>
      <c r="F481" s="507">
        <f t="shared" si="14"/>
        <v>0</v>
      </c>
    </row>
    <row r="482" spans="1:6" s="498" customFormat="1" ht="15" customHeight="1" x14ac:dyDescent="0.25">
      <c r="A482" s="504">
        <f>'Rekap. Upah Pekerja'!A470</f>
        <v>12</v>
      </c>
      <c r="B482" s="505" t="str">
        <f>'Rekap. Upah Pekerja'!B470</f>
        <v>Pelaburan 1 M² tembok dengan kalkarium</v>
      </c>
      <c r="C482" s="526">
        <f>RAB!C482</f>
        <v>0</v>
      </c>
      <c r="D482" s="524" t="str">
        <f>RAB!D482</f>
        <v>m2</v>
      </c>
      <c r="E482" s="506">
        <f>'Rekap. Upah Pekerja'!D470</f>
        <v>11900</v>
      </c>
      <c r="F482" s="507">
        <f t="shared" si="14"/>
        <v>0</v>
      </c>
    </row>
    <row r="483" spans="1:6" s="498" customFormat="1" ht="15" customHeight="1" x14ac:dyDescent="0.25">
      <c r="A483" s="504">
        <f>'Rekap. Upah Pekerja'!A471</f>
        <v>13</v>
      </c>
      <c r="B483" s="505" t="str">
        <f>'Rekap. Upah Pekerja'!B471</f>
        <v>Pelaburan 1 M² tembok dengan kapur sirih</v>
      </c>
      <c r="C483" s="526">
        <f>RAB!C483</f>
        <v>0</v>
      </c>
      <c r="D483" s="524" t="str">
        <f>RAB!D483</f>
        <v>m2</v>
      </c>
      <c r="E483" s="506">
        <f>'Rekap. Upah Pekerja'!D471</f>
        <v>14800</v>
      </c>
      <c r="F483" s="507">
        <f t="shared" si="14"/>
        <v>0</v>
      </c>
    </row>
    <row r="484" spans="1:6" s="498" customFormat="1" ht="25.5" x14ac:dyDescent="0.25">
      <c r="A484" s="504">
        <f>'Rekap. Upah Pekerja'!A472</f>
        <v>14</v>
      </c>
      <c r="B484" s="505" t="str">
        <f>'Rekap. Upah Pekerja'!B472</f>
        <v>Pelaburan 1 M² tembok lama dengan kapur sirih (pemeliharaan)</v>
      </c>
      <c r="C484" s="526">
        <f>RAB!C484</f>
        <v>0</v>
      </c>
      <c r="D484" s="524" t="str">
        <f>RAB!D484</f>
        <v>m2</v>
      </c>
      <c r="E484" s="506">
        <f>'Rekap. Upah Pekerja'!D472</f>
        <v>8100</v>
      </c>
      <c r="F484" s="507">
        <f t="shared" si="14"/>
        <v>0</v>
      </c>
    </row>
    <row r="485" spans="1:6" s="498" customFormat="1" ht="15" customHeight="1" x14ac:dyDescent="0.25">
      <c r="A485" s="504">
        <f>'Rekap. Upah Pekerja'!A473</f>
        <v>15</v>
      </c>
      <c r="B485" s="505" t="str">
        <f>'Rekap. Upah Pekerja'!B473</f>
        <v>Pemasangan 1 M² wallpaper</v>
      </c>
      <c r="C485" s="526">
        <f>RAB!C485</f>
        <v>0</v>
      </c>
      <c r="D485" s="524" t="str">
        <f>RAB!D485</f>
        <v>m2</v>
      </c>
      <c r="E485" s="506">
        <f>'Rekap. Upah Pekerja'!D473</f>
        <v>26600</v>
      </c>
      <c r="F485" s="507">
        <f t="shared" si="14"/>
        <v>0</v>
      </c>
    </row>
    <row r="486" spans="1:6" s="498" customFormat="1" ht="25.5" x14ac:dyDescent="0.25">
      <c r="A486" s="504">
        <f>'Rekap. Upah Pekerja'!A474</f>
        <v>16</v>
      </c>
      <c r="B486" s="505" t="str">
        <f>'Rekap. Upah Pekerja'!B474</f>
        <v>Pengecatan 1 M² permukaan baja dengan menie besi dengan perancah</v>
      </c>
      <c r="C486" s="526">
        <f>RAB!C486</f>
        <v>0</v>
      </c>
      <c r="D486" s="524" t="str">
        <f>RAB!D486</f>
        <v>m2</v>
      </c>
      <c r="E486" s="506">
        <f>'Rekap. Upah Pekerja'!D474</f>
        <v>52200</v>
      </c>
      <c r="F486" s="507">
        <f t="shared" si="14"/>
        <v>0</v>
      </c>
    </row>
    <row r="487" spans="1:6" s="498" customFormat="1" ht="25.5" x14ac:dyDescent="0.25">
      <c r="A487" s="504">
        <f>'Rekap. Upah Pekerja'!A475</f>
        <v>17</v>
      </c>
      <c r="B487" s="505" t="str">
        <f>'Rekap. Upah Pekerja'!B475</f>
        <v>Pengecatan 1 M² permukaan bidang kayu dengan mowilek</v>
      </c>
      <c r="C487" s="526">
        <f>RAB!C487</f>
        <v>0</v>
      </c>
      <c r="D487" s="524" t="str">
        <f>RAB!D487</f>
        <v>m2</v>
      </c>
      <c r="E487" s="506">
        <f>'Rekap. Upah Pekerja'!D475</f>
        <v>8800</v>
      </c>
      <c r="F487" s="507">
        <f t="shared" si="14"/>
        <v>0</v>
      </c>
    </row>
    <row r="488" spans="1:6" s="498" customFormat="1" x14ac:dyDescent="0.25">
      <c r="A488" s="504">
        <f>'Rekap. Upah Pekerja'!A476</f>
        <v>18</v>
      </c>
      <c r="B488" s="505" t="str">
        <f>'Rekap. Upah Pekerja'!B476</f>
        <v>Pengecatan 1 M² pelapisan batu alam (Coathing)</v>
      </c>
      <c r="C488" s="526">
        <f>RAB!C488</f>
        <v>0</v>
      </c>
      <c r="D488" s="524" t="str">
        <f>RAB!D488</f>
        <v>m2</v>
      </c>
      <c r="E488" s="506">
        <f>'Rekap. Upah Pekerja'!D476</f>
        <v>8800</v>
      </c>
      <c r="F488" s="507">
        <f t="shared" si="14"/>
        <v>0</v>
      </c>
    </row>
    <row r="489" spans="1:6" s="498" customFormat="1" ht="15" customHeight="1" x14ac:dyDescent="0.25">
      <c r="A489" s="504">
        <f>'Rekap. Upah Pekerja'!A477</f>
        <v>19</v>
      </c>
      <c r="B489" s="505" t="str">
        <f>'Rekap. Upah Pekerja'!B477</f>
        <v>Pengecatan 1 M² permukaan tembok dengan KCA</v>
      </c>
      <c r="C489" s="526">
        <f>RAB!C489</f>
        <v>0</v>
      </c>
      <c r="D489" s="524" t="str">
        <f>RAB!D489</f>
        <v>m2</v>
      </c>
      <c r="E489" s="506">
        <f>'Rekap. Upah Pekerja'!D477</f>
        <v>24700</v>
      </c>
      <c r="F489" s="507">
        <f t="shared" si="14"/>
        <v>0</v>
      </c>
    </row>
    <row r="490" spans="1:6" s="498" customFormat="1" ht="25.5" x14ac:dyDescent="0.25">
      <c r="A490" s="504">
        <f>'Rekap. Upah Pekerja'!A478</f>
        <v>20</v>
      </c>
      <c r="B490" s="505" t="str">
        <f>'Rekap. Upah Pekerja'!B478</f>
        <v xml:space="preserve">Pengecatan 1 M² permukaan baja galvanis secara manual sistem 3 lapis </v>
      </c>
      <c r="C490" s="526">
        <f>RAB!C490</f>
        <v>0</v>
      </c>
      <c r="D490" s="524" t="str">
        <f>RAB!D490</f>
        <v>m2</v>
      </c>
      <c r="E490" s="506">
        <f>'Rekap. Upah Pekerja'!D478</f>
        <v>129800</v>
      </c>
      <c r="F490" s="507">
        <f t="shared" si="14"/>
        <v>0</v>
      </c>
    </row>
    <row r="491" spans="1:6" s="498" customFormat="1" ht="25.5" x14ac:dyDescent="0.25">
      <c r="A491" s="504">
        <f>'Rekap. Upah Pekerja'!A479</f>
        <v>21</v>
      </c>
      <c r="B491" s="505" t="str">
        <f>'Rekap. Upah Pekerja'!B479</f>
        <v>Pengecatan 1 M² permukaan tembok dengan waterproofing</v>
      </c>
      <c r="C491" s="526">
        <f>RAB!C491</f>
        <v>0</v>
      </c>
      <c r="D491" s="524" t="str">
        <f>RAB!D491</f>
        <v>m2</v>
      </c>
      <c r="E491" s="506">
        <f>'Rekap. Upah Pekerja'!D479</f>
        <v>44800</v>
      </c>
      <c r="F491" s="507">
        <f t="shared" si="14"/>
        <v>0</v>
      </c>
    </row>
    <row r="492" spans="1:6" s="498" customFormat="1" ht="26.25" thickBot="1" x14ac:dyDescent="0.3">
      <c r="A492" s="504">
        <f>'Rekap. Upah Pekerja'!A480</f>
        <v>22</v>
      </c>
      <c r="B492" s="505" t="str">
        <f>'Rekap. Upah Pekerja'!B480</f>
        <v>Pengecatan 1 M² permukaan baja galvanis  secara manual 4 lapis</v>
      </c>
      <c r="C492" s="526">
        <f>RAB!C492</f>
        <v>0</v>
      </c>
      <c r="D492" s="524" t="str">
        <f>RAB!D492</f>
        <v>m2</v>
      </c>
      <c r="E492" s="506">
        <f>'Rekap. Upah Pekerja'!D480</f>
        <v>54400</v>
      </c>
      <c r="F492" s="517">
        <f t="shared" si="14"/>
        <v>0</v>
      </c>
    </row>
    <row r="493" spans="1:6" s="498" customFormat="1" ht="21" customHeight="1" thickTop="1" thickBot="1" x14ac:dyDescent="0.3">
      <c r="A493" s="602" t="s">
        <v>1765</v>
      </c>
      <c r="B493" s="602"/>
      <c r="C493" s="602"/>
      <c r="D493" s="602"/>
      <c r="E493" s="602"/>
      <c r="F493" s="502">
        <f>SUM(F470:F492)</f>
        <v>0</v>
      </c>
    </row>
    <row r="494" spans="1:6" s="498" customFormat="1" ht="15" customHeight="1" thickTop="1" x14ac:dyDescent="0.25">
      <c r="A494" s="499"/>
      <c r="B494" s="496"/>
      <c r="C494" s="527"/>
      <c r="D494" s="501"/>
      <c r="E494" s="497"/>
    </row>
    <row r="495" spans="1:6" s="498" customFormat="1" ht="15" customHeight="1" x14ac:dyDescent="0.25">
      <c r="A495" s="503" t="str">
        <f>'Rekap. Upah Pekerja'!A482</f>
        <v>XIV.</v>
      </c>
      <c r="B495" s="605" t="str">
        <f>'Rekap. Upah Pekerja'!B482</f>
        <v>HARGA SATUAN PEKERJAAN SANITASI DALAM GEDUNG</v>
      </c>
      <c r="C495" s="605"/>
      <c r="D495" s="605"/>
      <c r="E495" s="605"/>
      <c r="F495" s="605"/>
    </row>
    <row r="496" spans="1:6" s="498" customFormat="1" ht="15" customHeight="1" x14ac:dyDescent="0.25">
      <c r="A496" s="504">
        <f>'Rekap. Upah Pekerja'!A483</f>
        <v>1</v>
      </c>
      <c r="B496" s="505" t="str">
        <f>'Rekap. Upah Pekerja'!B483</f>
        <v>Pemasangan 1 buah closet duduk</v>
      </c>
      <c r="C496" s="526">
        <f>RAB!C496</f>
        <v>0</v>
      </c>
      <c r="D496" s="524" t="str">
        <f>RAB!D496</f>
        <v>bh</v>
      </c>
      <c r="E496" s="506">
        <f>'Rekap. Upah Pekerja'!D483</f>
        <v>458100</v>
      </c>
      <c r="F496" s="507">
        <f t="shared" ref="F496:F522" si="15">C496*E496</f>
        <v>0</v>
      </c>
    </row>
    <row r="497" spans="1:6" s="498" customFormat="1" ht="15" customHeight="1" x14ac:dyDescent="0.25">
      <c r="A497" s="504">
        <f>'Rekap. Upah Pekerja'!A484</f>
        <v>2</v>
      </c>
      <c r="B497" s="505" t="str">
        <f>'Rekap. Upah Pekerja'!B484</f>
        <v>Pengerjaan 1 buah closet jongkok</v>
      </c>
      <c r="C497" s="526">
        <f>RAB!C497</f>
        <v>0</v>
      </c>
      <c r="D497" s="524" t="str">
        <f>RAB!D497</f>
        <v>bh</v>
      </c>
      <c r="E497" s="506">
        <f>'Rekap. Upah Pekerja'!D484</f>
        <v>287800</v>
      </c>
      <c r="F497" s="507">
        <f t="shared" si="15"/>
        <v>0</v>
      </c>
    </row>
    <row r="498" spans="1:6" s="498" customFormat="1" ht="15" customHeight="1" x14ac:dyDescent="0.25">
      <c r="A498" s="504">
        <f>'Rekap. Upah Pekerja'!A485</f>
        <v>3</v>
      </c>
      <c r="B498" s="505" t="str">
        <f>'Rekap. Upah Pekerja'!B485</f>
        <v>Pemasangan 1 buah urinoir setara KIA</v>
      </c>
      <c r="C498" s="526">
        <f>RAB!C498</f>
        <v>0</v>
      </c>
      <c r="D498" s="524" t="str">
        <f>RAB!D498</f>
        <v>bh</v>
      </c>
      <c r="E498" s="506">
        <f>'Rekap. Upah Pekerja'!D485</f>
        <v>141500</v>
      </c>
      <c r="F498" s="507">
        <f t="shared" si="15"/>
        <v>0</v>
      </c>
    </row>
    <row r="499" spans="1:6" s="498" customFormat="1" ht="15" customHeight="1" x14ac:dyDescent="0.25">
      <c r="A499" s="504">
        <f>'Rekap. Upah Pekerja'!A486</f>
        <v>4</v>
      </c>
      <c r="B499" s="505" t="str">
        <f>'Rekap. Upah Pekerja'!B486</f>
        <v>Pemasangan 1 buah wastafel</v>
      </c>
      <c r="C499" s="526">
        <f>RAB!C499</f>
        <v>0</v>
      </c>
      <c r="D499" s="524" t="str">
        <f>RAB!D499</f>
        <v>bh</v>
      </c>
      <c r="E499" s="506">
        <f>'Rekap. Upah Pekerja'!D486</f>
        <v>301300</v>
      </c>
      <c r="F499" s="507">
        <f t="shared" si="15"/>
        <v>0</v>
      </c>
    </row>
    <row r="500" spans="1:6" s="498" customFormat="1" ht="15" customHeight="1" x14ac:dyDescent="0.25">
      <c r="A500" s="504">
        <f>'Rekap. Upah Pekerja'!A487</f>
        <v>5</v>
      </c>
      <c r="B500" s="505" t="str">
        <f>'Rekap. Upah Pekerja'!B487</f>
        <v>Pemasangan 1 buah tempat sabun</v>
      </c>
      <c r="C500" s="526">
        <f>RAB!C500</f>
        <v>0</v>
      </c>
      <c r="D500" s="524" t="str">
        <f>RAB!D500</f>
        <v>bh</v>
      </c>
      <c r="E500" s="506">
        <f>'Rekap. Upah Pekerja'!D487</f>
        <v>24200</v>
      </c>
      <c r="F500" s="507">
        <f t="shared" si="15"/>
        <v>0</v>
      </c>
    </row>
    <row r="501" spans="1:6" s="498" customFormat="1" ht="15" customHeight="1" x14ac:dyDescent="0.25">
      <c r="A501" s="504">
        <f>'Rekap. Upah Pekerja'!A488</f>
        <v>6</v>
      </c>
      <c r="B501" s="505" t="str">
        <f>'Rekap. Upah Pekerja'!B488</f>
        <v>Pemasangan 1 buah bak fibreglass vol 1 m3</v>
      </c>
      <c r="C501" s="526">
        <f>RAB!C501</f>
        <v>0</v>
      </c>
      <c r="D501" s="524" t="str">
        <f>RAB!D501</f>
        <v>bh</v>
      </c>
      <c r="E501" s="506">
        <f>'Rekap. Upah Pekerja'!D488</f>
        <v>88800</v>
      </c>
      <c r="F501" s="507">
        <f t="shared" si="15"/>
        <v>0</v>
      </c>
    </row>
    <row r="502" spans="1:6" s="498" customFormat="1" ht="25.5" x14ac:dyDescent="0.25">
      <c r="A502" s="504">
        <f>'Rekap. Upah Pekerja'!A489</f>
        <v>7</v>
      </c>
      <c r="B502" s="505" t="str">
        <f>'Rekap. Upah Pekerja'!B489</f>
        <v>Pemasangan 1 buah bak mandi batu bata vol.0,3 m3</v>
      </c>
      <c r="C502" s="526">
        <f>RAB!C502</f>
        <v>0</v>
      </c>
      <c r="D502" s="524" t="str">
        <f>RAB!D502</f>
        <v>bh</v>
      </c>
      <c r="E502" s="506">
        <f>'Rekap. Upah Pekerja'!D489</f>
        <v>938700</v>
      </c>
      <c r="F502" s="507">
        <f t="shared" si="15"/>
        <v>0</v>
      </c>
    </row>
    <row r="503" spans="1:6" s="498" customFormat="1" ht="15" customHeight="1" x14ac:dyDescent="0.25">
      <c r="A503" s="504">
        <f>'Rekap. Upah Pekerja'!A490</f>
        <v>8</v>
      </c>
      <c r="B503" s="505" t="str">
        <f>'Rekap. Upah Pekerja'!B490</f>
        <v xml:space="preserve">Pemasangan 1 buah bak mandi teraso </v>
      </c>
      <c r="C503" s="526">
        <f>RAB!C503</f>
        <v>0</v>
      </c>
      <c r="D503" s="524" t="str">
        <f>RAB!D503</f>
        <v>bh</v>
      </c>
      <c r="E503" s="506">
        <f>'Rekap. Upah Pekerja'!D490</f>
        <v>653900</v>
      </c>
      <c r="F503" s="507">
        <f t="shared" si="15"/>
        <v>0</v>
      </c>
    </row>
    <row r="504" spans="1:6" s="498" customFormat="1" ht="15" customHeight="1" x14ac:dyDescent="0.25">
      <c r="A504" s="504">
        <f>'Rekap. Upah Pekerja'!A491</f>
        <v>9</v>
      </c>
      <c r="B504" s="505" t="str">
        <f>'Rekap. Upah Pekerja'!B491</f>
        <v>Pemasangan 1 buah bak beton vol 1 m3</v>
      </c>
      <c r="C504" s="526">
        <f>RAB!C504</f>
        <v>0</v>
      </c>
      <c r="D504" s="524" t="str">
        <f>RAB!D504</f>
        <v>bh</v>
      </c>
      <c r="E504" s="506">
        <f>'Rekap. Upah Pekerja'!D491</f>
        <v>838700</v>
      </c>
      <c r="F504" s="507">
        <f t="shared" si="15"/>
        <v>0</v>
      </c>
    </row>
    <row r="505" spans="1:6" s="498" customFormat="1" ht="25.5" x14ac:dyDescent="0.25">
      <c r="A505" s="504">
        <f>'Rekap. Upah Pekerja'!A492</f>
        <v>10</v>
      </c>
      <c r="B505" s="505" t="str">
        <f>'Rekap. Upah Pekerja'!B492</f>
        <v>Pemasangan 1 buah bak cuci piring stainless steel</v>
      </c>
      <c r="C505" s="526">
        <f>RAB!C505</f>
        <v>0</v>
      </c>
      <c r="D505" s="524" t="str">
        <f>RAB!D505</f>
        <v>bh</v>
      </c>
      <c r="E505" s="506">
        <f>'Rekap. Upah Pekerja'!D492</f>
        <v>41400</v>
      </c>
      <c r="F505" s="507">
        <f t="shared" si="15"/>
        <v>0</v>
      </c>
    </row>
    <row r="506" spans="1:6" s="498" customFormat="1" ht="15" customHeight="1" x14ac:dyDescent="0.25">
      <c r="A506" s="504">
        <f>'Rekap. Upah Pekerja'!A493</f>
        <v>11</v>
      </c>
      <c r="B506" s="505" t="str">
        <f>'Rekap. Upah Pekerja'!B493</f>
        <v>Pemasangan 1 buah bak cuci piring teraso</v>
      </c>
      <c r="C506" s="526">
        <f>RAB!C506</f>
        <v>0</v>
      </c>
      <c r="D506" s="524" t="str">
        <f>RAB!D506</f>
        <v>bh</v>
      </c>
      <c r="E506" s="506">
        <f>'Rekap. Upah Pekerja'!D493</f>
        <v>52300</v>
      </c>
      <c r="F506" s="507">
        <f t="shared" si="15"/>
        <v>0</v>
      </c>
    </row>
    <row r="507" spans="1:6" s="498" customFormat="1" ht="15" customHeight="1" x14ac:dyDescent="0.25">
      <c r="A507" s="504">
        <f>'Rekap. Upah Pekerja'!A494</f>
        <v>12</v>
      </c>
      <c r="B507" s="505" t="str">
        <f>'Rekap. Upah Pekerja'!B494</f>
        <v>Pemasangan 1 buah floor drain</v>
      </c>
      <c r="C507" s="526">
        <f>RAB!C507</f>
        <v>0</v>
      </c>
      <c r="D507" s="524" t="str">
        <f>RAB!D507</f>
        <v>bh</v>
      </c>
      <c r="E507" s="506">
        <f>'Rekap. Upah Pekerja'!D494</f>
        <v>13300</v>
      </c>
      <c r="F507" s="507">
        <f t="shared" si="15"/>
        <v>0</v>
      </c>
    </row>
    <row r="508" spans="1:6" s="498" customFormat="1" ht="25.5" x14ac:dyDescent="0.25">
      <c r="A508" s="504">
        <f>'Rekap. Upah Pekerja'!A495</f>
        <v>13</v>
      </c>
      <c r="B508" s="505" t="str">
        <f>'Rekap. Upah Pekerja'!B495</f>
        <v>Pemasangan 1 buah bak kontrol pasangan bata 30 x 30 tinggi 35 cm</v>
      </c>
      <c r="C508" s="526">
        <f>RAB!C508</f>
        <v>0</v>
      </c>
      <c r="D508" s="524" t="str">
        <f>RAB!D508</f>
        <v>bh</v>
      </c>
      <c r="E508" s="506">
        <f>'Rekap. Upah Pekerja'!D495</f>
        <v>374100</v>
      </c>
      <c r="F508" s="507">
        <f t="shared" si="15"/>
        <v>0</v>
      </c>
    </row>
    <row r="509" spans="1:6" s="498" customFormat="1" ht="25.5" x14ac:dyDescent="0.25">
      <c r="A509" s="504">
        <f>'Rekap. Upah Pekerja'!A496</f>
        <v>14</v>
      </c>
      <c r="B509" s="505" t="str">
        <f>'Rekap. Upah Pekerja'!B496</f>
        <v>Pemasangan 1 buah bak kontrol pasangan bata 45cm x 45cm tinggi 50 cm</v>
      </c>
      <c r="C509" s="526">
        <f>RAB!C509</f>
        <v>0</v>
      </c>
      <c r="D509" s="524" t="str">
        <f>RAB!D509</f>
        <v>bh</v>
      </c>
      <c r="E509" s="506">
        <f>'Rekap. Upah Pekerja'!D496</f>
        <v>434100</v>
      </c>
      <c r="F509" s="507">
        <f t="shared" si="15"/>
        <v>0</v>
      </c>
    </row>
    <row r="510" spans="1:6" s="498" customFormat="1" ht="25.5" x14ac:dyDescent="0.25">
      <c r="A510" s="504">
        <f>'Rekap. Upah Pekerja'!A497</f>
        <v>15</v>
      </c>
      <c r="B510" s="505" t="str">
        <f>'Rekap. Upah Pekerja'!B497</f>
        <v>Pemasangan 1 buah bak kontrol pasangan bata 60cm x 60cm tinggi 65 cm</v>
      </c>
      <c r="C510" s="526">
        <f>RAB!C510</f>
        <v>0</v>
      </c>
      <c r="D510" s="524" t="str">
        <f>RAB!D510</f>
        <v>bh</v>
      </c>
      <c r="E510" s="506">
        <f>'Rekap. Upah Pekerja'!D497</f>
        <v>434100</v>
      </c>
      <c r="F510" s="507">
        <f t="shared" si="15"/>
        <v>0</v>
      </c>
    </row>
    <row r="511" spans="1:6" s="498" customFormat="1" ht="25.5" x14ac:dyDescent="0.25">
      <c r="A511" s="504">
        <f>'Rekap. Upah Pekerja'!A498</f>
        <v>16</v>
      </c>
      <c r="B511" s="505" t="str">
        <f>'Rekap. Upah Pekerja'!B498</f>
        <v>Pemasangan 1 buah kran diameter ½ " atau ¾ " (0.75 -0.5)</v>
      </c>
      <c r="C511" s="526">
        <f>RAB!C511</f>
        <v>0</v>
      </c>
      <c r="D511" s="524" t="str">
        <f>RAB!D511</f>
        <v>bh</v>
      </c>
      <c r="E511" s="506">
        <f>'Rekap. Upah Pekerja'!D498</f>
        <v>18600</v>
      </c>
      <c r="F511" s="507">
        <f t="shared" si="15"/>
        <v>0</v>
      </c>
    </row>
    <row r="512" spans="1:6" s="498" customFormat="1" ht="15" customHeight="1" x14ac:dyDescent="0.25">
      <c r="A512" s="504">
        <f>'Rekap. Upah Pekerja'!A499</f>
        <v>17</v>
      </c>
      <c r="B512" s="505" t="str">
        <f>'Rekap. Upah Pekerja'!B499</f>
        <v>Pemasangan 1 m1 pipa galvanis diameter 1/2"</v>
      </c>
      <c r="C512" s="526">
        <f>RAB!C512</f>
        <v>0</v>
      </c>
      <c r="D512" s="524" t="str">
        <f>RAB!D512</f>
        <v>m1</v>
      </c>
      <c r="E512" s="506">
        <f>'Rekap. Upah Pekerja'!D499</f>
        <v>21900</v>
      </c>
      <c r="F512" s="507">
        <f t="shared" si="15"/>
        <v>0</v>
      </c>
    </row>
    <row r="513" spans="1:6" s="498" customFormat="1" ht="15" customHeight="1" x14ac:dyDescent="0.25">
      <c r="A513" s="504">
        <f>'Rekap. Upah Pekerja'!A500</f>
        <v>18</v>
      </c>
      <c r="B513" s="505" t="str">
        <f>'Rekap. Upah Pekerja'!B500</f>
        <v>Pemasangan 1 m1 pipa galvanis diameter  1"</v>
      </c>
      <c r="C513" s="526">
        <f>RAB!C513</f>
        <v>0</v>
      </c>
      <c r="D513" s="524" t="str">
        <f>RAB!D513</f>
        <v>m1</v>
      </c>
      <c r="E513" s="506">
        <f>'Rekap. Upah Pekerja'!D500</f>
        <v>21900</v>
      </c>
      <c r="F513" s="507">
        <f t="shared" si="15"/>
        <v>0</v>
      </c>
    </row>
    <row r="514" spans="1:6" s="498" customFormat="1" ht="15" customHeight="1" x14ac:dyDescent="0.25">
      <c r="A514" s="504">
        <f>'Rekap. Upah Pekerja'!A501</f>
        <v>19</v>
      </c>
      <c r="B514" s="505" t="str">
        <f>'Rekap. Upah Pekerja'!B501</f>
        <v>Pemasangan 1 m1 pipa galvanis diameter  1,5"</v>
      </c>
      <c r="C514" s="526">
        <f>RAB!C514</f>
        <v>0</v>
      </c>
      <c r="D514" s="524" t="str">
        <f>RAB!D514</f>
        <v>m1</v>
      </c>
      <c r="E514" s="506">
        <f>'Rekap. Upah Pekerja'!D501</f>
        <v>32900</v>
      </c>
      <c r="F514" s="507">
        <f t="shared" si="15"/>
        <v>0</v>
      </c>
    </row>
    <row r="515" spans="1:6" s="498" customFormat="1" ht="15" customHeight="1" x14ac:dyDescent="0.25">
      <c r="A515" s="504">
        <f>'Rekap. Upah Pekerja'!A502</f>
        <v>20</v>
      </c>
      <c r="B515" s="505" t="str">
        <f>'Rekap. Upah Pekerja'!B502</f>
        <v>Pemasangan 1 m1 pipa galvanis diameter  3"</v>
      </c>
      <c r="C515" s="526">
        <f>RAB!C515</f>
        <v>0</v>
      </c>
      <c r="D515" s="524" t="str">
        <f>RAB!D515</f>
        <v>m1</v>
      </c>
      <c r="E515" s="506">
        <f>'Rekap. Upah Pekerja'!D502</f>
        <v>41200</v>
      </c>
      <c r="F515" s="507">
        <f t="shared" si="15"/>
        <v>0</v>
      </c>
    </row>
    <row r="516" spans="1:6" s="498" customFormat="1" ht="15" customHeight="1" x14ac:dyDescent="0.25">
      <c r="A516" s="504">
        <f>'Rekap. Upah Pekerja'!A503</f>
        <v>21</v>
      </c>
      <c r="B516" s="505" t="str">
        <f>'Rekap. Upah Pekerja'!B503</f>
        <v>Pemasangan 1 m1 pipa galvanis diameter  4"</v>
      </c>
      <c r="C516" s="526">
        <f>RAB!C516</f>
        <v>0</v>
      </c>
      <c r="D516" s="524" t="str">
        <f>RAB!D516</f>
        <v>m1</v>
      </c>
      <c r="E516" s="506">
        <f>'Rekap. Upah Pekerja'!D503</f>
        <v>41200</v>
      </c>
      <c r="F516" s="507">
        <f t="shared" si="15"/>
        <v>0</v>
      </c>
    </row>
    <row r="517" spans="1:6" s="498" customFormat="1" ht="25.5" x14ac:dyDescent="0.25">
      <c r="A517" s="504">
        <f>'Rekap. Upah Pekerja'!A504</f>
        <v>22</v>
      </c>
      <c r="B517" s="505" t="str">
        <f>'Rekap. Upah Pekerja'!B504</f>
        <v>Pemasangan 1 m1 pipa PVC tipe AW diameter  ½  "</v>
      </c>
      <c r="C517" s="526">
        <f>RAB!C517</f>
        <v>0</v>
      </c>
      <c r="D517" s="524" t="str">
        <f>RAB!D517</f>
        <v>m1</v>
      </c>
      <c r="E517" s="506">
        <f>'Rekap. Upah Pekerja'!D504</f>
        <v>12700</v>
      </c>
      <c r="F517" s="507">
        <f t="shared" si="15"/>
        <v>0</v>
      </c>
    </row>
    <row r="518" spans="1:6" s="498" customFormat="1" ht="25.5" x14ac:dyDescent="0.25">
      <c r="A518" s="504">
        <f>'Rekap. Upah Pekerja'!A505</f>
        <v>23</v>
      </c>
      <c r="B518" s="505" t="str">
        <f>'Rekap. Upah Pekerja'!B505</f>
        <v>Pemasangan 1 m1 pipa PVC tipe AW diameter  ¾ "</v>
      </c>
      <c r="C518" s="526">
        <f>RAB!C518</f>
        <v>0</v>
      </c>
      <c r="D518" s="524" t="str">
        <f>RAB!D518</f>
        <v>m1</v>
      </c>
      <c r="E518" s="506">
        <f>'Rekap. Upah Pekerja'!D505</f>
        <v>12700</v>
      </c>
      <c r="F518" s="507">
        <f t="shared" si="15"/>
        <v>0</v>
      </c>
    </row>
    <row r="519" spans="1:6" s="498" customFormat="1" ht="15" customHeight="1" x14ac:dyDescent="0.25">
      <c r="A519" s="504">
        <f>'Rekap. Upah Pekerja'!A506</f>
        <v>24</v>
      </c>
      <c r="B519" s="505" t="str">
        <f>'Rekap. Upah Pekerja'!B506</f>
        <v>Pemasangan 1 m1 pipa PVC tipe AW diameter  1 "</v>
      </c>
      <c r="C519" s="526">
        <f>RAB!C519</f>
        <v>0</v>
      </c>
      <c r="D519" s="524" t="str">
        <f>RAB!D519</f>
        <v>m1</v>
      </c>
      <c r="E519" s="506">
        <f>'Rekap. Upah Pekerja'!D506</f>
        <v>12700</v>
      </c>
      <c r="F519" s="507">
        <f t="shared" si="15"/>
        <v>0</v>
      </c>
    </row>
    <row r="520" spans="1:6" s="498" customFormat="1" ht="25.5" x14ac:dyDescent="0.25">
      <c r="A520" s="504">
        <f>'Rekap. Upah Pekerja'!A507</f>
        <v>25</v>
      </c>
      <c r="B520" s="505" t="str">
        <f>'Rekap. Upah Pekerja'!B507</f>
        <v>Pemasangan 1 m1 pipa PVC tipe AW diameter  1½ "</v>
      </c>
      <c r="C520" s="526">
        <f>RAB!C520</f>
        <v>0</v>
      </c>
      <c r="D520" s="524" t="str">
        <f>RAB!D520</f>
        <v>m1</v>
      </c>
      <c r="E520" s="506">
        <f>'Rekap. Upah Pekerja'!D507</f>
        <v>18600</v>
      </c>
      <c r="F520" s="507">
        <f t="shared" si="15"/>
        <v>0</v>
      </c>
    </row>
    <row r="521" spans="1:6" s="498" customFormat="1" ht="15" customHeight="1" x14ac:dyDescent="0.25">
      <c r="A521" s="504">
        <f>'Rekap. Upah Pekerja'!A508</f>
        <v>26</v>
      </c>
      <c r="B521" s="505" t="str">
        <f>'Rekap. Upah Pekerja'!B508</f>
        <v>Pemasangan 1 m1 pipa PVC tipe AW diameter  2 "</v>
      </c>
      <c r="C521" s="526">
        <f>RAB!C521</f>
        <v>0</v>
      </c>
      <c r="D521" s="524" t="str">
        <f>RAB!D521</f>
        <v>m1</v>
      </c>
      <c r="E521" s="506">
        <f>'Rekap. Upah Pekerja'!D508</f>
        <v>18600</v>
      </c>
      <c r="F521" s="507">
        <f t="shared" si="15"/>
        <v>0</v>
      </c>
    </row>
    <row r="522" spans="1:6" s="498" customFormat="1" ht="15" customHeight="1" thickBot="1" x14ac:dyDescent="0.3">
      <c r="A522" s="504">
        <f>'Rekap. Upah Pekerja'!A509</f>
        <v>27</v>
      </c>
      <c r="B522" s="505" t="str">
        <f>'Rekap. Upah Pekerja'!B509</f>
        <v>Pemasangan 1 m1 pipa PVC tipe AW diameter  3 "</v>
      </c>
      <c r="C522" s="526">
        <f>RAB!C522</f>
        <v>0</v>
      </c>
      <c r="D522" s="524" t="str">
        <f>RAB!D522</f>
        <v>m1</v>
      </c>
      <c r="E522" s="506">
        <f>'Rekap. Upah Pekerja'!D509</f>
        <v>24700</v>
      </c>
      <c r="F522" s="517">
        <f t="shared" si="15"/>
        <v>0</v>
      </c>
    </row>
    <row r="523" spans="1:6" s="498" customFormat="1" ht="21" customHeight="1" thickTop="1" thickBot="1" x14ac:dyDescent="0.3">
      <c r="A523" s="602" t="s">
        <v>1766</v>
      </c>
      <c r="B523" s="602"/>
      <c r="C523" s="602"/>
      <c r="D523" s="602"/>
      <c r="E523" s="602"/>
      <c r="F523" s="502">
        <f>SUM(F496:F522)</f>
        <v>0</v>
      </c>
    </row>
    <row r="524" spans="1:6" s="498" customFormat="1" ht="15" customHeight="1" thickTop="1" x14ac:dyDescent="0.25">
      <c r="A524" s="499"/>
      <c r="B524" s="496"/>
      <c r="C524" s="527"/>
      <c r="D524" s="501"/>
      <c r="E524" s="497"/>
    </row>
    <row r="525" spans="1:6" s="498" customFormat="1" ht="15" customHeight="1" x14ac:dyDescent="0.25">
      <c r="A525" s="503" t="str">
        <f>'Rekap. Upah Pekerja'!A511</f>
        <v>XV.</v>
      </c>
      <c r="B525" s="605" t="str">
        <f>'Rekap. Upah Pekerja'!B511</f>
        <v>HARGA SATUAN PEKERJAAN LISTRIK</v>
      </c>
      <c r="C525" s="605"/>
      <c r="D525" s="605"/>
      <c r="E525" s="605"/>
      <c r="F525" s="605"/>
    </row>
    <row r="526" spans="1:6" s="498" customFormat="1" ht="25.5" x14ac:dyDescent="0.25">
      <c r="A526" s="504">
        <f>'Rekap. Upah Pekerja'!A512</f>
        <v>1</v>
      </c>
      <c r="B526" s="505" t="str">
        <f>'Rekap. Upah Pekerja'!B512</f>
        <v>Pemasangan 1 instalasi Stopkontak, Lampu, Exhaustpan, dan celling fan</v>
      </c>
      <c r="C526" s="526">
        <f>RAB!C526</f>
        <v>0</v>
      </c>
      <c r="D526" s="524" t="str">
        <f>RAB!D526</f>
        <v>titik</v>
      </c>
      <c r="E526" s="506">
        <f>'Rekap. Upah Pekerja'!D512</f>
        <v>20100</v>
      </c>
      <c r="F526" s="507">
        <f t="shared" ref="F526:F527" si="16">C526*E526</f>
        <v>0</v>
      </c>
    </row>
    <row r="527" spans="1:6" s="498" customFormat="1" ht="15" customHeight="1" thickBot="1" x14ac:dyDescent="0.3">
      <c r="A527" s="504">
        <f>'Rekap. Upah Pekerja'!A513</f>
        <v>2</v>
      </c>
      <c r="B527" s="505" t="str">
        <f>'Rekap. Upah Pekerja'!B513</f>
        <v>Pemasangan 1 instalasi AC</v>
      </c>
      <c r="C527" s="526">
        <f>RAB!C527</f>
        <v>0</v>
      </c>
      <c r="D527" s="524" t="str">
        <f>RAB!D527</f>
        <v>titik</v>
      </c>
      <c r="E527" s="506">
        <f>'Rekap. Upah Pekerja'!D513</f>
        <v>60400</v>
      </c>
      <c r="F527" s="517">
        <f t="shared" si="16"/>
        <v>0</v>
      </c>
    </row>
    <row r="528" spans="1:6" s="498" customFormat="1" ht="21" customHeight="1" thickTop="1" thickBot="1" x14ac:dyDescent="0.3">
      <c r="A528" s="602" t="s">
        <v>1767</v>
      </c>
      <c r="B528" s="602"/>
      <c r="C528" s="602"/>
      <c r="D528" s="602"/>
      <c r="E528" s="602"/>
      <c r="F528" s="502">
        <f>SUM(F526:F527)</f>
        <v>0</v>
      </c>
    </row>
    <row r="529" spans="1:6" s="498" customFormat="1" ht="15" customHeight="1" thickTop="1" x14ac:dyDescent="0.25">
      <c r="A529" s="499"/>
      <c r="B529" s="496"/>
      <c r="C529" s="527"/>
      <c r="D529" s="501"/>
      <c r="E529" s="497"/>
    </row>
    <row r="530" spans="1:6" s="498" customFormat="1" ht="15" customHeight="1" x14ac:dyDescent="0.25">
      <c r="A530" s="503" t="str">
        <f>'Rekap. Upah Pekerja'!A515</f>
        <v>XVI.</v>
      </c>
      <c r="B530" s="605" t="str">
        <f>'Rekap. Upah Pekerja'!B515</f>
        <v>HARGA SATUAN PEKERJAAN LANDSCAPE</v>
      </c>
      <c r="C530" s="605"/>
      <c r="D530" s="605"/>
      <c r="E530" s="605"/>
      <c r="F530" s="605"/>
    </row>
    <row r="531" spans="1:6" s="498" customFormat="1" ht="15" customHeight="1" x14ac:dyDescent="0.25">
      <c r="A531" s="504" t="str">
        <f>'Rekap. Upah Pekerja'!A516</f>
        <v>1.1</v>
      </c>
      <c r="B531" s="505" t="str">
        <f>'Rekap. Upah Pekerja'!B516</f>
        <v>Pemasangan Paving Beton tebal 8 cm  k 175</v>
      </c>
      <c r="C531" s="526">
        <f>RAB!C531</f>
        <v>0</v>
      </c>
      <c r="D531" s="524" t="str">
        <f>RAB!D531</f>
        <v>m2</v>
      </c>
      <c r="E531" s="506">
        <f>'Rekap. Upah Pekerja'!D516</f>
        <v>97700</v>
      </c>
      <c r="F531" s="507">
        <f t="shared" ref="F531:F537" si="17">C531*E531</f>
        <v>0</v>
      </c>
    </row>
    <row r="532" spans="1:6" s="498" customFormat="1" ht="15" customHeight="1" x14ac:dyDescent="0.25">
      <c r="A532" s="504" t="str">
        <f>'Rekap. Upah Pekerja'!A517</f>
        <v>1.2</v>
      </c>
      <c r="B532" s="505" t="str">
        <f>'Rekap. Upah Pekerja'!B517</f>
        <v>Pemasangan Paving Beton tebal 8 cm  k 225</v>
      </c>
      <c r="C532" s="526">
        <f>RAB!C532</f>
        <v>0</v>
      </c>
      <c r="D532" s="524" t="str">
        <f>RAB!D532</f>
        <v>m2</v>
      </c>
      <c r="E532" s="506">
        <f>'Rekap. Upah Pekerja'!D517</f>
        <v>97700</v>
      </c>
      <c r="F532" s="507">
        <f t="shared" si="17"/>
        <v>0</v>
      </c>
    </row>
    <row r="533" spans="1:6" s="498" customFormat="1" ht="15" customHeight="1" x14ac:dyDescent="0.25">
      <c r="A533" s="504">
        <f>'Rekap. Upah Pekerja'!A518</f>
        <v>2</v>
      </c>
      <c r="B533" s="505" t="str">
        <f>'Rekap. Upah Pekerja'!B518</f>
        <v>Pasangan Grass Block</v>
      </c>
      <c r="C533" s="526">
        <f>RAB!C533</f>
        <v>0</v>
      </c>
      <c r="D533" s="524" t="str">
        <f>RAB!D533</f>
        <v>m2</v>
      </c>
      <c r="E533" s="506">
        <f>'Rekap. Upah Pekerja'!D518</f>
        <v>169200</v>
      </c>
      <c r="F533" s="507">
        <f t="shared" si="17"/>
        <v>0</v>
      </c>
    </row>
    <row r="534" spans="1:6" s="498" customFormat="1" ht="15" customHeight="1" x14ac:dyDescent="0.25">
      <c r="A534" s="504">
        <f>'Rekap. Upah Pekerja'!A519</f>
        <v>3</v>
      </c>
      <c r="B534" s="505" t="str">
        <f>'Rekap. Upah Pekerja'!B519</f>
        <v>1m2 Pasangan Koral sikat</v>
      </c>
      <c r="C534" s="526">
        <f>RAB!C534</f>
        <v>0</v>
      </c>
      <c r="D534" s="524" t="str">
        <f>RAB!D534</f>
        <v>m2</v>
      </c>
      <c r="E534" s="506">
        <f>'Rekap. Upah Pekerja'!D519</f>
        <v>112600</v>
      </c>
      <c r="F534" s="507">
        <f t="shared" si="17"/>
        <v>0</v>
      </c>
    </row>
    <row r="535" spans="1:6" s="498" customFormat="1" ht="15" customHeight="1" x14ac:dyDescent="0.25">
      <c r="A535" s="504">
        <f>'Rekap. Upah Pekerja'!A520</f>
        <v>4</v>
      </c>
      <c r="B535" s="505" t="str">
        <f>'Rekap. Upah Pekerja'!B520</f>
        <v xml:space="preserve">1m1 Kanstein polos </v>
      </c>
      <c r="C535" s="526">
        <f>RAB!C535</f>
        <v>0</v>
      </c>
      <c r="D535" s="524" t="str">
        <f>RAB!D535</f>
        <v>m1</v>
      </c>
      <c r="E535" s="506">
        <f>'Rekap. Upah Pekerja'!D520</f>
        <v>129600</v>
      </c>
      <c r="F535" s="507">
        <f t="shared" si="17"/>
        <v>0</v>
      </c>
    </row>
    <row r="536" spans="1:6" s="498" customFormat="1" ht="15" customHeight="1" x14ac:dyDescent="0.25">
      <c r="A536" s="504">
        <f>'Rekap. Upah Pekerja'!A521</f>
        <v>5</v>
      </c>
      <c r="B536" s="505" t="str">
        <f>'Rekap. Upah Pekerja'!B521</f>
        <v>1m2 Pengecetan Kanstein</v>
      </c>
      <c r="C536" s="526">
        <f>RAB!C536</f>
        <v>0</v>
      </c>
      <c r="D536" s="524" t="str">
        <f>RAB!D536</f>
        <v>m2</v>
      </c>
      <c r="E536" s="506">
        <f>'Rekap. Upah Pekerja'!D521</f>
        <v>20000</v>
      </c>
      <c r="F536" s="507">
        <f t="shared" si="17"/>
        <v>0</v>
      </c>
    </row>
    <row r="537" spans="1:6" s="498" customFormat="1" ht="15" customHeight="1" thickBot="1" x14ac:dyDescent="0.3">
      <c r="A537" s="504">
        <f>'Rekap. Upah Pekerja'!A522</f>
        <v>6</v>
      </c>
      <c r="B537" s="505" t="str">
        <f>'Rekap. Upah Pekerja'!B522</f>
        <v>1m2 Pengecetan Kanstein seanding seaker</v>
      </c>
      <c r="C537" s="526">
        <f>RAB!C537</f>
        <v>0</v>
      </c>
      <c r="D537" s="524" t="str">
        <f>RAB!D537</f>
        <v>m2</v>
      </c>
      <c r="E537" s="506">
        <f>'Rekap. Upah Pekerja'!D522</f>
        <v>20000</v>
      </c>
      <c r="F537" s="517">
        <f t="shared" si="17"/>
        <v>0</v>
      </c>
    </row>
    <row r="538" spans="1:6" s="498" customFormat="1" ht="21" customHeight="1" thickTop="1" thickBot="1" x14ac:dyDescent="0.3">
      <c r="A538" s="602" t="s">
        <v>1768</v>
      </c>
      <c r="B538" s="602"/>
      <c r="C538" s="602"/>
      <c r="D538" s="602"/>
      <c r="E538" s="602"/>
      <c r="F538" s="502">
        <f>SUM(F531:F537)</f>
        <v>0</v>
      </c>
    </row>
    <row r="539" spans="1:6" s="498" customFormat="1" ht="15" customHeight="1" thickTop="1" x14ac:dyDescent="0.25">
      <c r="A539" s="499"/>
      <c r="B539" s="496"/>
      <c r="C539" s="527"/>
      <c r="D539" s="501"/>
      <c r="E539" s="497"/>
    </row>
    <row r="540" spans="1:6" s="498" customFormat="1" ht="15" customHeight="1" x14ac:dyDescent="0.25">
      <c r="A540" s="503" t="str">
        <f>'Rekap. Upah Pekerja'!A524</f>
        <v>XVII.</v>
      </c>
      <c r="B540" s="605" t="str">
        <f>'Rekap. Upah Pekerja'!B524</f>
        <v>HARGA SATUAN PEKERJAAN ORNAMEN BATA DAN PARAS UTK PEK. STYLE BALI</v>
      </c>
      <c r="C540" s="605"/>
      <c r="D540" s="605"/>
      <c r="E540" s="605"/>
      <c r="F540" s="605"/>
    </row>
    <row r="541" spans="1:6" s="498" customFormat="1" ht="25.5" x14ac:dyDescent="0.25">
      <c r="A541" s="504">
        <f>'Rekap. Upah Pekerja'!A525</f>
        <v>1</v>
      </c>
      <c r="B541" s="505" t="str">
        <f>'Rekap. Upah Pekerja'!B525</f>
        <v>Pekerjaan 1m2 Pasangan Style Bali Paras Bata 1 muka</v>
      </c>
      <c r="C541" s="526">
        <f>RAB!C541</f>
        <v>0</v>
      </c>
      <c r="D541" s="524" t="str">
        <f>RAB!D541</f>
        <v>m2</v>
      </c>
      <c r="E541" s="506">
        <f>'Rekap. Upah Pekerja'!D525</f>
        <v>952500</v>
      </c>
      <c r="F541" s="507">
        <f t="shared" ref="F541:F548" si="18">C541*E541</f>
        <v>0</v>
      </c>
    </row>
    <row r="542" spans="1:6" s="498" customFormat="1" ht="25.5" x14ac:dyDescent="0.25">
      <c r="A542" s="504">
        <f>'Rekap. Upah Pekerja'!A526</f>
        <v>2</v>
      </c>
      <c r="B542" s="505" t="str">
        <f>'Rekap. Upah Pekerja'!B526</f>
        <v>Pekerjaan 1m2 Pasangan Bata Pripian Pres 1 muka</v>
      </c>
      <c r="C542" s="526">
        <f>RAB!C542</f>
        <v>0</v>
      </c>
      <c r="D542" s="524" t="str">
        <f>RAB!D542</f>
        <v>m2</v>
      </c>
      <c r="E542" s="506">
        <f>'Rekap. Upah Pekerja'!D526</f>
        <v>871800</v>
      </c>
      <c r="F542" s="507">
        <f t="shared" si="18"/>
        <v>0</v>
      </c>
    </row>
    <row r="543" spans="1:6" s="498" customFormat="1" ht="15" customHeight="1" x14ac:dyDescent="0.25">
      <c r="A543" s="504">
        <f>'Rekap. Upah Pekerja'!A527</f>
        <v>3</v>
      </c>
      <c r="B543" s="505" t="str">
        <f>'Rekap. Upah Pekerja'!B527</f>
        <v>Pekerjaan 1m2 Pasangan Paras Pripian 1 muka</v>
      </c>
      <c r="C543" s="526">
        <f>RAB!C543</f>
        <v>0</v>
      </c>
      <c r="D543" s="524" t="str">
        <f>RAB!D543</f>
        <v>m2</v>
      </c>
      <c r="E543" s="506">
        <f>'Rekap. Upah Pekerja'!D527</f>
        <v>881000</v>
      </c>
      <c r="F543" s="507">
        <f t="shared" si="18"/>
        <v>0</v>
      </c>
    </row>
    <row r="544" spans="1:6" s="498" customFormat="1" ht="25.5" x14ac:dyDescent="0.25">
      <c r="A544" s="504">
        <f>'Rekap. Upah Pekerja'!A528</f>
        <v>4</v>
      </c>
      <c r="B544" s="505" t="str">
        <f>'Rekap. Upah Pekerja'!B528</f>
        <v>Pekerjaan 1m2 Pasangan Sarwa Genep Kombinasi</v>
      </c>
      <c r="C544" s="526">
        <f>RAB!C544</f>
        <v>0</v>
      </c>
      <c r="D544" s="524" t="str">
        <f>RAB!D544</f>
        <v>m2</v>
      </c>
      <c r="E544" s="506">
        <f>'Rekap. Upah Pekerja'!D528</f>
        <v>656000</v>
      </c>
      <c r="F544" s="507">
        <f t="shared" si="18"/>
        <v>0</v>
      </c>
    </row>
    <row r="545" spans="1:6" s="498" customFormat="1" ht="15" customHeight="1" x14ac:dyDescent="0.25">
      <c r="A545" s="504">
        <f>'Rekap. Upah Pekerja'!A529</f>
        <v>5</v>
      </c>
      <c r="B545" s="505" t="str">
        <f>'Rekap. Upah Pekerja'!B529</f>
        <v>Pekerjaan 1m2 Pasangan Paras Jogja 1 muka</v>
      </c>
      <c r="C545" s="526">
        <f>RAB!C545</f>
        <v>0</v>
      </c>
      <c r="D545" s="524" t="str">
        <f>RAB!D545</f>
        <v>m2</v>
      </c>
      <c r="E545" s="506">
        <f>'Rekap. Upah Pekerja'!D529</f>
        <v>656000</v>
      </c>
      <c r="F545" s="507">
        <f t="shared" si="18"/>
        <v>0</v>
      </c>
    </row>
    <row r="546" spans="1:6" s="498" customFormat="1" ht="25.5" x14ac:dyDescent="0.25">
      <c r="A546" s="504">
        <f>'Rekap. Upah Pekerja'!A530</f>
        <v>6</v>
      </c>
      <c r="B546" s="505" t="str">
        <f>'Rekap. Upah Pekerja'!B530</f>
        <v>Pekerjaan 1m2 Pasangan Batu Palimanan 1 muka</v>
      </c>
      <c r="C546" s="526">
        <f>RAB!C546</f>
        <v>0</v>
      </c>
      <c r="D546" s="524" t="str">
        <f>RAB!D546</f>
        <v>m2</v>
      </c>
      <c r="E546" s="506">
        <f>'Rekap. Upah Pekerja'!D530</f>
        <v>656000</v>
      </c>
      <c r="F546" s="507">
        <f t="shared" si="18"/>
        <v>0</v>
      </c>
    </row>
    <row r="547" spans="1:6" s="498" customFormat="1" ht="15" customHeight="1" x14ac:dyDescent="0.25">
      <c r="A547" s="504">
        <f>'Rekap. Upah Pekerja'!A531</f>
        <v>7</v>
      </c>
      <c r="B547" s="505" t="str">
        <f>'Rekap. Upah Pekerja'!B531</f>
        <v xml:space="preserve">Pekerjaan 1m2 Pasangan Batu Candi </v>
      </c>
      <c r="C547" s="526">
        <f>RAB!C547</f>
        <v>0</v>
      </c>
      <c r="D547" s="524" t="str">
        <f>RAB!D547</f>
        <v>m2</v>
      </c>
      <c r="E547" s="506">
        <f>'Rekap. Upah Pekerja'!D531</f>
        <v>814000</v>
      </c>
      <c r="F547" s="507">
        <f t="shared" si="18"/>
        <v>0</v>
      </c>
    </row>
    <row r="548" spans="1:6" s="498" customFormat="1" ht="26.25" thickBot="1" x14ac:dyDescent="0.3">
      <c r="A548" s="504">
        <f>'Rekap. Upah Pekerja'!A532</f>
        <v>8</v>
      </c>
      <c r="B548" s="505" t="str">
        <f>'Rekap. Upah Pekerja'!B532</f>
        <v>Pekerjaan 1m2 Pasangan Batu Tabas Karangasem 1 muka</v>
      </c>
      <c r="C548" s="526">
        <f>RAB!C548</f>
        <v>0</v>
      </c>
      <c r="D548" s="524" t="str">
        <f>RAB!D548</f>
        <v>m2</v>
      </c>
      <c r="E548" s="506">
        <f>'Rekap. Upah Pekerja'!D532</f>
        <v>974300</v>
      </c>
      <c r="F548" s="517">
        <f t="shared" si="18"/>
        <v>0</v>
      </c>
    </row>
    <row r="549" spans="1:6" s="498" customFormat="1" ht="21" customHeight="1" thickTop="1" thickBot="1" x14ac:dyDescent="0.3">
      <c r="A549" s="602" t="s">
        <v>1769</v>
      </c>
      <c r="B549" s="602"/>
      <c r="C549" s="602"/>
      <c r="D549" s="602"/>
      <c r="E549" s="602"/>
      <c r="F549" s="502">
        <f>SUM(F541:F548)</f>
        <v>0</v>
      </c>
    </row>
    <row r="550" spans="1:6" ht="13.5" thickTop="1" x14ac:dyDescent="0.25"/>
  </sheetData>
  <mergeCells count="37">
    <mergeCell ref="A23:E23"/>
    <mergeCell ref="A5:A6"/>
    <mergeCell ref="B5:B6"/>
    <mergeCell ref="C5:D6"/>
    <mergeCell ref="B7:F7"/>
    <mergeCell ref="A261:E261"/>
    <mergeCell ref="B25:F25"/>
    <mergeCell ref="A42:E42"/>
    <mergeCell ref="B44:F44"/>
    <mergeCell ref="A55:E55"/>
    <mergeCell ref="B57:F57"/>
    <mergeCell ref="A172:E172"/>
    <mergeCell ref="B174:F174"/>
    <mergeCell ref="A203:E203"/>
    <mergeCell ref="B205:F205"/>
    <mergeCell ref="A231:E231"/>
    <mergeCell ref="B233:F233"/>
    <mergeCell ref="A493:E493"/>
    <mergeCell ref="B263:F263"/>
    <mergeCell ref="A323:E323"/>
    <mergeCell ref="B325:F325"/>
    <mergeCell ref="A341:E341"/>
    <mergeCell ref="B343:F343"/>
    <mergeCell ref="A366:E366"/>
    <mergeCell ref="B368:F368"/>
    <mergeCell ref="A442:E442"/>
    <mergeCell ref="B444:F444"/>
    <mergeCell ref="A467:E467"/>
    <mergeCell ref="B469:F469"/>
    <mergeCell ref="B540:F540"/>
    <mergeCell ref="A549:E549"/>
    <mergeCell ref="B495:F495"/>
    <mergeCell ref="A523:E523"/>
    <mergeCell ref="B525:F525"/>
    <mergeCell ref="A528:E528"/>
    <mergeCell ref="B530:F530"/>
    <mergeCell ref="A538:E538"/>
  </mergeCells>
  <pageMargins left="0.11811023622047244" right="7.874015748031496E-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About</vt:lpstr>
      <vt:lpstr>Rekap. RAB</vt:lpstr>
      <vt:lpstr>Rekap. Upah</vt:lpstr>
      <vt:lpstr>RAB</vt:lpstr>
      <vt:lpstr>Bahan</vt:lpstr>
      <vt:lpstr>Upah</vt:lpstr>
      <vt:lpstr>Rekap. Analisa RAB</vt:lpstr>
      <vt:lpstr>Rekap. Upah Pekerja</vt:lpstr>
      <vt:lpstr>RAB Upah</vt:lpstr>
      <vt:lpstr>Analisa RAB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indra raj suweda</dc:creator>
  <cp:lastModifiedBy>indra raj suweda</cp:lastModifiedBy>
  <dcterms:created xsi:type="dcterms:W3CDTF">2021-12-21T03:42:45Z</dcterms:created>
  <dcterms:modified xsi:type="dcterms:W3CDTF">2022-07-05T03:02:09Z</dcterms:modified>
</cp:coreProperties>
</file>