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"/>
    </mc:Choice>
  </mc:AlternateContent>
  <xr:revisionPtr revIDLastSave="1468" documentId="8_{70AD205D-A7C3-41FF-A599-E1EF83574F22}" xr6:coauthVersionLast="47" xr6:coauthVersionMax="47" xr10:uidLastSave="{29475877-1808-4DE4-B256-53CA913278E1}"/>
  <bookViews>
    <workbookView xWindow="-120" yWindow="-120" windowWidth="29040" windowHeight="15720" xr2:uid="{A530A63F-CC64-424D-B556-463E8824C22C}"/>
  </bookViews>
  <sheets>
    <sheet name="About" sheetId="4" r:id="rId1"/>
    <sheet name="Input &amp; Process" sheetId="1" r:id="rId2"/>
    <sheet name="Process - Pembebanan" sheetId="2" r:id="rId3"/>
    <sheet name="Re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8" i="3" l="1"/>
  <c r="H926" i="3"/>
  <c r="H925" i="3"/>
  <c r="H916" i="3"/>
  <c r="H852" i="3"/>
  <c r="H845" i="3"/>
  <c r="H832" i="3"/>
  <c r="H826" i="3"/>
  <c r="H778" i="3"/>
  <c r="H731" i="3"/>
  <c r="H708" i="3"/>
  <c r="H700" i="3"/>
  <c r="H620" i="3"/>
  <c r="G612" i="3"/>
  <c r="C612" i="3"/>
  <c r="E610" i="3"/>
  <c r="F408" i="3"/>
  <c r="H368" i="3"/>
  <c r="H315" i="3"/>
  <c r="H314" i="3"/>
  <c r="H313" i="3"/>
  <c r="H312" i="3"/>
  <c r="H311" i="3"/>
  <c r="H310" i="3"/>
  <c r="H309" i="3"/>
  <c r="H308" i="3"/>
  <c r="H301" i="3"/>
  <c r="H300" i="3"/>
  <c r="H299" i="3"/>
  <c r="H298" i="3"/>
  <c r="H284" i="3"/>
  <c r="H283" i="3"/>
  <c r="H274" i="3"/>
  <c r="H273" i="3"/>
  <c r="H249" i="3"/>
  <c r="F121" i="3"/>
  <c r="F119" i="3"/>
  <c r="H88" i="3"/>
  <c r="H87" i="3"/>
  <c r="H86" i="3"/>
  <c r="H85" i="3"/>
  <c r="H84" i="3"/>
  <c r="H81" i="3"/>
  <c r="H80" i="3"/>
  <c r="H79" i="3"/>
  <c r="H78" i="3"/>
  <c r="H75" i="3"/>
  <c r="G74" i="3"/>
  <c r="G73" i="3"/>
  <c r="H74" i="3"/>
  <c r="H73" i="3"/>
  <c r="H72" i="3"/>
  <c r="H70" i="3"/>
  <c r="H69" i="3"/>
  <c r="H68" i="3"/>
  <c r="H56" i="3"/>
  <c r="H55" i="3"/>
  <c r="H54" i="3"/>
  <c r="H53" i="3"/>
  <c r="H52" i="3"/>
  <c r="H51" i="3"/>
  <c r="H49" i="3"/>
  <c r="H48" i="3"/>
  <c r="H47" i="3"/>
  <c r="H46" i="3"/>
  <c r="H35" i="3"/>
  <c r="H34" i="3"/>
  <c r="H33" i="3"/>
  <c r="H32" i="3"/>
  <c r="H31" i="3"/>
  <c r="H30" i="3"/>
  <c r="H29" i="3"/>
  <c r="H28" i="3"/>
  <c r="H16" i="3"/>
  <c r="H15" i="3"/>
  <c r="H14" i="3"/>
  <c r="H13" i="3"/>
  <c r="H12" i="3"/>
  <c r="H11" i="3"/>
  <c r="H10" i="3"/>
  <c r="H77" i="2" l="1"/>
  <c r="H289" i="3" s="1"/>
  <c r="H75" i="2"/>
  <c r="H287" i="3" s="1"/>
  <c r="H89" i="1"/>
  <c r="H92" i="3" s="1"/>
  <c r="H63" i="2" l="1"/>
  <c r="H275" i="3" s="1"/>
  <c r="H495" i="1"/>
  <c r="H814" i="3" s="1"/>
  <c r="O14" i="1"/>
  <c r="F108" i="3" s="1"/>
  <c r="H29" i="1"/>
  <c r="G29" i="1"/>
  <c r="H26" i="1"/>
  <c r="G26" i="1"/>
  <c r="D106" i="1" l="1"/>
  <c r="H331" i="1"/>
  <c r="H642" i="3" s="1"/>
  <c r="H134" i="2"/>
  <c r="H381" i="3" s="1"/>
  <c r="H125" i="2"/>
  <c r="H371" i="3" s="1"/>
  <c r="M137" i="2"/>
  <c r="H93" i="2"/>
  <c r="H305" i="3" s="1"/>
  <c r="M11" i="1" l="1"/>
  <c r="D105" i="3" s="1"/>
  <c r="D405" i="3"/>
  <c r="D109" i="1"/>
  <c r="H449" i="1"/>
  <c r="H766" i="3" s="1"/>
  <c r="H566" i="1"/>
  <c r="H889" i="3" s="1"/>
  <c r="H567" i="1"/>
  <c r="H890" i="3" s="1"/>
  <c r="H568" i="1"/>
  <c r="H891" i="3" s="1"/>
  <c r="H569" i="1"/>
  <c r="H892" i="3" s="1"/>
  <c r="H565" i="1"/>
  <c r="H888" i="3" s="1"/>
  <c r="H563" i="1"/>
  <c r="H886" i="3" s="1"/>
  <c r="H498" i="1"/>
  <c r="H512" i="1"/>
  <c r="H831" i="3" s="1"/>
  <c r="H496" i="1"/>
  <c r="H404" i="1"/>
  <c r="H403" i="1"/>
  <c r="H717" i="3" s="1"/>
  <c r="H447" i="1"/>
  <c r="H764" i="3" s="1"/>
  <c r="H446" i="1"/>
  <c r="H197" i="1"/>
  <c r="H718" i="3" l="1"/>
  <c r="H415" i="1"/>
  <c r="H497" i="1"/>
  <c r="H816" i="3" s="1"/>
  <c r="H815" i="3"/>
  <c r="M14" i="1"/>
  <c r="D408" i="3"/>
  <c r="D501" i="1"/>
  <c r="H817" i="3"/>
  <c r="H128" i="2"/>
  <c r="H374" i="3" s="1"/>
  <c r="H510" i="3"/>
  <c r="H459" i="1"/>
  <c r="H776" i="3" s="1"/>
  <c r="H763" i="3"/>
  <c r="N14" i="1"/>
  <c r="H440" i="1"/>
  <c r="H757" i="3" s="1"/>
  <c r="H666" i="1"/>
  <c r="H987" i="3" s="1"/>
  <c r="H652" i="1"/>
  <c r="H973" i="3" s="1"/>
  <c r="Q14" i="1" l="1"/>
  <c r="D108" i="3"/>
  <c r="M80" i="1"/>
  <c r="D175" i="3" s="1"/>
  <c r="D820" i="3"/>
  <c r="H408" i="3"/>
  <c r="E408" i="3"/>
  <c r="D474" i="1"/>
  <c r="D794" i="3" s="1"/>
  <c r="H488" i="1"/>
  <c r="H808" i="3" s="1"/>
  <c r="H463" i="1"/>
  <c r="H780" i="3" s="1"/>
  <c r="H618" i="1"/>
  <c r="H940" i="3" s="1"/>
  <c r="H617" i="1"/>
  <c r="H939" i="3" s="1"/>
  <c r="H613" i="1"/>
  <c r="H935" i="3" s="1"/>
  <c r="E456" i="1"/>
  <c r="E773" i="3" s="1"/>
  <c r="M71" i="1"/>
  <c r="D166" i="3" s="1"/>
  <c r="C456" i="1"/>
  <c r="C773" i="3" s="1"/>
  <c r="C453" i="1"/>
  <c r="C770" i="3" s="1"/>
  <c r="E108" i="3" l="1"/>
  <c r="H108" i="3"/>
  <c r="D773" i="3"/>
  <c r="D456" i="1"/>
  <c r="H572" i="1"/>
  <c r="H895" i="3" s="1"/>
  <c r="H562" i="1"/>
  <c r="H885" i="3" s="1"/>
  <c r="H564" i="1"/>
  <c r="H532" i="1"/>
  <c r="F501" i="1"/>
  <c r="H420" i="1"/>
  <c r="H419" i="1"/>
  <c r="E412" i="1"/>
  <c r="E726" i="3" s="1"/>
  <c r="C412" i="1"/>
  <c r="C726" i="3" s="1"/>
  <c r="C409" i="1"/>
  <c r="C723" i="3" s="1"/>
  <c r="D100" i="1"/>
  <c r="O80" i="1" l="1"/>
  <c r="F820" i="3"/>
  <c r="H571" i="1"/>
  <c r="H894" i="3" s="1"/>
  <c r="H887" i="3"/>
  <c r="H464" i="1"/>
  <c r="H781" i="3" s="1"/>
  <c r="H734" i="3"/>
  <c r="H622" i="1"/>
  <c r="H944" i="3" s="1"/>
  <c r="H851" i="3"/>
  <c r="M5" i="1"/>
  <c r="D99" i="3" s="1"/>
  <c r="D397" i="3"/>
  <c r="H421" i="1"/>
  <c r="H735" i="3" s="1"/>
  <c r="H733" i="3"/>
  <c r="D726" i="3"/>
  <c r="D430" i="1"/>
  <c r="D747" i="3" s="1"/>
  <c r="H729" i="3"/>
  <c r="N80" i="1"/>
  <c r="H501" i="1"/>
  <c r="E501" i="1"/>
  <c r="H465" i="1"/>
  <c r="F544" i="1"/>
  <c r="H633" i="1"/>
  <c r="H955" i="3" s="1"/>
  <c r="H573" i="1"/>
  <c r="H896" i="3" s="1"/>
  <c r="H577" i="1"/>
  <c r="H900" i="3" s="1"/>
  <c r="H548" i="1"/>
  <c r="D412" i="1"/>
  <c r="F640" i="1" l="1"/>
  <c r="H869" i="3"/>
  <c r="O93" i="1"/>
  <c r="F188" i="3" s="1"/>
  <c r="F865" i="3"/>
  <c r="M61" i="1"/>
  <c r="D156" i="3" s="1"/>
  <c r="E820" i="3"/>
  <c r="H820" i="3"/>
  <c r="Q80" i="1"/>
  <c r="F175" i="3"/>
  <c r="H422" i="1"/>
  <c r="H737" i="3" s="1"/>
  <c r="H466" i="1"/>
  <c r="H784" i="3" s="1"/>
  <c r="H782" i="3"/>
  <c r="F112" i="1"/>
  <c r="E295" i="1"/>
  <c r="E608" i="3" s="1"/>
  <c r="H259" i="1"/>
  <c r="H572" i="3" s="1"/>
  <c r="H258" i="1"/>
  <c r="H571" i="3" s="1"/>
  <c r="O17" i="1" l="1"/>
  <c r="F112" i="3" s="1"/>
  <c r="F411" i="3"/>
  <c r="E175" i="3"/>
  <c r="H175" i="3"/>
  <c r="O98" i="1"/>
  <c r="F193" i="3" s="1"/>
  <c r="F961" i="3"/>
  <c r="H29" i="2"/>
  <c r="H241" i="3" s="1"/>
  <c r="H28" i="2"/>
  <c r="H240" i="3" s="1"/>
  <c r="H23" i="2"/>
  <c r="H235" i="3" s="1"/>
  <c r="H22" i="2"/>
  <c r="H234" i="3" s="1"/>
  <c r="H13" i="2"/>
  <c r="H225" i="3" s="1"/>
  <c r="H12" i="2"/>
  <c r="H224" i="3" s="1"/>
  <c r="H11" i="2"/>
  <c r="H223" i="3" s="1"/>
  <c r="H6" i="2"/>
  <c r="H218" i="3" s="1"/>
  <c r="H4" i="2"/>
  <c r="H216" i="3" s="1"/>
  <c r="H89" i="2"/>
  <c r="R110" i="2" s="1"/>
  <c r="H61" i="2"/>
  <c r="H122" i="2" s="1"/>
  <c r="H124" i="2" s="1"/>
  <c r="H665" i="1"/>
  <c r="H986" i="3" s="1"/>
  <c r="H155" i="1"/>
  <c r="D189" i="1"/>
  <c r="D152" i="1"/>
  <c r="D463" i="3" s="1"/>
  <c r="D148" i="1"/>
  <c r="D459" i="3" s="1"/>
  <c r="C150" i="1"/>
  <c r="C148" i="1"/>
  <c r="C459" i="3" s="1"/>
  <c r="H122" i="1"/>
  <c r="H418" i="3" s="1"/>
  <c r="H121" i="1"/>
  <c r="H417" i="3" s="1"/>
  <c r="H120" i="1"/>
  <c r="H416" i="3" s="1"/>
  <c r="D224" i="1" l="1"/>
  <c r="D537" i="3" s="1"/>
  <c r="D502" i="3"/>
  <c r="H126" i="2"/>
  <c r="H370" i="3"/>
  <c r="C151" i="1"/>
  <c r="C461" i="3"/>
  <c r="H656" i="1"/>
  <c r="H977" i="3" s="1"/>
  <c r="H466" i="3"/>
  <c r="H76" i="2"/>
  <c r="M121" i="2"/>
  <c r="M147" i="2" s="1"/>
  <c r="M124" i="2"/>
  <c r="R124" i="2" s="1"/>
  <c r="M130" i="2"/>
  <c r="M156" i="2" s="1"/>
  <c r="M122" i="2"/>
  <c r="M148" i="2" s="1"/>
  <c r="M123" i="2"/>
  <c r="M125" i="2"/>
  <c r="R125" i="2" s="1"/>
  <c r="M126" i="2"/>
  <c r="M131" i="2"/>
  <c r="M127" i="2"/>
  <c r="R127" i="2" s="1"/>
  <c r="M128" i="2"/>
  <c r="M129" i="2"/>
  <c r="M155" i="2" s="1"/>
  <c r="H72" i="2"/>
  <c r="D149" i="1"/>
  <c r="H657" i="1"/>
  <c r="H978" i="3" s="1"/>
  <c r="D194" i="1"/>
  <c r="H658" i="1"/>
  <c r="H979" i="3" s="1"/>
  <c r="H616" i="1"/>
  <c r="H938" i="3" s="1"/>
  <c r="F316" i="1"/>
  <c r="F627" i="3" s="1"/>
  <c r="H14" i="2"/>
  <c r="H226" i="3" s="1"/>
  <c r="H123" i="1"/>
  <c r="H419" i="3" s="1"/>
  <c r="H232" i="1"/>
  <c r="H545" i="3" s="1"/>
  <c r="E148" i="1"/>
  <c r="E459" i="3" s="1"/>
  <c r="R111" i="2"/>
  <c r="H35" i="2"/>
  <c r="H247" i="3" s="1"/>
  <c r="G248" i="3" s="1"/>
  <c r="M112" i="2"/>
  <c r="M138" i="2" s="1"/>
  <c r="M113" i="2"/>
  <c r="M139" i="2" s="1"/>
  <c r="M117" i="2"/>
  <c r="R117" i="2" s="1"/>
  <c r="M118" i="2"/>
  <c r="M119" i="2"/>
  <c r="M114" i="2"/>
  <c r="M115" i="2"/>
  <c r="M116" i="2"/>
  <c r="M120" i="2"/>
  <c r="H30" i="2"/>
  <c r="H101" i="2"/>
  <c r="H103" i="2" s="1"/>
  <c r="H104" i="2" s="1"/>
  <c r="H24" i="2"/>
  <c r="R136" i="2"/>
  <c r="I148" i="1"/>
  <c r="I459" i="3" s="1"/>
  <c r="D190" i="1"/>
  <c r="C149" i="1"/>
  <c r="C190" i="1"/>
  <c r="C192" i="1"/>
  <c r="F152" i="1"/>
  <c r="F463" i="3" s="1"/>
  <c r="H94" i="2" l="1"/>
  <c r="H306" i="3" s="1"/>
  <c r="H288" i="3"/>
  <c r="F194" i="1"/>
  <c r="F507" i="3" s="1"/>
  <c r="D507" i="3"/>
  <c r="D191" i="1"/>
  <c r="D460" i="3"/>
  <c r="C225" i="1"/>
  <c r="C538" i="3" s="1"/>
  <c r="C503" i="3"/>
  <c r="H138" i="2"/>
  <c r="H385" i="3" s="1"/>
  <c r="H372" i="3"/>
  <c r="C191" i="1"/>
  <c r="C460" i="3"/>
  <c r="H587" i="1"/>
  <c r="H236" i="3"/>
  <c r="H31" i="2"/>
  <c r="H243" i="3" s="1"/>
  <c r="H242" i="3"/>
  <c r="D225" i="1"/>
  <c r="D538" i="3" s="1"/>
  <c r="D503" i="3"/>
  <c r="C227" i="1"/>
  <c r="C505" i="3"/>
  <c r="C193" i="1"/>
  <c r="C462" i="3"/>
  <c r="H130" i="2"/>
  <c r="H376" i="3" s="1"/>
  <c r="H316" i="3"/>
  <c r="R115" i="2"/>
  <c r="M141" i="2"/>
  <c r="R114" i="2"/>
  <c r="M140" i="2"/>
  <c r="D229" i="1"/>
  <c r="H620" i="1"/>
  <c r="H942" i="3" s="1"/>
  <c r="H621" i="1"/>
  <c r="H943" i="3" s="1"/>
  <c r="H15" i="2"/>
  <c r="H584" i="1"/>
  <c r="H907" i="3" s="1"/>
  <c r="H105" i="2"/>
  <c r="H39" i="2"/>
  <c r="H251" i="3" s="1"/>
  <c r="H40" i="2"/>
  <c r="H252" i="3" s="1"/>
  <c r="M150" i="2"/>
  <c r="H90" i="2"/>
  <c r="E225" i="1"/>
  <c r="E538" i="3" s="1"/>
  <c r="I225" i="1"/>
  <c r="I538" i="3" s="1"/>
  <c r="E149" i="1"/>
  <c r="E460" i="3" s="1"/>
  <c r="H41" i="2"/>
  <c r="H253" i="3" s="1"/>
  <c r="G36" i="2"/>
  <c r="H36" i="2"/>
  <c r="H248" i="3" s="1"/>
  <c r="R131" i="2"/>
  <c r="M144" i="2"/>
  <c r="R130" i="2"/>
  <c r="M142" i="2"/>
  <c r="R129" i="2"/>
  <c r="M146" i="2"/>
  <c r="H25" i="2"/>
  <c r="O110" i="2"/>
  <c r="R123" i="2"/>
  <c r="R113" i="2"/>
  <c r="R120" i="2"/>
  <c r="R121" i="2"/>
  <c r="M157" i="2"/>
  <c r="R137" i="2" s="1"/>
  <c r="M153" i="2"/>
  <c r="R126" i="2"/>
  <c r="R116" i="2"/>
  <c r="M143" i="2"/>
  <c r="M154" i="2"/>
  <c r="R118" i="2"/>
  <c r="R128" i="2"/>
  <c r="M149" i="2"/>
  <c r="R122" i="2"/>
  <c r="R112" i="2"/>
  <c r="I149" i="1"/>
  <c r="I460" i="3" s="1"/>
  <c r="M145" i="2"/>
  <c r="R119" i="2"/>
  <c r="M152" i="2"/>
  <c r="M151" i="2"/>
  <c r="H262" i="1" l="1"/>
  <c r="H575" i="3" s="1"/>
  <c r="C226" i="1"/>
  <c r="C504" i="3"/>
  <c r="H591" i="1"/>
  <c r="H914" i="3" s="1"/>
  <c r="H910" i="3"/>
  <c r="H113" i="2"/>
  <c r="H325" i="3" s="1"/>
  <c r="H302" i="3"/>
  <c r="H651" i="1"/>
  <c r="H972" i="3" s="1"/>
  <c r="H237" i="3"/>
  <c r="F229" i="1"/>
  <c r="F542" i="3" s="1"/>
  <c r="D542" i="3"/>
  <c r="D226" i="1"/>
  <c r="D539" i="3" s="1"/>
  <c r="D504" i="3"/>
  <c r="H549" i="1"/>
  <c r="H870" i="3" s="1"/>
  <c r="H227" i="3"/>
  <c r="C506" i="3"/>
  <c r="C228" i="1"/>
  <c r="H503" i="1"/>
  <c r="C540" i="3"/>
  <c r="H114" i="2"/>
  <c r="H326" i="3" s="1"/>
  <c r="H317" i="3"/>
  <c r="P110" i="2"/>
  <c r="P136" i="2" s="1"/>
  <c r="P153" i="2" s="1"/>
  <c r="H110" i="2"/>
  <c r="H322" i="3" s="1"/>
  <c r="H552" i="1"/>
  <c r="R144" i="2"/>
  <c r="S110" i="2"/>
  <c r="S120" i="2" s="1"/>
  <c r="R145" i="2"/>
  <c r="R157" i="2"/>
  <c r="H42" i="2"/>
  <c r="H73" i="2"/>
  <c r="P137" i="2"/>
  <c r="P155" i="2"/>
  <c r="R147" i="2"/>
  <c r="R149" i="2"/>
  <c r="R150" i="2"/>
  <c r="R146" i="2"/>
  <c r="R153" i="2"/>
  <c r="R141" i="2"/>
  <c r="R148" i="2"/>
  <c r="P142" i="2"/>
  <c r="R143" i="2"/>
  <c r="O123" i="2"/>
  <c r="O124" i="2"/>
  <c r="O111" i="2"/>
  <c r="O117" i="2"/>
  <c r="O119" i="2"/>
  <c r="O125" i="2"/>
  <c r="O130" i="2"/>
  <c r="O116" i="2"/>
  <c r="O121" i="2"/>
  <c r="O126" i="2"/>
  <c r="O127" i="2"/>
  <c r="O118" i="2"/>
  <c r="O112" i="2"/>
  <c r="O128" i="2"/>
  <c r="O113" i="2"/>
  <c r="O129" i="2"/>
  <c r="O114" i="2"/>
  <c r="O115" i="2"/>
  <c r="O131" i="2"/>
  <c r="O120" i="2"/>
  <c r="O122" i="2"/>
  <c r="O136" i="2"/>
  <c r="O140" i="2" s="1"/>
  <c r="R142" i="2"/>
  <c r="R156" i="2"/>
  <c r="R139" i="2"/>
  <c r="P149" i="2"/>
  <c r="R155" i="2"/>
  <c r="P138" i="2"/>
  <c r="R138" i="2"/>
  <c r="P154" i="2"/>
  <c r="R154" i="2"/>
  <c r="P150" i="2"/>
  <c r="R152" i="2"/>
  <c r="R151" i="2"/>
  <c r="R140" i="2"/>
  <c r="P146" i="2" l="1"/>
  <c r="P144" i="2"/>
  <c r="P148" i="2"/>
  <c r="P140" i="2"/>
  <c r="P157" i="2"/>
  <c r="P152" i="2"/>
  <c r="P151" i="2"/>
  <c r="P139" i="2"/>
  <c r="H43" i="2"/>
  <c r="P117" i="2" s="1"/>
  <c r="H254" i="3"/>
  <c r="H74" i="2"/>
  <c r="H285" i="3"/>
  <c r="P145" i="2"/>
  <c r="P143" i="2"/>
  <c r="P156" i="2"/>
  <c r="H556" i="1"/>
  <c r="H877" i="3" s="1"/>
  <c r="H873" i="3"/>
  <c r="P147" i="2"/>
  <c r="P141" i="2"/>
  <c r="C539" i="3"/>
  <c r="I226" i="1"/>
  <c r="I539" i="3" s="1"/>
  <c r="G456" i="1"/>
  <c r="E226" i="1"/>
  <c r="E539" i="3" s="1"/>
  <c r="G412" i="1"/>
  <c r="C541" i="3"/>
  <c r="H68" i="1"/>
  <c r="H504" i="1"/>
  <c r="H822" i="3"/>
  <c r="P120" i="2"/>
  <c r="H535" i="1"/>
  <c r="H854" i="3" s="1"/>
  <c r="S121" i="2"/>
  <c r="H244" i="1"/>
  <c r="H557" i="3" s="1"/>
  <c r="S119" i="2"/>
  <c r="S118" i="2"/>
  <c r="S113" i="2"/>
  <c r="S115" i="2"/>
  <c r="S128" i="2"/>
  <c r="S111" i="2"/>
  <c r="S116" i="2"/>
  <c r="S125" i="2"/>
  <c r="S123" i="2"/>
  <c r="S136" i="2"/>
  <c r="S152" i="2" s="1"/>
  <c r="S131" i="2"/>
  <c r="S114" i="2"/>
  <c r="S117" i="2"/>
  <c r="S112" i="2"/>
  <c r="S127" i="2"/>
  <c r="S130" i="2"/>
  <c r="S124" i="2"/>
  <c r="S129" i="2"/>
  <c r="S126" i="2"/>
  <c r="S122" i="2"/>
  <c r="P124" i="2"/>
  <c r="P112" i="2"/>
  <c r="P126" i="2"/>
  <c r="P123" i="2"/>
  <c r="P114" i="2"/>
  <c r="P125" i="2"/>
  <c r="P127" i="2"/>
  <c r="P113" i="2"/>
  <c r="P121" i="2"/>
  <c r="O145" i="2"/>
  <c r="O151" i="2"/>
  <c r="O155" i="2"/>
  <c r="O143" i="2"/>
  <c r="O139" i="2"/>
  <c r="O156" i="2"/>
  <c r="O146" i="2"/>
  <c r="O153" i="2"/>
  <c r="O149" i="2"/>
  <c r="O147" i="2"/>
  <c r="O137" i="2"/>
  <c r="O148" i="2"/>
  <c r="O138" i="2"/>
  <c r="O157" i="2"/>
  <c r="O142" i="2"/>
  <c r="O150" i="2"/>
  <c r="O144" i="2"/>
  <c r="O141" i="2"/>
  <c r="O152" i="2"/>
  <c r="O154" i="2"/>
  <c r="P116" i="2" l="1"/>
  <c r="P111" i="2"/>
  <c r="P118" i="2"/>
  <c r="P122" i="2"/>
  <c r="P119" i="2"/>
  <c r="P130" i="2"/>
  <c r="P129" i="2"/>
  <c r="P131" i="2"/>
  <c r="P115" i="2"/>
  <c r="P128" i="2"/>
  <c r="G773" i="3"/>
  <c r="F456" i="1"/>
  <c r="H457" i="1"/>
  <c r="H78" i="2"/>
  <c r="H290" i="3" s="1"/>
  <c r="H286" i="3"/>
  <c r="F412" i="1"/>
  <c r="G726" i="3"/>
  <c r="H413" i="1"/>
  <c r="H45" i="2"/>
  <c r="H255" i="3"/>
  <c r="H823" i="3"/>
  <c r="H505" i="1"/>
  <c r="H514" i="1"/>
  <c r="H71" i="3"/>
  <c r="H536" i="1"/>
  <c r="H855" i="3" s="1"/>
  <c r="S157" i="2"/>
  <c r="S144" i="2"/>
  <c r="S139" i="2"/>
  <c r="S147" i="2"/>
  <c r="S156" i="2"/>
  <c r="S150" i="2"/>
  <c r="S149" i="2"/>
  <c r="S145" i="2"/>
  <c r="S140" i="2"/>
  <c r="S151" i="2"/>
  <c r="S148" i="2"/>
  <c r="S153" i="2"/>
  <c r="S141" i="2"/>
  <c r="S143" i="2"/>
  <c r="S137" i="2"/>
  <c r="S146" i="2"/>
  <c r="S142" i="2"/>
  <c r="S155" i="2"/>
  <c r="S138" i="2"/>
  <c r="S154" i="2"/>
  <c r="Q138" i="2"/>
  <c r="F726" i="3" l="1"/>
  <c r="H727" i="3"/>
  <c r="H257" i="3"/>
  <c r="H111" i="2"/>
  <c r="H323" i="3" s="1"/>
  <c r="H774" i="3"/>
  <c r="F773" i="3"/>
  <c r="H824" i="3"/>
  <c r="F510" i="1"/>
  <c r="H515" i="1"/>
  <c r="H833" i="3"/>
  <c r="Q139" i="2"/>
  <c r="H834" i="3" l="1"/>
  <c r="H518" i="1"/>
  <c r="H516" i="1"/>
  <c r="H836" i="3" s="1"/>
  <c r="O84" i="1"/>
  <c r="F179" i="3" s="1"/>
  <c r="F829" i="3"/>
  <c r="Q140" i="2"/>
  <c r="H838" i="3" l="1"/>
  <c r="H519" i="1"/>
  <c r="Q141" i="2"/>
  <c r="H839" i="3" l="1"/>
  <c r="H520" i="1"/>
  <c r="Q142" i="2"/>
  <c r="H522" i="1" l="1"/>
  <c r="H523" i="1"/>
  <c r="H843" i="3" s="1"/>
  <c r="H840" i="3"/>
  <c r="Q143" i="2"/>
  <c r="H842" i="3" l="1"/>
  <c r="H524" i="1"/>
  <c r="Q144" i="2"/>
  <c r="F528" i="1" l="1"/>
  <c r="H844" i="3"/>
  <c r="Q145" i="2"/>
  <c r="O88" i="1" l="1"/>
  <c r="F183" i="3" s="1"/>
  <c r="F848" i="3"/>
  <c r="Q146" i="2"/>
  <c r="Q147" i="2" l="1"/>
  <c r="Q148" i="2" l="1"/>
  <c r="Q149" i="2" l="1"/>
  <c r="Q150" i="2" l="1"/>
  <c r="Q151" i="2" l="1"/>
  <c r="Q152" i="2" l="1"/>
  <c r="Q153" i="2" l="1"/>
  <c r="Q154" i="2" l="1"/>
  <c r="Q155" i="2" l="1"/>
  <c r="Q156" i="2" l="1"/>
  <c r="Q157" i="2" l="1"/>
  <c r="H118" i="1" l="1"/>
  <c r="H97" i="1"/>
  <c r="H394" i="3" s="1"/>
  <c r="H96" i="1"/>
  <c r="H393" i="3" s="1"/>
  <c r="H124" i="1"/>
  <c r="F103" i="1"/>
  <c r="D103" i="1"/>
  <c r="M8" i="1" l="1"/>
  <c r="D102" i="3" s="1"/>
  <c r="D400" i="3"/>
  <c r="H125" i="1"/>
  <c r="H421" i="3" s="1"/>
  <c r="H420" i="3"/>
  <c r="H261" i="1"/>
  <c r="H574" i="3" s="1"/>
  <c r="H414" i="3"/>
  <c r="O8" i="1"/>
  <c r="F102" i="3" s="1"/>
  <c r="F400" i="3"/>
  <c r="Q8" i="1"/>
  <c r="N8" i="1"/>
  <c r="C152" i="1"/>
  <c r="D112" i="1"/>
  <c r="D411" i="3" s="1"/>
  <c r="G268" i="1"/>
  <c r="G581" i="3" s="1"/>
  <c r="G267" i="1"/>
  <c r="G580" i="3" s="1"/>
  <c r="H260" i="1"/>
  <c r="H573" i="3" s="1"/>
  <c r="H126" i="1"/>
  <c r="I190" i="1"/>
  <c r="I503" i="3" s="1"/>
  <c r="E190" i="1"/>
  <c r="E503" i="3" s="1"/>
  <c r="F106" i="1"/>
  <c r="F405" i="3" s="1"/>
  <c r="D150" i="1"/>
  <c r="F100" i="1"/>
  <c r="F397" i="3" s="1"/>
  <c r="H109" i="1"/>
  <c r="E109" i="1"/>
  <c r="H103" i="1"/>
  <c r="E103" i="1"/>
  <c r="H411" i="3" l="1"/>
  <c r="E411" i="3"/>
  <c r="C189" i="1"/>
  <c r="C502" i="3" s="1"/>
  <c r="H423" i="3"/>
  <c r="E152" i="1"/>
  <c r="E463" i="3" s="1"/>
  <c r="C463" i="3"/>
  <c r="H127" i="1"/>
  <c r="E400" i="3"/>
  <c r="H400" i="3"/>
  <c r="H102" i="3"/>
  <c r="E102" i="3"/>
  <c r="H397" i="3"/>
  <c r="E397" i="3"/>
  <c r="E405" i="3"/>
  <c r="H405" i="3"/>
  <c r="D192" i="1"/>
  <c r="D505" i="3" s="1"/>
  <c r="D461" i="3"/>
  <c r="H100" i="1"/>
  <c r="O5" i="1"/>
  <c r="H112" i="1"/>
  <c r="M17" i="1"/>
  <c r="E106" i="1"/>
  <c r="O11" i="1"/>
  <c r="I152" i="1"/>
  <c r="I463" i="3" s="1"/>
  <c r="C194" i="1"/>
  <c r="E112" i="1"/>
  <c r="I189" i="1"/>
  <c r="I502" i="3" s="1"/>
  <c r="E189" i="1"/>
  <c r="E502" i="3" s="1"/>
  <c r="H106" i="1"/>
  <c r="D151" i="1"/>
  <c r="D462" i="3" s="1"/>
  <c r="I150" i="1"/>
  <c r="I461" i="3" s="1"/>
  <c r="F150" i="1"/>
  <c r="F461" i="3" s="1"/>
  <c r="E150" i="1"/>
  <c r="E461" i="3" s="1"/>
  <c r="F148" i="1"/>
  <c r="F459" i="3" s="1"/>
  <c r="I191" i="1"/>
  <c r="I504" i="3" s="1"/>
  <c r="E191" i="1"/>
  <c r="E504" i="3" s="1"/>
  <c r="H152" i="1"/>
  <c r="H463" i="3" s="1"/>
  <c r="E100" i="1"/>
  <c r="G152" i="1" l="1"/>
  <c r="G463" i="3" s="1"/>
  <c r="E192" i="1"/>
  <c r="E505" i="3" s="1"/>
  <c r="F189" i="1"/>
  <c r="F502" i="3" s="1"/>
  <c r="C224" i="1"/>
  <c r="C537" i="3" s="1"/>
  <c r="H425" i="3"/>
  <c r="F190" i="1"/>
  <c r="G190" i="1" s="1"/>
  <c r="G503" i="3" s="1"/>
  <c r="E194" i="1"/>
  <c r="G194" i="1" s="1"/>
  <c r="G507" i="3" s="1"/>
  <c r="C507" i="3"/>
  <c r="D227" i="1"/>
  <c r="H263" i="1" s="1"/>
  <c r="H576" i="3" s="1"/>
  <c r="Q17" i="1"/>
  <c r="D112" i="3"/>
  <c r="I192" i="1"/>
  <c r="I505" i="3" s="1"/>
  <c r="F192" i="1"/>
  <c r="H192" i="1" s="1"/>
  <c r="H505" i="3" s="1"/>
  <c r="Q5" i="1"/>
  <c r="F99" i="3"/>
  <c r="Q11" i="1"/>
  <c r="F105" i="3"/>
  <c r="N11" i="1"/>
  <c r="N5" i="1"/>
  <c r="N17" i="1"/>
  <c r="H438" i="1"/>
  <c r="H755" i="3" s="1"/>
  <c r="I194" i="1"/>
  <c r="I507" i="3" s="1"/>
  <c r="C229" i="1"/>
  <c r="H482" i="1"/>
  <c r="H802" i="3" s="1"/>
  <c r="H391" i="1"/>
  <c r="H706" i="3" s="1"/>
  <c r="H389" i="1"/>
  <c r="H704" i="3" s="1"/>
  <c r="H388" i="1"/>
  <c r="H703" i="3" s="1"/>
  <c r="H387" i="1"/>
  <c r="H702" i="3" s="1"/>
  <c r="D193" i="1"/>
  <c r="D506" i="3" s="1"/>
  <c r="F151" i="1"/>
  <c r="F462" i="3" s="1"/>
  <c r="H163" i="1"/>
  <c r="H475" i="3" s="1"/>
  <c r="H164" i="1"/>
  <c r="H477" i="3" s="1"/>
  <c r="F149" i="1"/>
  <c r="F460" i="3" s="1"/>
  <c r="H148" i="1"/>
  <c r="H459" i="3" s="1"/>
  <c r="G148" i="1"/>
  <c r="G459" i="3" s="1"/>
  <c r="G150" i="1"/>
  <c r="G461" i="3" s="1"/>
  <c r="H150" i="1"/>
  <c r="H461" i="3" s="1"/>
  <c r="E151" i="1"/>
  <c r="I151" i="1"/>
  <c r="H190" i="1" l="1"/>
  <c r="H503" i="3" s="1"/>
  <c r="E227" i="1"/>
  <c r="E540" i="3" s="1"/>
  <c r="H405" i="1"/>
  <c r="H719" i="3" s="1"/>
  <c r="F227" i="1"/>
  <c r="F225" i="1"/>
  <c r="F538" i="3" s="1"/>
  <c r="F503" i="3"/>
  <c r="G192" i="1"/>
  <c r="G505" i="3" s="1"/>
  <c r="F191" i="1"/>
  <c r="F504" i="3" s="1"/>
  <c r="I227" i="1"/>
  <c r="I540" i="3" s="1"/>
  <c r="F224" i="1"/>
  <c r="F537" i="3" s="1"/>
  <c r="F193" i="1"/>
  <c r="F506" i="3" s="1"/>
  <c r="H194" i="1"/>
  <c r="H507" i="3" s="1"/>
  <c r="E507" i="3"/>
  <c r="H289" i="1"/>
  <c r="H602" i="3" s="1"/>
  <c r="C542" i="3"/>
  <c r="F505" i="3"/>
  <c r="H112" i="3"/>
  <c r="E112" i="3"/>
  <c r="D540" i="3"/>
  <c r="F228" i="1"/>
  <c r="F541" i="3" s="1"/>
  <c r="F540" i="3"/>
  <c r="E153" i="1"/>
  <c r="E462" i="3"/>
  <c r="I153" i="1"/>
  <c r="I464" i="3" s="1"/>
  <c r="I462" i="3"/>
  <c r="E105" i="3"/>
  <c r="H105" i="3"/>
  <c r="H191" i="1"/>
  <c r="H504" i="3" s="1"/>
  <c r="G191" i="1"/>
  <c r="G504" i="3" s="1"/>
  <c r="E99" i="3"/>
  <c r="H99" i="3"/>
  <c r="I229" i="1"/>
  <c r="I542" i="3" s="1"/>
  <c r="E229" i="1"/>
  <c r="G229" i="1" s="1"/>
  <c r="G542" i="3" s="1"/>
  <c r="H406" i="1"/>
  <c r="C297" i="1"/>
  <c r="H264" i="1"/>
  <c r="H291" i="1"/>
  <c r="H604" i="3" s="1"/>
  <c r="E193" i="1"/>
  <c r="I193" i="1"/>
  <c r="D228" i="1"/>
  <c r="D115" i="1" s="1"/>
  <c r="M20" i="1" s="1"/>
  <c r="H297" i="1"/>
  <c r="G227" i="1"/>
  <c r="G540" i="3" s="1"/>
  <c r="H227" i="1"/>
  <c r="H540" i="3" s="1"/>
  <c r="F226" i="1"/>
  <c r="F539" i="3" s="1"/>
  <c r="G225" i="1"/>
  <c r="G538" i="3" s="1"/>
  <c r="H225" i="1"/>
  <c r="H538" i="3" s="1"/>
  <c r="G189" i="1"/>
  <c r="G502" i="3" s="1"/>
  <c r="H189" i="1"/>
  <c r="H502" i="3" s="1"/>
  <c r="H149" i="1"/>
  <c r="H460" i="3" s="1"/>
  <c r="G149" i="1"/>
  <c r="G460" i="3" s="1"/>
  <c r="G151" i="1"/>
  <c r="G462" i="3" s="1"/>
  <c r="H151" i="1"/>
  <c r="H462" i="3" s="1"/>
  <c r="Q20" i="1" l="1"/>
  <c r="D115" i="3"/>
  <c r="N20" i="1"/>
  <c r="H115" i="1"/>
  <c r="E115" i="1"/>
  <c r="D297" i="1"/>
  <c r="C610" i="3"/>
  <c r="H229" i="1"/>
  <c r="H542" i="3" s="1"/>
  <c r="E542" i="3"/>
  <c r="E268" i="1"/>
  <c r="H577" i="3"/>
  <c r="E299" i="1"/>
  <c r="E612" i="3" s="1"/>
  <c r="H425" i="1"/>
  <c r="D541" i="3"/>
  <c r="E195" i="1"/>
  <c r="E506" i="3"/>
  <c r="H156" i="1"/>
  <c r="E464" i="3"/>
  <c r="H416" i="1"/>
  <c r="H730" i="3" s="1"/>
  <c r="H720" i="3"/>
  <c r="I195" i="1"/>
  <c r="I508" i="3" s="1"/>
  <c r="I506" i="3"/>
  <c r="E267" i="1"/>
  <c r="E580" i="3" s="1"/>
  <c r="H448" i="1"/>
  <c r="H432" i="1"/>
  <c r="H749" i="3" s="1"/>
  <c r="H485" i="1"/>
  <c r="H805" i="3" s="1"/>
  <c r="H469" i="1"/>
  <c r="E453" i="1"/>
  <c r="E770" i="3" s="1"/>
  <c r="H193" i="1"/>
  <c r="H506" i="3" s="1"/>
  <c r="G193" i="1"/>
  <c r="I228" i="1"/>
  <c r="I541" i="3" s="1"/>
  <c r="E228" i="1"/>
  <c r="E541" i="3" s="1"/>
  <c r="E409" i="1"/>
  <c r="E723" i="3" s="1"/>
  <c r="H300" i="1"/>
  <c r="G153" i="1"/>
  <c r="H153" i="1"/>
  <c r="H464" i="3" s="1"/>
  <c r="H226" i="1"/>
  <c r="H539" i="3" s="1"/>
  <c r="G226" i="1"/>
  <c r="G539" i="3" s="1"/>
  <c r="H789" i="3" l="1"/>
  <c r="H115" i="3"/>
  <c r="E115" i="3"/>
  <c r="H418" i="1"/>
  <c r="H732" i="3" s="1"/>
  <c r="H268" i="1"/>
  <c r="F268" i="1"/>
  <c r="D612" i="3"/>
  <c r="H613" i="3"/>
  <c r="F612" i="3"/>
  <c r="H195" i="1"/>
  <c r="H508" i="3" s="1"/>
  <c r="D299" i="1"/>
  <c r="H271" i="1"/>
  <c r="H584" i="3" s="1"/>
  <c r="H610" i="3"/>
  <c r="D610" i="3"/>
  <c r="H742" i="3"/>
  <c r="E581" i="3"/>
  <c r="F581" i="3" s="1"/>
  <c r="F299" i="1"/>
  <c r="F580" i="3"/>
  <c r="H580" i="3"/>
  <c r="B585" i="3"/>
  <c r="H423" i="1"/>
  <c r="D723" i="3"/>
  <c r="H723" i="3"/>
  <c r="H450" i="1"/>
  <c r="H561" i="1" s="1"/>
  <c r="H765" i="3"/>
  <c r="D770" i="3"/>
  <c r="H770" i="3"/>
  <c r="H267" i="1"/>
  <c r="H198" i="1"/>
  <c r="H511" i="3" s="1"/>
  <c r="E508" i="3"/>
  <c r="G195" i="1"/>
  <c r="G506" i="3"/>
  <c r="H467" i="3"/>
  <c r="H5" i="2"/>
  <c r="F267" i="1"/>
  <c r="H270" i="1"/>
  <c r="H276" i="1" s="1"/>
  <c r="H157" i="1"/>
  <c r="H468" i="3" s="1"/>
  <c r="G464" i="3"/>
  <c r="B272" i="1"/>
  <c r="F430" i="1"/>
  <c r="H435" i="1"/>
  <c r="H752" i="3" s="1"/>
  <c r="H434" i="1"/>
  <c r="H751" i="3" s="1"/>
  <c r="H436" i="1"/>
  <c r="H753" i="3" s="1"/>
  <c r="H159" i="1"/>
  <c r="H655" i="1"/>
  <c r="H976" i="3" s="1"/>
  <c r="H453" i="1"/>
  <c r="D453" i="1"/>
  <c r="H409" i="1"/>
  <c r="D409" i="1"/>
  <c r="H228" i="1"/>
  <c r="H541" i="3" s="1"/>
  <c r="G228" i="1"/>
  <c r="G541" i="3" s="1"/>
  <c r="D167" i="1"/>
  <c r="H158" i="1" l="1"/>
  <c r="H469" i="3" s="1"/>
  <c r="H884" i="3"/>
  <c r="H598" i="1"/>
  <c r="H581" i="3"/>
  <c r="H739" i="3"/>
  <c r="H272" i="1"/>
  <c r="H585" i="3" s="1"/>
  <c r="H199" i="1"/>
  <c r="G508" i="3"/>
  <c r="M24" i="1"/>
  <c r="M26" i="1" s="1"/>
  <c r="D480" i="3"/>
  <c r="H460" i="1"/>
  <c r="H767" i="3"/>
  <c r="H476" i="1"/>
  <c r="C295" i="1"/>
  <c r="C608" i="3" s="1"/>
  <c r="H588" i="3"/>
  <c r="H275" i="1"/>
  <c r="H583" i="3"/>
  <c r="H628" i="1"/>
  <c r="H950" i="3" s="1"/>
  <c r="H920" i="3"/>
  <c r="H654" i="1"/>
  <c r="H975" i="3" s="1"/>
  <c r="H470" i="3"/>
  <c r="H7" i="2"/>
  <c r="H217" i="3"/>
  <c r="H574" i="1"/>
  <c r="H578" i="1"/>
  <c r="O61" i="1"/>
  <c r="F156" i="3" s="1"/>
  <c r="F747" i="3"/>
  <c r="E430" i="1"/>
  <c r="H430" i="1"/>
  <c r="Q61" i="1"/>
  <c r="N61" i="1"/>
  <c r="H437" i="1"/>
  <c r="H161" i="1"/>
  <c r="H661" i="1"/>
  <c r="H660" i="1"/>
  <c r="H160" i="1"/>
  <c r="H471" i="3" s="1"/>
  <c r="H599" i="1"/>
  <c r="E224" i="1"/>
  <c r="E537" i="3" s="1"/>
  <c r="I224" i="1"/>
  <c r="D169" i="1"/>
  <c r="D482" i="3" s="1"/>
  <c r="E167" i="1"/>
  <c r="H167" i="1"/>
  <c r="N24" i="1" l="1"/>
  <c r="I230" i="1"/>
  <c r="I543" i="3" s="1"/>
  <c r="I537" i="3"/>
  <c r="H337" i="1"/>
  <c r="Q39" i="1" s="1"/>
  <c r="H134" i="3" s="1"/>
  <c r="H320" i="1"/>
  <c r="H631" i="3" s="1"/>
  <c r="B301" i="1"/>
  <c r="D295" i="1"/>
  <c r="F323" i="1"/>
  <c r="F634" i="3" s="1"/>
  <c r="B614" i="3"/>
  <c r="H608" i="3"/>
  <c r="H648" i="3"/>
  <c r="H684" i="3"/>
  <c r="G657" i="3"/>
  <c r="H697" i="3"/>
  <c r="D608" i="3"/>
  <c r="H246" i="1"/>
  <c r="H559" i="3" s="1"/>
  <c r="H472" i="3"/>
  <c r="H796" i="3"/>
  <c r="H480" i="1"/>
  <c r="H800" i="3" s="1"/>
  <c r="H479" i="1"/>
  <c r="H799" i="3" s="1"/>
  <c r="H478" i="1"/>
  <c r="H981" i="3"/>
  <c r="H340" i="1"/>
  <c r="H777" i="3"/>
  <c r="H462" i="1"/>
  <c r="H439" i="1"/>
  <c r="H754" i="3"/>
  <c r="H295" i="1"/>
  <c r="H579" i="1"/>
  <c r="H902" i="3" s="1"/>
  <c r="H901" i="3"/>
  <c r="H480" i="3"/>
  <c r="E480" i="3"/>
  <c r="H587" i="3"/>
  <c r="H281" i="1"/>
  <c r="H280" i="1"/>
  <c r="H592" i="3" s="1"/>
  <c r="H279" i="1"/>
  <c r="H591" i="3" s="1"/>
  <c r="H278" i="1"/>
  <c r="H590" i="3" s="1"/>
  <c r="D316" i="1"/>
  <c r="E316" i="1" s="1"/>
  <c r="Q26" i="1"/>
  <c r="D121" i="3"/>
  <c r="H575" i="1"/>
  <c r="H897" i="3"/>
  <c r="Q24" i="1"/>
  <c r="D119" i="3"/>
  <c r="H600" i="1"/>
  <c r="H921" i="3"/>
  <c r="H982" i="3"/>
  <c r="H482" i="3"/>
  <c r="E482" i="3"/>
  <c r="H219" i="3"/>
  <c r="H585" i="1"/>
  <c r="H586" i="1"/>
  <c r="H8" i="2"/>
  <c r="H129" i="2"/>
  <c r="H512" i="3"/>
  <c r="H201" i="1"/>
  <c r="H664" i="1"/>
  <c r="H200" i="1"/>
  <c r="H747" i="3"/>
  <c r="E747" i="3"/>
  <c r="H156" i="3"/>
  <c r="E156" i="3"/>
  <c r="N26" i="1"/>
  <c r="H245" i="1"/>
  <c r="H558" i="3" s="1"/>
  <c r="H236" i="1"/>
  <c r="H549" i="3" s="1"/>
  <c r="E169" i="1"/>
  <c r="H169" i="1"/>
  <c r="H224" i="1"/>
  <c r="G224" i="1"/>
  <c r="E230" i="1"/>
  <c r="H316" i="1" l="1"/>
  <c r="H284" i="1"/>
  <c r="E344" i="1"/>
  <c r="E657" i="3" s="1"/>
  <c r="H652" i="3"/>
  <c r="H798" i="3"/>
  <c r="H481" i="1"/>
  <c r="B317" i="1"/>
  <c r="B628" i="3" s="1"/>
  <c r="D627" i="3"/>
  <c r="D323" i="1"/>
  <c r="H329" i="1" s="1"/>
  <c r="H640" i="3" s="1"/>
  <c r="H908" i="3"/>
  <c r="H589" i="1"/>
  <c r="H623" i="1"/>
  <c r="H909" i="3"/>
  <c r="G230" i="1"/>
  <c r="G543" i="3" s="1"/>
  <c r="G537" i="3"/>
  <c r="H601" i="1"/>
  <c r="H922" i="3"/>
  <c r="H233" i="1"/>
  <c r="H546" i="3" s="1"/>
  <c r="E543" i="3"/>
  <c r="H133" i="2"/>
  <c r="H513" i="3"/>
  <c r="H119" i="3"/>
  <c r="E119" i="3"/>
  <c r="H230" i="1"/>
  <c r="H543" i="3" s="1"/>
  <c r="H537" i="3"/>
  <c r="H669" i="1"/>
  <c r="H990" i="3" s="1"/>
  <c r="H985" i="3"/>
  <c r="H668" i="1"/>
  <c r="H514" i="3"/>
  <c r="H663" i="1"/>
  <c r="H203" i="1"/>
  <c r="H516" i="3" s="1"/>
  <c r="H204" i="1"/>
  <c r="H202" i="1"/>
  <c r="F443" i="1"/>
  <c r="H756" i="3"/>
  <c r="H596" i="3"/>
  <c r="H285" i="1"/>
  <c r="H597" i="3" s="1"/>
  <c r="H593" i="3"/>
  <c r="H898" i="3"/>
  <c r="H581" i="1"/>
  <c r="H904" i="3" s="1"/>
  <c r="H779" i="3"/>
  <c r="H467" i="1"/>
  <c r="H18" i="2"/>
  <c r="H220" i="3"/>
  <c r="H109" i="2"/>
  <c r="H321" i="3" s="1"/>
  <c r="H550" i="1"/>
  <c r="H650" i="1"/>
  <c r="H131" i="2"/>
  <c r="H375" i="3"/>
  <c r="E121" i="3"/>
  <c r="H121" i="3"/>
  <c r="H671" i="1"/>
  <c r="H992" i="3" s="1"/>
  <c r="F643" i="1" l="1"/>
  <c r="H945" i="3"/>
  <c r="H234" i="1"/>
  <c r="H672" i="1" s="1"/>
  <c r="H993" i="3" s="1"/>
  <c r="H626" i="1"/>
  <c r="H923" i="3"/>
  <c r="H602" i="1"/>
  <c r="H607" i="1"/>
  <c r="H929" i="3" s="1"/>
  <c r="O65" i="1"/>
  <c r="F160" i="3" s="1"/>
  <c r="F760" i="3"/>
  <c r="H692" i="1"/>
  <c r="H984" i="3"/>
  <c r="H230" i="3"/>
  <c r="H551" i="1"/>
  <c r="H872" i="3" s="1"/>
  <c r="N110" i="2"/>
  <c r="H989" i="3"/>
  <c r="H680" i="1"/>
  <c r="H786" i="3"/>
  <c r="F474" i="1"/>
  <c r="H592" i="1"/>
  <c r="H912" i="3"/>
  <c r="H971" i="3"/>
  <c r="H690" i="1"/>
  <c r="H1010" i="3" s="1"/>
  <c r="H678" i="1"/>
  <c r="H998" i="3" s="1"/>
  <c r="D634" i="3"/>
  <c r="D329" i="1"/>
  <c r="D328" i="1"/>
  <c r="E323" i="1"/>
  <c r="C324" i="1"/>
  <c r="C635" i="3" s="1"/>
  <c r="H871" i="3"/>
  <c r="H554" i="1"/>
  <c r="H627" i="3"/>
  <c r="E627" i="3"/>
  <c r="H139" i="2"/>
  <c r="H386" i="3" s="1"/>
  <c r="H377" i="3"/>
  <c r="H484" i="1"/>
  <c r="H801" i="3"/>
  <c r="H515" i="3"/>
  <c r="H247" i="1"/>
  <c r="H560" i="3" s="1"/>
  <c r="H517" i="3"/>
  <c r="H248" i="1"/>
  <c r="H561" i="3" s="1"/>
  <c r="H286" i="1"/>
  <c r="H135" i="2"/>
  <c r="H380" i="3"/>
  <c r="H95" i="2"/>
  <c r="H307" i="3" s="1"/>
  <c r="H235" i="1"/>
  <c r="H239" i="1"/>
  <c r="H552" i="3" s="1"/>
  <c r="H547" i="3" l="1"/>
  <c r="O101" i="1"/>
  <c r="F196" i="3" s="1"/>
  <c r="F964" i="3"/>
  <c r="H875" i="3"/>
  <c r="H558" i="1"/>
  <c r="H879" i="3" s="1"/>
  <c r="H557" i="1"/>
  <c r="H140" i="2"/>
  <c r="H382" i="3"/>
  <c r="H674" i="1"/>
  <c r="H695" i="1"/>
  <c r="H1012" i="3"/>
  <c r="H675" i="1"/>
  <c r="N124" i="2"/>
  <c r="N130" i="2"/>
  <c r="N122" i="2"/>
  <c r="N131" i="2"/>
  <c r="N125" i="2"/>
  <c r="N136" i="2"/>
  <c r="N121" i="2"/>
  <c r="N112" i="2"/>
  <c r="N116" i="2"/>
  <c r="N126" i="2"/>
  <c r="N120" i="2"/>
  <c r="N123" i="2"/>
  <c r="N114" i="2"/>
  <c r="N119" i="2"/>
  <c r="N118" i="2"/>
  <c r="N117" i="2"/>
  <c r="N115" i="2"/>
  <c r="N127" i="2"/>
  <c r="N111" i="2"/>
  <c r="N128" i="2"/>
  <c r="N129" i="2"/>
  <c r="N113" i="2"/>
  <c r="H326" i="1"/>
  <c r="H598" i="3"/>
  <c r="H305" i="1"/>
  <c r="H618" i="3" s="1"/>
  <c r="H924" i="3"/>
  <c r="H606" i="1"/>
  <c r="H627" i="1"/>
  <c r="H683" i="1"/>
  <c r="H1000" i="3"/>
  <c r="E634" i="3"/>
  <c r="D639" i="3"/>
  <c r="D640" i="3"/>
  <c r="H804" i="3"/>
  <c r="H486" i="1"/>
  <c r="H594" i="1"/>
  <c r="H915" i="3"/>
  <c r="H341" i="1"/>
  <c r="H654" i="3" s="1"/>
  <c r="H548" i="3"/>
  <c r="E474" i="1"/>
  <c r="O71" i="1"/>
  <c r="F794" i="3"/>
  <c r="H474" i="1"/>
  <c r="H632" i="1"/>
  <c r="H954" i="3" s="1"/>
  <c r="H948" i="3"/>
  <c r="H79" i="2"/>
  <c r="H291" i="3" s="1"/>
  <c r="H238" i="1"/>
  <c r="H551" i="3" s="1"/>
  <c r="H250" i="1"/>
  <c r="H237" i="1"/>
  <c r="H550" i="3" s="1"/>
  <c r="W128" i="2" l="1"/>
  <c r="X128" i="2"/>
  <c r="Y128" i="2"/>
  <c r="W121" i="2"/>
  <c r="X121" i="2"/>
  <c r="Y121" i="2"/>
  <c r="Y124" i="2"/>
  <c r="X124" i="2"/>
  <c r="W124" i="2"/>
  <c r="N144" i="2"/>
  <c r="N153" i="2"/>
  <c r="N147" i="2"/>
  <c r="N157" i="2"/>
  <c r="N151" i="2"/>
  <c r="N140" i="2"/>
  <c r="N156" i="2"/>
  <c r="N137" i="2"/>
  <c r="N148" i="2"/>
  <c r="N139" i="2"/>
  <c r="N154" i="2"/>
  <c r="N143" i="2"/>
  <c r="N155" i="2"/>
  <c r="N142" i="2"/>
  <c r="N149" i="2"/>
  <c r="N145" i="2"/>
  <c r="N141" i="2"/>
  <c r="N150" i="2"/>
  <c r="N138" i="2"/>
  <c r="N152" i="2"/>
  <c r="N146" i="2"/>
  <c r="Y111" i="2"/>
  <c r="W111" i="2"/>
  <c r="X111" i="2"/>
  <c r="H534" i="1"/>
  <c r="H691" i="1"/>
  <c r="H995" i="3"/>
  <c r="W130" i="2"/>
  <c r="X130" i="2"/>
  <c r="Y130" i="2"/>
  <c r="W118" i="2"/>
  <c r="X118" i="2"/>
  <c r="Y118" i="2"/>
  <c r="H328" i="1"/>
  <c r="H637" i="3"/>
  <c r="D699" i="1"/>
  <c r="H1015" i="3"/>
  <c r="H243" i="1"/>
  <c r="H556" i="3" s="1"/>
  <c r="W131" i="2"/>
  <c r="Y131" i="2"/>
  <c r="X131" i="2"/>
  <c r="Y114" i="2"/>
  <c r="X114" i="2"/>
  <c r="W114" i="2"/>
  <c r="H679" i="1"/>
  <c r="H994" i="3"/>
  <c r="H630" i="1"/>
  <c r="H952" i="3" s="1"/>
  <c r="H949" i="3"/>
  <c r="H631" i="1"/>
  <c r="X123" i="2"/>
  <c r="Y123" i="2"/>
  <c r="W123" i="2"/>
  <c r="X125" i="2"/>
  <c r="W125" i="2"/>
  <c r="Y125" i="2"/>
  <c r="X122" i="2"/>
  <c r="W122" i="2"/>
  <c r="Y122" i="2"/>
  <c r="Y117" i="2"/>
  <c r="W117" i="2"/>
  <c r="X117" i="2"/>
  <c r="H563" i="3"/>
  <c r="H1003" i="3"/>
  <c r="D687" i="1"/>
  <c r="H609" i="1"/>
  <c r="H931" i="3" s="1"/>
  <c r="H928" i="3"/>
  <c r="Y120" i="2"/>
  <c r="X120" i="2"/>
  <c r="W120" i="2"/>
  <c r="H141" i="2"/>
  <c r="H388" i="3" s="1"/>
  <c r="H387" i="3"/>
  <c r="W113" i="2"/>
  <c r="X113" i="2"/>
  <c r="Y113" i="2"/>
  <c r="F491" i="1"/>
  <c r="H806" i="3"/>
  <c r="W115" i="2"/>
  <c r="Y115" i="2"/>
  <c r="X115" i="2"/>
  <c r="Y119" i="2"/>
  <c r="W119" i="2"/>
  <c r="X119" i="2"/>
  <c r="W126" i="2"/>
  <c r="X126" i="2"/>
  <c r="Y126" i="2"/>
  <c r="D646" i="1"/>
  <c r="H878" i="3"/>
  <c r="W129" i="2"/>
  <c r="Y129" i="2"/>
  <c r="X129" i="2"/>
  <c r="C344" i="1"/>
  <c r="C657" i="3" s="1"/>
  <c r="D657" i="3" s="1"/>
  <c r="W116" i="2"/>
  <c r="X116" i="2"/>
  <c r="Y116" i="2"/>
  <c r="H917" i="3"/>
  <c r="H595" i="1"/>
  <c r="W127" i="2"/>
  <c r="X127" i="2"/>
  <c r="Y127" i="2"/>
  <c r="E794" i="3"/>
  <c r="H794" i="3"/>
  <c r="F166" i="3"/>
  <c r="N71" i="1"/>
  <c r="Q71" i="1"/>
  <c r="X112" i="2"/>
  <c r="Y112" i="2"/>
  <c r="W112" i="2"/>
  <c r="K204" i="1"/>
  <c r="F380" i="1"/>
  <c r="H371" i="1"/>
  <c r="H688" i="3" s="1"/>
  <c r="H375" i="1"/>
  <c r="H692" i="3" s="1"/>
  <c r="H373" i="1"/>
  <c r="H690" i="3" s="1"/>
  <c r="D380" i="1"/>
  <c r="H358" i="1"/>
  <c r="H357" i="1"/>
  <c r="H674" i="3" s="1"/>
  <c r="H374" i="1"/>
  <c r="H691" i="3" s="1"/>
  <c r="H377" i="1"/>
  <c r="H694" i="3" s="1"/>
  <c r="H362" i="1"/>
  <c r="H679" i="3" s="1"/>
  <c r="H372" i="1"/>
  <c r="H689" i="3" s="1"/>
  <c r="H347" i="1"/>
  <c r="H663" i="3" s="1"/>
  <c r="C351" i="1"/>
  <c r="C668" i="3" s="1"/>
  <c r="G351" i="1"/>
  <c r="G668" i="3" s="1"/>
  <c r="H359" i="1"/>
  <c r="H676" i="3" s="1"/>
  <c r="H376" i="1"/>
  <c r="H693" i="3" s="1"/>
  <c r="H355" i="1"/>
  <c r="H672" i="3" s="1"/>
  <c r="G344" i="1"/>
  <c r="H370" i="1"/>
  <c r="H687" i="3" s="1"/>
  <c r="H538" i="1"/>
  <c r="H80" i="2"/>
  <c r="H249" i="1"/>
  <c r="W156" i="2" l="1"/>
  <c r="V156" i="2"/>
  <c r="U156" i="2"/>
  <c r="T156" i="2"/>
  <c r="Y156" i="2"/>
  <c r="X156" i="2"/>
  <c r="H360" i="1"/>
  <c r="H675" i="3"/>
  <c r="D1019" i="3"/>
  <c r="M115" i="1"/>
  <c r="D210" i="3" s="1"/>
  <c r="T152" i="2"/>
  <c r="X152" i="2"/>
  <c r="V152" i="2"/>
  <c r="U152" i="2"/>
  <c r="W152" i="2"/>
  <c r="Y152" i="2"/>
  <c r="T157" i="2"/>
  <c r="X157" i="2"/>
  <c r="U157" i="2"/>
  <c r="W157" i="2"/>
  <c r="V157" i="2"/>
  <c r="Y157" i="2"/>
  <c r="U138" i="2"/>
  <c r="Y138" i="2"/>
  <c r="X138" i="2"/>
  <c r="W138" i="2"/>
  <c r="T138" i="2"/>
  <c r="V138" i="2"/>
  <c r="T147" i="2"/>
  <c r="V147" i="2"/>
  <c r="W147" i="2"/>
  <c r="U147" i="2"/>
  <c r="Y147" i="2"/>
  <c r="X147" i="2"/>
  <c r="T140" i="2"/>
  <c r="X140" i="2"/>
  <c r="Y140" i="2"/>
  <c r="W140" i="2"/>
  <c r="U140" i="2"/>
  <c r="V140" i="2"/>
  <c r="H639" i="3"/>
  <c r="H330" i="1"/>
  <c r="U150" i="2"/>
  <c r="X150" i="2"/>
  <c r="W150" i="2"/>
  <c r="V150" i="2"/>
  <c r="T150" i="2"/>
  <c r="Y150" i="2"/>
  <c r="U153" i="2"/>
  <c r="V153" i="2"/>
  <c r="X153" i="2"/>
  <c r="T153" i="2"/>
  <c r="Y153" i="2"/>
  <c r="W153" i="2"/>
  <c r="M110" i="1"/>
  <c r="D1007" i="3"/>
  <c r="H634" i="1"/>
  <c r="H953" i="3"/>
  <c r="Y141" i="2"/>
  <c r="T141" i="2"/>
  <c r="V141" i="2"/>
  <c r="U141" i="2"/>
  <c r="X141" i="2"/>
  <c r="W141" i="2"/>
  <c r="X144" i="2"/>
  <c r="Y144" i="2"/>
  <c r="W144" i="2"/>
  <c r="U144" i="2"/>
  <c r="V144" i="2"/>
  <c r="T144" i="2"/>
  <c r="H858" i="3"/>
  <c r="U146" i="2"/>
  <c r="W146" i="2"/>
  <c r="X146" i="2"/>
  <c r="T146" i="2"/>
  <c r="V146" i="2"/>
  <c r="Y146" i="2"/>
  <c r="V145" i="2"/>
  <c r="T145" i="2"/>
  <c r="U145" i="2"/>
  <c r="Y145" i="2"/>
  <c r="X145" i="2"/>
  <c r="W145" i="2"/>
  <c r="T149" i="2"/>
  <c r="Y149" i="2"/>
  <c r="X149" i="2"/>
  <c r="W149" i="2"/>
  <c r="V149" i="2"/>
  <c r="U149" i="2"/>
  <c r="M104" i="1"/>
  <c r="D967" i="3"/>
  <c r="H596" i="1"/>
  <c r="H919" i="3" s="1"/>
  <c r="H918" i="3"/>
  <c r="O47" i="1"/>
  <c r="F142" i="3" s="1"/>
  <c r="F697" i="3"/>
  <c r="H253" i="1"/>
  <c r="H566" i="3" s="1"/>
  <c r="W142" i="2"/>
  <c r="Y142" i="2"/>
  <c r="U142" i="2"/>
  <c r="V142" i="2"/>
  <c r="X142" i="2"/>
  <c r="T142" i="2"/>
  <c r="H682" i="1"/>
  <c r="H999" i="3"/>
  <c r="Y155" i="2"/>
  <c r="X155" i="2"/>
  <c r="T155" i="2"/>
  <c r="W155" i="2"/>
  <c r="U155" i="2"/>
  <c r="V155" i="2"/>
  <c r="O75" i="1"/>
  <c r="F170" i="3" s="1"/>
  <c r="F811" i="3"/>
  <c r="T143" i="2"/>
  <c r="Y143" i="2"/>
  <c r="U143" i="2"/>
  <c r="X143" i="2"/>
  <c r="V143" i="2"/>
  <c r="W143" i="2"/>
  <c r="H166" i="3"/>
  <c r="E166" i="3"/>
  <c r="T151" i="2"/>
  <c r="U151" i="2"/>
  <c r="X151" i="2"/>
  <c r="Y151" i="2"/>
  <c r="V151" i="2"/>
  <c r="W151" i="2"/>
  <c r="W154" i="2"/>
  <c r="X154" i="2"/>
  <c r="T154" i="2"/>
  <c r="U154" i="2"/>
  <c r="Y154" i="2"/>
  <c r="V154" i="2"/>
  <c r="H694" i="1"/>
  <c r="H1011" i="3"/>
  <c r="T139" i="2"/>
  <c r="V139" i="2"/>
  <c r="X139" i="2"/>
  <c r="U139" i="2"/>
  <c r="Y139" i="2"/>
  <c r="W139" i="2"/>
  <c r="M47" i="1"/>
  <c r="D142" i="3" s="1"/>
  <c r="D697" i="3"/>
  <c r="H853" i="3"/>
  <c r="H539" i="1"/>
  <c r="H860" i="3" s="1"/>
  <c r="X148" i="2"/>
  <c r="W148" i="2"/>
  <c r="T148" i="2"/>
  <c r="V148" i="2"/>
  <c r="Y148" i="2"/>
  <c r="U148" i="2"/>
  <c r="Z148" i="2" s="1"/>
  <c r="H252" i="1"/>
  <c r="H562" i="3"/>
  <c r="D344" i="1"/>
  <c r="H81" i="2"/>
  <c r="H293" i="3" s="1"/>
  <c r="H292" i="3"/>
  <c r="X137" i="2"/>
  <c r="T137" i="2"/>
  <c r="V137" i="2"/>
  <c r="U137" i="2"/>
  <c r="W137" i="2"/>
  <c r="Y137" i="2"/>
  <c r="H380" i="1"/>
  <c r="H348" i="1"/>
  <c r="H610" i="1"/>
  <c r="H932" i="3" s="1"/>
  <c r="H390" i="1"/>
  <c r="H705" i="3" s="1"/>
  <c r="Q113" i="2" l="1"/>
  <c r="Q126" i="2"/>
  <c r="Q111" i="2"/>
  <c r="U111" i="2" s="1"/>
  <c r="Q120" i="2"/>
  <c r="Q121" i="2"/>
  <c r="Q125" i="2"/>
  <c r="Q112" i="2"/>
  <c r="Q129" i="2"/>
  <c r="Z152" i="2"/>
  <c r="Q114" i="2"/>
  <c r="T114" i="2" s="1"/>
  <c r="Q127" i="2"/>
  <c r="T127" i="2" s="1"/>
  <c r="Q115" i="2"/>
  <c r="V115" i="2" s="1"/>
  <c r="E697" i="3"/>
  <c r="Q119" i="2"/>
  <c r="U119" i="2" s="1"/>
  <c r="Q128" i="2"/>
  <c r="T128" i="2" s="1"/>
  <c r="H112" i="2"/>
  <c r="H324" i="3" s="1"/>
  <c r="N47" i="1"/>
  <c r="Q123" i="2"/>
  <c r="T123" i="2" s="1"/>
  <c r="Q47" i="1"/>
  <c r="Q110" i="2"/>
  <c r="Q136" i="2" s="1"/>
  <c r="Q117" i="2"/>
  <c r="T117" i="2" s="1"/>
  <c r="Q118" i="2"/>
  <c r="U118" i="2" s="1"/>
  <c r="Q116" i="2"/>
  <c r="T116" i="2" s="1"/>
  <c r="Z146" i="2"/>
  <c r="F646" i="1"/>
  <c r="H956" i="3"/>
  <c r="Z150" i="2"/>
  <c r="H540" i="1"/>
  <c r="F334" i="1"/>
  <c r="H641" i="3"/>
  <c r="Z143" i="2"/>
  <c r="Z142" i="2"/>
  <c r="Z149" i="2"/>
  <c r="Z154" i="2"/>
  <c r="H254" i="1"/>
  <c r="H565" i="3"/>
  <c r="Z144" i="2"/>
  <c r="D205" i="3"/>
  <c r="Z140" i="2"/>
  <c r="Z138" i="2"/>
  <c r="F699" i="1"/>
  <c r="H1014" i="3"/>
  <c r="Z137" i="2"/>
  <c r="D199" i="3"/>
  <c r="H361" i="1"/>
  <c r="H677" i="3"/>
  <c r="E351" i="1"/>
  <c r="D351" i="1" s="1"/>
  <c r="H665" i="3"/>
  <c r="Z145" i="2"/>
  <c r="Z155" i="2"/>
  <c r="Z157" i="2"/>
  <c r="H142" i="3"/>
  <c r="E142" i="3"/>
  <c r="Z139" i="2"/>
  <c r="Z141" i="2"/>
  <c r="Z153" i="2"/>
  <c r="Z156" i="2"/>
  <c r="F687" i="1"/>
  <c r="H1002" i="3"/>
  <c r="Z151" i="2"/>
  <c r="Z147" i="2"/>
  <c r="Q124" i="2"/>
  <c r="U124" i="2" s="1"/>
  <c r="Q131" i="2"/>
  <c r="U131" i="2" s="1"/>
  <c r="Q122" i="2"/>
  <c r="T122" i="2" s="1"/>
  <c r="Q130" i="2"/>
  <c r="U130" i="2" s="1"/>
  <c r="H354" i="1"/>
  <c r="H611" i="1"/>
  <c r="H392" i="1"/>
  <c r="U126" i="2"/>
  <c r="T126" i="2"/>
  <c r="V126" i="2"/>
  <c r="V120" i="2"/>
  <c r="U120" i="2"/>
  <c r="T120" i="2"/>
  <c r="V129" i="2"/>
  <c r="T129" i="2"/>
  <c r="U129" i="2"/>
  <c r="V111" i="2"/>
  <c r="T111" i="2"/>
  <c r="T121" i="2"/>
  <c r="V121" i="2"/>
  <c r="U121" i="2"/>
  <c r="V112" i="2"/>
  <c r="U112" i="2"/>
  <c r="T112" i="2"/>
  <c r="U117" i="2"/>
  <c r="V113" i="2"/>
  <c r="U113" i="2"/>
  <c r="T113" i="2"/>
  <c r="T125" i="2"/>
  <c r="U125" i="2"/>
  <c r="V125" i="2"/>
  <c r="V127" i="2" l="1"/>
  <c r="V114" i="2"/>
  <c r="U114" i="2"/>
  <c r="V131" i="2"/>
  <c r="U128" i="2"/>
  <c r="T115" i="2"/>
  <c r="U115" i="2"/>
  <c r="Z115" i="2" s="1"/>
  <c r="F351" i="1"/>
  <c r="U127" i="2"/>
  <c r="H116" i="2"/>
  <c r="H330" i="3" s="1"/>
  <c r="U122" i="2"/>
  <c r="T130" i="2"/>
  <c r="T119" i="2"/>
  <c r="H117" i="2"/>
  <c r="H332" i="3" s="1"/>
  <c r="V124" i="2"/>
  <c r="Z124" i="2" s="1"/>
  <c r="V119" i="2"/>
  <c r="Z119" i="2" s="1"/>
  <c r="V122" i="2"/>
  <c r="V128" i="2"/>
  <c r="T124" i="2"/>
  <c r="V117" i="2"/>
  <c r="Z117" i="2" s="1"/>
  <c r="V130" i="2"/>
  <c r="Z130" i="2" s="1"/>
  <c r="V118" i="2"/>
  <c r="V123" i="2"/>
  <c r="T118" i="2"/>
  <c r="U123" i="2"/>
  <c r="Z123" i="2" s="1"/>
  <c r="V116" i="2"/>
  <c r="U116" i="2"/>
  <c r="Z116" i="2" s="1"/>
  <c r="T131" i="2"/>
  <c r="D396" i="1"/>
  <c r="D443" i="1"/>
  <c r="H612" i="1"/>
  <c r="H934" i="3" s="1"/>
  <c r="H933" i="3"/>
  <c r="O115" i="1"/>
  <c r="F1019" i="3"/>
  <c r="E699" i="1"/>
  <c r="H699" i="1"/>
  <c r="H363" i="1"/>
  <c r="H680" i="3" s="1"/>
  <c r="H678" i="3"/>
  <c r="O110" i="1"/>
  <c r="F1007" i="3"/>
  <c r="E687" i="1"/>
  <c r="H687" i="1"/>
  <c r="D701" i="1"/>
  <c r="H356" i="1"/>
  <c r="H671" i="3"/>
  <c r="O37" i="1"/>
  <c r="F132" i="3" s="1"/>
  <c r="F645" i="3"/>
  <c r="D544" i="1"/>
  <c r="H861" i="3"/>
  <c r="H352" i="1"/>
  <c r="H669" i="3" s="1"/>
  <c r="E668" i="3"/>
  <c r="O104" i="1"/>
  <c r="F967" i="3"/>
  <c r="H646" i="1"/>
  <c r="E646" i="1"/>
  <c r="F396" i="1"/>
  <c r="F711" i="3" s="1"/>
  <c r="H707" i="3"/>
  <c r="H255" i="1"/>
  <c r="H567" i="3"/>
  <c r="Z129" i="2"/>
  <c r="Z127" i="2"/>
  <c r="Z126" i="2"/>
  <c r="Z112" i="2"/>
  <c r="D640" i="1"/>
  <c r="D961" i="3" s="1"/>
  <c r="Z111" i="2"/>
  <c r="Z131" i="2"/>
  <c r="Z113" i="2"/>
  <c r="Z118" i="2"/>
  <c r="Z121" i="2"/>
  <c r="Z120" i="2"/>
  <c r="Z125" i="2"/>
  <c r="Z114" i="2"/>
  <c r="D643" i="1" l="1"/>
  <c r="Z122" i="2"/>
  <c r="Z128" i="2"/>
  <c r="F205" i="3"/>
  <c r="Q110" i="1"/>
  <c r="N110" i="1"/>
  <c r="E961" i="3"/>
  <c r="H961" i="3"/>
  <c r="O53" i="1"/>
  <c r="F148" i="3" s="1"/>
  <c r="H1019" i="3"/>
  <c r="E1019" i="3"/>
  <c r="M101" i="1"/>
  <c r="D964" i="3"/>
  <c r="Q104" i="1"/>
  <c r="F199" i="3"/>
  <c r="N104" i="1"/>
  <c r="B398" i="1"/>
  <c r="Q115" i="1"/>
  <c r="F210" i="3"/>
  <c r="F668" i="3"/>
  <c r="D668" i="3"/>
  <c r="D1021" i="3"/>
  <c r="E1007" i="3"/>
  <c r="H1007" i="3"/>
  <c r="H967" i="3"/>
  <c r="E967" i="3"/>
  <c r="H304" i="1"/>
  <c r="H568" i="3"/>
  <c r="H364" i="1"/>
  <c r="H673" i="3"/>
  <c r="D760" i="3"/>
  <c r="H443" i="1"/>
  <c r="M65" i="1"/>
  <c r="E491" i="1"/>
  <c r="D865" i="3"/>
  <c r="E544" i="1"/>
  <c r="H544" i="1"/>
  <c r="M93" i="1"/>
  <c r="E443" i="1"/>
  <c r="D711" i="3"/>
  <c r="H487" i="1"/>
  <c r="H506" i="1"/>
  <c r="M53" i="1"/>
  <c r="N53" i="1" s="1"/>
  <c r="D528" i="1"/>
  <c r="H640" i="1"/>
  <c r="M98" i="1"/>
  <c r="N101" i="1"/>
  <c r="E640" i="1"/>
  <c r="E643" i="1"/>
  <c r="H643" i="1"/>
  <c r="H396" i="1"/>
  <c r="E396" i="1"/>
  <c r="D310" i="1"/>
  <c r="E380" i="1"/>
  <c r="H210" i="3" l="1"/>
  <c r="E210" i="3"/>
  <c r="E811" i="3"/>
  <c r="H760" i="3"/>
  <c r="E528" i="1"/>
  <c r="D848" i="3"/>
  <c r="H528" i="1"/>
  <c r="Q101" i="1"/>
  <c r="D196" i="3"/>
  <c r="H964" i="3"/>
  <c r="E964" i="3"/>
  <c r="Q98" i="1"/>
  <c r="D193" i="3"/>
  <c r="H199" i="3"/>
  <c r="E199" i="3"/>
  <c r="H807" i="3"/>
  <c r="D491" i="1"/>
  <c r="D160" i="3"/>
  <c r="N65" i="1"/>
  <c r="N75" i="1"/>
  <c r="Q65" i="1"/>
  <c r="F367" i="1"/>
  <c r="H681" i="3"/>
  <c r="D510" i="1"/>
  <c r="H825" i="3"/>
  <c r="H306" i="1"/>
  <c r="H617" i="3"/>
  <c r="E865" i="3"/>
  <c r="H865" i="3"/>
  <c r="D148" i="3"/>
  <c r="M88" i="1"/>
  <c r="E760" i="3"/>
  <c r="H711" i="3"/>
  <c r="E711" i="3"/>
  <c r="H338" i="1"/>
  <c r="D623" i="3"/>
  <c r="K54" i="1"/>
  <c r="B149" i="3" s="1"/>
  <c r="B713" i="3"/>
  <c r="Q93" i="1"/>
  <c r="D188" i="3"/>
  <c r="N93" i="1"/>
  <c r="H205" i="3"/>
  <c r="E205" i="3"/>
  <c r="H367" i="1"/>
  <c r="N98" i="1"/>
  <c r="N115" i="1"/>
  <c r="D334" i="1"/>
  <c r="E334" i="1" s="1"/>
  <c r="M31" i="1"/>
  <c r="H334" i="1" l="1"/>
  <c r="E148" i="3"/>
  <c r="H196" i="3"/>
  <c r="E196" i="3"/>
  <c r="Q88" i="1"/>
  <c r="D183" i="3"/>
  <c r="N88" i="1"/>
  <c r="H193" i="3"/>
  <c r="E193" i="3"/>
  <c r="E848" i="3"/>
  <c r="H848" i="3"/>
  <c r="H188" i="3"/>
  <c r="E188" i="3"/>
  <c r="O43" i="1"/>
  <c r="F138" i="3" s="1"/>
  <c r="F684" i="3"/>
  <c r="D829" i="3"/>
  <c r="E510" i="1"/>
  <c r="M84" i="1"/>
  <c r="H510" i="1"/>
  <c r="H339" i="1"/>
  <c r="H649" i="3"/>
  <c r="D126" i="3"/>
  <c r="H160" i="3"/>
  <c r="E160" i="3"/>
  <c r="E170" i="3"/>
  <c r="F310" i="1"/>
  <c r="H619" i="3"/>
  <c r="M37" i="1"/>
  <c r="D645" i="3"/>
  <c r="D811" i="3"/>
  <c r="H811" i="3" s="1"/>
  <c r="M75" i="1"/>
  <c r="H491" i="1"/>
  <c r="P53" i="1" l="1"/>
  <c r="Q53" i="1"/>
  <c r="H183" i="3"/>
  <c r="E183" i="3"/>
  <c r="O31" i="1"/>
  <c r="F623" i="3"/>
  <c r="H310" i="1"/>
  <c r="E310" i="1"/>
  <c r="D367" i="1"/>
  <c r="H650" i="3"/>
  <c r="Q84" i="1"/>
  <c r="D179" i="3"/>
  <c r="N84" i="1"/>
  <c r="E829" i="3"/>
  <c r="H829" i="3"/>
  <c r="Q37" i="1"/>
  <c r="D132" i="3"/>
  <c r="D170" i="3"/>
  <c r="Q75" i="1"/>
  <c r="N37" i="1"/>
  <c r="H645" i="3"/>
  <c r="E645" i="3"/>
  <c r="H170" i="3" l="1"/>
  <c r="H148" i="3"/>
  <c r="G148" i="3"/>
  <c r="E179" i="3"/>
  <c r="H179" i="3"/>
  <c r="D684" i="3"/>
  <c r="E684" i="3" s="1"/>
  <c r="M43" i="1"/>
  <c r="E367" i="1"/>
  <c r="H623" i="3"/>
  <c r="E623" i="3"/>
  <c r="F126" i="3"/>
  <c r="N31" i="1"/>
  <c r="Q31" i="1"/>
  <c r="E132" i="3"/>
  <c r="H132" i="3"/>
  <c r="E126" i="3" l="1"/>
  <c r="H126" i="3"/>
  <c r="Q43" i="1"/>
  <c r="D138" i="3"/>
  <c r="N43" i="1"/>
  <c r="E138" i="3" l="1"/>
  <c r="H138" i="3"/>
</calcChain>
</file>

<file path=xl/sharedStrings.xml><?xml version="1.0" encoding="utf-8"?>
<sst xmlns="http://schemas.openxmlformats.org/spreadsheetml/2006/main" count="3550" uniqueCount="969">
  <si>
    <t>Panjang Bentang,</t>
  </si>
  <si>
    <t>L =</t>
  </si>
  <si>
    <t>m</t>
  </si>
  <si>
    <t>Jarak antara flens atas,</t>
  </si>
  <si>
    <t>w =</t>
  </si>
  <si>
    <t>Tinggi bentang,</t>
  </si>
  <si>
    <t>H =</t>
  </si>
  <si>
    <t>Lebar flens atas,</t>
  </si>
  <si>
    <r>
      <t>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</si>
  <si>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t>mm</t>
  </si>
  <si>
    <t>ketebalan web badan,</t>
  </si>
  <si>
    <r>
      <t>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</si>
  <si>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t>D / 150</t>
  </si>
  <si>
    <t>≥</t>
  </si>
  <si>
    <t>→</t>
  </si>
  <si>
    <t>D / 6</t>
  </si>
  <si>
    <t>Tebal flens atas,</t>
  </si>
  <si>
    <r>
      <t>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</si>
  <si>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t>Kontrol ketebalan flens atas terhadap ketebalan web badan,</t>
  </si>
  <si>
    <t>Syarat :</t>
  </si>
  <si>
    <t>1,1 * tw</t>
  </si>
  <si>
    <r>
      <t>t</t>
    </r>
    <r>
      <rPr>
        <vertAlign val="subscript"/>
        <sz val="11"/>
        <color theme="1"/>
        <rFont val="Calibri"/>
        <family val="2"/>
      </rPr>
      <t>ft</t>
    </r>
  </si>
  <si>
    <t>Kuat tekan material beton,</t>
  </si>
  <si>
    <t>MPa</t>
  </si>
  <si>
    <r>
      <t>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' =</t>
    </r>
  </si>
  <si>
    <t>Mutu baja untuk girder,</t>
  </si>
  <si>
    <t>BJ</t>
  </si>
  <si>
    <t>Tegangan leleh struktur baja,</t>
  </si>
  <si>
    <t>Tegangan putus struktur baja,</t>
  </si>
  <si>
    <t>Modulus elastisitas baja,</t>
  </si>
  <si>
    <r>
      <t>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</si>
  <si>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</si>
  <si>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</si>
  <si>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t>Nilai modulus elastisitas beton,</t>
  </si>
  <si>
    <r>
      <t>E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 4700 * √f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' =</t>
    </r>
  </si>
  <si>
    <t>Jarak antara girder,</t>
  </si>
  <si>
    <t>s =</t>
  </si>
  <si>
    <t>Nilai rasio modular,</t>
  </si>
  <si>
    <r>
      <t>n = 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/ E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</t>
    </r>
  </si>
  <si>
    <t>Tinggi efektif web,</t>
  </si>
  <si>
    <t>Tebal flens bawah,</t>
  </si>
  <si>
    <r>
      <t>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</t>
    </r>
  </si>
  <si>
    <r>
      <t>D = H -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</t>
    </r>
  </si>
  <si>
    <t>Kontrol lebar flens atas terhadap tinggi efektif web,</t>
  </si>
  <si>
    <r>
      <t>b</t>
    </r>
    <r>
      <rPr>
        <vertAlign val="subscript"/>
        <sz val="11"/>
        <color theme="1"/>
        <rFont val="Calibri"/>
        <family val="2"/>
      </rPr>
      <t>ft</t>
    </r>
  </si>
  <si>
    <t>Lebar flens bawah,</t>
  </si>
  <si>
    <r>
      <t>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 w =</t>
    </r>
  </si>
  <si>
    <t>Kontrol lebar flens atas terhadap terhadap tebal flens atas,</t>
  </si>
  <si>
    <t>≤</t>
  </si>
  <si>
    <t>Kontrol ketebalan web terhadap tinggi efektif web,</t>
  </si>
  <si>
    <t>Berat jenis baja,</t>
  </si>
  <si>
    <t>Berat jenis beton bertulang,</t>
  </si>
  <si>
    <t>Berat jenis aspal,</t>
  </si>
  <si>
    <t>Berat jenis air,</t>
  </si>
  <si>
    <r>
      <t>W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</si>
  <si>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</si>
  <si>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</si>
  <si>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</si>
  <si>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r>
      <t>kN / m</t>
    </r>
    <r>
      <rPr>
        <vertAlign val="superscript"/>
        <sz val="11"/>
        <color theme="1"/>
        <rFont val="Calibri"/>
        <family val="2"/>
      </rPr>
      <t>3</t>
    </r>
  </si>
  <si>
    <t>Lebar pelat beton yang terbebani,</t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</si>
  <si>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</si>
  <si>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 s =</t>
    </r>
  </si>
  <si>
    <t>Tebal pelat lantai beton,</t>
  </si>
  <si>
    <t>Tebal perkerasan aspal + overlay,</t>
  </si>
  <si>
    <r>
      <t>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</si>
  <si>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t>Syarat nilai lebar efektif slab lantai beton,</t>
  </si>
  <si>
    <t>Syarat 1 :</t>
  </si>
  <si>
    <t>Syarat 2 :</t>
  </si>
  <si>
    <t>Syarat 3 :</t>
  </si>
  <si>
    <t>Nilai lebar efektif slab lantai beton,</t>
  </si>
  <si>
    <r>
      <t>B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= L / 4 =</t>
    </r>
  </si>
  <si>
    <r>
      <t>B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= s =</t>
    </r>
  </si>
  <si>
    <r>
      <t>B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= 12 *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</si>
  <si>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</si>
  <si>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</rPr>
      <t xml:space="preserve"> = 1/n * 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</rPr>
      <t xml:space="preserve"> =</t>
    </r>
  </si>
  <si>
    <t>Dimensi</t>
  </si>
  <si>
    <t>Luas Tampang</t>
  </si>
  <si>
    <t>Jarak thd alas</t>
  </si>
  <si>
    <t>Statis Momen</t>
  </si>
  <si>
    <t>Inersia Momen</t>
  </si>
  <si>
    <t xml:space="preserve">Lebar </t>
  </si>
  <si>
    <t>Tinggi</t>
  </si>
  <si>
    <t>b</t>
  </si>
  <si>
    <t>h</t>
  </si>
  <si>
    <t>A</t>
  </si>
  <si>
    <t>y</t>
  </si>
  <si>
    <t>A * y</t>
  </si>
  <si>
    <r>
      <t>A * y</t>
    </r>
    <r>
      <rPr>
        <b/>
        <vertAlign val="superscript"/>
        <sz val="11"/>
        <color theme="1"/>
        <rFont val="Calibri Light"/>
        <family val="2"/>
        <scheme val="major"/>
      </rPr>
      <t>2</t>
    </r>
  </si>
  <si>
    <t>Io</t>
  </si>
  <si>
    <t>(m)</t>
  </si>
  <si>
    <r>
      <t>(m</t>
    </r>
    <r>
      <rPr>
        <b/>
        <vertAlign val="superscript"/>
        <sz val="11"/>
        <color theme="1"/>
        <rFont val="Calibri Light"/>
        <family val="2"/>
        <scheme val="major"/>
      </rPr>
      <t>2</t>
    </r>
    <r>
      <rPr>
        <b/>
        <sz val="11"/>
        <color theme="1"/>
        <rFont val="Calibri Light"/>
        <family val="2"/>
        <scheme val="major"/>
      </rPr>
      <t>)</t>
    </r>
  </si>
  <si>
    <r>
      <t>(m</t>
    </r>
    <r>
      <rPr>
        <b/>
        <vertAlign val="superscript"/>
        <sz val="11"/>
        <color theme="1"/>
        <rFont val="Calibri Light"/>
        <family val="2"/>
        <scheme val="major"/>
      </rPr>
      <t>3</t>
    </r>
    <r>
      <rPr>
        <b/>
        <sz val="11"/>
        <color theme="1"/>
        <rFont val="Calibri Light"/>
        <family val="2"/>
        <scheme val="major"/>
      </rPr>
      <t>)</t>
    </r>
  </si>
  <si>
    <r>
      <t>(m</t>
    </r>
    <r>
      <rPr>
        <b/>
        <vertAlign val="superscript"/>
        <sz val="11"/>
        <color theme="1"/>
        <rFont val="Calibri Light"/>
        <family val="2"/>
        <scheme val="major"/>
      </rPr>
      <t>4</t>
    </r>
    <r>
      <rPr>
        <b/>
        <sz val="11"/>
        <color theme="1"/>
        <rFont val="Calibri Light"/>
        <family val="2"/>
        <scheme val="major"/>
      </rPr>
      <t>)</t>
    </r>
  </si>
  <si>
    <t>Total :</t>
  </si>
  <si>
    <t>No.</t>
  </si>
  <si>
    <t>SECTION PROPERTIES BALOK STEEL GIRDER</t>
  </si>
  <si>
    <t>A =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</si>
  <si>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</si>
  <si>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Letak titik berat,</t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</si>
  <si>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 </t>
    </r>
    <r>
      <rPr>
        <sz val="11"/>
        <color theme="1"/>
        <rFont val="Calibri"/>
        <family val="2"/>
      </rPr>
      <t xml:space="preserve">Ʃ ( </t>
    </r>
    <r>
      <rPr>
        <sz val="11"/>
        <color theme="1"/>
        <rFont val="Calibri"/>
        <family val="2"/>
      </rPr>
      <t xml:space="preserve">A * y ) /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</rPr>
      <t>A =</t>
    </r>
  </si>
  <si>
    <t>Momen inersia terhadap titik berat balok,</t>
  </si>
  <si>
    <r>
      <t>m</t>
    </r>
    <r>
      <rPr>
        <vertAlign val="superscript"/>
        <sz val="11"/>
        <color theme="1"/>
        <rFont val="Calibri"/>
        <family val="2"/>
        <scheme val="minor"/>
      </rPr>
      <t>4</t>
    </r>
  </si>
  <si>
    <t>Tahanan momen sisi atas,</t>
  </si>
  <si>
    <r>
      <t>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</si>
  <si>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</si>
  <si>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Tahanan momen sisi bawah,</t>
  </si>
  <si>
    <r>
      <t>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</t>
    </r>
  </si>
  <si>
    <t>Tinggi total balok steel box girder,</t>
  </si>
  <si>
    <t>Luas penampang balok steel box girder,</t>
  </si>
  <si>
    <r>
      <t>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 H -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</si>
  <si>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</rPr>
      <t xml:space="preserve"> =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</rPr>
      <t>I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</rPr>
      <t xml:space="preserve"> +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( </t>
    </r>
    <r>
      <rPr>
        <sz val="11"/>
        <color theme="1"/>
        <rFont val="Calibri"/>
        <family val="2"/>
      </rP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</rPr>
      <t xml:space="preserve"> * (y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) =</t>
    </r>
  </si>
  <si>
    <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</si>
  <si>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</rPr>
      <t xml:space="preserve"> = </t>
    </r>
    <r>
      <rPr>
        <sz val="11"/>
        <color theme="1"/>
        <rFont val="Calibri"/>
        <family val="2"/>
      </rPr>
      <t xml:space="preserve">Ʃ ( </t>
    </r>
    <r>
      <rPr>
        <sz val="11"/>
        <color theme="1"/>
        <rFont val="Calibri"/>
        <family val="2"/>
      </rP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y ) /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</rP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</t>
    </r>
  </si>
  <si>
    <t>Momen inesia terhadap titik berat,</t>
  </si>
  <si>
    <t>Tahanan momen sisi atas plat,</t>
  </si>
  <si>
    <r>
      <t>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</rPr>
      <t xml:space="preserve"> =</t>
    </r>
  </si>
  <si>
    <t>Tahanan momen sisi atas balok,</t>
  </si>
  <si>
    <t>Tahanan momen sisi bawah balok,</t>
  </si>
  <si>
    <r>
      <t>W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</si>
  <si>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</si>
  <si>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</si>
  <si>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</rPr>
      <t xml:space="preserve"> +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( </t>
    </r>
    <r>
      <rPr>
        <sz val="11"/>
        <color theme="1"/>
        <rFont val="Calibri"/>
        <family val="2"/>
      </rPr>
      <t>An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* ( 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scheme val="minor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) =</t>
    </r>
  </si>
  <si>
    <t>NO.</t>
  </si>
  <si>
    <t>EXPLANATORY</t>
  </si>
  <si>
    <t>FORMULA</t>
  </si>
  <si>
    <t>VALUE</t>
  </si>
  <si>
    <t>UNIT</t>
  </si>
  <si>
    <t>C.1.</t>
  </si>
  <si>
    <t>BEBAN MATI KOMPONEN STRUKTURAL JEMBATAN (MS)</t>
  </si>
  <si>
    <t>C.1.1.</t>
  </si>
  <si>
    <t>Panjang bentang jembatan,</t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</si>
  <si>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</si>
  <si>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</si>
  <si>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</rPr>
      <t xml:space="preserve"> = A *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</t>
    </r>
  </si>
  <si>
    <t>kN/m</t>
  </si>
  <si>
    <t>Momen akibat slab lantai jembatan,</t>
  </si>
  <si>
    <r>
      <t>M</t>
    </r>
    <r>
      <rPr>
        <vertAlign val="subscript"/>
        <sz val="11"/>
        <color theme="1"/>
        <rFont val="Calibri"/>
        <family val="2"/>
        <scheme val="minor"/>
      </rPr>
      <t>MS-1</t>
    </r>
    <r>
      <rPr>
        <sz val="11"/>
        <color theme="1"/>
        <rFont val="Calibri"/>
        <family val="2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</si>
  <si>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kN.m</t>
  </si>
  <si>
    <t>C.1.2.</t>
  </si>
  <si>
    <t>BEBAN MATI AKIBAT SLAB LANTAI JEMBATAN</t>
  </si>
  <si>
    <t>Tebal slab lantai jembatan,</t>
  </si>
  <si>
    <r>
      <t>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</rPr>
      <t xml:space="preserve"> =</t>
    </r>
  </si>
  <si>
    <t>Lebar efektif slab lantai jembatan,</t>
  </si>
  <si>
    <t>Berat jenis material beton bertulang,</t>
  </si>
  <si>
    <t>Beban mati akibat slab lantai jembatan,</t>
  </si>
  <si>
    <r>
      <t>M</t>
    </r>
    <r>
      <rPr>
        <vertAlign val="subscript"/>
        <sz val="11"/>
        <color theme="1"/>
        <rFont val="Calibri"/>
        <family val="2"/>
        <scheme val="minor"/>
      </rPr>
      <t>MS-2</t>
    </r>
    <r>
      <rPr>
        <sz val="11"/>
        <color theme="1"/>
        <rFont val="Calibri"/>
        <family val="2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</si>
  <si>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C.1.3.</t>
  </si>
  <si>
    <t>n =</t>
  </si>
  <si>
    <t>kN</t>
  </si>
  <si>
    <t>C.3.</t>
  </si>
  <si>
    <t>BEBAN MATI PERKERASAAN DAN UTILITAS JEMBATAN (MA)</t>
  </si>
  <si>
    <t>C.3.1.</t>
  </si>
  <si>
    <t>BEBAN MATI TAMBAHAN AKIBAT LAPISAN ASPAL + OVERLAY</t>
  </si>
  <si>
    <t>Tebal lapisan aspal + overlay,</t>
  </si>
  <si>
    <r>
      <t>t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</t>
    </r>
  </si>
  <si>
    <t>Berat aspaL,</t>
  </si>
  <si>
    <r>
      <t>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</t>
    </r>
  </si>
  <si>
    <t>Beban mati tambahan akibat perkerasan aspal,</t>
  </si>
  <si>
    <r>
      <t>Q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 t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</si>
  <si>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</si>
  <si>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t>Momen akibat lapisan aspal + overlay,</t>
  </si>
  <si>
    <r>
      <t>M</t>
    </r>
    <r>
      <rPr>
        <vertAlign val="subscript"/>
        <sz val="11"/>
        <color theme="1"/>
        <rFont val="Calibri"/>
        <family val="2"/>
        <scheme val="minor"/>
      </rPr>
      <t>MA-1</t>
    </r>
    <r>
      <rPr>
        <sz val="11"/>
        <color theme="1"/>
        <rFont val="Calibri"/>
        <family val="2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</si>
  <si>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C.3.2.</t>
  </si>
  <si>
    <t xml:space="preserve">BEBAN MATI TAMBAHAN AKIBAT GENANGAN AIR HUJAN </t>
  </si>
  <si>
    <t>Tebal genangan air hujan,</t>
  </si>
  <si>
    <r>
      <t>t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</si>
  <si>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</rPr>
      <t xml:space="preserve"> =</t>
    </r>
  </si>
  <si>
    <t>Beban mati tambahan akibat genangan air hujan,</t>
  </si>
  <si>
    <r>
      <t>Q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</rPr>
      <t xml:space="preserve"> = t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</si>
  <si>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MA-2</t>
    </r>
    <r>
      <rPr>
        <sz val="11"/>
        <color theme="1"/>
        <rFont val="Calibri"/>
        <family val="2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</si>
  <si>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C.4.</t>
  </si>
  <si>
    <t>BEBAN LAJUR PADA STRUKTUR JEMBATAN</t>
  </si>
  <si>
    <t>BEBAN LAJUR AKIBAT LAJUR D</t>
  </si>
  <si>
    <t>Nilai beban terbagi rata,</t>
  </si>
  <si>
    <t>Nilai beban garis,</t>
  </si>
  <si>
    <t>BGT =</t>
  </si>
  <si>
    <t>Faktor pembesaran dinamis untuk pembebanan lajur garis,</t>
  </si>
  <si>
    <r>
      <t xml:space="preserve">Panjang bentang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</rPr>
      <t xml:space="preserve"> 50 m :</t>
    </r>
  </si>
  <si>
    <t>FBD =</t>
  </si>
  <si>
    <r>
      <t xml:space="preserve">Panjang bentang 50 &lt; L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</rPr>
      <t xml:space="preserve"> 90 :</t>
    </r>
  </si>
  <si>
    <t>Panjang bentang &gt; 90 :</t>
  </si>
  <si>
    <r>
      <t>FBD</t>
    </r>
    <r>
      <rPr>
        <vertAlign val="subscript"/>
        <sz val="11"/>
        <color theme="1"/>
        <rFont val="Calibri"/>
        <family val="2"/>
        <scheme val="minor"/>
      </rPr>
      <t>pakai</t>
    </r>
    <r>
      <rPr>
        <sz val="11"/>
        <color theme="1"/>
        <rFont val="Calibri"/>
        <family val="2"/>
      </rPr>
      <t xml:space="preserve"> =</t>
    </r>
  </si>
  <si>
    <t>( 1 + FBD ) * BGT =</t>
  </si>
  <si>
    <t>Momen akibat beban lajur D,</t>
  </si>
  <si>
    <r>
      <t>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</rPr>
      <t xml:space="preserve"> = ( 1/8 * BTR * L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</rPr>
      <t xml:space="preserve"> 1/4 * (1 + FBD) * BGT ) * s * L =</t>
    </r>
  </si>
  <si>
    <t>BEBAN LAJUR AKIBAT LAJUR T</t>
  </si>
  <si>
    <t>Berat truk total,</t>
  </si>
  <si>
    <t>TT =</t>
  </si>
  <si>
    <r>
      <t>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</rPr>
      <t xml:space="preserve"> =</t>
    </r>
  </si>
  <si>
    <t>BEBAN LAJUR AKIBAT REM</t>
  </si>
  <si>
    <t>Tinggi posisi beban rem bekerja,</t>
  </si>
  <si>
    <t>25% dari berat gandar truk desain,</t>
  </si>
  <si>
    <r>
      <t>TB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</rPr>
      <t xml:space="preserve"> = 0,25 * TT =</t>
    </r>
  </si>
  <si>
    <t>5% dari berat truk + BTR,</t>
  </si>
  <si>
    <r>
      <t>TB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 5% * ( TT + BTR * L * b ) =</t>
    </r>
  </si>
  <si>
    <t>Beban rem yang berpengaruh,</t>
  </si>
  <si>
    <t>TB =</t>
  </si>
  <si>
    <t>Lebar total jembatan,</t>
  </si>
  <si>
    <t>b =</t>
  </si>
  <si>
    <t>Jarak antara balok PC I Girder,</t>
  </si>
  <si>
    <t>Jumlah balok PC I Girder,</t>
  </si>
  <si>
    <t>Beban Rem,</t>
  </si>
  <si>
    <t>TB / n =</t>
  </si>
  <si>
    <t>Lengan terhadap titik berat,</t>
  </si>
  <si>
    <t>y =</t>
  </si>
  <si>
    <t>Beban momen akibat rem,</t>
  </si>
  <si>
    <t>M = TB * y =</t>
  </si>
  <si>
    <t>Momen maksimum akibat beban Rem,</t>
  </si>
  <si>
    <r>
      <t>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</rPr>
      <t xml:space="preserve"> = 0,5 * M =</t>
    </r>
  </si>
  <si>
    <t>C.5.</t>
  </si>
  <si>
    <t>BEBAN ANGIN PADA KENDARAAN &amp; STRUKTUR JEMBATAN</t>
  </si>
  <si>
    <t>BEBAN ANGIN PADA KENDARAAN</t>
  </si>
  <si>
    <t>Asumsi ketinggian beban angin bekerja,</t>
  </si>
  <si>
    <r>
      <t>Y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</rPr>
      <t xml:space="preserve"> =</t>
    </r>
  </si>
  <si>
    <t>Jarak antar garda ban,</t>
  </si>
  <si>
    <t>x =</t>
  </si>
  <si>
    <t>Beban merata akibat terpaan pada kendaraan,</t>
  </si>
  <si>
    <r>
      <t>T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</rPr>
      <t xml:space="preserve"> =</t>
    </r>
  </si>
  <si>
    <t>Beban girder akibat angin pada kendaraan,</t>
  </si>
  <si>
    <r>
      <t>Q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</rPr>
      <t xml:space="preserve"> = 0,5 * Y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</rPr>
      <t xml:space="preserve"> / x * T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</rPr>
      <t xml:space="preserve"> =</t>
    </r>
  </si>
  <si>
    <t>Momen akibat beban angin pada kendaraan,</t>
  </si>
  <si>
    <r>
      <t>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</rPr>
      <t xml:space="preserve"> *L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</si>
  <si>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BEBAN ANGIN PADA STRUKTUR</t>
  </si>
  <si>
    <t>Tinggi struktur (Girder, Plat Lantai, Railing Trotoar)</t>
  </si>
  <si>
    <t>Letak titik berat penampang komposit dari bawah,</t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</si>
  <si>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</t>
    </r>
  </si>
  <si>
    <t>Kecepatan angin gesekan,</t>
  </si>
  <si>
    <r>
      <t>V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</rPr>
      <t xml:space="preserve"> =</t>
    </r>
  </si>
  <si>
    <t>km/jam</t>
  </si>
  <si>
    <t>Kecepatan angin pada elevasi 10,00 meter dari permukaan tanah,</t>
  </si>
  <si>
    <r>
      <t>V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</rPr>
      <t xml:space="preserve"> =</t>
    </r>
  </si>
  <si>
    <t>Kecepatan angin pada elevasi 1,00 meter dari permukaan jembatan,</t>
  </si>
  <si>
    <r>
      <t>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</t>
    </r>
  </si>
  <si>
    <t>Elevasi permukaan struktur dari permukaan tanah,</t>
  </si>
  <si>
    <t>Z =</t>
  </si>
  <si>
    <t>Panjang gesekan di hulu jembatan,</t>
  </si>
  <si>
    <r>
      <t>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</rPr>
      <t xml:space="preserve"> =</t>
    </r>
  </si>
  <si>
    <t>Kecepatan angin rencana,</t>
  </si>
  <si>
    <r>
      <t>V</t>
    </r>
    <r>
      <rPr>
        <vertAlign val="subscript"/>
        <sz val="11"/>
        <color theme="1"/>
        <rFont val="Calibri"/>
        <family val="2"/>
        <scheme val="minor"/>
      </rPr>
      <t>DZ</t>
    </r>
    <r>
      <rPr>
        <sz val="11"/>
        <color theme="1"/>
        <rFont val="Calibri"/>
        <family val="2"/>
      </rPr>
      <t xml:space="preserve"> = 2,5 * V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</rPr>
      <t xml:space="preserve"> * ( V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</rPr>
      <t xml:space="preserve"> / 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) * Ln  ( Z / 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</rPr>
      <t xml:space="preserve"> ) =</t>
    </r>
  </si>
  <si>
    <t>Nilai tekanan angin dasar,</t>
  </si>
  <si>
    <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=</t>
    </r>
  </si>
  <si>
    <r>
      <t>N/mm</t>
    </r>
    <r>
      <rPr>
        <vertAlign val="superscript"/>
        <sz val="11"/>
        <color theme="1"/>
        <rFont val="Calibri"/>
        <family val="2"/>
        <scheme val="minor"/>
      </rPr>
      <t>2</t>
    </r>
  </si>
  <si>
    <t>Nilai tekanan angin pada struktur,</t>
  </si>
  <si>
    <r>
      <t>P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* (V</t>
    </r>
    <r>
      <rPr>
        <vertAlign val="subscript"/>
        <sz val="11"/>
        <color theme="1"/>
        <rFont val="Calibri"/>
        <family val="2"/>
        <scheme val="minor"/>
      </rPr>
      <t>DZ</t>
    </r>
    <r>
      <rPr>
        <sz val="11"/>
        <color theme="1"/>
        <rFont val="Calibri"/>
        <family val="2"/>
      </rPr>
      <t xml:space="preserve"> /  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</rPr>
      <t xml:space="preserve"> 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</si>
  <si>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Beban angin pada struktur,</t>
  </si>
  <si>
    <r>
      <t>E</t>
    </r>
    <r>
      <rPr>
        <vertAlign val="subscript"/>
        <sz val="11"/>
        <color theme="1"/>
        <rFont val="Calibri"/>
        <family val="2"/>
        <scheme val="minor"/>
      </rPr>
      <t>WS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</rPr>
      <t xml:space="preserve"> * H =</t>
    </r>
  </si>
  <si>
    <t>Momen akibat beban angin pada girder,</t>
  </si>
  <si>
    <r>
      <t>M</t>
    </r>
    <r>
      <rPr>
        <vertAlign val="subscript"/>
        <sz val="11"/>
        <color theme="1"/>
        <rFont val="Calibri"/>
        <family val="2"/>
        <scheme val="minor"/>
      </rPr>
      <t>EWS</t>
    </r>
    <r>
      <rPr>
        <sz val="11"/>
        <color theme="1"/>
        <rFont val="Calibri"/>
        <family val="2"/>
      </rPr>
      <t xml:space="preserve"> = 1/8 * (EWS/s) *L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</rPr>
      <t xml:space="preserve"> =</t>
    </r>
  </si>
  <si>
    <t>C.6.</t>
  </si>
  <si>
    <t>REKAPITULASI MOMEN PADA STRUKTUR JEMBATAN</t>
  </si>
  <si>
    <t>C.7.</t>
  </si>
  <si>
    <t>GAYA DALAM BIDANG MOMEN</t>
  </si>
  <si>
    <t>Beban mati komponen struktural &amp; non struktural jembatan,</t>
  </si>
  <si>
    <r>
      <t>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</rPr>
      <t xml:space="preserve"> =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</si>
  <si>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</si>
  <si>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</si>
  <si>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TD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</si>
  <si>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TB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</si>
  <si>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EWL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</si>
  <si>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EWS</t>
    </r>
  </si>
  <si>
    <t>LAYAN 1</t>
  </si>
  <si>
    <t>KUAT 1</t>
  </si>
  <si>
    <t>KUAT 2</t>
  </si>
  <si>
    <t>KUAT 3</t>
  </si>
  <si>
    <t>KUAT 4</t>
  </si>
  <si>
    <t>KUAT 5</t>
  </si>
  <si>
    <t>ENVE KUAT</t>
  </si>
  <si>
    <t>Kn.m</t>
  </si>
  <si>
    <t>Beban mati perkerasaan dan utilitas,</t>
  </si>
  <si>
    <r>
      <t>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=</t>
    </r>
  </si>
  <si>
    <t>Beban lajur kendaraan,</t>
  </si>
  <si>
    <r>
      <t>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</rPr>
      <t xml:space="preserve"> =</t>
    </r>
  </si>
  <si>
    <t>Beban lajur akibat rem,</t>
  </si>
  <si>
    <r>
      <t>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</rPr>
      <t xml:space="preserve"> =</t>
    </r>
  </si>
  <si>
    <t>Beban angin pada kendaraan,</t>
  </si>
  <si>
    <r>
      <t>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</si>
  <si>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EWS</t>
    </r>
    <r>
      <rPr>
        <sz val="11"/>
        <color theme="1"/>
        <rFont val="Calibri"/>
        <family val="2"/>
      </rPr>
      <t xml:space="preserve"> =</t>
    </r>
  </si>
  <si>
    <t>Momen akibat kombinasi Layan 1,</t>
  </si>
  <si>
    <t>C.8.</t>
  </si>
  <si>
    <t>GAYA DALAM BIDANG GESER</t>
  </si>
  <si>
    <t>Jarak antara balok steel box girder,</t>
  </si>
  <si>
    <t>Berat jenis material baja steel box girder,</t>
  </si>
  <si>
    <t>BEBAN MATI AKIBAT steel box girder JEMBATAN</t>
  </si>
  <si>
    <t>Beban mati akibat steel box girder,</t>
  </si>
  <si>
    <r>
      <t>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</rPr>
      <t xml:space="preserve"> =</t>
    </r>
  </si>
  <si>
    <t>Momen akibat diapragma dan bracing,</t>
  </si>
  <si>
    <t>BEBAN MATI AKIBAT DIAPRAGMA DAN BRACING</t>
  </si>
  <si>
    <r>
      <t>h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</si>
  <si>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LAYAN 1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</rPr>
      <t xml:space="preserve"> + 0,3 * M</t>
    </r>
    <r>
      <rPr>
        <vertAlign val="subscript"/>
        <sz val="11"/>
        <color theme="1"/>
        <rFont val="Calibri"/>
        <family val="2"/>
        <scheme val="minor"/>
      </rPr>
      <t>WS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</si>
  <si>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LAYAN 2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</rPr>
      <t xml:space="preserve"> + 1,3 * (M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TB)</t>
    </r>
    <r>
      <rPr>
        <sz val="11"/>
        <color theme="1"/>
        <rFont val="Calibri"/>
        <family val="2"/>
      </rPr>
      <t xml:space="preserve"> =</t>
    </r>
  </si>
  <si>
    <t>Momen akibat kombinasi Layan 2,</t>
  </si>
  <si>
    <t>Kontrol rasio momen inersia penampang sayap tekan dengan sayap tarik,</t>
  </si>
  <si>
    <t>Momen Inersia penampang sayap tekan,</t>
  </si>
  <si>
    <t>Momen Inersia penampang sayap tarik,</t>
  </si>
  <si>
    <r>
      <t>I</t>
    </r>
    <r>
      <rPr>
        <vertAlign val="subscript"/>
        <sz val="11"/>
        <color theme="1"/>
        <rFont val="Calibri"/>
        <family val="2"/>
      </rPr>
      <t>yc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yt</t>
    </r>
  </si>
  <si>
    <t>SECTION PROPERTIES BALOK STEEL GIRDER - KOMPOSIT (n)</t>
  </si>
  <si>
    <t>Lebar pengganti beton plat lantai jembatan jangka pendek (n),</t>
  </si>
  <si>
    <t>Lebar pengganti beton plat lantai jembatan jangka pendek (3n),</t>
  </si>
  <si>
    <r>
      <t>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</rPr>
      <t xml:space="preserve"> = 1/(3*n) * 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</rPr>
      <t xml:space="preserve"> =</t>
    </r>
  </si>
  <si>
    <t>SECTION PROPERTIES BALOK STEEL GIRDER - KOMPOSIT (3n)</t>
  </si>
  <si>
    <t>Tinggi total balok komposit,</t>
  </si>
  <si>
    <t>Luas penampang balok komposit,</t>
  </si>
  <si>
    <r>
      <t>I</t>
    </r>
    <r>
      <rPr>
        <vertAlign val="subscript"/>
        <sz val="11"/>
        <color theme="1"/>
        <rFont val="Calibri"/>
        <family val="2"/>
      </rPr>
      <t>yc</t>
    </r>
    <r>
      <rPr>
        <sz val="11"/>
        <color theme="1"/>
        <rFont val="Calibri"/>
        <family val="2"/>
      </rPr>
      <t xml:space="preserve"> = 1/12 * 2 * 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ft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(y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- y)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</si>
  <si>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</rPr>
      <t>yt</t>
    </r>
    <r>
      <rPr>
        <sz val="11"/>
        <color theme="1"/>
        <rFont val="Calibri"/>
        <family val="2"/>
      </rPr>
      <t xml:space="preserve"> = 1/12 * 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fb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* (y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- y)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</si>
  <si>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Lebar pelat beton bertulang,</t>
  </si>
  <si>
    <t>Gaya plastis di pelat lantai jembatan,</t>
  </si>
  <si>
    <t>Gaya plastis di sayap atas,</t>
  </si>
  <si>
    <t>Kuat tekan beton,</t>
  </si>
  <si>
    <t>Tegangan leleh baja,</t>
  </si>
  <si>
    <t>Gaya plastis di pelat badan,</t>
  </si>
  <si>
    <t>Gaya plastis di sayap bawah,</t>
  </si>
  <si>
    <r>
      <t>P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 0,85 * 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' * 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*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</si>
  <si>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2 * D *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</si>
  <si>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</t>
    </r>
  </si>
  <si>
    <t>Kasus - kasus perhitungan momen plastis lentur positif,</t>
  </si>
  <si>
    <t xml:space="preserve">Kasus 1 : </t>
  </si>
  <si>
    <t>Kasus 2 :</t>
  </si>
  <si>
    <t>Kondisi kasus 1 terpenuhi,</t>
  </si>
  <si>
    <t>Kondisi kasus 2 terpenuhi,</t>
  </si>
  <si>
    <r>
      <t>Y = (D/2) * [ (P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- P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) / 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+ 1 ] =</t>
    </r>
  </si>
  <si>
    <r>
      <t>Y = (f</t>
    </r>
    <r>
      <rPr>
        <vertAlign val="subscript"/>
        <sz val="11"/>
        <color theme="1"/>
        <rFont val="Calibri"/>
        <family val="2"/>
      </rPr>
      <t>bt</t>
    </r>
    <r>
      <rPr>
        <sz val="11"/>
        <color theme="1"/>
        <rFont val="Calibri"/>
        <family val="2"/>
      </rPr>
      <t>/2) * [ (P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P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) / 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+ 1 ] =</t>
    </r>
  </si>
  <si>
    <t>Tinggi pelat badan mengalami tekan pada penampang plastis,</t>
  </si>
  <si>
    <r>
      <t>D</t>
    </r>
    <r>
      <rPr>
        <vertAlign val="subscript"/>
        <sz val="11"/>
        <color theme="1"/>
        <rFont val="Calibri"/>
        <family val="2"/>
      </rPr>
      <t>cp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kasus1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</si>
  <si>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2 * 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</si>
  <si>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t>Nilai momen plastis,</t>
  </si>
  <si>
    <t>Kasus 1 :</t>
  </si>
  <si>
    <r>
      <t>M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/ 2D * (Y + (D - Y)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+ (P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 =</t>
    </r>
  </si>
  <si>
    <r>
      <t>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≥ 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s</t>
    </r>
  </si>
  <si>
    <r>
      <t>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≥ P</t>
    </r>
    <r>
      <rPr>
        <vertAlign val="subscript"/>
        <sz val="11"/>
        <color theme="1"/>
        <rFont val="Calibri"/>
        <family val="2"/>
      </rPr>
      <t>s</t>
    </r>
  </si>
  <si>
    <t>Nilai PNA dari sisi atas penampang box girder komposit,</t>
  </si>
  <si>
    <t>Jarak pusat flans bawah ke PNA,</t>
  </si>
  <si>
    <t>Jarak pusat badan web ke PNA,</t>
  </si>
  <si>
    <t>Jarak pusat flens atas ke PNA,</t>
  </si>
  <si>
    <t>Jarak pusat pelat beton ke PNA,</t>
  </si>
  <si>
    <t>Y =</t>
  </si>
  <si>
    <r>
      <t>2*D</t>
    </r>
    <r>
      <rPr>
        <vertAlign val="subscript"/>
        <sz val="10"/>
        <color theme="1"/>
        <rFont val="Calibri"/>
        <family val="2"/>
      </rPr>
      <t>cp</t>
    </r>
    <r>
      <rPr>
        <sz val="10"/>
        <color theme="1"/>
        <rFont val="Calibri"/>
        <family val="2"/>
      </rPr>
      <t xml:space="preserve"> / t</t>
    </r>
    <r>
      <rPr>
        <vertAlign val="subscript"/>
        <sz val="10"/>
        <color theme="1"/>
        <rFont val="Calibri"/>
        <family val="2"/>
      </rPr>
      <t>w</t>
    </r>
  </si>
  <si>
    <r>
      <t>3,76 * √(E</t>
    </r>
    <r>
      <rPr>
        <vertAlign val="subscript"/>
        <sz val="10"/>
        <color theme="1"/>
        <rFont val="Calibri"/>
        <family val="2"/>
      </rPr>
      <t>s</t>
    </r>
    <r>
      <rPr>
        <sz val="10"/>
        <color theme="1"/>
        <rFont val="Calibri"/>
        <family val="2"/>
      </rPr>
      <t>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</t>
    </r>
  </si>
  <si>
    <r>
      <t>M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/ 2t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(Y + (t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- Y)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+ (P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+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 =</t>
    </r>
  </si>
  <si>
    <r>
      <t>M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</si>
  <si>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 xml:space="preserve"> </t>
  </si>
  <si>
    <r>
      <t>D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</si>
  <si>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>Kontrol persyaratan daktilitas penampang terhadap lentur positif,</t>
  </si>
  <si>
    <r>
      <t>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</si>
  <si>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/ (2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)</t>
    </r>
  </si>
  <si>
    <r>
      <t>t</t>
    </r>
    <r>
      <rPr>
        <vertAlign val="subscript"/>
        <sz val="11"/>
        <color theme="1"/>
        <rFont val="Calibri"/>
        <family val="2"/>
      </rPr>
      <t>w</t>
    </r>
  </si>
  <si>
    <t>Kontrol lebar flens bawah terhadap panjang bentang,</t>
  </si>
  <si>
    <r>
      <t>b</t>
    </r>
    <r>
      <rPr>
        <vertAlign val="subscript"/>
        <sz val="11"/>
        <color theme="1"/>
        <rFont val="Calibri"/>
        <family val="2"/>
      </rPr>
      <t>fb</t>
    </r>
  </si>
  <si>
    <t>1/5 * L</t>
  </si>
  <si>
    <t>Kontrol momen ultimit positif terhadap momen nominal,</t>
  </si>
  <si>
    <r>
      <t>0,42 * H</t>
    </r>
    <r>
      <rPr>
        <vertAlign val="subscript"/>
        <sz val="11"/>
        <color theme="1"/>
        <rFont val="Calibri"/>
        <family val="2"/>
      </rPr>
      <t>c</t>
    </r>
  </si>
  <si>
    <r>
      <t>D</t>
    </r>
    <r>
      <rPr>
        <vertAlign val="subscript"/>
        <sz val="11"/>
        <color theme="1"/>
        <rFont val="Calibri"/>
        <family val="2"/>
      </rPr>
      <t>p</t>
    </r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</si>
  <si>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* M</t>
    </r>
    <r>
      <rPr>
        <vertAlign val="subscript"/>
        <sz val="11"/>
        <color theme="1"/>
        <rFont val="Calibri"/>
        <family val="2"/>
      </rPr>
      <t>n</t>
    </r>
  </si>
  <si>
    <r>
      <t>M</t>
    </r>
    <r>
      <rPr>
        <vertAlign val="subscript"/>
        <sz val="11"/>
        <color theme="1"/>
        <rFont val="Calibri"/>
        <family val="2"/>
      </rPr>
      <t>u</t>
    </r>
  </si>
  <si>
    <t>Faktor reduksi kekuatan nominal lentur,</t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</si>
  <si>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=</t>
    </r>
  </si>
  <si>
    <t>Kontrol persyaratan penampang kompak untuk mencapai momen plastis positif,</t>
  </si>
  <si>
    <t>D</t>
  </si>
  <si>
    <t>Tulangan lentur negatif pada pelat lantai,</t>
  </si>
  <si>
    <t>Tulangan lentur positif pada pelat lantai,</t>
  </si>
  <si>
    <t>Mutu baja tulangan lentur pada pelat lantai,</t>
  </si>
  <si>
    <t xml:space="preserve">BjTS </t>
  </si>
  <si>
    <t>Tegangan leleh tulangan lentur baja,</t>
  </si>
  <si>
    <t>Tebal selimut beton pada pelat lantai,</t>
  </si>
  <si>
    <r>
      <t>t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</si>
  <si>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t>Nilai momen pada saat penampang komposit,</t>
  </si>
  <si>
    <t>Nilai momen pada saat penampang non komposit,</t>
  </si>
  <si>
    <t>Modulus penampang pada saat non-komposit,</t>
  </si>
  <si>
    <t>Modulus penampang pada saat komposit (n),</t>
  </si>
  <si>
    <t>Modulus penampang pada saat komposit (3n),</t>
  </si>
  <si>
    <r>
      <t>m</t>
    </r>
    <r>
      <rPr>
        <vertAlign val="superscript"/>
        <sz val="11"/>
        <color theme="1"/>
        <rFont val="Calibri"/>
        <family val="2"/>
      </rPr>
      <t>3</t>
    </r>
  </si>
  <si>
    <r>
      <t>S</t>
    </r>
    <r>
      <rPr>
        <vertAlign val="subscript"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= W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</si>
  <si>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</rPr>
      <t>bot</t>
    </r>
    <r>
      <rPr>
        <sz val="11"/>
        <color theme="1"/>
        <rFont val="Calibri"/>
        <family val="2"/>
      </rPr>
      <t xml:space="preserve"> = W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</si>
  <si>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</rPr>
      <t>c-top(n)</t>
    </r>
    <r>
      <rPr>
        <sz val="11"/>
        <color theme="1"/>
        <rFont val="Calibri"/>
        <family val="2"/>
      </rPr>
      <t xml:space="preserve"> = W</t>
    </r>
    <r>
      <rPr>
        <vertAlign val="subscript"/>
        <sz val="11"/>
        <color theme="1"/>
        <rFont val="Calibri"/>
        <family val="2"/>
      </rPr>
      <t>ac</t>
    </r>
    <r>
      <rPr>
        <sz val="11"/>
        <color theme="1"/>
        <rFont val="Calibri"/>
        <family val="2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</si>
  <si>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</rPr>
      <t>c-bot(n)</t>
    </r>
    <r>
      <rPr>
        <sz val="11"/>
        <color theme="1"/>
        <rFont val="Calibri"/>
        <family val="2"/>
      </rPr>
      <t xml:space="preserve"> = W</t>
    </r>
    <r>
      <rPr>
        <vertAlign val="subscript"/>
        <sz val="11"/>
        <color theme="1"/>
        <rFont val="Calibri"/>
        <family val="2"/>
      </rPr>
      <t>ac</t>
    </r>
    <r>
      <rPr>
        <sz val="11"/>
        <color theme="1"/>
        <rFont val="Calibri"/>
        <family val="2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</si>
  <si>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</rPr>
      <t>c-top(3n)</t>
    </r>
    <r>
      <rPr>
        <sz val="11"/>
        <color theme="1"/>
        <rFont val="Calibri"/>
        <family val="2"/>
      </rPr>
      <t xml:space="preserve"> = W</t>
    </r>
    <r>
      <rPr>
        <vertAlign val="subscript"/>
        <sz val="11"/>
        <color theme="1"/>
        <rFont val="Calibri"/>
        <family val="2"/>
      </rPr>
      <t>ac</t>
    </r>
    <r>
      <rPr>
        <sz val="11"/>
        <color theme="1"/>
        <rFont val="Calibri"/>
        <family val="2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</si>
  <si>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</rPr>
      <t>c-bot(3n)</t>
    </r>
    <r>
      <rPr>
        <sz val="11"/>
        <color theme="1"/>
        <rFont val="Calibri"/>
        <family val="2"/>
      </rPr>
      <t xml:space="preserve"> = W</t>
    </r>
    <r>
      <rPr>
        <vertAlign val="subscript"/>
        <sz val="11"/>
        <color theme="1"/>
        <rFont val="Calibri"/>
        <family val="2"/>
      </rPr>
      <t>ac</t>
    </r>
    <r>
      <rPr>
        <sz val="11"/>
        <color theme="1"/>
        <rFont val="Calibri"/>
        <family val="2"/>
      </rPr>
      <t xml:space="preserve"> =</t>
    </r>
  </si>
  <si>
    <t>Momen tambahan pada penampang komposit jangka pendek,</t>
  </si>
  <si>
    <r>
      <t>M</t>
    </r>
    <r>
      <rPr>
        <vertAlign val="subscript"/>
        <sz val="11"/>
        <color theme="1"/>
        <rFont val="Calibri"/>
        <family val="2"/>
      </rPr>
      <t>AD-top</t>
    </r>
    <r>
      <rPr>
        <sz val="11"/>
        <color theme="1"/>
        <rFont val="Calibri"/>
        <family val="2"/>
      </rPr>
      <t xml:space="preserve"> = S</t>
    </r>
    <r>
      <rPr>
        <vertAlign val="subscript"/>
        <sz val="11"/>
        <color theme="1"/>
        <rFont val="Calibri"/>
        <family val="2"/>
      </rPr>
      <t>c-top(n)</t>
    </r>
    <r>
      <rPr>
        <sz val="11"/>
        <color theme="1"/>
        <rFont val="Calibri"/>
        <family val="2"/>
      </rPr>
      <t xml:space="preserve"> * [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- (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/ S</t>
    </r>
    <r>
      <rPr>
        <vertAlign val="subscript"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/ S</t>
    </r>
    <r>
      <rPr>
        <vertAlign val="subscript"/>
        <sz val="11"/>
        <color theme="1"/>
        <rFont val="Calibri"/>
        <family val="2"/>
      </rPr>
      <t>c-top(3n)</t>
    </r>
    <r>
      <rPr>
        <sz val="11"/>
        <color theme="1"/>
        <rFont val="Calibri"/>
        <family val="2"/>
      </rPr>
      <t xml:space="preserve"> ) ] =</t>
    </r>
  </si>
  <si>
    <r>
      <t>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</rPr>
      <t xml:space="preserve"> * s *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</si>
  <si>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MS-3</t>
    </r>
    <r>
      <rPr>
        <sz val="11"/>
        <color theme="1"/>
        <rFont val="Calibri"/>
        <family val="2"/>
      </rPr>
      <t xml:space="preserve"> = 15% * M</t>
    </r>
    <r>
      <rPr>
        <vertAlign val="subscript"/>
        <sz val="11"/>
        <color theme="1"/>
        <rFont val="Calibri"/>
        <family val="2"/>
      </rPr>
      <t xml:space="preserve">ms-1 </t>
    </r>
    <r>
      <rPr>
        <sz val="11"/>
        <color theme="1"/>
        <rFont val="Calibri"/>
        <family val="2"/>
      </rPr>
      <t>=</t>
    </r>
  </si>
  <si>
    <r>
      <t>M</t>
    </r>
    <r>
      <rPr>
        <vertAlign val="subscript"/>
        <sz val="11"/>
        <color theme="1"/>
        <rFont val="Calibri"/>
        <family val="2"/>
      </rPr>
      <t>AD-bot</t>
    </r>
    <r>
      <rPr>
        <sz val="11"/>
        <color theme="1"/>
        <rFont val="Calibri"/>
        <family val="2"/>
      </rPr>
      <t xml:space="preserve"> = S</t>
    </r>
    <r>
      <rPr>
        <vertAlign val="subscript"/>
        <sz val="11"/>
        <color theme="1"/>
        <rFont val="Calibri"/>
        <family val="2"/>
      </rPr>
      <t>c-bot(n)</t>
    </r>
    <r>
      <rPr>
        <sz val="11"/>
        <color theme="1"/>
        <rFont val="Calibri"/>
        <family val="2"/>
      </rPr>
      <t xml:space="preserve"> * [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- (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/ S</t>
    </r>
    <r>
      <rPr>
        <vertAlign val="subscript"/>
        <sz val="11"/>
        <color theme="1"/>
        <rFont val="Calibri"/>
        <family val="2"/>
      </rPr>
      <t>bot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/ S</t>
    </r>
    <r>
      <rPr>
        <vertAlign val="subscript"/>
        <sz val="11"/>
        <color theme="1"/>
        <rFont val="Calibri"/>
        <family val="2"/>
      </rPr>
      <t>c-bot(3n)</t>
    </r>
    <r>
      <rPr>
        <sz val="11"/>
        <color theme="1"/>
        <rFont val="Calibri"/>
        <family val="2"/>
      </rPr>
      <t xml:space="preserve"> ) ] =</t>
    </r>
  </si>
  <si>
    <t>Momen leleh terhadap lentur positif,</t>
  </si>
  <si>
    <r>
      <t>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</si>
  <si>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</si>
  <si>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AD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</si>
  <si>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AD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</si>
  <si>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</si>
  <si>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Penampang kompak</t>
  </si>
  <si>
    <t>Penampang tak kompak</t>
  </si>
  <si>
    <r>
      <t>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</si>
  <si>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t>Momen inersia flens tekan terhadap sumbu vertikal,</t>
  </si>
  <si>
    <t>Momen inersia flens tarik terhadap sumbu vertikal,</t>
  </si>
  <si>
    <r>
      <t>I</t>
    </r>
    <r>
      <rPr>
        <vertAlign val="subscript"/>
        <sz val="11"/>
        <color theme="1"/>
        <rFont val="Calibri"/>
        <family val="2"/>
      </rPr>
      <t>yt</t>
    </r>
    <r>
      <rPr>
        <sz val="11"/>
        <color theme="1"/>
        <rFont val="Calibri"/>
        <family val="2"/>
      </rPr>
      <t xml:space="preserve"> = 2 * (1/12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ft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Δ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</si>
  <si>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r>
      <t>I</t>
    </r>
    <r>
      <rPr>
        <vertAlign val="subscript"/>
        <sz val="11"/>
        <color theme="1"/>
        <rFont val="Calibri"/>
        <family val="2"/>
      </rPr>
      <t>yc</t>
    </r>
    <r>
      <rPr>
        <sz val="11"/>
        <color theme="1"/>
        <rFont val="Calibri"/>
        <family val="2"/>
      </rPr>
      <t xml:space="preserve"> = 1/12 *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fb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</si>
  <si>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D / t</t>
    </r>
    <r>
      <rPr>
        <vertAlign val="subscript"/>
        <sz val="11"/>
        <color theme="1"/>
        <rFont val="Calibri"/>
        <family val="2"/>
      </rPr>
      <t>w</t>
    </r>
  </si>
  <si>
    <r>
      <t>m</t>
    </r>
    <r>
      <rPr>
        <vertAlign val="superscript"/>
        <sz val="11"/>
        <color theme="1"/>
        <rFont val="Calibri"/>
        <family val="2"/>
      </rPr>
      <t>4</t>
    </r>
  </si>
  <si>
    <t>Ketahanan penampang terhadap lentur positif,</t>
  </si>
  <si>
    <t>Jenis penampang terhadap lentur positif,</t>
  </si>
  <si>
    <t>Tahanan lentur nominal penampang,</t>
  </si>
  <si>
    <t>Kontrol ketinggian PNA terhadap syarat reduksi tahanan lentur,</t>
  </si>
  <si>
    <r>
      <t>0,1 * H</t>
    </r>
    <r>
      <rPr>
        <vertAlign val="subscript"/>
        <sz val="11"/>
        <color theme="1"/>
        <rFont val="Calibri"/>
        <family val="2"/>
      </rPr>
      <t>c</t>
    </r>
  </si>
  <si>
    <t>&gt;</t>
  </si>
  <si>
    <t>Momen plastis penampang terhadap lentur positif,</t>
  </si>
  <si>
    <t>Tidak tereduksi :</t>
  </si>
  <si>
    <t>Tereduksi :</t>
  </si>
  <si>
    <r>
      <t>M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( 1,07 - 0,7 * D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/ H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) =</t>
    </r>
  </si>
  <si>
    <t>Jarak pusat flens atas terhadap sisi atas penampang,</t>
  </si>
  <si>
    <t>Kontrol kondisi tegangan tekan pada flens atas,</t>
  </si>
  <si>
    <r>
      <t>y</t>
    </r>
    <r>
      <rPr>
        <vertAlign val="subscript"/>
        <sz val="11"/>
        <color theme="1"/>
        <rFont val="Calibri"/>
        <family val="2"/>
      </rPr>
      <t>ft</t>
    </r>
  </si>
  <si>
    <t>Rasio 2x luas badan tertekan terhadap luas sayap tekan,</t>
  </si>
  <si>
    <t>Kondisi flens atas tekan</t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</si>
  <si>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  <scheme val="minor"/>
      </rPr>
      <t>rw</t>
    </r>
    <r>
      <rPr>
        <sz val="11"/>
        <color theme="1"/>
        <rFont val="Calibri"/>
        <family val="2"/>
        <scheme val="minor"/>
      </rPr>
      <t xml:space="preserve"> = (3,1 + 5 / a</t>
    </r>
    <r>
      <rPr>
        <vertAlign val="subscript"/>
        <sz val="11"/>
        <color theme="1"/>
        <rFont val="Calibri"/>
        <family val="2"/>
        <scheme val="minor"/>
      </rPr>
      <t>wc</t>
    </r>
    <r>
      <rPr>
        <sz val="11"/>
        <color theme="1"/>
        <rFont val="Calibri"/>
        <family val="2"/>
        <scheme val="minor"/>
      </rPr>
      <t>) * √(E /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 =</t>
    </r>
  </si>
  <si>
    <t>Kontrol rasio kelangsingan penampang tak kompak,</t>
  </si>
  <si>
    <t>4,6 * √(E / fy)</t>
  </si>
  <si>
    <t>5,7 * √(E / fy)</t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</si>
  <si>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  <scheme val="minor"/>
      </rPr>
      <t>rw</t>
    </r>
  </si>
  <si>
    <r>
      <t>a</t>
    </r>
    <r>
      <rPr>
        <vertAlign val="subscript"/>
        <sz val="11"/>
        <color theme="1"/>
        <rFont val="Calibri"/>
        <family val="2"/>
      </rPr>
      <t>wc</t>
    </r>
    <r>
      <rPr>
        <sz val="11"/>
        <color theme="1"/>
        <rFont val="Calibri"/>
        <family val="2"/>
      </rPr>
      <t xml:space="preserve"> = 2 * (D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)/(b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) =</t>
    </r>
  </si>
  <si>
    <t>Tinggi pelat badan tekan pada penampang elastis,</t>
  </si>
  <si>
    <t>Faktor pelepasan beban pelat badan,</t>
  </si>
  <si>
    <r>
      <t>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 1,0 - a</t>
    </r>
    <r>
      <rPr>
        <vertAlign val="subscript"/>
        <sz val="11"/>
        <color theme="1"/>
        <rFont val="Calibri"/>
        <family val="2"/>
      </rPr>
      <t>wc</t>
    </r>
    <r>
      <rPr>
        <sz val="11"/>
        <color theme="1"/>
        <rFont val="Calibri"/>
        <family val="2"/>
      </rPr>
      <t xml:space="preserve"> / (1200 + 300 * a</t>
    </r>
    <r>
      <rPr>
        <vertAlign val="subscript"/>
        <sz val="11"/>
        <color theme="1"/>
        <rFont val="Calibri"/>
        <family val="2"/>
      </rPr>
      <t>wc</t>
    </r>
    <r>
      <rPr>
        <sz val="11"/>
        <color theme="1"/>
        <rFont val="Calibri"/>
        <family val="2"/>
      </rPr>
      <t>) * (2 * 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/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- λ</t>
    </r>
    <r>
      <rPr>
        <vertAlign val="subscript"/>
        <sz val="11"/>
        <color theme="1"/>
        <rFont val="Calibri"/>
        <family val="2"/>
      </rPr>
      <t>rw</t>
    </r>
    <r>
      <rPr>
        <sz val="11"/>
        <color theme="1"/>
        <rFont val="Calibri"/>
        <family val="2"/>
      </rPr>
      <t>) =</t>
    </r>
  </si>
  <si>
    <r>
      <t>R</t>
    </r>
    <r>
      <rPr>
        <vertAlign val="subscript"/>
        <sz val="11"/>
        <color theme="1"/>
        <rFont val="Calibri"/>
        <family val="2"/>
      </rPr>
      <t>b -maks</t>
    </r>
    <r>
      <rPr>
        <sz val="11"/>
        <color theme="1"/>
        <rFont val="Calibri"/>
        <family val="2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</si>
  <si>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</rPr>
      <t>b-pakai</t>
    </r>
    <r>
      <rPr>
        <sz val="11"/>
        <color theme="1"/>
        <rFont val="Calibri"/>
        <family val="2"/>
      </rPr>
      <t xml:space="preserve"> =</t>
    </r>
  </si>
  <si>
    <t>Faktor penampang hibrid,</t>
  </si>
  <si>
    <r>
      <t>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=</t>
    </r>
  </si>
  <si>
    <t>Torsi pada penampang akibat beban terfaktor,</t>
  </si>
  <si>
    <t>T =</t>
  </si>
  <si>
    <t>Luas penampang tertutup,</t>
  </si>
  <si>
    <t>Teg. Geser torsi St. Venant pada sayap,</t>
  </si>
  <si>
    <r>
      <t>f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= T / (2 * A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) =</t>
    </r>
  </si>
  <si>
    <r>
      <t>m</t>
    </r>
    <r>
      <rPr>
        <vertAlign val="superscript"/>
        <sz val="11"/>
        <color theme="1"/>
        <rFont val="Calibri"/>
        <family val="2"/>
      </rPr>
      <t>2</t>
    </r>
  </si>
  <si>
    <t>Faktor reduksi tegangan maksimum,</t>
  </si>
  <si>
    <r>
      <t>Δ = √[ 1 - 3 * (f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] =</t>
    </r>
  </si>
  <si>
    <r>
      <t>Δ</t>
    </r>
    <r>
      <rPr>
        <vertAlign val="subscript"/>
        <sz val="11"/>
        <color theme="1"/>
        <rFont val="Calibri"/>
        <family val="2"/>
      </rPr>
      <t>maks</t>
    </r>
    <r>
      <rPr>
        <sz val="11"/>
        <color theme="1"/>
        <rFont val="Calibri"/>
        <family val="2"/>
      </rPr>
      <t xml:space="preserve"> =</t>
    </r>
  </si>
  <si>
    <t>Δ =</t>
  </si>
  <si>
    <t>Tegangan pada sayap akibat beban terfaktor,</t>
  </si>
  <si>
    <t>Momen ultimit positif,</t>
  </si>
  <si>
    <r>
      <t>f</t>
    </r>
    <r>
      <rPr>
        <vertAlign val="subscript"/>
        <sz val="11"/>
        <color theme="1"/>
        <rFont val="Calibri"/>
        <family val="2"/>
      </rPr>
      <t>bu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/ W'</t>
    </r>
    <r>
      <rPr>
        <vertAlign val="subscript"/>
        <sz val="11"/>
        <color theme="1"/>
        <rFont val="Calibri"/>
        <family val="2"/>
      </rPr>
      <t>ac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</si>
  <si>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Δ =</t>
    </r>
  </si>
  <si>
    <t>Tahanan lentur nominal flens tekan,</t>
  </si>
  <si>
    <t>Kontrol tegangan ultimit pada sayap terhadap tahanan lentur nominal flens,</t>
  </si>
  <si>
    <t>Kondisi flens atas tarik</t>
  </si>
  <si>
    <r>
      <t>f</t>
    </r>
    <r>
      <rPr>
        <vertAlign val="subscript"/>
        <sz val="11"/>
        <color theme="1"/>
        <rFont val="Calibri"/>
        <family val="2"/>
      </rPr>
      <t>bu</t>
    </r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</si>
  <si>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nc</t>
    </r>
  </si>
  <si>
    <t>Tahanan lentur nominal flens tarik,</t>
  </si>
  <si>
    <r>
      <t>F</t>
    </r>
    <r>
      <rPr>
        <vertAlign val="subscript"/>
        <sz val="11"/>
        <color theme="1"/>
        <rFont val="Calibri"/>
        <family val="2"/>
      </rPr>
      <t>nt</t>
    </r>
    <r>
      <rPr>
        <sz val="11"/>
        <color theme="1"/>
        <rFont val="Calibri"/>
        <family val="2"/>
      </rPr>
      <t xml:space="preserve"> =R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Δ =</t>
    </r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</si>
  <si>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nt</t>
    </r>
  </si>
  <si>
    <t>k =</t>
  </si>
  <si>
    <r>
      <t>D</t>
    </r>
    <r>
      <rPr>
        <vertAlign val="subscript"/>
        <sz val="11"/>
        <color theme="1"/>
        <rFont val="Calibri"/>
        <family val="2"/>
      </rPr>
      <t>c</t>
    </r>
  </si>
  <si>
    <r>
      <t>M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</t>
    </r>
  </si>
  <si>
    <t>Faktor resistensi untuk geser,</t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</si>
  <si>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=</t>
    </r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</si>
  <si>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  <scheme val="minor"/>
      </rPr>
      <t>rw</t>
    </r>
    <r>
      <rPr>
        <sz val="11"/>
        <color theme="1"/>
        <rFont val="Calibri"/>
        <family val="2"/>
        <scheme val="minor"/>
      </rPr>
      <t xml:space="preserve"> =</t>
    </r>
  </si>
  <si>
    <t>Parameter kekakuan lentur pengaku transversal,</t>
  </si>
  <si>
    <t>J =</t>
  </si>
  <si>
    <r>
      <t>J</t>
    </r>
    <r>
      <rPr>
        <vertAlign val="subscript"/>
        <sz val="11"/>
        <color theme="1"/>
        <rFont val="Calibri"/>
        <family val="2"/>
      </rPr>
      <t>min</t>
    </r>
    <r>
      <rPr>
        <sz val="11"/>
        <color theme="1"/>
        <rFont val="Calibri"/>
        <family val="2"/>
      </rPr>
      <t xml:space="preserve"> =</t>
    </r>
  </si>
  <si>
    <r>
      <t>J = 2,5 / (d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/ D)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- 2,0 =</t>
    </r>
  </si>
  <si>
    <t>Momen inersia minimum untuk ketahanan tekuk geser badan,</t>
  </si>
  <si>
    <r>
      <t>I</t>
    </r>
    <r>
      <rPr>
        <vertAlign val="subscript"/>
        <sz val="11"/>
        <color theme="1"/>
        <rFont val="Calibri"/>
        <family val="2"/>
      </rPr>
      <t>t1</t>
    </r>
    <r>
      <rPr>
        <sz val="11"/>
        <color theme="1"/>
        <rFont val="Calibri"/>
        <family val="2"/>
      </rPr>
      <t xml:space="preserve"> = b * t</t>
    </r>
    <r>
      <rPr>
        <vertAlign val="subscript"/>
        <sz val="11"/>
        <color theme="1"/>
        <rFont val="Calibri"/>
        <family val="2"/>
      </rPr>
      <t>w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* J =</t>
    </r>
  </si>
  <si>
    <t>Tegangan tekuk lokal untuk pengaku,</t>
  </si>
  <si>
    <r>
      <t>F</t>
    </r>
    <r>
      <rPr>
        <vertAlign val="subscript"/>
        <sz val="11"/>
        <color theme="1"/>
        <rFont val="Calibri"/>
        <family val="2"/>
      </rPr>
      <t>crs</t>
    </r>
    <r>
      <rPr>
        <sz val="11"/>
        <color theme="1"/>
        <rFont val="Calibri"/>
        <family val="2"/>
      </rPr>
      <t xml:space="preserve"> = 0,31 * E / (b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/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</si>
  <si>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Lebar pengaku transversal,</t>
  </si>
  <si>
    <t>Tebal pengaku transversal,</t>
  </si>
  <si>
    <r>
      <t>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</si>
  <si>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</si>
  <si>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>Kontrol dimensi pelat transversal,</t>
  </si>
  <si>
    <t>2,0 + D /30</t>
  </si>
  <si>
    <t>Syarat (1) :</t>
  </si>
  <si>
    <t>Syarat (2) :</t>
  </si>
  <si>
    <t>Momen inersia pelat pengaku,</t>
  </si>
  <si>
    <r>
      <t>I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1/12 *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t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</si>
  <si>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crs-maks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</si>
  <si>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crs</t>
    </r>
    <r>
      <rPr>
        <sz val="11"/>
        <color theme="1"/>
        <rFont val="Calibri"/>
        <family val="2"/>
      </rPr>
      <t xml:space="preserve"> =</t>
    </r>
  </si>
  <si>
    <t>Perbandingan tengan leleh dan tegangan tekuk lokal,</t>
  </si>
  <si>
    <r>
      <t>ρ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=max (f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crs</t>
    </r>
    <r>
      <rPr>
        <sz val="11"/>
        <color theme="1"/>
        <rFont val="Calibri"/>
        <family val="2"/>
      </rPr>
      <t xml:space="preserve"> or 1,0) =</t>
    </r>
  </si>
  <si>
    <t xml:space="preserve">Momen inersia minimum untuk ketahanan tekuk geser badan penuh </t>
  </si>
  <si>
    <t>ditambah tahanan  aksi medan tarik pascatekuk,</t>
  </si>
  <si>
    <r>
      <t>I</t>
    </r>
    <r>
      <rPr>
        <vertAlign val="subscript"/>
        <sz val="11"/>
        <color theme="1"/>
        <rFont val="Calibri"/>
        <family val="2"/>
      </rPr>
      <t>t2</t>
    </r>
    <r>
      <rPr>
        <sz val="11"/>
        <color theme="1"/>
        <rFont val="Calibri"/>
        <family val="2"/>
      </rPr>
      <t xml:space="preserve"> = 1/40 * D</t>
    </r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* ρ</t>
    </r>
    <r>
      <rPr>
        <vertAlign val="subscript"/>
        <sz val="11"/>
        <color theme="1"/>
        <rFont val="Calibri"/>
        <family val="2"/>
      </rPr>
      <t>t</t>
    </r>
    <r>
      <rPr>
        <vertAlign val="superscript"/>
        <sz val="11"/>
        <color theme="1"/>
        <rFont val="Calibri"/>
        <family val="2"/>
      </rPr>
      <t>1,3</t>
    </r>
    <r>
      <rPr>
        <sz val="11"/>
        <color theme="1"/>
        <rFont val="Calibri"/>
        <family val="2"/>
      </rPr>
      <t xml:space="preserve"> * (f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/ E)</t>
    </r>
    <r>
      <rPr>
        <vertAlign val="superscript"/>
        <sz val="11"/>
        <color theme="1"/>
        <rFont val="Calibri"/>
        <family val="2"/>
      </rPr>
      <t>1,5</t>
    </r>
    <r>
      <rPr>
        <sz val="11"/>
        <color theme="1"/>
        <rFont val="Calibri"/>
        <family val="2"/>
      </rPr>
      <t xml:space="preserve"> =</t>
    </r>
  </si>
  <si>
    <t xml:space="preserve">Kontrol momen inersia pelat pengaku transversal terhadap kondisi pengaku transversal </t>
  </si>
  <si>
    <t>yang berdekatan dengan panel badan yang tidak dikenai aksi medan tarik pascatekuk,</t>
  </si>
  <si>
    <r>
      <t>I</t>
    </r>
    <r>
      <rPr>
        <vertAlign val="subscript"/>
        <sz val="11"/>
        <color theme="1"/>
        <rFont val="Calibri"/>
        <family val="2"/>
      </rPr>
      <t>t</t>
    </r>
  </si>
  <si>
    <t>Koefisien tekuk geser,</t>
  </si>
  <si>
    <r>
      <t>k = 5 + 5 / (d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/ D)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</si>
  <si>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C =</t>
  </si>
  <si>
    <r>
      <t>C = [ 1,12/(D/t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 ] * √(E*k/f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=</t>
    </r>
  </si>
  <si>
    <r>
      <t>C = [ 1,57/(D/t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] * (E*k/f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=</t>
    </r>
  </si>
  <si>
    <t>Nilai rasio ketahanan geser-tekuk terhadap kekuatan leleh geser,</t>
  </si>
  <si>
    <t>Tahanan gaya geser plastis,</t>
  </si>
  <si>
    <r>
      <t>V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 0,58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D *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</si>
  <si>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 xml:space="preserve">p </t>
    </r>
    <r>
      <rPr>
        <sz val="11"/>
        <color theme="1"/>
        <rFont val="Calibri"/>
        <family val="2"/>
      </rPr>
      <t>* (C + 0,87 * (1 - C) / √(1 + (d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>/D)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</si>
  <si>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r>
      <t>V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 xml:space="preserve">p </t>
    </r>
    <r>
      <rPr>
        <sz val="11"/>
        <color theme="1"/>
        <rFont val="Calibri"/>
        <family val="2"/>
      </rPr>
      <t>* (C + 0,87 * (1 - C) / √(1 + (d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>/D) + (d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>/D)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</si>
  <si>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t>Tahanan geser nominal pada panel web interior,</t>
  </si>
  <si>
    <t>Tahanan geser nominal pada panel web ujung,</t>
  </si>
  <si>
    <r>
      <t>V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C * V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</si>
  <si>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>Tahanan geser yang berpengaruh,</t>
  </si>
  <si>
    <r>
      <t>V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</si>
  <si>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Kontrol geser ultimit terhadap tahanan geser nominal,</t>
  </si>
  <si>
    <r>
      <t>V</t>
    </r>
    <r>
      <rPr>
        <vertAlign val="subscript"/>
        <sz val="11"/>
        <color theme="1"/>
        <rFont val="Calibri"/>
        <family val="2"/>
      </rPr>
      <t>u</t>
    </r>
  </si>
  <si>
    <r>
      <t>1) D/t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≤ 1,12 * √(E*k/f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</t>
    </r>
  </si>
  <si>
    <r>
      <t>2) 1,12 * √(E*k/f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&lt; D/t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≤ 1,40 * √(E*k/f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</t>
    </r>
  </si>
  <si>
    <r>
      <t>3) D/t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&gt; 1,40 * √(E*k/f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</t>
    </r>
  </si>
  <si>
    <r>
      <t>1) 2*D*t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/(b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*t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+ 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>*t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>) ≤ 2,5</t>
    </r>
  </si>
  <si>
    <r>
      <t>2) 2*D*t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/(b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*t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+ 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>*t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>) &gt; 2,5</t>
    </r>
  </si>
  <si>
    <r>
      <t>b</t>
    </r>
    <r>
      <rPr>
        <vertAlign val="subscript"/>
        <sz val="11"/>
        <color theme="1"/>
        <rFont val="Calibri"/>
        <family val="2"/>
      </rPr>
      <t>t</t>
    </r>
  </si>
  <si>
    <r>
      <t>16 * t</t>
    </r>
    <r>
      <rPr>
        <vertAlign val="subscript"/>
        <sz val="11"/>
        <color theme="1"/>
        <rFont val="Calibri"/>
        <family val="2"/>
      </rPr>
      <t>p</t>
    </r>
  </si>
  <si>
    <r>
      <t>b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/ 4</t>
    </r>
  </si>
  <si>
    <r>
      <t>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= 1,5 * D =</t>
    </r>
  </si>
  <si>
    <t>Tahanan geser nominal,</t>
  </si>
  <si>
    <r>
      <t>φ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=</t>
    </r>
  </si>
  <si>
    <t>Tebal pelat pengaku,</t>
  </si>
  <si>
    <t>Lebar pelat pengaku,</t>
  </si>
  <si>
    <t>Lebar efektif pelat pengaku,</t>
  </si>
  <si>
    <t>Jumlah pelat pengaku transversal pada tumpuan,</t>
  </si>
  <si>
    <t>pelat</t>
  </si>
  <si>
    <t>Luas efektif pelat pengaku,</t>
  </si>
  <si>
    <t>mm2</t>
  </si>
  <si>
    <r>
      <t>mm</t>
    </r>
    <r>
      <rPr>
        <vertAlign val="superscript"/>
        <sz val="11"/>
        <color theme="1"/>
        <rFont val="Calibri"/>
        <family val="2"/>
      </rPr>
      <t>2</t>
    </r>
  </si>
  <si>
    <t>Tahanan nominal pada tumpuan,</t>
  </si>
  <si>
    <t>Reaksi pada tumpuan,</t>
  </si>
  <si>
    <t>Faktor resistensi untuk tahanan tumpuan,</t>
  </si>
  <si>
    <r>
      <t>φ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</si>
  <si>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r>
      <t>(R</t>
    </r>
    <r>
      <rPr>
        <vertAlign val="subscript"/>
        <sz val="11"/>
        <color theme="1"/>
        <rFont val="Calibri"/>
        <family val="2"/>
      </rPr>
      <t>sb</t>
    </r>
    <r>
      <rPr>
        <sz val="11"/>
        <color theme="1"/>
        <rFont val="Calibri"/>
        <family val="2"/>
      </rPr>
      <t>)</t>
    </r>
    <r>
      <rPr>
        <vertAlign val="subscript"/>
        <sz val="11"/>
        <color theme="1"/>
        <rFont val="Calibri"/>
        <family val="2"/>
      </rPr>
      <t>r</t>
    </r>
  </si>
  <si>
    <r>
      <t>(R</t>
    </r>
    <r>
      <rPr>
        <vertAlign val="subscript"/>
        <sz val="11"/>
        <color theme="1"/>
        <rFont val="Calibri"/>
        <family val="2"/>
      </rPr>
      <t>sb</t>
    </r>
    <r>
      <rPr>
        <sz val="11"/>
        <color theme="1"/>
        <rFont val="Calibri"/>
        <family val="2"/>
      </rPr>
      <t>)</t>
    </r>
    <r>
      <rPr>
        <vertAlign val="subscript"/>
        <sz val="11"/>
        <color theme="1"/>
        <rFont val="Calibri"/>
        <family val="2"/>
      </rPr>
      <t>n</t>
    </r>
  </si>
  <si>
    <r>
      <t>b</t>
    </r>
    <r>
      <rPr>
        <vertAlign val="subscript"/>
        <sz val="11"/>
        <color theme="1"/>
        <rFont val="Calibri"/>
        <family val="2"/>
      </rPr>
      <t>t-max</t>
    </r>
    <r>
      <rPr>
        <sz val="11"/>
        <color theme="1"/>
        <rFont val="Calibri"/>
        <family val="2"/>
      </rPr>
      <t xml:space="preserve"> =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x [ 0,48 * √(E/f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] =</t>
    </r>
  </si>
  <si>
    <r>
      <t>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' = 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- 6 *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</si>
  <si>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pn</t>
    </r>
    <r>
      <rPr>
        <sz val="11"/>
        <color theme="1"/>
        <rFont val="Calibri"/>
        <family val="2"/>
      </rPr>
      <t xml:space="preserve"> = n * 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' *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</si>
  <si>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(R</t>
    </r>
    <r>
      <rPr>
        <vertAlign val="subscript"/>
        <sz val="11"/>
        <color theme="1"/>
        <rFont val="Calibri"/>
        <family val="2"/>
      </rPr>
      <t>sb</t>
    </r>
    <r>
      <rPr>
        <sz val="11"/>
        <color theme="1"/>
        <rFont val="Calibri"/>
        <family val="2"/>
      </rPr>
      <t>)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1,4 * A</t>
    </r>
    <r>
      <rPr>
        <vertAlign val="subscript"/>
        <sz val="11"/>
        <color theme="1"/>
        <rFont val="Calibri"/>
        <family val="2"/>
      </rPr>
      <t>pn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</si>
  <si>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r>
      <t>(R</t>
    </r>
    <r>
      <rPr>
        <vertAlign val="subscript"/>
        <sz val="11"/>
        <color theme="1"/>
        <rFont val="Calibri"/>
        <family val="2"/>
      </rPr>
      <t>sb</t>
    </r>
    <r>
      <rPr>
        <sz val="11"/>
        <color theme="1"/>
        <rFont val="Calibri"/>
        <family val="2"/>
      </rPr>
      <t>)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=</t>
    </r>
  </si>
  <si>
    <t>Panjang pengaku transversal pada tumpuan,</t>
  </si>
  <si>
    <t>l =</t>
  </si>
  <si>
    <t>Faktor panjang efektif pengaku,</t>
  </si>
  <si>
    <t>K =</t>
  </si>
  <si>
    <t>Jarak antar pelat pengaku transversal,</t>
  </si>
  <si>
    <t>Panjang web yg bekerja sebagai batang tekan,</t>
  </si>
  <si>
    <t>L = 2 * 12 * tw + x =</t>
  </si>
  <si>
    <t>Luas penampang yang bekerja sebagai batang tekan,</t>
  </si>
  <si>
    <t>Momen inersia batang tekan,</t>
  </si>
  <si>
    <r>
      <t>I = 1/12 * L * t</t>
    </r>
    <r>
      <rPr>
        <vertAlign val="subscript"/>
        <sz val="11"/>
        <color theme="1"/>
        <rFont val="Calibri"/>
        <family val="2"/>
      </rPr>
      <t>w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n * 1/12 *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t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(0,5 * (b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+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</si>
  <si>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mm4</t>
  </si>
  <si>
    <t>Jari-jari girasi batang tekan,</t>
  </si>
  <si>
    <r>
      <t>λ = (K * l / (r * π))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/ E =</t>
    </r>
  </si>
  <si>
    <t>Tahanan tekan nominal pengaku transversal,</t>
  </si>
  <si>
    <t>1) λ ≤ 2,25</t>
  </si>
  <si>
    <t>2) λ &gt; 2,25</t>
  </si>
  <si>
    <r>
      <t>P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 0,66</t>
    </r>
    <r>
      <rPr>
        <vertAlign val="superscript"/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</si>
  <si>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/</t>
    </r>
    <r>
      <rPr>
        <vertAlign val="subscript"/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</rPr>
      <t xml:space="preserve"> * 0,88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* A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</si>
  <si>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r = √( I / A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) =</t>
    </r>
  </si>
  <si>
    <r>
      <t>A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 n * t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+ L * 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</si>
  <si>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 xml:space="preserve"> =</t>
    </r>
  </si>
  <si>
    <t>Faktor resistensi untuk tahanan tekan,</t>
  </si>
  <si>
    <r>
      <t>φ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</t>
    </r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</si>
  <si>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* P</t>
    </r>
    <r>
      <rPr>
        <vertAlign val="subscript"/>
        <sz val="11"/>
        <color theme="1"/>
        <rFont val="Calibri"/>
        <family val="2"/>
      </rPr>
      <t>n</t>
    </r>
  </si>
  <si>
    <t>Momen akibat stay in place form,</t>
  </si>
  <si>
    <t>Momen akibat beban mati tambahan,</t>
  </si>
  <si>
    <t>Momen akibat beban lalu lintas,</t>
  </si>
  <si>
    <t>Tegangan leleh pada flens,</t>
  </si>
  <si>
    <t>Tegangan lentur pada flens atas,</t>
  </si>
  <si>
    <r>
      <t>f</t>
    </r>
    <r>
      <rPr>
        <vertAlign val="subscript"/>
        <sz val="11"/>
        <color theme="1"/>
        <rFont val="Calibri"/>
        <family val="2"/>
      </rPr>
      <t>fc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/ W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/ W'</t>
    </r>
    <r>
      <rPr>
        <vertAlign val="subscript"/>
        <sz val="11"/>
        <color theme="1"/>
        <rFont val="Calibri"/>
        <family val="2"/>
      </rPr>
      <t>ac-3n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LL</t>
    </r>
    <r>
      <rPr>
        <sz val="11"/>
        <color theme="1"/>
        <rFont val="Calibri"/>
        <family val="2"/>
      </rPr>
      <t xml:space="preserve"> / W'</t>
    </r>
    <r>
      <rPr>
        <vertAlign val="subscript"/>
        <sz val="11"/>
        <color theme="1"/>
        <rFont val="Calibri"/>
        <family val="2"/>
      </rPr>
      <t>ac-n</t>
    </r>
    <r>
      <rPr>
        <sz val="11"/>
        <color theme="1"/>
        <rFont val="Calibri"/>
        <family val="2"/>
      </rPr>
      <t xml:space="preserve"> =</t>
    </r>
  </si>
  <si>
    <t>Tegangan lentur pada flens bawah,</t>
  </si>
  <si>
    <r>
      <t>f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/ W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/ W</t>
    </r>
    <r>
      <rPr>
        <vertAlign val="subscript"/>
        <sz val="11"/>
        <color theme="1"/>
        <rFont val="Calibri"/>
        <family val="2"/>
      </rPr>
      <t>bc-3n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LL</t>
    </r>
    <r>
      <rPr>
        <sz val="11"/>
        <color theme="1"/>
        <rFont val="Calibri"/>
        <family val="2"/>
      </rPr>
      <t xml:space="preserve"> / Wb</t>
    </r>
    <r>
      <rPr>
        <vertAlign val="subscript"/>
        <sz val="11"/>
        <color theme="1"/>
        <rFont val="Calibri"/>
        <family val="2"/>
      </rPr>
      <t>c-n</t>
    </r>
    <r>
      <rPr>
        <sz val="11"/>
        <color theme="1"/>
        <rFont val="Calibri"/>
        <family val="2"/>
      </rPr>
      <t xml:space="preserve"> =</t>
    </r>
  </si>
  <si>
    <t>Tegangan lentur pada flens yang berpengaruh,</t>
  </si>
  <si>
    <r>
      <t>f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=</t>
    </r>
  </si>
  <si>
    <t>Kontrol tegangan lentur akibat beban layan terhdap tegangan leleh pada flens,</t>
  </si>
  <si>
    <r>
      <t>0,95 * 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</si>
  <si>
    <r>
      <t>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= 1,0 * M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</si>
  <si>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= 1,0 * M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</si>
  <si>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LL</t>
    </r>
    <r>
      <rPr>
        <sz val="11"/>
        <color theme="1"/>
        <rFont val="Calibri"/>
        <family val="2"/>
      </rPr>
      <t xml:space="preserve"> = 1,3 * M</t>
    </r>
    <r>
      <rPr>
        <vertAlign val="subscript"/>
        <sz val="11"/>
        <color theme="1"/>
        <rFont val="Calibri"/>
        <family val="2"/>
      </rPr>
      <t>TD</t>
    </r>
    <r>
      <rPr>
        <sz val="11"/>
        <color theme="1"/>
        <rFont val="Calibri"/>
        <family val="2"/>
      </rPr>
      <t xml:space="preserve"> =</t>
    </r>
  </si>
  <si>
    <r>
      <t>V</t>
    </r>
    <r>
      <rPr>
        <b/>
        <vertAlign val="subscript"/>
        <sz val="11"/>
        <color theme="1"/>
        <rFont val="Calibri"/>
        <family val="2"/>
      </rPr>
      <t>u</t>
    </r>
  </si>
  <si>
    <r>
      <rPr>
        <b/>
        <i/>
        <sz val="11"/>
        <color theme="1"/>
        <rFont val="Calibri"/>
        <family val="2"/>
      </rPr>
      <t>φ</t>
    </r>
    <r>
      <rPr>
        <b/>
        <vertAlign val="subscript"/>
        <sz val="11"/>
        <color theme="1"/>
        <rFont val="Calibri"/>
        <family val="2"/>
      </rPr>
      <t>V</t>
    </r>
    <r>
      <rPr>
        <b/>
        <sz val="11"/>
        <color theme="1"/>
        <rFont val="Calibri"/>
        <family val="2"/>
      </rPr>
      <t xml:space="preserve"> * V</t>
    </r>
    <r>
      <rPr>
        <b/>
        <vertAlign val="subscript"/>
        <sz val="11"/>
        <color theme="1"/>
        <rFont val="Calibri"/>
        <family val="2"/>
      </rPr>
      <t>n</t>
    </r>
  </si>
  <si>
    <t>Momen akibat pelat lantai jembatan,</t>
  </si>
  <si>
    <t>Momen akibat girder,</t>
  </si>
  <si>
    <t>Momen akibat diapragma dan detail,</t>
  </si>
  <si>
    <r>
      <t>M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</si>
  <si>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</si>
  <si>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</si>
  <si>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</si>
  <si>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= 1,1 * (M</t>
    </r>
    <r>
      <rPr>
        <vertAlign val="subscript"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 xml:space="preserve"> + M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>) + 1,3 * M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 =</t>
    </r>
  </si>
  <si>
    <t>Momen akibat kombinasi beban 1 saat pelaksanaan akibat dari beban mati,</t>
  </si>
  <si>
    <t>Momen akibat kombinasi beban 1 saat pelaksanaan akibat dari beban mati tambahan,</t>
  </si>
  <si>
    <r>
      <t>M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= 1,4 * M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</si>
  <si>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t>Tegangan lateral pada flens,</t>
  </si>
  <si>
    <t>Gaya lateral akibat beban konstruksi,</t>
  </si>
  <si>
    <t>Tinggi penampang girder,</t>
  </si>
  <si>
    <t>Jarak dari as web eksterior ke ujung kantilever,</t>
  </si>
  <si>
    <t>Berat pelat lantai jembatan (kondisi basah),</t>
  </si>
  <si>
    <t>Tebal pelat lantai jembatan,</t>
  </si>
  <si>
    <t>kN / m</t>
  </si>
  <si>
    <t>Asumsi berat bekisting pada pelat kantilever,</t>
  </si>
  <si>
    <t>Asumsi berat screed rail pada pelat kantilever,</t>
  </si>
  <si>
    <t>Asumsi berat railing pada pelat kantilever,</t>
  </si>
  <si>
    <t>Asumsi berat walkway pada pelat kantilever,</t>
  </si>
  <si>
    <t>Asumsi berat mesin finishing pada pelat kantilever,</t>
  </si>
  <si>
    <r>
      <t>L</t>
    </r>
    <r>
      <rPr>
        <vertAlign val="subscript"/>
        <sz val="11"/>
        <color theme="1"/>
        <rFont val="Calibri"/>
        <family val="2"/>
      </rPr>
      <t>OVH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</si>
  <si>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db</t>
    </r>
    <r>
      <rPr>
        <sz val="11"/>
        <color theme="1"/>
        <rFont val="Calibri"/>
        <family val="2"/>
      </rPr>
      <t xml:space="preserve"> = 0,5 * L</t>
    </r>
    <r>
      <rPr>
        <vertAlign val="subscript"/>
        <sz val="11"/>
        <color theme="1"/>
        <rFont val="Calibri"/>
        <family val="2"/>
      </rPr>
      <t>OVH</t>
    </r>
    <r>
      <rPr>
        <sz val="11"/>
        <color theme="1"/>
        <rFont val="Calibri"/>
        <family val="2"/>
      </rPr>
      <t xml:space="preserve"> *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* w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</si>
  <si>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form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</si>
  <si>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scr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</si>
  <si>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</si>
  <si>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wlky</t>
    </r>
    <r>
      <rPr>
        <sz val="11"/>
        <color theme="1"/>
        <rFont val="Calibri"/>
        <family val="2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</si>
  <si>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 xml:space="preserve"> =</t>
    </r>
  </si>
  <si>
    <t>Gaya pada ujung pelat kantilever,</t>
  </si>
  <si>
    <r>
      <t>P</t>
    </r>
    <r>
      <rPr>
        <vertAlign val="subscript"/>
        <sz val="11"/>
        <color theme="1"/>
        <rFont val="Calibri"/>
        <family val="2"/>
      </rPr>
      <t>DL</t>
    </r>
    <r>
      <rPr>
        <sz val="11"/>
        <color theme="1"/>
        <rFont val="Calibri"/>
        <family val="2"/>
      </rPr>
      <t xml:space="preserve"> = 1,3 * W</t>
    </r>
    <r>
      <rPr>
        <vertAlign val="subscript"/>
        <sz val="11"/>
        <color theme="1"/>
        <rFont val="Calibri"/>
        <family val="2"/>
      </rPr>
      <t>db</t>
    </r>
    <r>
      <rPr>
        <sz val="11"/>
        <color theme="1"/>
        <rFont val="Calibri"/>
        <family val="2"/>
      </rPr>
      <t xml:space="preserve"> + 1,0 * (W</t>
    </r>
    <r>
      <rPr>
        <vertAlign val="subscript"/>
        <sz val="11"/>
        <color theme="1"/>
        <rFont val="Calibri"/>
        <family val="2"/>
      </rPr>
      <t>form</t>
    </r>
    <r>
      <rPr>
        <sz val="11"/>
        <color theme="1"/>
        <rFont val="Calibri"/>
        <family val="2"/>
      </rPr>
      <t xml:space="preserve"> + W</t>
    </r>
    <r>
      <rPr>
        <vertAlign val="subscript"/>
        <sz val="11"/>
        <color theme="1"/>
        <rFont val="Calibri"/>
        <family val="2"/>
      </rPr>
      <t>scr</t>
    </r>
    <r>
      <rPr>
        <sz val="11"/>
        <color theme="1"/>
        <rFont val="Calibri"/>
        <family val="2"/>
      </rPr>
      <t xml:space="preserve"> + W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+ W</t>
    </r>
    <r>
      <rPr>
        <vertAlign val="subscript"/>
        <sz val="11"/>
        <color theme="1"/>
        <rFont val="Calibri"/>
        <family val="2"/>
      </rPr>
      <t>wlky</t>
    </r>
    <r>
      <rPr>
        <sz val="11"/>
        <color theme="1"/>
        <rFont val="Calibri"/>
        <family val="2"/>
      </rPr>
      <t>) =</t>
    </r>
  </si>
  <si>
    <t>Momen lateral pada flens,</t>
  </si>
  <si>
    <t>Jarak antar pengaku vertikal pada web,</t>
  </si>
  <si>
    <t>Gaya lateral akibat mesin finishing,</t>
  </si>
  <si>
    <t>Total tegangan sayap akibat kantilever,</t>
  </si>
  <si>
    <r>
      <t>F</t>
    </r>
    <r>
      <rPr>
        <vertAlign val="subscript"/>
        <sz val="11"/>
        <color theme="1"/>
        <rFont val="Calibri"/>
        <family val="2"/>
      </rPr>
      <t>IDL</t>
    </r>
    <r>
      <rPr>
        <sz val="11"/>
        <color theme="1"/>
        <rFont val="Calibri"/>
        <family val="2"/>
      </rPr>
      <t xml:space="preserve"> = L</t>
    </r>
    <r>
      <rPr>
        <vertAlign val="subscript"/>
        <sz val="11"/>
        <color theme="1"/>
        <rFont val="Calibri"/>
        <family val="2"/>
      </rPr>
      <t>OVH</t>
    </r>
    <r>
      <rPr>
        <sz val="11"/>
        <color theme="1"/>
        <rFont val="Calibri"/>
        <family val="2"/>
      </rPr>
      <t xml:space="preserve"> / H * P</t>
    </r>
    <r>
      <rPr>
        <vertAlign val="subscript"/>
        <sz val="11"/>
        <color theme="1"/>
        <rFont val="Calibri"/>
        <family val="2"/>
      </rPr>
      <t>DL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</si>
  <si>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IM</t>
    </r>
    <r>
      <rPr>
        <sz val="11"/>
        <color theme="1"/>
        <rFont val="Calibri"/>
        <family val="2"/>
      </rPr>
      <t xml:space="preserve"> = L</t>
    </r>
    <r>
      <rPr>
        <vertAlign val="subscript"/>
        <sz val="11"/>
        <color theme="1"/>
        <rFont val="Calibri"/>
        <family val="2"/>
      </rPr>
      <t>OVH</t>
    </r>
    <r>
      <rPr>
        <sz val="11"/>
        <color theme="1"/>
        <rFont val="Calibri"/>
        <family val="2"/>
      </rPr>
      <t xml:space="preserve"> / H * W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</si>
  <si>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IDL</t>
    </r>
    <r>
      <rPr>
        <sz val="11"/>
        <color theme="1"/>
        <rFont val="Calibri"/>
        <family val="2"/>
      </rPr>
      <t xml:space="preserve"> + f</t>
    </r>
    <r>
      <rPr>
        <vertAlign val="subscript"/>
        <sz val="11"/>
        <color theme="1"/>
        <rFont val="Calibri"/>
        <family val="2"/>
      </rPr>
      <t>IM</t>
    </r>
    <r>
      <rPr>
        <sz val="11"/>
        <color theme="1"/>
        <rFont val="Calibri"/>
        <family val="2"/>
      </rPr>
      <t xml:space="preserve"> =</t>
    </r>
  </si>
  <si>
    <t>Tegangan lateral pada flens akibat beban konstruksi,</t>
  </si>
  <si>
    <t>Tegangan lateral pada flens akibat komponen horizontal geser,</t>
  </si>
  <si>
    <t>Gaya geser akibat pelat lantai jembatan,</t>
  </si>
  <si>
    <t>Gaya geser akibat girder,</t>
  </si>
  <si>
    <t>Gaya geser akibat diapragma dan detail,</t>
  </si>
  <si>
    <t>Gaya geser akibat beban mati tambahan,</t>
  </si>
  <si>
    <t>Gaya geser akibat kombinasi beban 1 saat pelaksanaan akibat dari beban mati,</t>
  </si>
  <si>
    <t>Gaya geser akibat kombinasi beban 1 saat pelaksanaan akibat dari beban mati tambahan,</t>
  </si>
  <si>
    <r>
      <t>V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</si>
  <si>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</si>
  <si>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</si>
  <si>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</si>
  <si>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= 1,1 * (V</t>
    </r>
    <r>
      <rPr>
        <vertAlign val="subscript"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dp</t>
    </r>
    <r>
      <rPr>
        <sz val="11"/>
        <color theme="1"/>
        <rFont val="Calibri"/>
        <family val="2"/>
      </rPr>
      <t>) + 1,3 * V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</si>
  <si>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</rPr>
      <t>D2</t>
    </r>
    <r>
      <rPr>
        <sz val="11"/>
        <color theme="1"/>
        <rFont val="Calibri"/>
        <family val="2"/>
      </rPr>
      <t xml:space="preserve"> = 1,4 * V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</si>
  <si>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t>Perubahan gaya geser pada bentang,</t>
  </si>
  <si>
    <r>
      <t>f</t>
    </r>
    <r>
      <rPr>
        <vertAlign val="subscript"/>
        <sz val="11"/>
        <color theme="1"/>
        <rFont val="Calibri"/>
        <family val="2"/>
      </rPr>
      <t>IM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IM</t>
    </r>
    <r>
      <rPr>
        <sz val="11"/>
        <color theme="1"/>
        <rFont val="Calibri"/>
        <family val="2"/>
      </rPr>
      <t xml:space="preserve"> / (1/6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ft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</si>
  <si>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r>
      <t>f</t>
    </r>
    <r>
      <rPr>
        <vertAlign val="subscript"/>
        <sz val="11"/>
        <color theme="1"/>
        <rFont val="Calibri"/>
        <family val="2"/>
      </rPr>
      <t>IDL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IDL</t>
    </r>
    <r>
      <rPr>
        <sz val="11"/>
        <color theme="1"/>
        <rFont val="Calibri"/>
        <family val="2"/>
      </rPr>
      <t xml:space="preserve"> / (1/6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ft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</si>
  <si>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t>Kemiringan pada badan web,</t>
  </si>
  <si>
    <t>o</t>
  </si>
  <si>
    <r>
      <t>θ</t>
    </r>
    <r>
      <rPr>
        <vertAlign val="superscript"/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web</t>
    </r>
    <r>
      <rPr>
        <sz val="11"/>
        <color theme="1"/>
        <rFont val="Calibri"/>
        <family val="2"/>
      </rPr>
      <t xml:space="preserve"> =</t>
    </r>
  </si>
  <si>
    <t>Komponen gaya horizontal web per sayap,</t>
  </si>
  <si>
    <r>
      <t>ΔV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= 0,5 * ΔV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* tan θ</t>
    </r>
    <r>
      <rPr>
        <vertAlign val="superscript"/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web</t>
    </r>
    <r>
      <rPr>
        <sz val="11"/>
        <color theme="1"/>
        <rFont val="Calibri"/>
        <family val="2"/>
      </rPr>
      <t xml:space="preserve"> =</t>
    </r>
  </si>
  <si>
    <r>
      <t>ΔV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= [ |-V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>| + V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] / L =</t>
    </r>
  </si>
  <si>
    <r>
      <t>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</si>
  <si>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latv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latv</t>
    </r>
    <r>
      <rPr>
        <sz val="11"/>
        <color theme="1"/>
        <rFont val="Calibri"/>
        <family val="2"/>
      </rPr>
      <t xml:space="preserve"> / (1/6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* b</t>
    </r>
    <r>
      <rPr>
        <vertAlign val="subscript"/>
        <sz val="11"/>
        <color theme="1"/>
        <rFont val="Calibri"/>
        <family val="2"/>
      </rPr>
      <t>ft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 =</t>
    </r>
  </si>
  <si>
    <t>Panjang girder tak terkekang,</t>
  </si>
  <si>
    <t>Tinggi titik berat penampang non komposit terhadap sisi atas,</t>
  </si>
  <si>
    <t>Tinggi flens tekan pada penampang girder,</t>
  </si>
  <si>
    <t>Radius girasi efektif,</t>
  </si>
  <si>
    <t>Batas panjang tak terkekang,</t>
  </si>
  <si>
    <t>Batasan panjang tak terkekang orde ke 1,</t>
  </si>
  <si>
    <t>Faktor modifikasi momen,</t>
  </si>
  <si>
    <t>Faktor web load shedding,</t>
  </si>
  <si>
    <t>Tegangan kritis pada flens,</t>
  </si>
  <si>
    <r>
      <t>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 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</si>
  <si>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</si>
  <si>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 (y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) =</t>
    </r>
  </si>
  <si>
    <r>
      <t>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/ √( 12 * (1 + 1/3 * 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/ (b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*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>) ) =</t>
    </r>
  </si>
  <si>
    <r>
      <t>L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 1 * 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√ (E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=</t>
    </r>
  </si>
  <si>
    <r>
      <t>C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</si>
  <si>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</si>
  <si>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t>Jarak maksimum spasi antar pengaku transversal pada panel ujung,</t>
  </si>
  <si>
    <t>Perhitungan tahanan geser pengaku transversal pada panel web ujung</t>
  </si>
  <si>
    <t>Jarak antar pengaku transversal pakai,</t>
  </si>
  <si>
    <t>Perhitungan tahanan geser pengaku transversal pada panel web interior</t>
  </si>
  <si>
    <r>
      <t>F</t>
    </r>
    <r>
      <rPr>
        <vertAlign val="subscript"/>
        <sz val="11"/>
        <color theme="1"/>
        <rFont val="Calibri"/>
        <family val="2"/>
      </rPr>
      <t>cr</t>
    </r>
    <r>
      <rPr>
        <sz val="11"/>
        <color theme="1"/>
        <rFont val="Calibri"/>
        <family val="2"/>
      </rPr>
      <t xml:space="preserve"> = C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π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* 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/ (L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/ 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</si>
  <si>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Faktor amplikasi tegangan lateral,</t>
  </si>
  <si>
    <t>AF =</t>
  </si>
  <si>
    <t>AF = 1,00 =</t>
  </si>
  <si>
    <r>
      <t>AF = 0,85 / (1 - f</t>
    </r>
    <r>
      <rPr>
        <vertAlign val="subscript"/>
        <sz val="11"/>
        <color theme="1"/>
        <rFont val="Calibri"/>
        <family val="2"/>
      </rPr>
      <t>buc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cr</t>
    </r>
    <r>
      <rPr>
        <sz val="11"/>
        <color theme="1"/>
        <rFont val="Calibri"/>
        <family val="2"/>
      </rPr>
      <t>) =</t>
    </r>
  </si>
  <si>
    <r>
      <t>Kondisi 2 : 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≤ L</t>
    </r>
    <r>
      <rPr>
        <vertAlign val="subscript"/>
        <sz val="11"/>
        <color theme="1"/>
        <rFont val="Calibri"/>
        <family val="2"/>
      </rPr>
      <t>p(1)</t>
    </r>
  </si>
  <si>
    <r>
      <t>Kondisi 1 : 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&gt; L</t>
    </r>
    <r>
      <rPr>
        <vertAlign val="subscript"/>
        <sz val="11"/>
        <color theme="1"/>
        <rFont val="Calibri"/>
        <family val="2"/>
      </rPr>
      <t>p(1)</t>
    </r>
  </si>
  <si>
    <t>Tegangan lateral total pada sayap atas,</t>
  </si>
  <si>
    <r>
      <t>f</t>
    </r>
    <r>
      <rPr>
        <vertAlign val="subscript"/>
        <sz val="11"/>
        <color theme="1"/>
        <rFont val="Calibri"/>
        <family val="2"/>
      </rPr>
      <t>lat</t>
    </r>
    <r>
      <rPr>
        <sz val="11"/>
        <color theme="1"/>
        <rFont val="Calibri"/>
        <family val="2"/>
      </rPr>
      <t xml:space="preserve"> = AF * (f</t>
    </r>
    <r>
      <rPr>
        <vertAlign val="subscript"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 xml:space="preserve"> + f</t>
    </r>
    <r>
      <rPr>
        <vertAlign val="subscript"/>
        <sz val="11"/>
        <color theme="1"/>
        <rFont val="Calibri"/>
        <family val="2"/>
      </rPr>
      <t>LATV</t>
    </r>
    <r>
      <rPr>
        <sz val="11"/>
        <color theme="1"/>
        <rFont val="Calibri"/>
        <family val="2"/>
      </rPr>
      <t>) =</t>
    </r>
  </si>
  <si>
    <t>Ketahanan terhadap tekuk torsi lateral</t>
  </si>
  <si>
    <t>Tegangan leleh nominal,</t>
  </si>
  <si>
    <t>Batasan panjang tak terkekang kompak,</t>
  </si>
  <si>
    <t>Panjang tak terkekang,</t>
  </si>
  <si>
    <t>Nilai ketahanan terhadap tekuk torsi lateral sayap,</t>
  </si>
  <si>
    <r>
      <t>Kasus 1 : 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≤ L</t>
    </r>
    <r>
      <rPr>
        <vertAlign val="subscript"/>
        <sz val="11"/>
        <color theme="1"/>
        <rFont val="Calibri"/>
        <family val="2"/>
      </rPr>
      <t>p</t>
    </r>
  </si>
  <si>
    <r>
      <t>Kasus 2 : L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&lt; 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≤ L</t>
    </r>
    <r>
      <rPr>
        <vertAlign val="subscript"/>
        <sz val="11"/>
        <color theme="1"/>
        <rFont val="Calibri"/>
        <family val="2"/>
      </rPr>
      <t>r</t>
    </r>
  </si>
  <si>
    <r>
      <t>Kasus 3 : 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&gt; L</t>
    </r>
    <r>
      <rPr>
        <vertAlign val="subscript"/>
        <sz val="11"/>
        <color theme="1"/>
        <rFont val="Calibri"/>
        <family val="2"/>
      </rPr>
      <t>r</t>
    </r>
  </si>
  <si>
    <r>
      <t>F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</si>
  <si>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C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[ 1 - (1 - f</t>
    </r>
    <r>
      <rPr>
        <vertAlign val="subscript"/>
        <sz val="11"/>
        <color theme="1"/>
        <rFont val="Calibri"/>
        <family val="2"/>
      </rPr>
      <t>yr</t>
    </r>
    <r>
      <rPr>
        <sz val="11"/>
        <color theme="1"/>
        <rFont val="Calibri"/>
        <family val="2"/>
      </rPr>
      <t xml:space="preserve"> / (R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)) * ((L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- L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)/(L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- L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)) ] =</t>
    </r>
  </si>
  <si>
    <r>
      <t>F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cr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</si>
  <si>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nc-maks</t>
    </r>
    <r>
      <rPr>
        <sz val="11"/>
        <color theme="1"/>
        <rFont val="Calibri"/>
        <family val="2"/>
      </rPr>
      <t xml:space="preserve"> = 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</si>
  <si>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yr</t>
    </r>
    <r>
      <rPr>
        <sz val="11"/>
        <color theme="1"/>
        <rFont val="Calibri"/>
        <family val="2"/>
      </rPr>
      <t xml:space="preserve"> = 0,5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</si>
  <si>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 π * 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√( 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yr</t>
    </r>
    <r>
      <rPr>
        <sz val="11"/>
        <color theme="1"/>
        <rFont val="Calibri"/>
        <family val="2"/>
      </rPr>
      <t xml:space="preserve"> ) =</t>
    </r>
  </si>
  <si>
    <r>
      <t>L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</si>
  <si>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</si>
  <si>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</t>
    </r>
  </si>
  <si>
    <t>Batasan rasio kelangsingan flens kompak,</t>
  </si>
  <si>
    <t>Nilai ketahanan terhadap tekuk lokal,</t>
  </si>
  <si>
    <t>Ketahanan terhadap tekuk lokal</t>
  </si>
  <si>
    <t>Batas rasio kelangsingan penampang tak kompak,</t>
  </si>
  <si>
    <t>Faktor kelangsingan kolom,</t>
  </si>
  <si>
    <t>Rasio kelangsingan flens tekan,</t>
  </si>
  <si>
    <t>Batasan panjang tak terkekang langsing,</t>
  </si>
  <si>
    <r>
      <t>λ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= b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/ (2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>) =</t>
    </r>
  </si>
  <si>
    <r>
      <t>λ</t>
    </r>
    <r>
      <rPr>
        <vertAlign val="subscript"/>
        <sz val="11"/>
        <color theme="1"/>
        <rFont val="Calibri"/>
        <family val="2"/>
      </rPr>
      <t>pf</t>
    </r>
    <r>
      <rPr>
        <sz val="11"/>
        <color theme="1"/>
        <rFont val="Calibri"/>
        <family val="2"/>
      </rPr>
      <t xml:space="preserve"> = 0,38 * √( 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=</t>
    </r>
  </si>
  <si>
    <r>
      <t>λ</t>
    </r>
    <r>
      <rPr>
        <vertAlign val="subscript"/>
        <sz val="11"/>
        <color theme="1"/>
        <rFont val="Calibri"/>
        <family val="2"/>
      </rPr>
      <t>rf</t>
    </r>
    <r>
      <rPr>
        <sz val="11"/>
        <color theme="1"/>
        <rFont val="Calibri"/>
        <family val="2"/>
      </rPr>
      <t xml:space="preserve"> = 0,56 * √( E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=</t>
    </r>
  </si>
  <si>
    <r>
      <t>Kasus 1 : λ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≤ λ</t>
    </r>
    <r>
      <rPr>
        <vertAlign val="subscript"/>
        <sz val="11"/>
        <color theme="1"/>
        <rFont val="Calibri"/>
        <family val="2"/>
      </rPr>
      <t>pf</t>
    </r>
  </si>
  <si>
    <r>
      <t>Kasus 2 : λ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&gt; λ</t>
    </r>
    <r>
      <rPr>
        <vertAlign val="subscript"/>
        <sz val="11"/>
        <color theme="1"/>
        <rFont val="Calibri"/>
        <family val="2"/>
      </rPr>
      <t>pf</t>
    </r>
  </si>
  <si>
    <r>
      <t>F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[ 1 - (1 - f</t>
    </r>
    <r>
      <rPr>
        <vertAlign val="subscript"/>
        <sz val="11"/>
        <color theme="1"/>
        <rFont val="Calibri"/>
        <family val="2"/>
      </rPr>
      <t>yr</t>
    </r>
    <r>
      <rPr>
        <sz val="11"/>
        <color theme="1"/>
        <rFont val="Calibri"/>
        <family val="2"/>
      </rPr>
      <t xml:space="preserve"> / (R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)) * ((λ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- λ</t>
    </r>
    <r>
      <rPr>
        <vertAlign val="subscript"/>
        <sz val="11"/>
        <color theme="1"/>
        <rFont val="Calibri"/>
        <family val="2"/>
      </rPr>
      <t>pf</t>
    </r>
    <r>
      <rPr>
        <sz val="11"/>
        <color theme="1"/>
        <rFont val="Calibri"/>
        <family val="2"/>
      </rPr>
      <t>)/(λ</t>
    </r>
    <r>
      <rPr>
        <vertAlign val="subscript"/>
        <sz val="11"/>
        <color theme="1"/>
        <rFont val="Calibri"/>
        <family val="2"/>
      </rPr>
      <t>rf</t>
    </r>
    <r>
      <rPr>
        <sz val="11"/>
        <color theme="1"/>
        <rFont val="Calibri"/>
        <family val="2"/>
      </rPr>
      <t xml:space="preserve"> - λ</t>
    </r>
    <r>
      <rPr>
        <vertAlign val="subscript"/>
        <sz val="11"/>
        <color theme="1"/>
        <rFont val="Calibri"/>
        <family val="2"/>
      </rPr>
      <t>pf</t>
    </r>
    <r>
      <rPr>
        <sz val="11"/>
        <color theme="1"/>
        <rFont val="Calibri"/>
        <family val="2"/>
      </rPr>
      <t>)) ] =</t>
    </r>
  </si>
  <si>
    <r>
      <t>M</t>
    </r>
    <r>
      <rPr>
        <vertAlign val="subscript"/>
        <sz val="11"/>
        <color theme="1"/>
        <rFont val="Calibri"/>
        <family val="2"/>
      </rPr>
      <t>IDL</t>
    </r>
    <r>
      <rPr>
        <sz val="11"/>
        <color theme="1"/>
        <rFont val="Calibri"/>
        <family val="2"/>
      </rPr>
      <t xml:space="preserve"> = 1/8 * F</t>
    </r>
    <r>
      <rPr>
        <vertAlign val="subscript"/>
        <sz val="11"/>
        <color theme="1"/>
        <rFont val="Calibri"/>
        <family val="2"/>
      </rPr>
      <t>IDL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o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</si>
  <si>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IM</t>
    </r>
    <r>
      <rPr>
        <sz val="11"/>
        <color theme="1"/>
        <rFont val="Calibri"/>
        <family val="2"/>
      </rPr>
      <t xml:space="preserve"> = 1/8 * F</t>
    </r>
    <r>
      <rPr>
        <vertAlign val="subscript"/>
        <sz val="11"/>
        <color theme="1"/>
        <rFont val="Calibri"/>
        <family val="2"/>
      </rPr>
      <t>IM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o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</si>
  <si>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latv</t>
    </r>
    <r>
      <rPr>
        <sz val="11"/>
        <color theme="1"/>
        <rFont val="Calibri"/>
        <family val="2"/>
      </rPr>
      <t xml:space="preserve"> = 1/8 * ΔV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d</t>
    </r>
    <r>
      <rPr>
        <vertAlign val="subscript"/>
        <sz val="11"/>
        <color theme="1"/>
        <rFont val="Calibri"/>
        <family val="2"/>
      </rPr>
      <t>o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</si>
  <si>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</rPr>
      <t>p(1)</t>
    </r>
    <r>
      <rPr>
        <sz val="11"/>
        <color theme="1"/>
        <rFont val="Calibri"/>
        <family val="2"/>
      </rPr>
      <t xml:space="preserve"> = 1,2 * L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√( C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* R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/ (f</t>
    </r>
    <r>
      <rPr>
        <vertAlign val="subscript"/>
        <sz val="11"/>
        <color theme="1"/>
        <rFont val="Calibri"/>
        <family val="2"/>
      </rPr>
      <t>buc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) ) =</t>
    </r>
  </si>
  <si>
    <r>
      <t>f</t>
    </r>
    <r>
      <rPr>
        <vertAlign val="subscript"/>
        <sz val="11"/>
        <color theme="1"/>
        <rFont val="Calibri"/>
        <family val="2"/>
      </rPr>
      <t>buc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/ W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</si>
  <si>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but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D1</t>
    </r>
    <r>
      <rPr>
        <sz val="11"/>
        <color theme="1"/>
        <rFont val="Calibri"/>
        <family val="2"/>
      </rPr>
      <t xml:space="preserve"> / W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</si>
  <si>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t>Kontrol persyaratan kemudahan pelaksanaan</t>
  </si>
  <si>
    <r>
      <t>f</t>
    </r>
    <r>
      <rPr>
        <vertAlign val="subscript"/>
        <sz val="11"/>
        <color theme="1"/>
        <rFont val="Calibri"/>
        <family val="2"/>
      </rPr>
      <t>f</t>
    </r>
  </si>
  <si>
    <r>
      <t>φ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=</t>
    </r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</si>
  <si>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 xml:space="preserve"> * R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 xml:space="preserve"> * f</t>
    </r>
    <r>
      <rPr>
        <vertAlign val="subscript"/>
        <sz val="11"/>
        <color theme="1"/>
        <rFont val="Calibri"/>
        <family val="2"/>
      </rPr>
      <t>y</t>
    </r>
  </si>
  <si>
    <t>Faktor resistensi untuk tahanan lentur,</t>
  </si>
  <si>
    <t>Kontrol tegangan tekan pada flens terhadap tahanan tahanan lentur leleh,</t>
  </si>
  <si>
    <t>Kontrol tegangan tekan pada flens terhadap tahanan tahanan tekuk lokal,</t>
  </si>
  <si>
    <t>Kontrol tegangan tekan pada flens terhadap tahanan tahanan tekuk torsi lateral,</t>
  </si>
  <si>
    <r>
      <t>f</t>
    </r>
    <r>
      <rPr>
        <vertAlign val="subscript"/>
        <sz val="11"/>
        <color theme="1"/>
        <rFont val="Calibri"/>
        <family val="2"/>
      </rPr>
      <t>buc</t>
    </r>
    <r>
      <rPr>
        <sz val="11"/>
        <color theme="1"/>
        <rFont val="Calibri"/>
        <family val="2"/>
      </rPr>
      <t xml:space="preserve"> + f</t>
    </r>
    <r>
      <rPr>
        <vertAlign val="subscript"/>
        <sz val="11"/>
        <color theme="1"/>
        <rFont val="Calibri"/>
        <family val="2"/>
      </rPr>
      <t>lat</t>
    </r>
  </si>
  <si>
    <r>
      <t>f</t>
    </r>
    <r>
      <rPr>
        <vertAlign val="subscript"/>
        <sz val="11"/>
        <color theme="1"/>
        <rFont val="Calibri"/>
        <family val="2"/>
      </rPr>
      <t>buc</t>
    </r>
    <r>
      <rPr>
        <sz val="11"/>
        <color theme="1"/>
        <rFont val="Calibri"/>
        <family val="2"/>
      </rPr>
      <t xml:space="preserve"> + 1/3*f</t>
    </r>
    <r>
      <rPr>
        <vertAlign val="subscript"/>
        <sz val="11"/>
        <color theme="1"/>
        <rFont val="Calibri"/>
        <family val="2"/>
      </rPr>
      <t>lat</t>
    </r>
  </si>
  <si>
    <r>
      <t>f</t>
    </r>
    <r>
      <rPr>
        <vertAlign val="subscript"/>
        <sz val="11"/>
        <color theme="1"/>
        <rFont val="Calibri"/>
        <family val="2"/>
      </rPr>
      <t>buc</t>
    </r>
    <r>
      <rPr>
        <sz val="11"/>
        <color theme="1"/>
        <rFont val="Calibri"/>
        <family val="2"/>
      </rPr>
      <t xml:space="preserve"> + 1/3*f</t>
    </r>
    <r>
      <rPr>
        <vertAlign val="subscript"/>
        <sz val="11"/>
        <color theme="1"/>
        <rFont val="Calibri"/>
        <family val="2"/>
      </rPr>
      <t>l</t>
    </r>
  </si>
  <si>
    <t>Panjang bentang untuk panel interior,</t>
  </si>
  <si>
    <r>
      <t>L</t>
    </r>
    <r>
      <rPr>
        <vertAlign val="subscript"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 xml:space="preserve"> = L - 2 * d</t>
    </r>
    <r>
      <rPr>
        <vertAlign val="subscript"/>
        <sz val="11"/>
        <color theme="1"/>
        <rFont val="Calibri"/>
        <family val="2"/>
      </rPr>
      <t>o(e)</t>
    </r>
    <r>
      <rPr>
        <sz val="11"/>
        <color theme="1"/>
        <rFont val="Calibri"/>
        <family val="2"/>
      </rPr>
      <t xml:space="preserve"> =</t>
    </r>
  </si>
  <si>
    <t>Jumlah panel interior,</t>
  </si>
  <si>
    <r>
      <t>d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= Li / n =</t>
    </r>
  </si>
  <si>
    <t>Gaya geser pada panel interior,</t>
  </si>
  <si>
    <r>
      <t>V</t>
    </r>
    <r>
      <rPr>
        <vertAlign val="subscript"/>
        <sz val="11"/>
        <color theme="1"/>
        <rFont val="Calibri"/>
        <family val="2"/>
      </rPr>
      <t>u(i)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 xml:space="preserve"> * (0,5 * L - d</t>
    </r>
    <r>
      <rPr>
        <vertAlign val="subscript"/>
        <sz val="11"/>
        <color theme="1"/>
        <rFont val="Calibri"/>
        <family val="2"/>
      </rPr>
      <t>o(e)</t>
    </r>
    <r>
      <rPr>
        <sz val="11"/>
        <color theme="1"/>
        <rFont val="Calibri"/>
        <family val="2"/>
      </rPr>
      <t>) / (0,5 * L)</t>
    </r>
  </si>
  <si>
    <r>
      <t>V</t>
    </r>
    <r>
      <rPr>
        <b/>
        <vertAlign val="subscript"/>
        <sz val="11"/>
        <color theme="1"/>
        <rFont val="Calibri"/>
        <family val="2"/>
      </rPr>
      <t>u(i)</t>
    </r>
  </si>
  <si>
    <t>Momen tak terfaktor akibat beban mati,</t>
  </si>
  <si>
    <t>Momen tak terfaktor akibat beban mati tambahan,</t>
  </si>
  <si>
    <t>Momen terfaktor akibat truk fatik,</t>
  </si>
  <si>
    <r>
      <t>M</t>
    </r>
    <r>
      <rPr>
        <vertAlign val="subscript"/>
        <sz val="11"/>
        <color theme="1"/>
        <rFont val="Calibri"/>
        <family val="2"/>
      </rPr>
      <t>TT(fatik)</t>
    </r>
    <r>
      <rPr>
        <sz val="11"/>
        <color theme="1"/>
        <rFont val="Calibri"/>
        <family val="2"/>
      </rPr>
      <t xml:space="preserve"> = 0,75 * M</t>
    </r>
    <r>
      <rPr>
        <vertAlign val="subscript"/>
        <sz val="11"/>
        <color theme="1"/>
        <rFont val="Calibri"/>
        <family val="2"/>
      </rPr>
      <t>TT</t>
    </r>
    <r>
      <rPr>
        <sz val="11"/>
        <color theme="1"/>
        <rFont val="Calibri"/>
        <family val="2"/>
      </rPr>
      <t xml:space="preserve"> =</t>
    </r>
  </si>
  <si>
    <t>Momen inersia penampang non komposit,</t>
  </si>
  <si>
    <r>
      <t>I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 xml:space="preserve"> =</t>
    </r>
  </si>
  <si>
    <t>Titik berat penampang non komposit,</t>
  </si>
  <si>
    <t>Tinggi total penampang non komposit,</t>
  </si>
  <si>
    <r>
      <t>mm</t>
    </r>
    <r>
      <rPr>
        <vertAlign val="superscript"/>
        <sz val="11"/>
        <color theme="1"/>
        <rFont val="Calibri"/>
        <family val="2"/>
      </rPr>
      <t>4</t>
    </r>
  </si>
  <si>
    <t>Jarak sumbu netral ke sisi bawah flens atas,</t>
  </si>
  <si>
    <t>Jarak sumbu netral ke sisi atas flens bawah,</t>
  </si>
  <si>
    <t>Momen inersia penampang komposit (n),</t>
  </si>
  <si>
    <t>Titik berat penampang komposit (n),</t>
  </si>
  <si>
    <t>Tinggi total penampang komposit,</t>
  </si>
  <si>
    <t>Momen inersia penampang komposit (3n),</t>
  </si>
  <si>
    <t>Titik berat penampang komposit (3n),</t>
  </si>
  <si>
    <r>
      <t>Y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</si>
  <si>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 H =</t>
    </r>
  </si>
  <si>
    <r>
      <t>y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 d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- Y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</si>
  <si>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</si>
  <si>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</rPr>
      <t>xc(n)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</si>
  <si>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bc(n)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</si>
  <si>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= H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</si>
  <si>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ft(n)</t>
    </r>
    <r>
      <rPr>
        <sz val="11"/>
        <color theme="1"/>
        <rFont val="Calibri"/>
        <family val="2"/>
      </rPr>
      <t xml:space="preserve"> = d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- Y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-h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</si>
  <si>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fb(n)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</si>
  <si>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</rPr>
      <t>xc(3n)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</si>
  <si>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bc(3n)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</si>
  <si>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ft(3n)</t>
    </r>
    <r>
      <rPr>
        <sz val="11"/>
        <color theme="1"/>
        <rFont val="Calibri"/>
        <family val="2"/>
      </rPr>
      <t xml:space="preserve"> = d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- Y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-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</si>
  <si>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fb(3n)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-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=</t>
    </r>
  </si>
  <si>
    <t>Perhitungan terhadap tegangan pada sisi bawah flens atas,</t>
  </si>
  <si>
    <t>Tegangan tekan akibat beban mati,</t>
  </si>
  <si>
    <r>
      <t>M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</si>
  <si>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</rPr>
      <t>ma</t>
    </r>
    <r>
      <rPr>
        <sz val="11"/>
        <color theme="1"/>
        <rFont val="Calibri"/>
        <family val="2"/>
      </rPr>
      <t xml:space="preserve"> =</t>
    </r>
  </si>
  <si>
    <t>Tegangan tekan akibat beban mati tambahan,</t>
  </si>
  <si>
    <t>Tegangan tekan akibat beban truk,</t>
  </si>
  <si>
    <t>Tegangan tekan akibat beban mati terfaktor,</t>
  </si>
  <si>
    <t>Tegangan tekan akibat beban truk terfaktor,</t>
  </si>
  <si>
    <r>
      <t>f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* Y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</si>
  <si>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ma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ma</t>
    </r>
    <r>
      <rPr>
        <sz val="11"/>
        <color theme="1"/>
        <rFont val="Calibri"/>
        <family val="2"/>
      </rPr>
      <t xml:space="preserve"> * Y</t>
    </r>
    <r>
      <rPr>
        <vertAlign val="subscript"/>
        <sz val="11"/>
        <color theme="1"/>
        <rFont val="Calibri"/>
        <family val="2"/>
      </rPr>
      <t>ft(3n)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</si>
  <si>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mTT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mTT(fatik)</t>
    </r>
    <r>
      <rPr>
        <sz val="11"/>
        <color theme="1"/>
        <rFont val="Calibri"/>
        <family val="2"/>
      </rPr>
      <t xml:space="preserve"> * Y</t>
    </r>
    <r>
      <rPr>
        <vertAlign val="subscript"/>
        <sz val="11"/>
        <color theme="1"/>
        <rFont val="Calibri"/>
        <family val="2"/>
      </rPr>
      <t>ft(n)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</si>
  <si>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DL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+ f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>a =</t>
    </r>
  </si>
  <si>
    <r>
      <t>f</t>
    </r>
    <r>
      <rPr>
        <vertAlign val="subscript"/>
        <sz val="11"/>
        <color theme="1"/>
        <rFont val="Calibri"/>
        <family val="2"/>
      </rPr>
      <t>LL</t>
    </r>
    <r>
      <rPr>
        <sz val="11"/>
        <color theme="1"/>
        <rFont val="Calibri"/>
        <family val="2"/>
      </rPr>
      <t xml:space="preserve"> = 2 * f</t>
    </r>
    <r>
      <rPr>
        <vertAlign val="subscript"/>
        <sz val="11"/>
        <color theme="1"/>
        <rFont val="Calibri"/>
        <family val="2"/>
      </rPr>
      <t>mTT</t>
    </r>
    <r>
      <rPr>
        <sz val="11"/>
        <color theme="1"/>
        <rFont val="Calibri"/>
        <family val="2"/>
      </rPr>
      <t xml:space="preserve"> =</t>
    </r>
  </si>
  <si>
    <t>Kontrol persyaratan analisa fatik pada gelagar,</t>
  </si>
  <si>
    <r>
      <t>f</t>
    </r>
    <r>
      <rPr>
        <vertAlign val="subscript"/>
        <sz val="11"/>
        <color theme="1"/>
        <rFont val="Calibri"/>
        <family val="2"/>
      </rPr>
      <t>DL</t>
    </r>
  </si>
  <si>
    <t>Perhitungan terhadap tegangan pada sisi atas flens bawah,</t>
  </si>
  <si>
    <r>
      <t>f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* Y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nc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</si>
  <si>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ma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ma</t>
    </r>
    <r>
      <rPr>
        <sz val="11"/>
        <color theme="1"/>
        <rFont val="Calibri"/>
        <family val="2"/>
      </rPr>
      <t xml:space="preserve"> * Y</t>
    </r>
    <r>
      <rPr>
        <vertAlign val="subscript"/>
        <sz val="11"/>
        <color theme="1"/>
        <rFont val="Calibri"/>
        <family val="2"/>
      </rPr>
      <t>fb(3n)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c(3n)</t>
    </r>
    <r>
      <rPr>
        <sz val="11"/>
        <color theme="1"/>
        <rFont val="Calibri"/>
        <family val="2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</si>
  <si>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</rPr>
      <t>mTT</t>
    </r>
    <r>
      <rPr>
        <sz val="11"/>
        <color theme="1"/>
        <rFont val="Calibri"/>
        <family val="2"/>
      </rPr>
      <t xml:space="preserve"> = M</t>
    </r>
    <r>
      <rPr>
        <vertAlign val="subscript"/>
        <sz val="11"/>
        <color theme="1"/>
        <rFont val="Calibri"/>
        <family val="2"/>
      </rPr>
      <t>mTT(fatik)</t>
    </r>
    <r>
      <rPr>
        <sz val="11"/>
        <color theme="1"/>
        <rFont val="Calibri"/>
        <family val="2"/>
      </rPr>
      <t xml:space="preserve"> * Y</t>
    </r>
    <r>
      <rPr>
        <vertAlign val="subscript"/>
        <sz val="11"/>
        <color theme="1"/>
        <rFont val="Calibri"/>
        <family val="2"/>
      </rPr>
      <t>fb(n)</t>
    </r>
    <r>
      <rPr>
        <sz val="11"/>
        <color theme="1"/>
        <rFont val="Calibri"/>
        <family val="2"/>
      </rPr>
      <t xml:space="preserve"> / I</t>
    </r>
    <r>
      <rPr>
        <vertAlign val="subscript"/>
        <sz val="11"/>
        <color theme="1"/>
        <rFont val="Calibri"/>
        <family val="2"/>
      </rPr>
      <t>c(n)</t>
    </r>
    <r>
      <rPr>
        <sz val="11"/>
        <color theme="1"/>
        <rFont val="Calibri"/>
        <family val="2"/>
      </rPr>
      <t xml:space="preserve"> =</t>
    </r>
  </si>
  <si>
    <t>Kesimpulan :</t>
  </si>
  <si>
    <t>A.</t>
  </si>
  <si>
    <t>INPUT DATA PERENCANAAN</t>
  </si>
  <si>
    <t>A.1.</t>
  </si>
  <si>
    <t>INPUT DATA MATERIAL</t>
  </si>
  <si>
    <t>INPUT DATA DIMENSI JEMBATAN</t>
  </si>
  <si>
    <t>A.2.</t>
  </si>
  <si>
    <t>A.3.</t>
  </si>
  <si>
    <t>INPUT DATA BERAT JENIS MATERIAL</t>
  </si>
  <si>
    <t>B.</t>
  </si>
  <si>
    <t>ANALISA SECTION PROPERTIES DARI PENAMPANG GIRDER</t>
  </si>
  <si>
    <t>B.1.</t>
  </si>
  <si>
    <t>KONTROL DIMENSI PENAMPANG GIRDER</t>
  </si>
  <si>
    <t>B.2.</t>
  </si>
  <si>
    <t>B.3.</t>
  </si>
  <si>
    <t>PENENTUAN LEBAR EFEKTIF PELAT LANTAI BETON</t>
  </si>
  <si>
    <t>PENENTUAN SECTION PROPERTIES PENAMPANG NON KOMPOSIT DAN KOMPOSIT</t>
  </si>
  <si>
    <t>C.</t>
  </si>
  <si>
    <t>B.3.1.</t>
  </si>
  <si>
    <t>B.3.2.</t>
  </si>
  <si>
    <t>B.3.3.</t>
  </si>
  <si>
    <t>C.2.</t>
  </si>
  <si>
    <t>D.</t>
  </si>
  <si>
    <t>D.1.</t>
  </si>
  <si>
    <t>KETAHANAN LENTUR POSITIF TERHADAP PENAMPANG KOMPAK</t>
  </si>
  <si>
    <t>KETAHANAN LENTUR POSITIF TERHADAP PENAMPANG TAK KOMPAK</t>
  </si>
  <si>
    <t>Batasan rasio kelangsingan flens TAK KOMPAK,</t>
  </si>
  <si>
    <t>D.2.</t>
  </si>
  <si>
    <t>D.2.1.</t>
  </si>
  <si>
    <t>D.2.2.</t>
  </si>
  <si>
    <t>E.</t>
  </si>
  <si>
    <t>ANALISA KAPASITAS GESER PENAMPANG</t>
  </si>
  <si>
    <t>ANALISA KAPASITAS LENTUR PENAMPANG BERDASARKAN KEADAAN BATAS KEKUATAN</t>
  </si>
  <si>
    <t>KONTROL MOMEN LENTUR POSITIF TERHADAP KAPASITAS LENTUR PENAMPANG</t>
  </si>
  <si>
    <t>ANALISA KAPASITAS LENTUR PENAMPANG BERDASARKAN MOMEN PLASTIS</t>
  </si>
  <si>
    <t>ANALISA KAPASITAS LENTUR PENAMPANG BERDASARKAN MOMEN LELEH</t>
  </si>
  <si>
    <t>ANALISA KAPASITAS LENTUR PENAMPANG BERDASARKAN MOMEN LELEH ATAU MOMEN PLASTIS</t>
  </si>
  <si>
    <t>E.1.</t>
  </si>
  <si>
    <t>PERHITUNGAN KAPASITAS GESER DENGAN ASUMSI TANPA PELAT PENGAKU</t>
  </si>
  <si>
    <t>E.2.</t>
  </si>
  <si>
    <t>PERHITUNGAN KAPASITAS GESER DENGAN ASUMSI MENGGUNAKAN PELAT PENGAKU</t>
  </si>
  <si>
    <t>E.2.1.</t>
  </si>
  <si>
    <t>E.2.2.</t>
  </si>
  <si>
    <t>PERHITUNGAN KAPASITAS PENGAKU TRANSVERSAL PADA TUMPUAN</t>
  </si>
  <si>
    <t>E.3.</t>
  </si>
  <si>
    <t>F.</t>
  </si>
  <si>
    <t>ANALISA KAPASITAS LENTUR PENAMPANG BERDASARKAN KEADAAN BATAS LAYAN</t>
  </si>
  <si>
    <t>ANALISA KAPASITAS LENTUR PENAMPANG BERDASARKAN KEMUDAHAN PELAKSANAAN</t>
  </si>
  <si>
    <t>G.</t>
  </si>
  <si>
    <t>ANALISA KAPASITAS LENTUR PENAMPANG BERDASARKAN KONDISI BATAS FATIK</t>
  </si>
  <si>
    <t>H.</t>
  </si>
  <si>
    <r>
      <t>A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=</t>
    </r>
  </si>
  <si>
    <t>Tebal haunch pelat lantai jembatan,</t>
  </si>
  <si>
    <r>
      <t>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=</t>
    </r>
  </si>
  <si>
    <r>
      <t>W'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</rPr>
      <t xml:space="preserve"> / ( 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</rPr>
      <t xml:space="preserve"> -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+h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')</t>
    </r>
    <r>
      <rPr>
        <sz val="11"/>
        <color theme="1"/>
        <rFont val="Calibri"/>
        <family val="2"/>
      </rPr>
      <t xml:space="preserve"> ) =</t>
    </r>
  </si>
  <si>
    <r>
      <t>d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0,5 * t</t>
    </r>
    <r>
      <rPr>
        <vertAlign val="subscript"/>
        <sz val="11"/>
        <color theme="1"/>
        <rFont val="Calibri"/>
        <family val="2"/>
      </rPr>
      <t>fb</t>
    </r>
    <r>
      <rPr>
        <sz val="11"/>
        <color theme="1"/>
        <rFont val="Calibri"/>
        <family val="2"/>
      </rPr>
      <t xml:space="preserve"> + D +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- D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</si>
  <si>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0,5 * D +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- D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</si>
  <si>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 0,5 *t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- D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</si>
  <si>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 0,5 *h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- D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</si>
  <si>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 0,5 *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+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</si>
  <si>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ac(3n)</t>
    </r>
    <r>
      <rPr>
        <sz val="11"/>
        <color theme="1"/>
        <rFont val="Calibri"/>
        <family val="2"/>
      </rPr>
      <t xml:space="preserve"> -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- h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' - t</t>
    </r>
    <r>
      <rPr>
        <vertAlign val="subscript"/>
        <sz val="11"/>
        <color theme="1"/>
        <rFont val="Calibri"/>
        <family val="2"/>
      </rPr>
      <t>ft</t>
    </r>
    <r>
      <rPr>
        <sz val="11"/>
        <color theme="1"/>
        <rFont val="Calibri"/>
        <family val="2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</si>
  <si>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=</t>
    </r>
  </si>
  <si>
    <t>Kontrol lebar pengaku tumpuan terhadap lebar maksimumnya,</t>
  </si>
  <si>
    <t>Lebar maksimum pelat pengaku,</t>
  </si>
  <si>
    <r>
      <t>b</t>
    </r>
    <r>
      <rPr>
        <vertAlign val="subscript"/>
        <sz val="11"/>
        <color theme="1"/>
        <rFont val="Calibri"/>
        <family val="2"/>
      </rPr>
      <t>t-max</t>
    </r>
  </si>
  <si>
    <t>A.4.</t>
  </si>
  <si>
    <t>INPUT ASUMSI BEBAN PADA PELAT KANTILEVER</t>
  </si>
  <si>
    <t>Lebar pengaku tumpuan,</t>
  </si>
  <si>
    <t>Tebal pengaku pengaku tumpuan,</t>
  </si>
  <si>
    <t>Jarak antar pengaku tumpuan,</t>
  </si>
  <si>
    <t>Tinggi pengaku tumpuan,</t>
  </si>
  <si>
    <t>Torsi akibat beban truk</t>
  </si>
  <si>
    <t>Torsi akibat beban angin pada struktur</t>
  </si>
  <si>
    <t>Torsi akibat beban angin pada kendaraan</t>
  </si>
  <si>
    <t>Tinggi railing pada jembatan,</t>
  </si>
  <si>
    <r>
      <t>h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</si>
  <si>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0,5 * T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</si>
  <si>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t>Tinggi total jembatan yang terkena angin struktur,</t>
  </si>
  <si>
    <t>Lengan torsi untuk beban angin,</t>
  </si>
  <si>
    <t>gaya akibat angin pada struktur,</t>
  </si>
  <si>
    <t>Torsi akibat beban angin,</t>
  </si>
  <si>
    <r>
      <t>T</t>
    </r>
    <r>
      <rPr>
        <vertAlign val="subscript"/>
        <sz val="11"/>
        <color theme="1"/>
        <rFont val="Calibri"/>
        <family val="2"/>
      </rPr>
      <t>TT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(s - 1,75) =</t>
    </r>
  </si>
  <si>
    <r>
      <t>T</t>
    </r>
    <r>
      <rPr>
        <vertAlign val="subscript"/>
        <sz val="11"/>
        <color theme="1"/>
        <rFont val="Calibri"/>
        <family val="2"/>
      </rPr>
      <t>TT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* s/2 =</t>
    </r>
  </si>
  <si>
    <r>
      <t>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h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+ h</t>
    </r>
    <r>
      <rPr>
        <vertAlign val="subscript"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</si>
  <si>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0,5 * H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- y</t>
    </r>
    <r>
      <rPr>
        <vertAlign val="subscript"/>
        <sz val="11"/>
        <color theme="1"/>
        <rFont val="Calibri"/>
        <family val="2"/>
      </rPr>
      <t>bc(n)</t>
    </r>
    <r>
      <rPr>
        <sz val="11"/>
        <color theme="1"/>
        <rFont val="Calibri"/>
        <family val="2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</si>
  <si>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</rPr>
      <t>EWS</t>
    </r>
    <r>
      <rPr>
        <sz val="11"/>
        <color theme="1"/>
        <rFont val="Calibri"/>
        <family val="2"/>
      </rPr>
      <t xml:space="preserve"> = EWS * L =</t>
    </r>
  </si>
  <si>
    <r>
      <t>T</t>
    </r>
    <r>
      <rPr>
        <vertAlign val="subscript"/>
        <sz val="11"/>
        <color theme="1"/>
        <rFont val="Calibri"/>
        <family val="2"/>
      </rPr>
      <t>EWS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EWS</t>
    </r>
    <r>
      <rPr>
        <sz val="11"/>
        <color theme="1"/>
        <rFont val="Calibri"/>
        <family val="2"/>
      </rPr>
      <t xml:space="preserve"> * L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</si>
  <si>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t>Lengan torsi untuk beban angin kendaraan,</t>
  </si>
  <si>
    <t>gaya akibat angin kendaraan pada struktur,</t>
  </si>
  <si>
    <r>
      <t>P</t>
    </r>
    <r>
      <rPr>
        <vertAlign val="subscript"/>
        <sz val="11"/>
        <color theme="1"/>
        <rFont val="Calibri"/>
        <family val="2"/>
      </rPr>
      <t>EWL</t>
    </r>
    <r>
      <rPr>
        <sz val="11"/>
        <color theme="1"/>
        <rFont val="Calibri"/>
        <family val="2"/>
      </rPr>
      <t xml:space="preserve"> = T</t>
    </r>
    <r>
      <rPr>
        <vertAlign val="subscript"/>
        <sz val="11"/>
        <color theme="1"/>
        <rFont val="Calibri"/>
        <family val="2"/>
      </rPr>
      <t>EWL</t>
    </r>
    <r>
      <rPr>
        <sz val="11"/>
        <color theme="1"/>
        <rFont val="Calibri"/>
        <family val="2"/>
      </rPr>
      <t xml:space="preserve"> * L =</t>
    </r>
  </si>
  <si>
    <t>Torsi akibat beban angin kendaraan,</t>
  </si>
  <si>
    <r>
      <t>L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 Y</t>
    </r>
    <r>
      <rPr>
        <vertAlign val="subscript"/>
        <sz val="11"/>
        <color theme="1"/>
        <rFont val="Calibri"/>
        <family val="2"/>
      </rPr>
      <t>ac(n)</t>
    </r>
    <r>
      <rPr>
        <sz val="11"/>
        <color theme="1"/>
        <rFont val="Calibri"/>
        <family val="2"/>
      </rPr>
      <t xml:space="preserve"> + 1,80 =</t>
    </r>
  </si>
  <si>
    <r>
      <t>T</t>
    </r>
    <r>
      <rPr>
        <vertAlign val="subscript"/>
        <sz val="11"/>
        <color theme="1"/>
        <rFont val="Calibri"/>
        <family val="2"/>
      </rPr>
      <t>EWL</t>
    </r>
    <r>
      <rPr>
        <sz val="11"/>
        <color theme="1"/>
        <rFont val="Calibri"/>
        <family val="2"/>
      </rPr>
      <t xml:space="preserve"> = P</t>
    </r>
    <r>
      <rPr>
        <vertAlign val="subscript"/>
        <sz val="11"/>
        <color theme="1"/>
        <rFont val="Calibri"/>
        <family val="2"/>
      </rPr>
      <t>EWL</t>
    </r>
    <r>
      <rPr>
        <sz val="11"/>
        <color theme="1"/>
        <rFont val="Calibri"/>
        <family val="2"/>
      </rPr>
      <t xml:space="preserve"> * L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</si>
  <si>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t>Gaya akibat beban satu sisi truk,</t>
  </si>
  <si>
    <t>Torsi akibat beban truk,</t>
  </si>
  <si>
    <t>Kondisi 1 :</t>
  </si>
  <si>
    <t>s/2 ≥ 1,75</t>
  </si>
  <si>
    <t>Kondisi 2 :</t>
  </si>
  <si>
    <t>s/2 &lt; 1,75</t>
  </si>
  <si>
    <r>
      <t>T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</si>
  <si>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t>Torsi akibat kombinasi beban terfaktor,</t>
  </si>
  <si>
    <t>Kuat 1 :</t>
  </si>
  <si>
    <t>Kuat 3 :</t>
  </si>
  <si>
    <t>Kuat 5 :</t>
  </si>
  <si>
    <r>
      <t>T = 1,8 * T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=</t>
    </r>
  </si>
  <si>
    <r>
      <t>T = 1,4 * T</t>
    </r>
    <r>
      <rPr>
        <vertAlign val="subscript"/>
        <sz val="11"/>
        <color theme="1"/>
        <rFont val="Calibri"/>
        <family val="2"/>
      </rPr>
      <t>EWS</t>
    </r>
    <r>
      <rPr>
        <sz val="11"/>
        <color theme="1"/>
        <rFont val="Calibri"/>
        <family val="2"/>
      </rPr>
      <t xml:space="preserve"> =</t>
    </r>
  </si>
  <si>
    <r>
      <t>T = 1,0 * T</t>
    </r>
    <r>
      <rPr>
        <vertAlign val="subscript"/>
        <sz val="11"/>
        <color theme="1"/>
        <rFont val="Calibri"/>
        <family val="2"/>
      </rPr>
      <t>EWL</t>
    </r>
    <r>
      <rPr>
        <sz val="11"/>
        <color theme="1"/>
        <rFont val="Calibri"/>
        <family val="2"/>
      </rPr>
      <t xml:space="preserve"> + 0,4 * T</t>
    </r>
    <r>
      <rPr>
        <vertAlign val="subscript"/>
        <sz val="11"/>
        <color theme="1"/>
        <rFont val="Calibri"/>
        <family val="2"/>
      </rPr>
      <t>EWS</t>
    </r>
    <r>
      <rPr>
        <sz val="11"/>
        <color theme="1"/>
        <rFont val="Calibri"/>
        <family val="2"/>
      </rPr>
      <t xml:space="preserve"> =</t>
    </r>
  </si>
  <si>
    <t>PENENTUAN NILAI TORSI AKIBAT KOMBINASI BEBAN TERFAKTOR PADA STRUKTUR JEMBATAN</t>
  </si>
  <si>
    <t>1/22 L - 1/25 L</t>
  </si>
  <si>
    <t>1,8 w - 2,2 w</t>
  </si>
  <si>
    <t>OUTPUT ANALISA SECTION PROPERTIES DARI PENAMPANG GIRDER</t>
  </si>
  <si>
    <t>OUTPUT ANALISA KAPASITAS LENTUR PENAMPANG BERDASARKAN MOMEN LELEH ATAU MOMEN PLASTIS</t>
  </si>
  <si>
    <t>OUTPUT ANALISA KAPASITAS LENTUR PENAMPANG BERDASARKAN KEADAAN BATAS KEKUATAN</t>
  </si>
  <si>
    <t>OUTPUT ANALISA KAPASITAS GESER PENAMPANG</t>
  </si>
  <si>
    <t>Kontrol geser ultimit terhadap tahanan tekan aksial tumpuan nominal,</t>
  </si>
  <si>
    <t>OUTPUT ANALISA KAPASITAS LENTUR PENAMPANG BERDASARKAN KEADAAN BATAS LAYAN</t>
  </si>
  <si>
    <t>OUTPUT ANALISA KAPASITAS LENTUR PENAMPANG BERDASARKAN KEMUDAHAN PELAKSANAAN</t>
  </si>
  <si>
    <t>OUTPUT ANALISA KAPASITAS LENTUR PENAMPANG BERDASARKAN KONDISI BATAS FATIK</t>
  </si>
  <si>
    <t>ditambah tahanan aksi medan tarik pascatekuk,</t>
  </si>
  <si>
    <r>
      <t>MIN(I</t>
    </r>
    <r>
      <rPr>
        <vertAlign val="subscript"/>
        <sz val="11"/>
        <color theme="1"/>
        <rFont val="Calibri"/>
        <family val="2"/>
      </rPr>
      <t>t1</t>
    </r>
    <r>
      <rPr>
        <sz val="11"/>
        <color theme="1"/>
        <rFont val="Calibri"/>
        <family val="2"/>
      </rPr>
      <t>:I</t>
    </r>
    <r>
      <rPr>
        <vertAlign val="subscript"/>
        <sz val="11"/>
        <color theme="1"/>
        <rFont val="Calibri"/>
        <family val="2"/>
      </rPr>
      <t>t2</t>
    </r>
    <r>
      <rPr>
        <sz val="11"/>
        <color theme="1"/>
        <rFont val="Calibri"/>
        <family val="2"/>
      </rPr>
      <t>)</t>
    </r>
  </si>
  <si>
    <r>
      <rPr>
        <i/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 xml:space="preserve"> * V</t>
    </r>
    <r>
      <rPr>
        <vertAlign val="subscript"/>
        <sz val="11"/>
        <color theme="1"/>
        <rFont val="Calibri"/>
        <family val="2"/>
      </rPr>
      <t>n</t>
    </r>
  </si>
  <si>
    <r>
      <t>V</t>
    </r>
    <r>
      <rPr>
        <vertAlign val="subscript"/>
        <sz val="11"/>
        <color theme="1"/>
        <rFont val="Calibri"/>
        <family val="2"/>
      </rPr>
      <t>u(i)</t>
    </r>
  </si>
  <si>
    <t>A.5.</t>
  </si>
  <si>
    <t>INPUT NILAI MOMEN MAKSIMUM AKIBAT BEBAN TRUK</t>
  </si>
  <si>
    <t>pembesaran dinamis (FRD),</t>
  </si>
  <si>
    <t xml:space="preserve">Nilai momen maksimum akibat beban truk dengan faktor </t>
  </si>
  <si>
    <r>
      <t>M</t>
    </r>
    <r>
      <rPr>
        <vertAlign val="subscript"/>
        <sz val="11"/>
        <color theme="1"/>
        <rFont val="Calibri"/>
        <family val="2"/>
      </rPr>
      <t>TT</t>
    </r>
    <r>
      <rPr>
        <sz val="11"/>
        <color theme="1"/>
        <rFont val="Calibri"/>
        <family val="2"/>
      </rPr>
      <t xml:space="preserve"> =</t>
    </r>
  </si>
  <si>
    <t>Dapat mengacu pada spreadsheet ini :</t>
  </si>
  <si>
    <t>analisa-gaya-dalam-pada-balok-akibat-beban-berjalan-di-atas-balok-dengan-dua-tumpuan-sederhana</t>
  </si>
  <si>
    <r>
      <t>f</t>
    </r>
    <r>
      <rPr>
        <b/>
        <vertAlign val="subscript"/>
        <sz val="11"/>
        <color theme="1"/>
        <rFont val="Calibri"/>
        <family val="2"/>
      </rPr>
      <t>DL</t>
    </r>
  </si>
  <si>
    <r>
      <t>f</t>
    </r>
    <r>
      <rPr>
        <b/>
        <vertAlign val="subscript"/>
        <sz val="11"/>
        <color theme="1"/>
        <rFont val="Calibri"/>
        <family val="2"/>
      </rPr>
      <t>buc</t>
    </r>
    <r>
      <rPr>
        <b/>
        <sz val="11"/>
        <color theme="1"/>
        <rFont val="Calibri"/>
        <family val="2"/>
      </rPr>
      <t xml:space="preserve"> + 1/3*f</t>
    </r>
    <r>
      <rPr>
        <b/>
        <vertAlign val="subscript"/>
        <sz val="11"/>
        <color theme="1"/>
        <rFont val="Calibri"/>
        <family val="2"/>
      </rPr>
      <t>l</t>
    </r>
  </si>
  <si>
    <r>
      <rPr>
        <b/>
        <i/>
        <sz val="11"/>
        <color theme="1"/>
        <rFont val="Calibri"/>
        <family val="2"/>
      </rPr>
      <t>φ</t>
    </r>
    <r>
      <rPr>
        <b/>
        <vertAlign val="subscript"/>
        <sz val="11"/>
        <color theme="1"/>
        <rFont val="Calibri"/>
        <family val="2"/>
      </rPr>
      <t>f</t>
    </r>
    <r>
      <rPr>
        <b/>
        <sz val="11"/>
        <color theme="1"/>
        <rFont val="Calibri"/>
        <family val="2"/>
      </rPr>
      <t xml:space="preserve"> * F</t>
    </r>
    <r>
      <rPr>
        <b/>
        <vertAlign val="subscript"/>
        <sz val="11"/>
        <color theme="1"/>
        <rFont val="Calibri"/>
        <family val="2"/>
      </rPr>
      <t>nc</t>
    </r>
  </si>
  <si>
    <r>
      <t>f</t>
    </r>
    <r>
      <rPr>
        <b/>
        <vertAlign val="subscript"/>
        <sz val="11"/>
        <color theme="1"/>
        <rFont val="Calibri"/>
        <family val="2"/>
      </rPr>
      <t>buc</t>
    </r>
    <r>
      <rPr>
        <b/>
        <sz val="11"/>
        <color theme="1"/>
        <rFont val="Calibri"/>
        <family val="2"/>
      </rPr>
      <t xml:space="preserve"> + 1/3*f</t>
    </r>
    <r>
      <rPr>
        <b/>
        <vertAlign val="subscript"/>
        <sz val="11"/>
        <color theme="1"/>
        <rFont val="Calibri"/>
        <family val="2"/>
      </rPr>
      <t>lat</t>
    </r>
  </si>
  <si>
    <r>
      <t>f</t>
    </r>
    <r>
      <rPr>
        <b/>
        <vertAlign val="subscript"/>
        <sz val="11"/>
        <color theme="1"/>
        <rFont val="Calibri"/>
        <family val="2"/>
      </rPr>
      <t>buc</t>
    </r>
    <r>
      <rPr>
        <b/>
        <sz val="11"/>
        <color theme="1"/>
        <rFont val="Calibri"/>
        <family val="2"/>
      </rPr>
      <t xml:space="preserve"> + f</t>
    </r>
    <r>
      <rPr>
        <b/>
        <vertAlign val="subscript"/>
        <sz val="11"/>
        <color theme="1"/>
        <rFont val="Calibri"/>
        <family val="2"/>
      </rPr>
      <t>lat</t>
    </r>
  </si>
  <si>
    <r>
      <rPr>
        <b/>
        <i/>
        <sz val="11"/>
        <color theme="1"/>
        <rFont val="Calibri"/>
        <family val="2"/>
      </rPr>
      <t>φ</t>
    </r>
    <r>
      <rPr>
        <b/>
        <vertAlign val="subscript"/>
        <sz val="11"/>
        <color theme="1"/>
        <rFont val="Calibri"/>
        <family val="2"/>
      </rPr>
      <t>f</t>
    </r>
    <r>
      <rPr>
        <b/>
        <sz val="11"/>
        <color theme="1"/>
        <rFont val="Calibri"/>
        <family val="2"/>
      </rPr>
      <t xml:space="preserve"> * R</t>
    </r>
    <r>
      <rPr>
        <b/>
        <vertAlign val="subscript"/>
        <sz val="11"/>
        <color theme="1"/>
        <rFont val="Calibri"/>
        <family val="2"/>
      </rPr>
      <t>h</t>
    </r>
    <r>
      <rPr>
        <b/>
        <sz val="11"/>
        <color theme="1"/>
        <rFont val="Calibri"/>
        <family val="2"/>
      </rPr>
      <t xml:space="preserve"> * f</t>
    </r>
    <r>
      <rPr>
        <b/>
        <vertAlign val="subscript"/>
        <sz val="11"/>
        <color theme="1"/>
        <rFont val="Calibri"/>
        <family val="2"/>
      </rPr>
      <t>y</t>
    </r>
  </si>
  <si>
    <r>
      <t>f</t>
    </r>
    <r>
      <rPr>
        <b/>
        <vertAlign val="subscript"/>
        <sz val="11"/>
        <color theme="1"/>
        <rFont val="Calibri"/>
        <family val="2"/>
      </rPr>
      <t>f</t>
    </r>
  </si>
  <si>
    <r>
      <t>0,95 * R</t>
    </r>
    <r>
      <rPr>
        <b/>
        <vertAlign val="subscript"/>
        <sz val="11"/>
        <color theme="1"/>
        <rFont val="Calibri"/>
        <family val="2"/>
      </rPr>
      <t>h</t>
    </r>
    <r>
      <rPr>
        <b/>
        <sz val="11"/>
        <color theme="1"/>
        <rFont val="Calibri"/>
        <family val="2"/>
      </rPr>
      <t xml:space="preserve"> * f</t>
    </r>
    <r>
      <rPr>
        <b/>
        <vertAlign val="subscript"/>
        <sz val="11"/>
        <color theme="1"/>
        <rFont val="Calibri"/>
        <family val="2"/>
      </rPr>
      <t>y</t>
    </r>
  </si>
  <si>
    <r>
      <rPr>
        <b/>
        <i/>
        <sz val="11"/>
        <color theme="1"/>
        <rFont val="Calibri"/>
        <family val="2"/>
      </rPr>
      <t>φ</t>
    </r>
    <r>
      <rPr>
        <b/>
        <vertAlign val="subscript"/>
        <sz val="11"/>
        <color theme="1"/>
        <rFont val="Calibri"/>
        <family val="2"/>
      </rPr>
      <t>c</t>
    </r>
    <r>
      <rPr>
        <b/>
        <sz val="11"/>
        <color theme="1"/>
        <rFont val="Calibri"/>
        <family val="2"/>
      </rPr>
      <t xml:space="preserve"> * P</t>
    </r>
    <r>
      <rPr>
        <b/>
        <vertAlign val="subscript"/>
        <sz val="11"/>
        <color theme="1"/>
        <rFont val="Calibri"/>
        <family val="2"/>
      </rPr>
      <t>n</t>
    </r>
  </si>
  <si>
    <r>
      <t>(R</t>
    </r>
    <r>
      <rPr>
        <b/>
        <vertAlign val="subscript"/>
        <sz val="11"/>
        <color theme="1"/>
        <rFont val="Calibri"/>
        <family val="2"/>
      </rPr>
      <t>sb</t>
    </r>
    <r>
      <rPr>
        <b/>
        <sz val="11"/>
        <color theme="1"/>
        <rFont val="Calibri"/>
        <family val="2"/>
      </rPr>
      <t>)</t>
    </r>
    <r>
      <rPr>
        <b/>
        <vertAlign val="subscript"/>
        <sz val="11"/>
        <color theme="1"/>
        <rFont val="Calibri"/>
        <family val="2"/>
      </rPr>
      <t>r</t>
    </r>
  </si>
  <si>
    <r>
      <t>(R</t>
    </r>
    <r>
      <rPr>
        <b/>
        <vertAlign val="subscript"/>
        <sz val="11"/>
        <color theme="1"/>
        <rFont val="Calibri"/>
        <family val="2"/>
      </rPr>
      <t>sb</t>
    </r>
    <r>
      <rPr>
        <b/>
        <sz val="11"/>
        <color theme="1"/>
        <rFont val="Calibri"/>
        <family val="2"/>
      </rPr>
      <t>)</t>
    </r>
    <r>
      <rPr>
        <b/>
        <vertAlign val="subscript"/>
        <sz val="11"/>
        <color theme="1"/>
        <rFont val="Calibri"/>
        <family val="2"/>
      </rPr>
      <t>n</t>
    </r>
  </si>
  <si>
    <r>
      <t>f</t>
    </r>
    <r>
      <rPr>
        <b/>
        <vertAlign val="subscript"/>
        <sz val="11"/>
        <color theme="1"/>
        <rFont val="Calibri"/>
        <family val="2"/>
      </rPr>
      <t>bu</t>
    </r>
  </si>
  <si>
    <r>
      <rPr>
        <b/>
        <i/>
        <sz val="11"/>
        <color theme="1"/>
        <rFont val="Calibri"/>
        <family val="2"/>
      </rPr>
      <t>φ</t>
    </r>
    <r>
      <rPr>
        <b/>
        <vertAlign val="subscript"/>
        <sz val="11"/>
        <color theme="1"/>
        <rFont val="Calibri"/>
        <family val="2"/>
      </rPr>
      <t>f</t>
    </r>
    <r>
      <rPr>
        <b/>
        <sz val="11"/>
        <color theme="1"/>
        <rFont val="Calibri"/>
        <family val="2"/>
      </rPr>
      <t xml:space="preserve"> * F</t>
    </r>
    <r>
      <rPr>
        <b/>
        <vertAlign val="subscript"/>
        <sz val="11"/>
        <color theme="1"/>
        <rFont val="Calibri"/>
        <family val="2"/>
      </rPr>
      <t>nt</t>
    </r>
  </si>
  <si>
    <r>
      <t>M</t>
    </r>
    <r>
      <rPr>
        <b/>
        <vertAlign val="subscript"/>
        <sz val="11"/>
        <color theme="1"/>
        <rFont val="Calibri"/>
        <family val="2"/>
      </rPr>
      <t>u</t>
    </r>
  </si>
  <si>
    <r>
      <rPr>
        <b/>
        <i/>
        <sz val="11"/>
        <color theme="1"/>
        <rFont val="Calibri"/>
        <family val="2"/>
      </rPr>
      <t>φ</t>
    </r>
    <r>
      <rPr>
        <b/>
        <vertAlign val="subscript"/>
        <sz val="11"/>
        <color theme="1"/>
        <rFont val="Calibri"/>
        <family val="2"/>
      </rPr>
      <t>f</t>
    </r>
    <r>
      <rPr>
        <b/>
        <sz val="11"/>
        <color theme="1"/>
        <rFont val="Calibri"/>
        <family val="2"/>
      </rPr>
      <t xml:space="preserve"> * M</t>
    </r>
    <r>
      <rPr>
        <b/>
        <vertAlign val="subscript"/>
        <sz val="11"/>
        <color theme="1"/>
        <rFont val="Calibri"/>
        <family val="2"/>
      </rPr>
      <t>n</t>
    </r>
  </si>
  <si>
    <t>Rekom :</t>
  </si>
  <si>
    <r>
      <t>f</t>
    </r>
    <r>
      <rPr>
        <b/>
        <vertAlign val="subscript"/>
        <sz val="11"/>
        <color theme="1"/>
        <rFont val="Calibri"/>
        <family val="2"/>
      </rPr>
      <t>LL</t>
    </r>
  </si>
  <si>
    <r>
      <t>f</t>
    </r>
    <r>
      <rPr>
        <vertAlign val="subscript"/>
        <sz val="11"/>
        <color theme="1"/>
        <rFont val="Calibri"/>
        <family val="2"/>
      </rPr>
      <t>LL</t>
    </r>
  </si>
  <si>
    <t>Jumlah girder,</t>
  </si>
  <si>
    <t>girder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</si>
  <si>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</si>
  <si>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</si>
  <si>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</si>
  <si>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</si>
  <si>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</si>
  <si>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</si>
  <si>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</si>
  <si>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</si>
  <si>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B.4.</t>
  </si>
  <si>
    <t>Perencanaan Steel Box Girder Tipe Box pada Bentang Sederhana</t>
  </si>
  <si>
    <t>b.</t>
  </si>
  <si>
    <t>ANALISA GAYA DALAM AKIBAT PEMBEBANAN PADA JEMBATAN</t>
  </si>
  <si>
    <t>a.</t>
  </si>
  <si>
    <t>c.</t>
  </si>
  <si>
    <t>d.</t>
  </si>
  <si>
    <t>D.3.</t>
  </si>
  <si>
    <t>F.1.</t>
  </si>
  <si>
    <t>F.2.</t>
  </si>
  <si>
    <t>F.3.</t>
  </si>
  <si>
    <t>B.5.</t>
  </si>
  <si>
    <t>B.6.</t>
  </si>
  <si>
    <t>B.7.</t>
  </si>
  <si>
    <r>
      <rPr>
        <sz val="8"/>
        <color theme="1"/>
        <rFont val="Calibri"/>
        <family val="2"/>
      </rPr>
      <t>λ</t>
    </r>
    <r>
      <rPr>
        <vertAlign val="subscript"/>
        <sz val="8"/>
        <color theme="1"/>
        <rFont val="Calibri"/>
        <family val="2"/>
        <scheme val="minor"/>
      </rPr>
      <t>rw</t>
    </r>
  </si>
  <si>
    <r>
      <t>C = [ 1,12/(D/t</t>
    </r>
    <r>
      <rPr>
        <vertAlign val="subscript"/>
        <sz val="10"/>
        <color theme="1"/>
        <rFont val="Calibri"/>
        <family val="2"/>
      </rPr>
      <t>w</t>
    </r>
    <r>
      <rPr>
        <sz val="10"/>
        <color theme="1"/>
        <rFont val="Calibri"/>
        <family val="2"/>
      </rPr>
      <t>) ] * √(E*k/f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 =</t>
    </r>
  </si>
  <si>
    <r>
      <t>C = [ 1,57/(D/t</t>
    </r>
    <r>
      <rPr>
        <vertAlign val="subscript"/>
        <sz val="10"/>
        <color theme="1"/>
        <rFont val="Calibri"/>
        <family val="2"/>
      </rPr>
      <t>w</t>
    </r>
    <r>
      <rPr>
        <sz val="10"/>
        <color theme="1"/>
        <rFont val="Calibri"/>
        <family val="2"/>
      </rPr>
      <t>)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] * (E*k/f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 =</t>
    </r>
  </si>
  <si>
    <r>
      <t>1) D/t</t>
    </r>
    <r>
      <rPr>
        <vertAlign val="subscript"/>
        <sz val="10"/>
        <color theme="1"/>
        <rFont val="Calibri"/>
        <family val="2"/>
      </rPr>
      <t>w</t>
    </r>
    <r>
      <rPr>
        <sz val="10"/>
        <color theme="1"/>
        <rFont val="Calibri"/>
        <family val="2"/>
      </rPr>
      <t xml:space="preserve"> ≤ 1,12 * √(E*k/f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</t>
    </r>
  </si>
  <si>
    <r>
      <t>2) 1,12 * √(E*k/f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 &lt; D/t</t>
    </r>
    <r>
      <rPr>
        <vertAlign val="subscript"/>
        <sz val="10"/>
        <color theme="1"/>
        <rFont val="Calibri"/>
        <family val="2"/>
      </rPr>
      <t>w</t>
    </r>
    <r>
      <rPr>
        <sz val="10"/>
        <color theme="1"/>
        <rFont val="Calibri"/>
        <family val="2"/>
      </rPr>
      <t xml:space="preserve"> ≤ 1,40 * √(E*k/f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</t>
    </r>
  </si>
  <si>
    <r>
      <t>3) D/t</t>
    </r>
    <r>
      <rPr>
        <vertAlign val="subscript"/>
        <sz val="10"/>
        <color theme="1"/>
        <rFont val="Calibri"/>
        <family val="2"/>
      </rPr>
      <t>w</t>
    </r>
    <r>
      <rPr>
        <sz val="10"/>
        <color theme="1"/>
        <rFont val="Calibri"/>
        <family val="2"/>
      </rPr>
      <t xml:space="preserve"> &gt; 1,40 * √(E*k/f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</t>
    </r>
  </si>
  <si>
    <r>
      <t>V</t>
    </r>
    <r>
      <rPr>
        <vertAlign val="subscript"/>
        <sz val="9"/>
        <color theme="1"/>
        <rFont val="Calibri"/>
        <family val="2"/>
      </rPr>
      <t>n</t>
    </r>
    <r>
      <rPr>
        <sz val="9"/>
        <color theme="1"/>
        <rFont val="Calibri"/>
        <family val="2"/>
      </rPr>
      <t xml:space="preserve"> = V</t>
    </r>
    <r>
      <rPr>
        <vertAlign val="subscript"/>
        <sz val="9"/>
        <color theme="1"/>
        <rFont val="Calibri"/>
        <family val="2"/>
      </rPr>
      <t xml:space="preserve">p </t>
    </r>
    <r>
      <rPr>
        <sz val="9"/>
        <color theme="1"/>
        <rFont val="Calibri"/>
        <family val="2"/>
      </rPr>
      <t>* (C + 0,87 * (1 - C) / √(1 + (d</t>
    </r>
    <r>
      <rPr>
        <vertAlign val="subscript"/>
        <sz val="9"/>
        <color theme="1"/>
        <rFont val="Calibri"/>
        <family val="2"/>
      </rPr>
      <t>o</t>
    </r>
    <r>
      <rPr>
        <sz val="9"/>
        <color theme="1"/>
        <rFont val="Calibri"/>
        <family val="2"/>
      </rPr>
      <t>/D)</t>
    </r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>) =</t>
    </r>
  </si>
  <si>
    <r>
      <t>V</t>
    </r>
    <r>
      <rPr>
        <vertAlign val="subscript"/>
        <sz val="9"/>
        <color theme="1"/>
        <rFont val="Calibri"/>
        <family val="2"/>
      </rPr>
      <t>n</t>
    </r>
    <r>
      <rPr>
        <sz val="9"/>
        <color theme="1"/>
        <rFont val="Calibri"/>
        <family val="2"/>
      </rPr>
      <t xml:space="preserve"> = V</t>
    </r>
    <r>
      <rPr>
        <vertAlign val="subscript"/>
        <sz val="9"/>
        <color theme="1"/>
        <rFont val="Calibri"/>
        <family val="2"/>
      </rPr>
      <t xml:space="preserve">p </t>
    </r>
    <r>
      <rPr>
        <sz val="9"/>
        <color theme="1"/>
        <rFont val="Calibri"/>
        <family val="2"/>
      </rPr>
      <t>* (C + 0,87 * (1 - C) / √(1 + (d</t>
    </r>
    <r>
      <rPr>
        <vertAlign val="subscript"/>
        <sz val="9"/>
        <color theme="1"/>
        <rFont val="Calibri"/>
        <family val="2"/>
      </rPr>
      <t>o</t>
    </r>
    <r>
      <rPr>
        <sz val="9"/>
        <color theme="1"/>
        <rFont val="Calibri"/>
        <family val="2"/>
      </rPr>
      <t>/D) + (d</t>
    </r>
    <r>
      <rPr>
        <vertAlign val="subscript"/>
        <sz val="9"/>
        <color theme="1"/>
        <rFont val="Calibri"/>
        <family val="2"/>
      </rPr>
      <t>o</t>
    </r>
    <r>
      <rPr>
        <sz val="9"/>
        <color theme="1"/>
        <rFont val="Calibri"/>
        <family val="2"/>
      </rPr>
      <t>/D)</t>
    </r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>) =</t>
    </r>
  </si>
  <si>
    <r>
      <t>1) 2*D*t</t>
    </r>
    <r>
      <rPr>
        <vertAlign val="subscript"/>
        <sz val="9"/>
        <color theme="1"/>
        <rFont val="Calibri"/>
        <family val="2"/>
      </rPr>
      <t>w</t>
    </r>
    <r>
      <rPr>
        <sz val="9"/>
        <color theme="1"/>
        <rFont val="Calibri"/>
        <family val="2"/>
      </rPr>
      <t>/(b</t>
    </r>
    <r>
      <rPr>
        <vertAlign val="subscript"/>
        <sz val="9"/>
        <color theme="1"/>
        <rFont val="Calibri"/>
        <family val="2"/>
      </rPr>
      <t>ft</t>
    </r>
    <r>
      <rPr>
        <sz val="9"/>
        <color theme="1"/>
        <rFont val="Calibri"/>
        <family val="2"/>
      </rPr>
      <t>*t</t>
    </r>
    <r>
      <rPr>
        <vertAlign val="subscript"/>
        <sz val="9"/>
        <color theme="1"/>
        <rFont val="Calibri"/>
        <family val="2"/>
      </rPr>
      <t>ft</t>
    </r>
    <r>
      <rPr>
        <sz val="9"/>
        <color theme="1"/>
        <rFont val="Calibri"/>
        <family val="2"/>
      </rPr>
      <t xml:space="preserve"> + b</t>
    </r>
    <r>
      <rPr>
        <vertAlign val="subscript"/>
        <sz val="9"/>
        <color theme="1"/>
        <rFont val="Calibri"/>
        <family val="2"/>
      </rPr>
      <t>fb</t>
    </r>
    <r>
      <rPr>
        <sz val="9"/>
        <color theme="1"/>
        <rFont val="Calibri"/>
        <family val="2"/>
      </rPr>
      <t>*t</t>
    </r>
    <r>
      <rPr>
        <vertAlign val="subscript"/>
        <sz val="9"/>
        <color theme="1"/>
        <rFont val="Calibri"/>
        <family val="2"/>
      </rPr>
      <t>fb</t>
    </r>
    <r>
      <rPr>
        <sz val="9"/>
        <color theme="1"/>
        <rFont val="Calibri"/>
        <family val="2"/>
      </rPr>
      <t>) ≤ 2,5</t>
    </r>
  </si>
  <si>
    <r>
      <t>2) 2*D*t</t>
    </r>
    <r>
      <rPr>
        <vertAlign val="subscript"/>
        <sz val="9"/>
        <color theme="1"/>
        <rFont val="Calibri"/>
        <family val="2"/>
      </rPr>
      <t>w</t>
    </r>
    <r>
      <rPr>
        <sz val="9"/>
        <color theme="1"/>
        <rFont val="Calibri"/>
        <family val="2"/>
      </rPr>
      <t>/(b</t>
    </r>
    <r>
      <rPr>
        <vertAlign val="subscript"/>
        <sz val="9"/>
        <color theme="1"/>
        <rFont val="Calibri"/>
        <family val="2"/>
      </rPr>
      <t>ft</t>
    </r>
    <r>
      <rPr>
        <sz val="9"/>
        <color theme="1"/>
        <rFont val="Calibri"/>
        <family val="2"/>
      </rPr>
      <t>*t</t>
    </r>
    <r>
      <rPr>
        <vertAlign val="subscript"/>
        <sz val="9"/>
        <color theme="1"/>
        <rFont val="Calibri"/>
        <family val="2"/>
      </rPr>
      <t>ft</t>
    </r>
    <r>
      <rPr>
        <sz val="9"/>
        <color theme="1"/>
        <rFont val="Calibri"/>
        <family val="2"/>
      </rPr>
      <t xml:space="preserve"> + b</t>
    </r>
    <r>
      <rPr>
        <vertAlign val="subscript"/>
        <sz val="9"/>
        <color theme="1"/>
        <rFont val="Calibri"/>
        <family val="2"/>
      </rPr>
      <t>fb</t>
    </r>
    <r>
      <rPr>
        <sz val="9"/>
        <color theme="1"/>
        <rFont val="Calibri"/>
        <family val="2"/>
      </rPr>
      <t>*t</t>
    </r>
    <r>
      <rPr>
        <vertAlign val="subscript"/>
        <sz val="9"/>
        <color theme="1"/>
        <rFont val="Calibri"/>
        <family val="2"/>
      </rPr>
      <t>fb</t>
    </r>
    <r>
      <rPr>
        <sz val="9"/>
        <color theme="1"/>
        <rFont val="Calibri"/>
        <family val="2"/>
      </rPr>
      <t>) &gt; 2,5</t>
    </r>
  </si>
  <si>
    <r>
      <t>0,95 * R</t>
    </r>
    <r>
      <rPr>
        <b/>
        <vertAlign val="subscript"/>
        <sz val="10"/>
        <color theme="1"/>
        <rFont val="Calibri"/>
        <family val="2"/>
      </rPr>
      <t>h</t>
    </r>
    <r>
      <rPr>
        <b/>
        <sz val="10"/>
        <color theme="1"/>
        <rFont val="Calibri"/>
        <family val="2"/>
      </rPr>
      <t xml:space="preserve"> * f</t>
    </r>
    <r>
      <rPr>
        <b/>
        <vertAlign val="subscript"/>
        <sz val="10"/>
        <color theme="1"/>
        <rFont val="Calibri"/>
        <family val="2"/>
      </rPr>
      <t>y</t>
    </r>
  </si>
  <si>
    <r>
      <t>f</t>
    </r>
    <r>
      <rPr>
        <b/>
        <vertAlign val="subscript"/>
        <sz val="10"/>
        <color theme="1"/>
        <rFont val="Calibri"/>
        <family val="2"/>
      </rPr>
      <t>f</t>
    </r>
  </si>
  <si>
    <r>
      <t>F</t>
    </r>
    <r>
      <rPr>
        <vertAlign val="subscript"/>
        <sz val="10"/>
        <color theme="1"/>
        <rFont val="Calibri"/>
        <family val="2"/>
      </rPr>
      <t>nc</t>
    </r>
    <r>
      <rPr>
        <sz val="10"/>
        <color theme="1"/>
        <rFont val="Calibri"/>
        <family val="2"/>
      </rPr>
      <t xml:space="preserve"> = R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* R</t>
    </r>
    <r>
      <rPr>
        <vertAlign val="subscript"/>
        <sz val="10"/>
        <color theme="1"/>
        <rFont val="Calibri"/>
        <family val="2"/>
      </rPr>
      <t>h</t>
    </r>
    <r>
      <rPr>
        <sz val="10"/>
        <color theme="1"/>
        <rFont val="Calibri"/>
        <family val="2"/>
      </rPr>
      <t xml:space="preserve"> * 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 xml:space="preserve"> =</t>
    </r>
  </si>
  <si>
    <r>
      <t>F</t>
    </r>
    <r>
      <rPr>
        <vertAlign val="subscript"/>
        <sz val="10"/>
        <color theme="1"/>
        <rFont val="Calibri"/>
        <family val="2"/>
      </rPr>
      <t>nc</t>
    </r>
    <r>
      <rPr>
        <sz val="10"/>
        <color theme="1"/>
        <rFont val="Calibri"/>
        <family val="2"/>
      </rPr>
      <t xml:space="preserve"> = C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* [ 1 - (1 - f</t>
    </r>
    <r>
      <rPr>
        <vertAlign val="subscript"/>
        <sz val="10"/>
        <color theme="1"/>
        <rFont val="Calibri"/>
        <family val="2"/>
      </rPr>
      <t>yr</t>
    </r>
    <r>
      <rPr>
        <sz val="10"/>
        <color theme="1"/>
        <rFont val="Calibri"/>
        <family val="2"/>
      </rPr>
      <t xml:space="preserve"> / (R</t>
    </r>
    <r>
      <rPr>
        <vertAlign val="subscript"/>
        <sz val="10"/>
        <color theme="1"/>
        <rFont val="Calibri"/>
        <family val="2"/>
      </rPr>
      <t>h</t>
    </r>
    <r>
      <rPr>
        <sz val="10"/>
        <color theme="1"/>
        <rFont val="Calibri"/>
        <family val="2"/>
      </rPr>
      <t xml:space="preserve"> * f</t>
    </r>
    <r>
      <rPr>
        <vertAlign val="subscript"/>
        <sz val="10"/>
        <color theme="1"/>
        <rFont val="Calibri"/>
        <family val="2"/>
      </rPr>
      <t>y</t>
    </r>
    <r>
      <rPr>
        <sz val="10"/>
        <color theme="1"/>
        <rFont val="Calibri"/>
        <family val="2"/>
      </rPr>
      <t>)) * ((L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- L</t>
    </r>
    <r>
      <rPr>
        <vertAlign val="subscript"/>
        <sz val="10"/>
        <color theme="1"/>
        <rFont val="Calibri"/>
        <family val="2"/>
      </rPr>
      <t>p</t>
    </r>
    <r>
      <rPr>
        <sz val="10"/>
        <color theme="1"/>
        <rFont val="Calibri"/>
        <family val="2"/>
      </rPr>
      <t>)/(L</t>
    </r>
    <r>
      <rPr>
        <vertAlign val="subscript"/>
        <sz val="10"/>
        <color theme="1"/>
        <rFont val="Calibri"/>
        <family val="2"/>
      </rPr>
      <t>r</t>
    </r>
    <r>
      <rPr>
        <sz val="10"/>
        <color theme="1"/>
        <rFont val="Calibri"/>
        <family val="2"/>
      </rPr>
      <t xml:space="preserve"> - L</t>
    </r>
    <r>
      <rPr>
        <vertAlign val="subscript"/>
        <sz val="10"/>
        <color theme="1"/>
        <rFont val="Calibri"/>
        <family val="2"/>
      </rPr>
      <t>p</t>
    </r>
    <r>
      <rPr>
        <sz val="10"/>
        <color theme="1"/>
        <rFont val="Calibri"/>
        <family val="2"/>
      </rPr>
      <t>)) ] =</t>
    </r>
  </si>
  <si>
    <r>
      <t>F</t>
    </r>
    <r>
      <rPr>
        <vertAlign val="subscript"/>
        <sz val="10"/>
        <color theme="1"/>
        <rFont val="Calibri"/>
        <family val="2"/>
      </rPr>
      <t>nc</t>
    </r>
    <r>
      <rPr>
        <sz val="10"/>
        <color theme="1"/>
        <rFont val="Calibri"/>
        <family val="2"/>
      </rPr>
      <t xml:space="preserve"> = F</t>
    </r>
    <r>
      <rPr>
        <vertAlign val="subscript"/>
        <sz val="10"/>
        <color theme="1"/>
        <rFont val="Calibri"/>
        <family val="2"/>
      </rPr>
      <t>cr</t>
    </r>
    <r>
      <rPr>
        <sz val="10"/>
        <color theme="1"/>
        <rFont val="Calibri"/>
        <family val="2"/>
      </rPr>
      <t xml:space="preserve"> =</t>
    </r>
  </si>
  <si>
    <r>
      <t>Kasus 1 : L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≤ L</t>
    </r>
    <r>
      <rPr>
        <vertAlign val="subscript"/>
        <sz val="10"/>
        <color theme="1"/>
        <rFont val="Calibri"/>
        <family val="2"/>
      </rPr>
      <t>p</t>
    </r>
  </si>
  <si>
    <r>
      <t>Kasus 2 : L</t>
    </r>
    <r>
      <rPr>
        <vertAlign val="subscript"/>
        <sz val="10"/>
        <color theme="1"/>
        <rFont val="Calibri"/>
        <family val="2"/>
      </rPr>
      <t>p</t>
    </r>
    <r>
      <rPr>
        <sz val="10"/>
        <color theme="1"/>
        <rFont val="Calibri"/>
        <family val="2"/>
      </rPr>
      <t xml:space="preserve"> &lt; L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≤ L</t>
    </r>
    <r>
      <rPr>
        <vertAlign val="subscript"/>
        <sz val="10"/>
        <color theme="1"/>
        <rFont val="Calibri"/>
        <family val="2"/>
      </rPr>
      <t>r</t>
    </r>
  </si>
  <si>
    <r>
      <t>Kasus 3 : L</t>
    </r>
    <r>
      <rPr>
        <vertAlign val="subscript"/>
        <sz val="10"/>
        <color theme="1"/>
        <rFont val="Calibri"/>
        <family val="2"/>
      </rPr>
      <t>b</t>
    </r>
    <r>
      <rPr>
        <sz val="10"/>
        <color theme="1"/>
        <rFont val="Calibri"/>
        <family val="2"/>
      </rPr>
      <t xml:space="preserve"> &gt; L</t>
    </r>
    <r>
      <rPr>
        <vertAlign val="subscript"/>
        <sz val="10"/>
        <color theme="1"/>
        <rFont val="Calibri"/>
        <family val="2"/>
      </rPr>
      <t>r</t>
    </r>
  </si>
  <si>
    <t>2*D*tw/(bft*tft + bfb*tfb)</t>
  </si>
  <si>
    <r>
      <t>2*D*tw/A</t>
    </r>
    <r>
      <rPr>
        <vertAlign val="subscript"/>
        <sz val="11"/>
        <color theme="1"/>
        <rFont val="Calibri"/>
        <family val="2"/>
      </rPr>
      <t>f</t>
    </r>
  </si>
  <si>
    <t>Judul Program</t>
  </si>
  <si>
    <t>:</t>
  </si>
  <si>
    <t>Versi Program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</si>
  <si>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</si>
  <si>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</si>
  <si>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</si>
  <si>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</si>
  <si>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</si>
  <si>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</si>
  <si>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</si>
  <si>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</si>
  <si>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</si>
  <si>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Juni 2022</t>
  </si>
  <si>
    <t>V1.0.0</t>
  </si>
  <si>
    <t>BEBAN MATI AKIBAT STEEL BOX GIRDER JEMBATAN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</si>
</sst>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0.0000"/>
    <numFmt numFmtId="165" formatCode="0.000"/>
    <numFmt numFmtId="166" formatCode="0.00.E+00"/>
    <numFmt numFmtId="167" formatCode="0.0.E+00"/>
    <numFmt numFmtId="168" formatCode="0.0"/>
  </numFmts>
  <fonts count="5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vertAlign val="superscript"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0"/>
      <color theme="1"/>
      <name val="Calibri"/>
      <family val="2"/>
    </font>
    <font>
      <i/>
      <sz val="11"/>
      <color theme="1"/>
      <name val="Calibri"/>
      <family val="2"/>
    </font>
    <font>
      <sz val="8"/>
      <name val="Calibri"/>
      <family val="2"/>
    </font>
    <font>
      <b/>
      <vertAlign val="subscript"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0"/>
      <name val="Calibri Light"/>
      <family val="2"/>
      <charset val="1"/>
      <scheme val="major"/>
    </font>
    <font>
      <sz val="11"/>
      <color theme="0" tint="-0.14999847407452621"/>
      <name val="Calibri"/>
      <family val="2"/>
      <scheme val="minor"/>
    </font>
    <font>
      <b/>
      <sz val="11"/>
      <name val="Calibri Light"/>
      <family val="2"/>
      <charset val="1"/>
      <scheme val="maj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color theme="7"/>
      <name val="Calibri Light"/>
      <family val="2"/>
      <scheme val="major"/>
    </font>
    <font>
      <b/>
      <sz val="12"/>
      <color theme="7"/>
      <name val="Calibri Light"/>
      <family val="2"/>
      <scheme val="major"/>
    </font>
    <font>
      <sz val="11"/>
      <name val="Calibri Light"/>
      <family val="2"/>
      <charset val="1"/>
      <scheme val="major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u/>
      <sz val="11"/>
      <color theme="10"/>
      <name val="Calibri"/>
      <family val="2"/>
    </font>
    <font>
      <b/>
      <sz val="10"/>
      <color theme="7"/>
      <name val="Calibri Light"/>
      <family val="2"/>
      <scheme val="major"/>
    </font>
    <font>
      <b/>
      <sz val="10"/>
      <name val="Calibri Light"/>
      <family val="2"/>
      <scheme val="major"/>
    </font>
    <font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</font>
    <font>
      <vertAlign val="subscript"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color theme="1"/>
      <name val="Calibri"/>
      <family val="2"/>
    </font>
    <font>
      <b/>
      <vertAlign val="subscript"/>
      <sz val="10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3" fillId="0" borderId="0"/>
    <xf numFmtId="41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2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left" vertical="center" indent="1"/>
    </xf>
    <xf numFmtId="0" fontId="10" fillId="0" borderId="9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2" fontId="15" fillId="0" borderId="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indent="2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indent="2"/>
    </xf>
    <xf numFmtId="9" fontId="15" fillId="0" borderId="1" xfId="1" applyFont="1" applyFill="1" applyBorder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0" fillId="0" borderId="8" xfId="0" applyFont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7" fontId="0" fillId="0" borderId="1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65" fontId="0" fillId="0" borderId="2" xfId="3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65" fontId="2" fillId="6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2" fontId="0" fillId="0" borderId="2" xfId="0" applyNumberFormat="1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right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66" fontId="0" fillId="0" borderId="0" xfId="0" applyNumberFormat="1" applyAlignment="1">
      <alignment vertical="center"/>
    </xf>
    <xf numFmtId="165" fontId="0" fillId="0" borderId="17" xfId="0" applyNumberForma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right" vertical="center"/>
    </xf>
    <xf numFmtId="164" fontId="0" fillId="0" borderId="2" xfId="0" applyNumberFormat="1" applyFont="1" applyFill="1" applyBorder="1" applyAlignment="1">
      <alignment horizontal="center" vertical="center"/>
    </xf>
    <xf numFmtId="168" fontId="0" fillId="0" borderId="2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7" fillId="5" borderId="14" xfId="2" applyFont="1" applyFill="1" applyBorder="1" applyAlignment="1">
      <alignment horizontal="right" vertical="center"/>
    </xf>
    <xf numFmtId="0" fontId="17" fillId="5" borderId="10" xfId="2" applyFont="1" applyFill="1" applyBorder="1" applyAlignment="1">
      <alignment horizontal="left" vertical="center"/>
    </xf>
    <xf numFmtId="1" fontId="17" fillId="5" borderId="15" xfId="2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24" fillId="7" borderId="16" xfId="2" applyFont="1" applyFill="1" applyBorder="1" applyAlignment="1">
      <alignment horizontal="center" vertical="center"/>
    </xf>
    <xf numFmtId="0" fontId="29" fillId="8" borderId="22" xfId="2" applyFont="1" applyFill="1" applyBorder="1" applyAlignment="1">
      <alignment horizontal="center" vertical="center"/>
    </xf>
    <xf numFmtId="0" fontId="26" fillId="2" borderId="22" xfId="2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4" fillId="7" borderId="21" xfId="2" applyFont="1" applyFill="1" applyBorder="1" applyAlignment="1">
      <alignment horizontal="center" vertical="center"/>
    </xf>
    <xf numFmtId="0" fontId="14" fillId="7" borderId="23" xfId="2" applyFont="1" applyFill="1" applyBorder="1" applyAlignment="1">
      <alignment horizontal="center" vertical="center"/>
    </xf>
    <xf numFmtId="0" fontId="29" fillId="8" borderId="0" xfId="2" applyFont="1" applyFill="1" applyBorder="1" applyAlignment="1">
      <alignment horizontal="left" vertical="center"/>
    </xf>
    <xf numFmtId="0" fontId="30" fillId="8" borderId="0" xfId="2" applyFont="1" applyFill="1" applyBorder="1" applyAlignment="1">
      <alignment horizontal="center" vertical="center"/>
    </xf>
    <xf numFmtId="0" fontId="30" fillId="8" borderId="0" xfId="2" applyFont="1" applyFill="1" applyBorder="1" applyAlignment="1">
      <alignment horizontal="right" vertical="center"/>
    </xf>
    <xf numFmtId="0" fontId="30" fillId="8" borderId="6" xfId="2" applyFont="1" applyFill="1" applyBorder="1" applyAlignment="1">
      <alignment horizontal="left" vertical="center"/>
    </xf>
    <xf numFmtId="0" fontId="27" fillId="2" borderId="0" xfId="2" applyFont="1" applyFill="1" applyBorder="1" applyAlignment="1">
      <alignment horizontal="left" vertical="center"/>
    </xf>
    <xf numFmtId="0" fontId="28" fillId="2" borderId="0" xfId="2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horizontal="right" vertical="center"/>
    </xf>
    <xf numFmtId="0" fontId="28" fillId="2" borderId="6" xfId="2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2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165" fontId="0" fillId="0" borderId="0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left" vertical="center" indent="1"/>
    </xf>
    <xf numFmtId="0" fontId="31" fillId="0" borderId="22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left" vertical="center"/>
    </xf>
    <xf numFmtId="0" fontId="33" fillId="0" borderId="0" xfId="2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right" vertical="center"/>
    </xf>
    <xf numFmtId="0" fontId="33" fillId="0" borderId="6" xfId="2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7" fillId="2" borderId="2" xfId="0" applyFont="1" applyFill="1" applyBorder="1" applyAlignment="1">
      <alignment horizontal="center" vertical="center"/>
    </xf>
    <xf numFmtId="2" fontId="2" fillId="5" borderId="16" xfId="0" applyNumberFormat="1" applyFont="1" applyFill="1" applyBorder="1" applyAlignment="1">
      <alignment horizontal="center" vertical="center"/>
    </xf>
    <xf numFmtId="2" fontId="2" fillId="5" borderId="17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/>
    </xf>
    <xf numFmtId="0" fontId="0" fillId="6" borderId="25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6" borderId="21" xfId="0" applyFill="1" applyBorder="1" applyAlignment="1">
      <alignment horizontal="right" vertical="center"/>
    </xf>
    <xf numFmtId="0" fontId="0" fillId="6" borderId="20" xfId="0" applyFill="1" applyBorder="1" applyAlignment="1">
      <alignment vertical="center"/>
    </xf>
    <xf numFmtId="0" fontId="0" fillId="6" borderId="20" xfId="0" applyFill="1" applyBorder="1" applyAlignment="1">
      <alignment horizontal="left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left" vertical="center" indent="1"/>
    </xf>
    <xf numFmtId="0" fontId="0" fillId="6" borderId="24" xfId="0" applyFill="1" applyBorder="1" applyAlignment="1">
      <alignment horizontal="left" vertical="center" indent="1"/>
    </xf>
    <xf numFmtId="0" fontId="29" fillId="8" borderId="25" xfId="2" applyFont="1" applyFill="1" applyBorder="1" applyAlignment="1">
      <alignment horizontal="left" vertical="center"/>
    </xf>
    <xf numFmtId="0" fontId="30" fillId="8" borderId="21" xfId="2" applyFont="1" applyFill="1" applyBorder="1" applyAlignment="1">
      <alignment horizontal="center" vertical="center"/>
    </xf>
    <xf numFmtId="0" fontId="30" fillId="8" borderId="21" xfId="2" applyFont="1" applyFill="1" applyBorder="1" applyAlignment="1">
      <alignment horizontal="right" vertical="center"/>
    </xf>
    <xf numFmtId="0" fontId="30" fillId="8" borderId="23" xfId="2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35" fillId="8" borderId="27" xfId="2" applyFont="1" applyFill="1" applyBorder="1" applyAlignment="1">
      <alignment horizontal="left" vertical="center"/>
    </xf>
    <xf numFmtId="0" fontId="0" fillId="0" borderId="2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9" fillId="8" borderId="27" xfId="2" applyFont="1" applyFill="1" applyBorder="1" applyAlignment="1">
      <alignment horizontal="left" vertical="center"/>
    </xf>
    <xf numFmtId="2" fontId="2" fillId="0" borderId="27" xfId="0" applyNumberFormat="1" applyFont="1" applyFill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2"/>
    </xf>
    <xf numFmtId="0" fontId="0" fillId="0" borderId="27" xfId="0" applyFont="1" applyFill="1" applyBorder="1" applyAlignment="1">
      <alignment horizontal="left" vertical="center" indent="1"/>
    </xf>
    <xf numFmtId="0" fontId="0" fillId="0" borderId="27" xfId="0" applyFill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37" fillId="0" borderId="0" xfId="0" applyFont="1" applyBorder="1" applyAlignment="1">
      <alignment vertical="center"/>
    </xf>
    <xf numFmtId="0" fontId="34" fillId="0" borderId="0" xfId="4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2" fontId="0" fillId="9" borderId="2" xfId="0" applyNumberFormat="1" applyFill="1" applyBorder="1" applyAlignment="1">
      <alignment horizontal="center" vertical="center"/>
    </xf>
    <xf numFmtId="2" fontId="0" fillId="9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left" vertical="center" indent="1"/>
    </xf>
    <xf numFmtId="2" fontId="0" fillId="0" borderId="0" xfId="0" applyNumberFormat="1" applyFill="1" applyBorder="1" applyAlignment="1">
      <alignment horizontal="center" vertical="center"/>
    </xf>
    <xf numFmtId="0" fontId="2" fillId="11" borderId="0" xfId="0" applyFont="1" applyFill="1" applyBorder="1" applyAlignment="1">
      <alignment vertical="center"/>
    </xf>
    <xf numFmtId="0" fontId="0" fillId="11" borderId="0" xfId="0" applyFont="1" applyFill="1" applyBorder="1" applyAlignment="1">
      <alignment vertical="center"/>
    </xf>
    <xf numFmtId="0" fontId="0" fillId="11" borderId="0" xfId="0" applyFont="1" applyFill="1" applyBorder="1" applyAlignment="1">
      <alignment horizontal="right" vertical="center"/>
    </xf>
    <xf numFmtId="0" fontId="0" fillId="11" borderId="0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left" vertical="center" indent="1"/>
    </xf>
    <xf numFmtId="0" fontId="0" fillId="11" borderId="0" xfId="0" applyFill="1" applyBorder="1" applyAlignment="1">
      <alignment vertical="center"/>
    </xf>
    <xf numFmtId="0" fontId="0" fillId="11" borderId="0" xfId="0" applyFill="1" applyBorder="1" applyAlignment="1">
      <alignment horizontal="right" vertical="center"/>
    </xf>
    <xf numFmtId="0" fontId="0" fillId="11" borderId="0" xfId="0" applyFill="1" applyBorder="1" applyAlignment="1">
      <alignment horizontal="center" vertical="center"/>
    </xf>
    <xf numFmtId="0" fontId="0" fillId="11" borderId="6" xfId="0" applyFill="1" applyBorder="1" applyAlignment="1">
      <alignment horizontal="left" vertical="center" indent="1"/>
    </xf>
    <xf numFmtId="2" fontId="0" fillId="0" borderId="0" xfId="0" applyNumberFormat="1" applyFont="1" applyFill="1" applyBorder="1" applyAlignment="1">
      <alignment horizontal="center" vertical="center"/>
    </xf>
    <xf numFmtId="0" fontId="36" fillId="6" borderId="27" xfId="2" applyFont="1" applyFill="1" applyBorder="1" applyAlignment="1">
      <alignment horizontal="left" vertical="center"/>
    </xf>
    <xf numFmtId="0" fontId="28" fillId="6" borderId="0" xfId="2" applyFont="1" applyFill="1" applyBorder="1" applyAlignment="1">
      <alignment horizontal="center" vertical="center"/>
    </xf>
    <xf numFmtId="0" fontId="28" fillId="6" borderId="0" xfId="2" applyFont="1" applyFill="1" applyBorder="1" applyAlignment="1">
      <alignment horizontal="right" vertical="center"/>
    </xf>
    <xf numFmtId="0" fontId="28" fillId="6" borderId="6" xfId="2" applyFont="1" applyFill="1" applyBorder="1" applyAlignment="1">
      <alignment horizontal="left" vertical="center"/>
    </xf>
    <xf numFmtId="0" fontId="36" fillId="6" borderId="0" xfId="2" applyFont="1" applyFill="1" applyBorder="1" applyAlignment="1">
      <alignment horizontal="center" vertical="center"/>
    </xf>
    <xf numFmtId="0" fontId="27" fillId="6" borderId="27" xfId="2" applyFont="1" applyFill="1" applyBorder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0" fillId="0" borderId="9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7" xfId="0" applyFill="1" applyBorder="1" applyAlignment="1">
      <alignment horizontal="left" vertical="center" indent="1"/>
    </xf>
    <xf numFmtId="165" fontId="0" fillId="0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30" fillId="8" borderId="0" xfId="2" applyFont="1" applyFill="1" applyBorder="1" applyAlignment="1">
      <alignment horizontal="left" vertical="center"/>
    </xf>
    <xf numFmtId="0" fontId="28" fillId="2" borderId="0" xfId="2" applyFont="1" applyFill="1" applyBorder="1" applyAlignment="1">
      <alignment horizontal="left" vertical="center"/>
    </xf>
    <xf numFmtId="0" fontId="33" fillId="0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29" fillId="8" borderId="0" xfId="2" applyFont="1" applyFill="1" applyBorder="1" applyAlignment="1">
      <alignment horizontal="center" vertical="center"/>
    </xf>
    <xf numFmtId="0" fontId="26" fillId="2" borderId="0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1" fontId="15" fillId="0" borderId="15" xfId="2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2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ont="1" applyFill="1" applyBorder="1" applyAlignment="1">
      <alignment horizontal="left" vertical="center" indent="2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11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0" fillId="11" borderId="0" xfId="0" applyFill="1" applyBorder="1" applyAlignment="1">
      <alignment horizontal="left" vertical="center" indent="1"/>
    </xf>
    <xf numFmtId="0" fontId="28" fillId="0" borderId="0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right" vertical="center"/>
    </xf>
    <xf numFmtId="0" fontId="28" fillId="0" borderId="0" xfId="2" applyFont="1" applyFill="1" applyBorder="1" applyAlignment="1">
      <alignment horizontal="left" vertical="center"/>
    </xf>
    <xf numFmtId="0" fontId="36" fillId="0" borderId="0" xfId="2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29" fillId="8" borderId="0" xfId="2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27" fillId="2" borderId="0" xfId="2" applyFont="1" applyFill="1" applyBorder="1" applyAlignment="1">
      <alignment horizontal="center" vertical="center"/>
    </xf>
    <xf numFmtId="0" fontId="36" fillId="2" borderId="0" xfId="2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6" fillId="0" borderId="0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6" fillId="0" borderId="0" xfId="2" applyFont="1" applyFill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 indent="1"/>
    </xf>
    <xf numFmtId="0" fontId="39" fillId="0" borderId="19" xfId="0" applyFont="1" applyBorder="1" applyAlignment="1">
      <alignment horizontal="right" vertical="center"/>
    </xf>
    <xf numFmtId="0" fontId="39" fillId="0" borderId="20" xfId="0" applyFont="1" applyBorder="1" applyAlignment="1">
      <alignment horizontal="right" vertical="center"/>
    </xf>
    <xf numFmtId="0" fontId="39" fillId="0" borderId="25" xfId="0" applyFont="1" applyBorder="1" applyAlignment="1">
      <alignment horizontal="left" vertical="center" indent="1"/>
    </xf>
    <xf numFmtId="0" fontId="39" fillId="0" borderId="5" xfId="0" applyFont="1" applyBorder="1" applyAlignment="1">
      <alignment horizontal="left" vertical="center" indent="1"/>
    </xf>
    <xf numFmtId="2" fontId="45" fillId="10" borderId="2" xfId="0" applyNumberFormat="1" applyFont="1" applyFill="1" applyBorder="1" applyAlignment="1">
      <alignment horizontal="center" vertical="center"/>
    </xf>
    <xf numFmtId="0" fontId="45" fillId="10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165" fontId="2" fillId="6" borderId="20" xfId="0" applyNumberFormat="1" applyFont="1" applyFill="1" applyBorder="1" applyAlignment="1">
      <alignment horizontal="center" vertical="center"/>
    </xf>
    <xf numFmtId="11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0" fillId="0" borderId="27" xfId="0" applyBorder="1" applyAlignment="1">
      <alignment horizontal="right" vertical="center" indent="1"/>
    </xf>
    <xf numFmtId="0" fontId="0" fillId="0" borderId="2" xfId="0" applyFont="1" applyBorder="1" applyAlignment="1">
      <alignment horizontal="center" vertical="center" wrapText="1"/>
    </xf>
    <xf numFmtId="0" fontId="36" fillId="2" borderId="0" xfId="2" applyFont="1" applyFill="1" applyBorder="1" applyAlignment="1">
      <alignment horizontal="center" vertical="center"/>
    </xf>
    <xf numFmtId="0" fontId="47" fillId="12" borderId="0" xfId="0" applyFont="1" applyFill="1" applyAlignment="1">
      <alignment vertical="center"/>
    </xf>
    <xf numFmtId="0" fontId="48" fillId="12" borderId="0" xfId="0" applyFont="1" applyFill="1" applyAlignment="1">
      <alignment horizontal="center" vertical="center"/>
    </xf>
    <xf numFmtId="0" fontId="48" fillId="12" borderId="0" xfId="0" applyFont="1" applyFill="1" applyAlignment="1">
      <alignment vertical="center"/>
    </xf>
    <xf numFmtId="0" fontId="48" fillId="12" borderId="0" xfId="0" quotePrefix="1" applyFont="1" applyFill="1" applyAlignment="1">
      <alignment vertical="center"/>
    </xf>
    <xf numFmtId="0" fontId="49" fillId="12" borderId="0" xfId="4" quotePrefix="1" applyFont="1" applyFill="1" applyAlignment="1">
      <alignment vertical="center"/>
    </xf>
    <xf numFmtId="0" fontId="14" fillId="12" borderId="0" xfId="0" applyFont="1" applyFill="1" applyAlignment="1">
      <alignment vertical="center"/>
    </xf>
    <xf numFmtId="0" fontId="50" fillId="12" borderId="0" xfId="0" applyFont="1" applyFill="1" applyAlignment="1">
      <alignment vertical="center"/>
    </xf>
    <xf numFmtId="0" fontId="14" fillId="12" borderId="0" xfId="0" applyFont="1" applyFill="1" applyAlignment="1">
      <alignment vertical="center" wrapText="1"/>
    </xf>
    <xf numFmtId="0" fontId="51" fillId="12" borderId="0" xfId="4" applyFont="1" applyFill="1" applyAlignment="1">
      <alignment vertical="center"/>
    </xf>
    <xf numFmtId="0" fontId="52" fillId="1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4" fillId="7" borderId="20" xfId="2" applyFont="1" applyFill="1" applyBorder="1" applyAlignment="1">
      <alignment horizontal="center" vertical="center"/>
    </xf>
    <xf numFmtId="0" fontId="14" fillId="7" borderId="2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left" vertical="center" indent="2"/>
    </xf>
    <xf numFmtId="0" fontId="14" fillId="3" borderId="0" xfId="2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6" fillId="2" borderId="0" xfId="2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20" fontId="0" fillId="0" borderId="14" xfId="0" quotePrefix="1" applyNumberForma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34" fillId="0" borderId="14" xfId="4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</cellXfs>
  <cellStyles count="5">
    <cellStyle name="Comma [0]" xfId="3" builtinId="6"/>
    <cellStyle name="Hyperlink" xfId="4" builtinId="8"/>
    <cellStyle name="Normal" xfId="0" builtinId="0"/>
    <cellStyle name="Normal 2" xfId="2" xr:uid="{35AA8426-B4FC-42EA-B1E7-7EA59102A460}"/>
    <cellStyle name="Percent" xfId="1" builtinId="5"/>
  </cellStyles>
  <dxfs count="32"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MOMEN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- Pembebanan'!$T$109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Pembebanan'!$T$111:$T$131</c:f>
              <c:numCache>
                <c:formatCode>0.00</c:formatCode>
                <c:ptCount val="21"/>
                <c:pt idx="0">
                  <c:v>0</c:v>
                </c:pt>
                <c:pt idx="1">
                  <c:v>2250.5697023597927</c:v>
                </c:pt>
                <c:pt idx="2">
                  <c:v>4393.5816215551677</c:v>
                </c:pt>
                <c:pt idx="3">
                  <c:v>6429.0357575861262</c:v>
                </c:pt>
                <c:pt idx="4">
                  <c:v>8356.9321104526698</c:v>
                </c:pt>
                <c:pt idx="5">
                  <c:v>10177.270680154794</c:v>
                </c:pt>
                <c:pt idx="6">
                  <c:v>11890.051466692503</c:v>
                </c:pt>
                <c:pt idx="7">
                  <c:v>13495.274470065795</c:v>
                </c:pt>
                <c:pt idx="8">
                  <c:v>14992.93969027467</c:v>
                </c:pt>
                <c:pt idx="9">
                  <c:v>16383.047127319127</c:v>
                </c:pt>
                <c:pt idx="10">
                  <c:v>17665.596781199169</c:v>
                </c:pt>
                <c:pt idx="11">
                  <c:v>18840.588651914797</c:v>
                </c:pt>
                <c:pt idx="12">
                  <c:v>19908.022739466003</c:v>
                </c:pt>
                <c:pt idx="13">
                  <c:v>20867.899043852798</c:v>
                </c:pt>
                <c:pt idx="14">
                  <c:v>21720.217565075171</c:v>
                </c:pt>
                <c:pt idx="15">
                  <c:v>22464.978303133128</c:v>
                </c:pt>
                <c:pt idx="16">
                  <c:v>23102.181258026674</c:v>
                </c:pt>
                <c:pt idx="17">
                  <c:v>23631.826429755798</c:v>
                </c:pt>
                <c:pt idx="18">
                  <c:v>24053.913818320503</c:v>
                </c:pt>
                <c:pt idx="19">
                  <c:v>24368.443423720797</c:v>
                </c:pt>
                <c:pt idx="20">
                  <c:v>24575.415245956672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8E-4828-AA21-74FFB6501212}"/>
            </c:ext>
          </c:extLst>
        </c:ser>
        <c:ser>
          <c:idx val="1"/>
          <c:order val="1"/>
          <c:tx>
            <c:strRef>
              <c:f>'Process - Pembebanan'!$U$109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Pembebanan'!$U$111:$U$131</c:f>
              <c:numCache>
                <c:formatCode>0.00</c:formatCode>
                <c:ptCount val="21"/>
                <c:pt idx="0">
                  <c:v>0</c:v>
                </c:pt>
                <c:pt idx="1">
                  <c:v>3482.7635828016</c:v>
                </c:pt>
                <c:pt idx="2">
                  <c:v>6801.0647908532001</c:v>
                </c:pt>
                <c:pt idx="3">
                  <c:v>9954.9036241548001</c:v>
                </c:pt>
                <c:pt idx="4">
                  <c:v>12944.2800827064</c:v>
                </c:pt>
                <c:pt idx="5">
                  <c:v>15769.194166508001</c:v>
                </c:pt>
                <c:pt idx="6">
                  <c:v>18429.6458755596</c:v>
                </c:pt>
                <c:pt idx="7">
                  <c:v>20925.635209861201</c:v>
                </c:pt>
                <c:pt idx="8">
                  <c:v>23257.162169412801</c:v>
                </c:pt>
                <c:pt idx="9">
                  <c:v>25424.2267542144</c:v>
                </c:pt>
                <c:pt idx="10">
                  <c:v>27426.828964266002</c:v>
                </c:pt>
                <c:pt idx="11">
                  <c:v>29264.968799567603</c:v>
                </c:pt>
                <c:pt idx="12">
                  <c:v>30938.6462601192</c:v>
                </c:pt>
                <c:pt idx="13">
                  <c:v>32447.861345920799</c:v>
                </c:pt>
                <c:pt idx="14">
                  <c:v>33792.614056972394</c:v>
                </c:pt>
                <c:pt idx="15">
                  <c:v>34972.904393274002</c:v>
                </c:pt>
                <c:pt idx="16">
                  <c:v>35988.732354825595</c:v>
                </c:pt>
                <c:pt idx="17">
                  <c:v>36840.097941627202</c:v>
                </c:pt>
                <c:pt idx="18">
                  <c:v>37527.001153678793</c:v>
                </c:pt>
                <c:pt idx="19">
                  <c:v>38049.441990980398</c:v>
                </c:pt>
                <c:pt idx="20">
                  <c:v>38407.420453532002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8E-4828-AA21-74FFB6501212}"/>
            </c:ext>
          </c:extLst>
        </c:ser>
        <c:ser>
          <c:idx val="2"/>
          <c:order val="2"/>
          <c:tx>
            <c:strRef>
              <c:f>'Process - Pembebanan'!$V$109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Pembebanan'!$V$111:$V$131</c:f>
              <c:numCache>
                <c:formatCode>0.00</c:formatCode>
                <c:ptCount val="21"/>
                <c:pt idx="0">
                  <c:v>0</c:v>
                </c:pt>
                <c:pt idx="1">
                  <c:v>3114.361410540133</c:v>
                </c:pt>
                <c:pt idx="2">
                  <c:v>6080.0104463302669</c:v>
                </c:pt>
                <c:pt idx="3">
                  <c:v>8896.9471073704008</c:v>
                </c:pt>
                <c:pt idx="4">
                  <c:v>11565.171393660534</c:v>
                </c:pt>
                <c:pt idx="5">
                  <c:v>14084.683305200668</c:v>
                </c:pt>
                <c:pt idx="6">
                  <c:v>16455.482841990801</c:v>
                </c:pt>
                <c:pt idx="7">
                  <c:v>18677.570004030931</c:v>
                </c:pt>
                <c:pt idx="8">
                  <c:v>20750.944791321068</c:v>
                </c:pt>
                <c:pt idx="9">
                  <c:v>22675.6072038612</c:v>
                </c:pt>
                <c:pt idx="10">
                  <c:v>24451.557241651331</c:v>
                </c:pt>
                <c:pt idx="11">
                  <c:v>26078.794904691469</c:v>
                </c:pt>
                <c:pt idx="12">
                  <c:v>27557.320192981599</c:v>
                </c:pt>
                <c:pt idx="13">
                  <c:v>28887.133106521731</c:v>
                </c:pt>
                <c:pt idx="14">
                  <c:v>30068.233645311862</c:v>
                </c:pt>
                <c:pt idx="15">
                  <c:v>31100.621809352</c:v>
                </c:pt>
                <c:pt idx="16">
                  <c:v>31984.29759864213</c:v>
                </c:pt>
                <c:pt idx="17">
                  <c:v>32719.261013182266</c:v>
                </c:pt>
                <c:pt idx="18">
                  <c:v>33305.512052972394</c:v>
                </c:pt>
                <c:pt idx="19">
                  <c:v>33743.050718012528</c:v>
                </c:pt>
                <c:pt idx="20">
                  <c:v>34031.877008302661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8E-4828-AA21-74FFB6501212}"/>
            </c:ext>
          </c:extLst>
        </c:ser>
        <c:ser>
          <c:idx val="3"/>
          <c:order val="3"/>
          <c:tx>
            <c:strRef>
              <c:f>'Process - Pembebanan'!$W$109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Pembebanan'!$W$111:$W$131</c:f>
              <c:numCache>
                <c:formatCode>0.00</c:formatCode>
                <c:ptCount val="21"/>
                <c:pt idx="0">
                  <c:v>0</c:v>
                </c:pt>
                <c:pt idx="1">
                  <c:v>2092.6782649619195</c:v>
                </c:pt>
                <c:pt idx="2">
                  <c:v>4078.0396958232272</c:v>
                </c:pt>
                <c:pt idx="3">
                  <c:v>5956.0842925839243</c:v>
                </c:pt>
                <c:pt idx="4">
                  <c:v>7726.8120552440096</c:v>
                </c:pt>
                <c:pt idx="5">
                  <c:v>9390.2229838034837</c:v>
                </c:pt>
                <c:pt idx="6">
                  <c:v>10946.317078262346</c:v>
                </c:pt>
                <c:pt idx="7">
                  <c:v>12395.0943386206</c:v>
                </c:pt>
                <c:pt idx="8">
                  <c:v>13736.554764878239</c:v>
                </c:pt>
                <c:pt idx="9">
                  <c:v>14970.69835703527</c:v>
                </c:pt>
                <c:pt idx="10">
                  <c:v>16097.525115091687</c:v>
                </c:pt>
                <c:pt idx="11">
                  <c:v>17117.035039047496</c:v>
                </c:pt>
                <c:pt idx="12">
                  <c:v>18029.228128902691</c:v>
                </c:pt>
                <c:pt idx="13">
                  <c:v>18834.104384657272</c:v>
                </c:pt>
                <c:pt idx="14">
                  <c:v>19531.663806311244</c:v>
                </c:pt>
                <c:pt idx="15">
                  <c:v>20121.906393864607</c:v>
                </c:pt>
                <c:pt idx="16">
                  <c:v>20604.832147317356</c:v>
                </c:pt>
                <c:pt idx="17">
                  <c:v>20980.441066669497</c:v>
                </c:pt>
                <c:pt idx="18">
                  <c:v>21248.733151921024</c:v>
                </c:pt>
                <c:pt idx="19">
                  <c:v>21409.708403071942</c:v>
                </c:pt>
                <c:pt idx="20">
                  <c:v>21463.366820122246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C8E-4828-AA21-74FFB6501212}"/>
            </c:ext>
          </c:extLst>
        </c:ser>
        <c:ser>
          <c:idx val="4"/>
          <c:order val="4"/>
          <c:tx>
            <c:strRef>
              <c:f>'Process - Pembebanan'!$X$109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Pembebanan'!$X$111:$X$131</c:f>
              <c:numCache>
                <c:formatCode>0.00</c:formatCode>
                <c:ptCount val="21"/>
                <c:pt idx="0">
                  <c:v>0</c:v>
                </c:pt>
                <c:pt idx="1">
                  <c:v>1824.9538076250001</c:v>
                </c:pt>
                <c:pt idx="2">
                  <c:v>3556.3202405000002</c:v>
                </c:pt>
                <c:pt idx="3">
                  <c:v>5194.0992986250003</c:v>
                </c:pt>
                <c:pt idx="4">
                  <c:v>6738.2909820000004</c:v>
                </c:pt>
                <c:pt idx="5">
                  <c:v>8188.8952906250006</c:v>
                </c:pt>
                <c:pt idx="6">
                  <c:v>9545.9122244999999</c:v>
                </c:pt>
                <c:pt idx="7">
                  <c:v>10809.341783625001</c:v>
                </c:pt>
                <c:pt idx="8">
                  <c:v>11979.183968000001</c:v>
                </c:pt>
                <c:pt idx="9">
                  <c:v>13055.438777625001</c:v>
                </c:pt>
                <c:pt idx="10">
                  <c:v>14038.106212500001</c:v>
                </c:pt>
                <c:pt idx="11">
                  <c:v>14927.186272625002</c:v>
                </c:pt>
                <c:pt idx="12">
                  <c:v>15722.678958</c:v>
                </c:pt>
                <c:pt idx="13">
                  <c:v>16424.584268625</c:v>
                </c:pt>
                <c:pt idx="14">
                  <c:v>17032.902204499998</c:v>
                </c:pt>
                <c:pt idx="15">
                  <c:v>17547.632765625</c:v>
                </c:pt>
                <c:pt idx="16">
                  <c:v>17968.775952</c:v>
                </c:pt>
                <c:pt idx="17">
                  <c:v>18296.331763624999</c:v>
                </c:pt>
                <c:pt idx="18">
                  <c:v>18530.300200499998</c:v>
                </c:pt>
                <c:pt idx="19">
                  <c:v>18670.681262624999</c:v>
                </c:pt>
                <c:pt idx="20">
                  <c:v>18717.47495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C8E-4828-AA21-74FFB6501212}"/>
            </c:ext>
          </c:extLst>
        </c:ser>
        <c:ser>
          <c:idx val="5"/>
          <c:order val="5"/>
          <c:tx>
            <c:strRef>
              <c:f>'Process - Pembebanan'!$Y$109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Pembebanan'!$Y$111:$Y$131</c:f>
              <c:numCache>
                <c:formatCode>0.00</c:formatCode>
                <c:ptCount val="21"/>
                <c:pt idx="0">
                  <c:v>0</c:v>
                </c:pt>
                <c:pt idx="1">
                  <c:v>1924.3241882926914</c:v>
                </c:pt>
                <c:pt idx="2">
                  <c:v>3749.9650848780652</c:v>
                </c:pt>
                <c:pt idx="3">
                  <c:v>5476.9226897561211</c:v>
                </c:pt>
                <c:pt idx="4">
                  <c:v>7105.1970029268605</c:v>
                </c:pt>
                <c:pt idx="5">
                  <c:v>8634.7880243902819</c:v>
                </c:pt>
                <c:pt idx="6">
                  <c:v>10065.695754146383</c:v>
                </c:pt>
                <c:pt idx="7">
                  <c:v>11397.920192195172</c:v>
                </c:pt>
                <c:pt idx="8">
                  <c:v>12631.461338536641</c:v>
                </c:pt>
                <c:pt idx="9">
                  <c:v>13766.319193170792</c:v>
                </c:pt>
                <c:pt idx="10">
                  <c:v>14802.493756097625</c:v>
                </c:pt>
                <c:pt idx="11">
                  <c:v>15739.985027317143</c:v>
                </c:pt>
                <c:pt idx="12">
                  <c:v>16578.793006829339</c:v>
                </c:pt>
                <c:pt idx="13">
                  <c:v>17318.91769463422</c:v>
                </c:pt>
                <c:pt idx="14">
                  <c:v>17960.359090731785</c:v>
                </c:pt>
                <c:pt idx="15">
                  <c:v>18503.117195122031</c:v>
                </c:pt>
                <c:pt idx="16">
                  <c:v>18947.192007804959</c:v>
                </c:pt>
                <c:pt idx="17">
                  <c:v>19292.583528780571</c:v>
                </c:pt>
                <c:pt idx="18">
                  <c:v>19539.291758048865</c:v>
                </c:pt>
                <c:pt idx="19">
                  <c:v>19687.316695609843</c:v>
                </c:pt>
                <c:pt idx="20">
                  <c:v>19736.658341463502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C8E-4828-AA21-74FFB6501212}"/>
            </c:ext>
          </c:extLst>
        </c:ser>
        <c:ser>
          <c:idx val="6"/>
          <c:order val="6"/>
          <c:tx>
            <c:strRef>
              <c:f>'Process - Pembebanan'!$Z$109</c:f>
              <c:strCache>
                <c:ptCount val="1"/>
                <c:pt idx="0">
                  <c:v>ENVE KUAT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Pembebanan'!$Z$111:$Z$131</c:f>
              <c:numCache>
                <c:formatCode>0.00</c:formatCode>
                <c:ptCount val="21"/>
                <c:pt idx="0">
                  <c:v>0</c:v>
                </c:pt>
                <c:pt idx="1">
                  <c:v>3482.7635828016</c:v>
                </c:pt>
                <c:pt idx="2">
                  <c:v>6801.0647908532001</c:v>
                </c:pt>
                <c:pt idx="3">
                  <c:v>9954.9036241548001</c:v>
                </c:pt>
                <c:pt idx="4">
                  <c:v>12944.2800827064</c:v>
                </c:pt>
                <c:pt idx="5">
                  <c:v>15769.194166508001</c:v>
                </c:pt>
                <c:pt idx="6">
                  <c:v>18429.6458755596</c:v>
                </c:pt>
                <c:pt idx="7">
                  <c:v>20925.635209861201</c:v>
                </c:pt>
                <c:pt idx="8">
                  <c:v>23257.162169412801</c:v>
                </c:pt>
                <c:pt idx="9">
                  <c:v>25424.2267542144</c:v>
                </c:pt>
                <c:pt idx="10">
                  <c:v>27426.828964266002</c:v>
                </c:pt>
                <c:pt idx="11">
                  <c:v>29264.968799567603</c:v>
                </c:pt>
                <c:pt idx="12">
                  <c:v>30938.6462601192</c:v>
                </c:pt>
                <c:pt idx="13">
                  <c:v>32447.861345920799</c:v>
                </c:pt>
                <c:pt idx="14">
                  <c:v>33792.614056972394</c:v>
                </c:pt>
                <c:pt idx="15">
                  <c:v>34972.904393274002</c:v>
                </c:pt>
                <c:pt idx="16">
                  <c:v>35988.732354825595</c:v>
                </c:pt>
                <c:pt idx="17">
                  <c:v>36840.097941627202</c:v>
                </c:pt>
                <c:pt idx="18">
                  <c:v>37527.001153678793</c:v>
                </c:pt>
                <c:pt idx="19">
                  <c:v>38049.441990980398</c:v>
                </c:pt>
                <c:pt idx="20">
                  <c:v>38407.420453532002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C8E-4828-AA21-74FFB650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Momen, kN.m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GESER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- Pembebanan'!$T$135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Pembebanan'!$T$137:$T$157</c:f>
              <c:numCache>
                <c:formatCode>0.00</c:formatCode>
                <c:ptCount val="21"/>
                <c:pt idx="0">
                  <c:v>1721.9687391012847</c:v>
                </c:pt>
                <c:pt idx="1">
                  <c:v>1635.9225125697512</c:v>
                </c:pt>
                <c:pt idx="2">
                  <c:v>1549.876286038218</c:v>
                </c:pt>
                <c:pt idx="3">
                  <c:v>1463.8300595066846</c:v>
                </c:pt>
                <c:pt idx="4">
                  <c:v>1377.7838329751514</c:v>
                </c:pt>
                <c:pt idx="5">
                  <c:v>1291.737606443618</c:v>
                </c:pt>
                <c:pt idx="6">
                  <c:v>1205.6913799120848</c:v>
                </c:pt>
                <c:pt idx="7">
                  <c:v>1119.6451533805512</c:v>
                </c:pt>
                <c:pt idx="8">
                  <c:v>1033.5989268490177</c:v>
                </c:pt>
                <c:pt idx="9">
                  <c:v>947.55270031748444</c:v>
                </c:pt>
                <c:pt idx="10">
                  <c:v>861.50647378595102</c:v>
                </c:pt>
                <c:pt idx="11">
                  <c:v>775.46024725441748</c:v>
                </c:pt>
                <c:pt idx="12">
                  <c:v>689.4140207228844</c:v>
                </c:pt>
                <c:pt idx="13">
                  <c:v>603.36779419135109</c:v>
                </c:pt>
                <c:pt idx="14">
                  <c:v>517.32156765981756</c:v>
                </c:pt>
                <c:pt idx="15">
                  <c:v>431.27534112828425</c:v>
                </c:pt>
                <c:pt idx="16">
                  <c:v>345.22911459675089</c:v>
                </c:pt>
                <c:pt idx="17">
                  <c:v>259.18288806521758</c:v>
                </c:pt>
                <c:pt idx="18">
                  <c:v>173.13666153368425</c:v>
                </c:pt>
                <c:pt idx="19">
                  <c:v>87.090435002150869</c:v>
                </c:pt>
                <c:pt idx="20">
                  <c:v>1.0442084706175125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AC-4187-86E5-635C0A804E55}"/>
            </c:ext>
          </c:extLst>
        </c:ser>
        <c:ser>
          <c:idx val="1"/>
          <c:order val="1"/>
          <c:tx>
            <c:strRef>
              <c:f>'Process - Pembebanan'!$U$135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Pembebanan'!$U$137:$U$157</c:f>
              <c:numCache>
                <c:formatCode>0.00</c:formatCode>
                <c:ptCount val="21"/>
                <c:pt idx="0">
                  <c:v>2633.2775712471116</c:v>
                </c:pt>
                <c:pt idx="1">
                  <c:v>2501.7076714471114</c:v>
                </c:pt>
                <c:pt idx="2">
                  <c:v>2370.1377716471115</c:v>
                </c:pt>
                <c:pt idx="3">
                  <c:v>2238.5678718471117</c:v>
                </c:pt>
                <c:pt idx="4">
                  <c:v>2106.9979720471119</c:v>
                </c:pt>
                <c:pt idx="5">
                  <c:v>1975.4280722471115</c:v>
                </c:pt>
                <c:pt idx="6">
                  <c:v>1843.8581724471114</c:v>
                </c:pt>
                <c:pt idx="7">
                  <c:v>1712.2882726471116</c:v>
                </c:pt>
                <c:pt idx="8">
                  <c:v>1580.7183728471116</c:v>
                </c:pt>
                <c:pt idx="9">
                  <c:v>1449.1484730471116</c:v>
                </c:pt>
                <c:pt idx="10">
                  <c:v>1317.5785732471115</c:v>
                </c:pt>
                <c:pt idx="11">
                  <c:v>1186.0086734471113</c:v>
                </c:pt>
                <c:pt idx="12">
                  <c:v>1054.4387736471117</c:v>
                </c:pt>
                <c:pt idx="13">
                  <c:v>922.86887384711156</c:v>
                </c:pt>
                <c:pt idx="14">
                  <c:v>791.29897404711164</c:v>
                </c:pt>
                <c:pt idx="15">
                  <c:v>659.72907424711161</c:v>
                </c:pt>
                <c:pt idx="16">
                  <c:v>528.15917444711158</c:v>
                </c:pt>
                <c:pt idx="17">
                  <c:v>396.58927464711155</c:v>
                </c:pt>
                <c:pt idx="18">
                  <c:v>265.01937484711158</c:v>
                </c:pt>
                <c:pt idx="19">
                  <c:v>133.44947504711155</c:v>
                </c:pt>
                <c:pt idx="20">
                  <c:v>1.8795752471115226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AC-4187-86E5-635C0A804E55}"/>
            </c:ext>
          </c:extLst>
        </c:ser>
        <c:ser>
          <c:idx val="2"/>
          <c:order val="2"/>
          <c:tx>
            <c:strRef>
              <c:f>'Process - Pembebanan'!$V$135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Pembebanan'!$V$137:$V$157</c:f>
              <c:numCache>
                <c:formatCode>0.00</c:formatCode>
                <c:ptCount val="21"/>
                <c:pt idx="0">
                  <c:v>2380.8598878588646</c:v>
                </c:pt>
                <c:pt idx="1">
                  <c:v>2261.8899880588642</c:v>
                </c:pt>
                <c:pt idx="2">
                  <c:v>2142.9200882588648</c:v>
                </c:pt>
                <c:pt idx="3">
                  <c:v>2023.9501884588644</c:v>
                </c:pt>
                <c:pt idx="4">
                  <c:v>1904.9802886588645</c:v>
                </c:pt>
                <c:pt idx="5">
                  <c:v>1786.0103888588644</c:v>
                </c:pt>
                <c:pt idx="6">
                  <c:v>1667.0404890588643</c:v>
                </c:pt>
                <c:pt idx="7">
                  <c:v>1548.0705892588644</c:v>
                </c:pt>
                <c:pt idx="8">
                  <c:v>1429.1006894588645</c:v>
                </c:pt>
                <c:pt idx="9">
                  <c:v>1310.1307896588646</c:v>
                </c:pt>
                <c:pt idx="10">
                  <c:v>1191.1608898588645</c:v>
                </c:pt>
                <c:pt idx="11">
                  <c:v>1072.1909900588644</c:v>
                </c:pt>
                <c:pt idx="12">
                  <c:v>953.22109025886459</c:v>
                </c:pt>
                <c:pt idx="13">
                  <c:v>834.25119045886458</c:v>
                </c:pt>
                <c:pt idx="14">
                  <c:v>715.28129065886446</c:v>
                </c:pt>
                <c:pt idx="15">
                  <c:v>596.31139085886457</c:v>
                </c:pt>
                <c:pt idx="16">
                  <c:v>477.34149105886456</c:v>
                </c:pt>
                <c:pt idx="17">
                  <c:v>358.37159125886456</c:v>
                </c:pt>
                <c:pt idx="18">
                  <c:v>239.40169145886455</c:v>
                </c:pt>
                <c:pt idx="19">
                  <c:v>120.43179165886453</c:v>
                </c:pt>
                <c:pt idx="20">
                  <c:v>1.4618918588645176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AC-4187-86E5-635C0A804E55}"/>
            </c:ext>
          </c:extLst>
        </c:ser>
        <c:ser>
          <c:idx val="3"/>
          <c:order val="3"/>
          <c:tx>
            <c:strRef>
              <c:f>'Process - Pembebanan'!$W$135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Pembebanan'!$W$137:$W$157</c:f>
              <c:numCache>
                <c:formatCode>0.00</c:formatCode>
                <c:ptCount val="21"/>
                <c:pt idx="0">
                  <c:v>1717.0693456097799</c:v>
                </c:pt>
                <c:pt idx="1">
                  <c:v>1631.2158783292907</c:v>
                </c:pt>
                <c:pt idx="2">
                  <c:v>1545.3624110488022</c:v>
                </c:pt>
                <c:pt idx="3">
                  <c:v>1459.5089437683127</c:v>
                </c:pt>
                <c:pt idx="4">
                  <c:v>1373.6554764878242</c:v>
                </c:pt>
                <c:pt idx="5">
                  <c:v>1287.8020092073348</c:v>
                </c:pt>
                <c:pt idx="6">
                  <c:v>1201.9485419268458</c:v>
                </c:pt>
                <c:pt idx="7">
                  <c:v>1116.0950746463568</c:v>
                </c:pt>
                <c:pt idx="8">
                  <c:v>1030.241607365868</c:v>
                </c:pt>
                <c:pt idx="9">
                  <c:v>944.38814008537895</c:v>
                </c:pt>
                <c:pt idx="10">
                  <c:v>858.53467280488996</c:v>
                </c:pt>
                <c:pt idx="11">
                  <c:v>772.68120552440075</c:v>
                </c:pt>
                <c:pt idx="12">
                  <c:v>686.82773824391211</c:v>
                </c:pt>
                <c:pt idx="13">
                  <c:v>600.9742709634229</c:v>
                </c:pt>
                <c:pt idx="14">
                  <c:v>515.12080368293402</c:v>
                </c:pt>
                <c:pt idx="15">
                  <c:v>429.26733640244498</c:v>
                </c:pt>
                <c:pt idx="16">
                  <c:v>343.41386912195605</c:v>
                </c:pt>
                <c:pt idx="17">
                  <c:v>257.56040184146701</c:v>
                </c:pt>
                <c:pt idx="18">
                  <c:v>171.70693456097803</c:v>
                </c:pt>
                <c:pt idx="19">
                  <c:v>85.853467280489014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AC-4187-86E5-635C0A804E55}"/>
            </c:ext>
          </c:extLst>
        </c:ser>
        <c:ser>
          <c:idx val="4"/>
          <c:order val="4"/>
          <c:tx>
            <c:strRef>
              <c:f>'Process - Pembebanan'!$X$135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Pembebanan'!$X$137:$X$157</c:f>
              <c:numCache>
                <c:formatCode>0.00</c:formatCode>
                <c:ptCount val="21"/>
                <c:pt idx="0">
                  <c:v>1497.3979960000001</c:v>
                </c:pt>
                <c:pt idx="1">
                  <c:v>1422.5280961999999</c:v>
                </c:pt>
                <c:pt idx="2">
                  <c:v>1347.6581964000002</c:v>
                </c:pt>
                <c:pt idx="3">
                  <c:v>1272.7882966</c:v>
                </c:pt>
                <c:pt idx="4">
                  <c:v>1197.9183968000002</c:v>
                </c:pt>
                <c:pt idx="5">
                  <c:v>1123.048497</c:v>
                </c:pt>
                <c:pt idx="6">
                  <c:v>1048.1785972</c:v>
                </c:pt>
                <c:pt idx="7">
                  <c:v>973.30869740000003</c:v>
                </c:pt>
                <c:pt idx="8">
                  <c:v>898.43879760000004</c:v>
                </c:pt>
                <c:pt idx="9">
                  <c:v>823.56889780000006</c:v>
                </c:pt>
                <c:pt idx="10">
                  <c:v>748.69899800000007</c:v>
                </c:pt>
                <c:pt idx="11">
                  <c:v>673.82909819999986</c:v>
                </c:pt>
                <c:pt idx="12">
                  <c:v>598.9591984000001</c:v>
                </c:pt>
                <c:pt idx="13">
                  <c:v>524.08929860000001</c:v>
                </c:pt>
                <c:pt idx="14">
                  <c:v>449.21939880000002</c:v>
                </c:pt>
                <c:pt idx="15">
                  <c:v>374.34949900000004</c:v>
                </c:pt>
                <c:pt idx="16">
                  <c:v>299.47959920000005</c:v>
                </c:pt>
                <c:pt idx="17">
                  <c:v>224.60969940000001</c:v>
                </c:pt>
                <c:pt idx="18">
                  <c:v>149.73979960000003</c:v>
                </c:pt>
                <c:pt idx="19">
                  <c:v>74.869899800000013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AC-4187-86E5-635C0A804E55}"/>
            </c:ext>
          </c:extLst>
        </c:ser>
        <c:ser>
          <c:idx val="5"/>
          <c:order val="5"/>
          <c:tx>
            <c:strRef>
              <c:f>'Process - Pembebanan'!$Y$135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Pembebanan'!$Y$137:$Y$157</c:f>
              <c:numCache>
                <c:formatCode>0.00</c:formatCode>
                <c:ptCount val="21"/>
                <c:pt idx="0">
                  <c:v>1966.9028863170799</c:v>
                </c:pt>
                <c:pt idx="1">
                  <c:v>1868.557742001226</c:v>
                </c:pt>
                <c:pt idx="2">
                  <c:v>1770.212597685372</c:v>
                </c:pt>
                <c:pt idx="3">
                  <c:v>1671.867453369518</c:v>
                </c:pt>
                <c:pt idx="4">
                  <c:v>1573.5223090536642</c:v>
                </c:pt>
                <c:pt idx="5">
                  <c:v>1475.17716473781</c:v>
                </c:pt>
                <c:pt idx="6">
                  <c:v>1376.832020421956</c:v>
                </c:pt>
                <c:pt idx="7">
                  <c:v>1278.486876106102</c:v>
                </c:pt>
                <c:pt idx="8">
                  <c:v>1180.1417317902481</c:v>
                </c:pt>
                <c:pt idx="9">
                  <c:v>1081.7965874743938</c:v>
                </c:pt>
                <c:pt idx="10">
                  <c:v>983.45144315853997</c:v>
                </c:pt>
                <c:pt idx="11">
                  <c:v>885.10629884268587</c:v>
                </c:pt>
                <c:pt idx="12">
                  <c:v>786.76115452683212</c:v>
                </c:pt>
                <c:pt idx="13">
                  <c:v>688.41601021097802</c:v>
                </c:pt>
                <c:pt idx="14">
                  <c:v>590.07086589512403</c:v>
                </c:pt>
                <c:pt idx="15">
                  <c:v>491.72572157926999</c:v>
                </c:pt>
                <c:pt idx="16">
                  <c:v>393.38057726341606</c:v>
                </c:pt>
                <c:pt idx="17">
                  <c:v>295.03543294756201</c:v>
                </c:pt>
                <c:pt idx="18">
                  <c:v>196.69028863170803</c:v>
                </c:pt>
                <c:pt idx="19">
                  <c:v>98.345144315854014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AC-4187-86E5-635C0A804E55}"/>
            </c:ext>
          </c:extLst>
        </c:ser>
        <c:ser>
          <c:idx val="6"/>
          <c:order val="6"/>
          <c:tx>
            <c:strRef>
              <c:f>'Process - Pembebanan'!$Z$135</c:f>
              <c:strCache>
                <c:ptCount val="1"/>
                <c:pt idx="0">
                  <c:v>ENVE KUAT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Pembebanan'!$Z$137:$Z$157</c:f>
              <c:numCache>
                <c:formatCode>0.00</c:formatCode>
                <c:ptCount val="21"/>
                <c:pt idx="0">
                  <c:v>2633.2775712471116</c:v>
                </c:pt>
                <c:pt idx="1">
                  <c:v>2501.7076714471114</c:v>
                </c:pt>
                <c:pt idx="2">
                  <c:v>2370.1377716471115</c:v>
                </c:pt>
                <c:pt idx="3">
                  <c:v>2238.5678718471117</c:v>
                </c:pt>
                <c:pt idx="4">
                  <c:v>2106.9979720471119</c:v>
                </c:pt>
                <c:pt idx="5">
                  <c:v>1975.4280722471115</c:v>
                </c:pt>
                <c:pt idx="6">
                  <c:v>1843.8581724471114</c:v>
                </c:pt>
                <c:pt idx="7">
                  <c:v>1712.2882726471116</c:v>
                </c:pt>
                <c:pt idx="8">
                  <c:v>1580.7183728471116</c:v>
                </c:pt>
                <c:pt idx="9">
                  <c:v>1449.1484730471116</c:v>
                </c:pt>
                <c:pt idx="10">
                  <c:v>1317.5785732471115</c:v>
                </c:pt>
                <c:pt idx="11">
                  <c:v>1186.0086734471113</c:v>
                </c:pt>
                <c:pt idx="12">
                  <c:v>1054.4387736471117</c:v>
                </c:pt>
                <c:pt idx="13">
                  <c:v>922.86887384711156</c:v>
                </c:pt>
                <c:pt idx="14">
                  <c:v>791.29897404711164</c:v>
                </c:pt>
                <c:pt idx="15">
                  <c:v>659.72907424711161</c:v>
                </c:pt>
                <c:pt idx="16">
                  <c:v>528.15917444711158</c:v>
                </c:pt>
                <c:pt idx="17">
                  <c:v>396.58927464711155</c:v>
                </c:pt>
                <c:pt idx="18">
                  <c:v>265.01937484711158</c:v>
                </c:pt>
                <c:pt idx="19">
                  <c:v>133.44947504711155</c:v>
                </c:pt>
                <c:pt idx="20">
                  <c:v>1.8795752471115226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AC-4187-86E5-635C0A80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Geser, kN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MOMEN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- Pembebanan'!$T$109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Pembebanan'!$T$111:$T$131</c:f>
              <c:numCache>
                <c:formatCode>0.00</c:formatCode>
                <c:ptCount val="21"/>
                <c:pt idx="0">
                  <c:v>0</c:v>
                </c:pt>
                <c:pt idx="1">
                  <c:v>2250.5697023597927</c:v>
                </c:pt>
                <c:pt idx="2">
                  <c:v>4393.5816215551677</c:v>
                </c:pt>
                <c:pt idx="3">
                  <c:v>6429.0357575861262</c:v>
                </c:pt>
                <c:pt idx="4">
                  <c:v>8356.9321104526698</c:v>
                </c:pt>
                <c:pt idx="5">
                  <c:v>10177.270680154794</c:v>
                </c:pt>
                <c:pt idx="6">
                  <c:v>11890.051466692503</c:v>
                </c:pt>
                <c:pt idx="7">
                  <c:v>13495.274470065795</c:v>
                </c:pt>
                <c:pt idx="8">
                  <c:v>14992.93969027467</c:v>
                </c:pt>
                <c:pt idx="9">
                  <c:v>16383.047127319127</c:v>
                </c:pt>
                <c:pt idx="10">
                  <c:v>17665.596781199169</c:v>
                </c:pt>
                <c:pt idx="11">
                  <c:v>18840.588651914797</c:v>
                </c:pt>
                <c:pt idx="12">
                  <c:v>19908.022739466003</c:v>
                </c:pt>
                <c:pt idx="13">
                  <c:v>20867.899043852798</c:v>
                </c:pt>
                <c:pt idx="14">
                  <c:v>21720.217565075171</c:v>
                </c:pt>
                <c:pt idx="15">
                  <c:v>22464.978303133128</c:v>
                </c:pt>
                <c:pt idx="16">
                  <c:v>23102.181258026674</c:v>
                </c:pt>
                <c:pt idx="17">
                  <c:v>23631.826429755798</c:v>
                </c:pt>
                <c:pt idx="18">
                  <c:v>24053.913818320503</c:v>
                </c:pt>
                <c:pt idx="19">
                  <c:v>24368.443423720797</c:v>
                </c:pt>
                <c:pt idx="20">
                  <c:v>24575.415245956672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AA-4513-A32B-7FAE7D104BFA}"/>
            </c:ext>
          </c:extLst>
        </c:ser>
        <c:ser>
          <c:idx val="1"/>
          <c:order val="1"/>
          <c:tx>
            <c:strRef>
              <c:f>'Process - Pembebanan'!$U$109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Pembebanan'!$U$111:$U$131</c:f>
              <c:numCache>
                <c:formatCode>0.00</c:formatCode>
                <c:ptCount val="21"/>
                <c:pt idx="0">
                  <c:v>0</c:v>
                </c:pt>
                <c:pt idx="1">
                  <c:v>3482.7635828016</c:v>
                </c:pt>
                <c:pt idx="2">
                  <c:v>6801.0647908532001</c:v>
                </c:pt>
                <c:pt idx="3">
                  <c:v>9954.9036241548001</c:v>
                </c:pt>
                <c:pt idx="4">
                  <c:v>12944.2800827064</c:v>
                </c:pt>
                <c:pt idx="5">
                  <c:v>15769.194166508001</c:v>
                </c:pt>
                <c:pt idx="6">
                  <c:v>18429.6458755596</c:v>
                </c:pt>
                <c:pt idx="7">
                  <c:v>20925.635209861201</c:v>
                </c:pt>
                <c:pt idx="8">
                  <c:v>23257.162169412801</c:v>
                </c:pt>
                <c:pt idx="9">
                  <c:v>25424.2267542144</c:v>
                </c:pt>
                <c:pt idx="10">
                  <c:v>27426.828964266002</c:v>
                </c:pt>
                <c:pt idx="11">
                  <c:v>29264.968799567603</c:v>
                </c:pt>
                <c:pt idx="12">
                  <c:v>30938.6462601192</c:v>
                </c:pt>
                <c:pt idx="13">
                  <c:v>32447.861345920799</c:v>
                </c:pt>
                <c:pt idx="14">
                  <c:v>33792.614056972394</c:v>
                </c:pt>
                <c:pt idx="15">
                  <c:v>34972.904393274002</c:v>
                </c:pt>
                <c:pt idx="16">
                  <c:v>35988.732354825595</c:v>
                </c:pt>
                <c:pt idx="17">
                  <c:v>36840.097941627202</c:v>
                </c:pt>
                <c:pt idx="18">
                  <c:v>37527.001153678793</c:v>
                </c:pt>
                <c:pt idx="19">
                  <c:v>38049.441990980398</c:v>
                </c:pt>
                <c:pt idx="20">
                  <c:v>38407.420453532002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AA-4513-A32B-7FAE7D104BFA}"/>
            </c:ext>
          </c:extLst>
        </c:ser>
        <c:ser>
          <c:idx val="2"/>
          <c:order val="2"/>
          <c:tx>
            <c:strRef>
              <c:f>'Process - Pembebanan'!$V$109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Pembebanan'!$V$111:$V$131</c:f>
              <c:numCache>
                <c:formatCode>0.00</c:formatCode>
                <c:ptCount val="21"/>
                <c:pt idx="0">
                  <c:v>0</c:v>
                </c:pt>
                <c:pt idx="1">
                  <c:v>3114.361410540133</c:v>
                </c:pt>
                <c:pt idx="2">
                  <c:v>6080.0104463302669</c:v>
                </c:pt>
                <c:pt idx="3">
                  <c:v>8896.9471073704008</c:v>
                </c:pt>
                <c:pt idx="4">
                  <c:v>11565.171393660534</c:v>
                </c:pt>
                <c:pt idx="5">
                  <c:v>14084.683305200668</c:v>
                </c:pt>
                <c:pt idx="6">
                  <c:v>16455.482841990801</c:v>
                </c:pt>
                <c:pt idx="7">
                  <c:v>18677.570004030931</c:v>
                </c:pt>
                <c:pt idx="8">
                  <c:v>20750.944791321068</c:v>
                </c:pt>
                <c:pt idx="9">
                  <c:v>22675.6072038612</c:v>
                </c:pt>
                <c:pt idx="10">
                  <c:v>24451.557241651331</c:v>
                </c:pt>
                <c:pt idx="11">
                  <c:v>26078.794904691469</c:v>
                </c:pt>
                <c:pt idx="12">
                  <c:v>27557.320192981599</c:v>
                </c:pt>
                <c:pt idx="13">
                  <c:v>28887.133106521731</c:v>
                </c:pt>
                <c:pt idx="14">
                  <c:v>30068.233645311862</c:v>
                </c:pt>
                <c:pt idx="15">
                  <c:v>31100.621809352</c:v>
                </c:pt>
                <c:pt idx="16">
                  <c:v>31984.29759864213</c:v>
                </c:pt>
                <c:pt idx="17">
                  <c:v>32719.261013182266</c:v>
                </c:pt>
                <c:pt idx="18">
                  <c:v>33305.512052972394</c:v>
                </c:pt>
                <c:pt idx="19">
                  <c:v>33743.050718012528</c:v>
                </c:pt>
                <c:pt idx="20">
                  <c:v>34031.877008302661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AA-4513-A32B-7FAE7D104BFA}"/>
            </c:ext>
          </c:extLst>
        </c:ser>
        <c:ser>
          <c:idx val="3"/>
          <c:order val="3"/>
          <c:tx>
            <c:strRef>
              <c:f>'Process - Pembebanan'!$W$109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Pembebanan'!$W$111:$W$131</c:f>
              <c:numCache>
                <c:formatCode>0.00</c:formatCode>
                <c:ptCount val="21"/>
                <c:pt idx="0">
                  <c:v>0</c:v>
                </c:pt>
                <c:pt idx="1">
                  <c:v>2092.6782649619195</c:v>
                </c:pt>
                <c:pt idx="2">
                  <c:v>4078.0396958232272</c:v>
                </c:pt>
                <c:pt idx="3">
                  <c:v>5956.0842925839243</c:v>
                </c:pt>
                <c:pt idx="4">
                  <c:v>7726.8120552440096</c:v>
                </c:pt>
                <c:pt idx="5">
                  <c:v>9390.2229838034837</c:v>
                </c:pt>
                <c:pt idx="6">
                  <c:v>10946.317078262346</c:v>
                </c:pt>
                <c:pt idx="7">
                  <c:v>12395.0943386206</c:v>
                </c:pt>
                <c:pt idx="8">
                  <c:v>13736.554764878239</c:v>
                </c:pt>
                <c:pt idx="9">
                  <c:v>14970.69835703527</c:v>
                </c:pt>
                <c:pt idx="10">
                  <c:v>16097.525115091687</c:v>
                </c:pt>
                <c:pt idx="11">
                  <c:v>17117.035039047496</c:v>
                </c:pt>
                <c:pt idx="12">
                  <c:v>18029.228128902691</c:v>
                </c:pt>
                <c:pt idx="13">
                  <c:v>18834.104384657272</c:v>
                </c:pt>
                <c:pt idx="14">
                  <c:v>19531.663806311244</c:v>
                </c:pt>
                <c:pt idx="15">
                  <c:v>20121.906393864607</c:v>
                </c:pt>
                <c:pt idx="16">
                  <c:v>20604.832147317356</c:v>
                </c:pt>
                <c:pt idx="17">
                  <c:v>20980.441066669497</c:v>
                </c:pt>
                <c:pt idx="18">
                  <c:v>21248.733151921024</c:v>
                </c:pt>
                <c:pt idx="19">
                  <c:v>21409.708403071942</c:v>
                </c:pt>
                <c:pt idx="20">
                  <c:v>21463.366820122246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9AA-4513-A32B-7FAE7D104BFA}"/>
            </c:ext>
          </c:extLst>
        </c:ser>
        <c:ser>
          <c:idx val="4"/>
          <c:order val="4"/>
          <c:tx>
            <c:strRef>
              <c:f>'Process - Pembebanan'!$X$109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Pembebanan'!$X$111:$X$131</c:f>
              <c:numCache>
                <c:formatCode>0.00</c:formatCode>
                <c:ptCount val="21"/>
                <c:pt idx="0">
                  <c:v>0</c:v>
                </c:pt>
                <c:pt idx="1">
                  <c:v>1824.9538076250001</c:v>
                </c:pt>
                <c:pt idx="2">
                  <c:v>3556.3202405000002</c:v>
                </c:pt>
                <c:pt idx="3">
                  <c:v>5194.0992986250003</c:v>
                </c:pt>
                <c:pt idx="4">
                  <c:v>6738.2909820000004</c:v>
                </c:pt>
                <c:pt idx="5">
                  <c:v>8188.8952906250006</c:v>
                </c:pt>
                <c:pt idx="6">
                  <c:v>9545.9122244999999</c:v>
                </c:pt>
                <c:pt idx="7">
                  <c:v>10809.341783625001</c:v>
                </c:pt>
                <c:pt idx="8">
                  <c:v>11979.183968000001</c:v>
                </c:pt>
                <c:pt idx="9">
                  <c:v>13055.438777625001</c:v>
                </c:pt>
                <c:pt idx="10">
                  <c:v>14038.106212500001</c:v>
                </c:pt>
                <c:pt idx="11">
                  <c:v>14927.186272625002</c:v>
                </c:pt>
                <c:pt idx="12">
                  <c:v>15722.678958</c:v>
                </c:pt>
                <c:pt idx="13">
                  <c:v>16424.584268625</c:v>
                </c:pt>
                <c:pt idx="14">
                  <c:v>17032.902204499998</c:v>
                </c:pt>
                <c:pt idx="15">
                  <c:v>17547.632765625</c:v>
                </c:pt>
                <c:pt idx="16">
                  <c:v>17968.775952</c:v>
                </c:pt>
                <c:pt idx="17">
                  <c:v>18296.331763624999</c:v>
                </c:pt>
                <c:pt idx="18">
                  <c:v>18530.300200499998</c:v>
                </c:pt>
                <c:pt idx="19">
                  <c:v>18670.681262624999</c:v>
                </c:pt>
                <c:pt idx="20">
                  <c:v>18717.47495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9AA-4513-A32B-7FAE7D104BFA}"/>
            </c:ext>
          </c:extLst>
        </c:ser>
        <c:ser>
          <c:idx val="5"/>
          <c:order val="5"/>
          <c:tx>
            <c:strRef>
              <c:f>'Process - Pembebanan'!$Y$109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Pembebanan'!$Y$111:$Y$131</c:f>
              <c:numCache>
                <c:formatCode>0.00</c:formatCode>
                <c:ptCount val="21"/>
                <c:pt idx="0">
                  <c:v>0</c:v>
                </c:pt>
                <c:pt idx="1">
                  <c:v>1924.3241882926914</c:v>
                </c:pt>
                <c:pt idx="2">
                  <c:v>3749.9650848780652</c:v>
                </c:pt>
                <c:pt idx="3">
                  <c:v>5476.9226897561211</c:v>
                </c:pt>
                <c:pt idx="4">
                  <c:v>7105.1970029268605</c:v>
                </c:pt>
                <c:pt idx="5">
                  <c:v>8634.7880243902819</c:v>
                </c:pt>
                <c:pt idx="6">
                  <c:v>10065.695754146383</c:v>
                </c:pt>
                <c:pt idx="7">
                  <c:v>11397.920192195172</c:v>
                </c:pt>
                <c:pt idx="8">
                  <c:v>12631.461338536641</c:v>
                </c:pt>
                <c:pt idx="9">
                  <c:v>13766.319193170792</c:v>
                </c:pt>
                <c:pt idx="10">
                  <c:v>14802.493756097625</c:v>
                </c:pt>
                <c:pt idx="11">
                  <c:v>15739.985027317143</c:v>
                </c:pt>
                <c:pt idx="12">
                  <c:v>16578.793006829339</c:v>
                </c:pt>
                <c:pt idx="13">
                  <c:v>17318.91769463422</c:v>
                </c:pt>
                <c:pt idx="14">
                  <c:v>17960.359090731785</c:v>
                </c:pt>
                <c:pt idx="15">
                  <c:v>18503.117195122031</c:v>
                </c:pt>
                <c:pt idx="16">
                  <c:v>18947.192007804959</c:v>
                </c:pt>
                <c:pt idx="17">
                  <c:v>19292.583528780571</c:v>
                </c:pt>
                <c:pt idx="18">
                  <c:v>19539.291758048865</c:v>
                </c:pt>
                <c:pt idx="19">
                  <c:v>19687.316695609843</c:v>
                </c:pt>
                <c:pt idx="20">
                  <c:v>19736.658341463502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9AA-4513-A32B-7FAE7D104BFA}"/>
            </c:ext>
          </c:extLst>
        </c:ser>
        <c:ser>
          <c:idx val="6"/>
          <c:order val="6"/>
          <c:tx>
            <c:strRef>
              <c:f>'Process - Pembebanan'!$Z$109</c:f>
              <c:strCache>
                <c:ptCount val="1"/>
                <c:pt idx="0">
                  <c:v>ENVE KUAT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Pembebanan'!$M$111:$M$131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Pembebanan'!$Z$111:$Z$131</c:f>
              <c:numCache>
                <c:formatCode>0.00</c:formatCode>
                <c:ptCount val="21"/>
                <c:pt idx="0">
                  <c:v>0</c:v>
                </c:pt>
                <c:pt idx="1">
                  <c:v>3482.7635828016</c:v>
                </c:pt>
                <c:pt idx="2">
                  <c:v>6801.0647908532001</c:v>
                </c:pt>
                <c:pt idx="3">
                  <c:v>9954.9036241548001</c:v>
                </c:pt>
                <c:pt idx="4">
                  <c:v>12944.2800827064</c:v>
                </c:pt>
                <c:pt idx="5">
                  <c:v>15769.194166508001</c:v>
                </c:pt>
                <c:pt idx="6">
                  <c:v>18429.6458755596</c:v>
                </c:pt>
                <c:pt idx="7">
                  <c:v>20925.635209861201</c:v>
                </c:pt>
                <c:pt idx="8">
                  <c:v>23257.162169412801</c:v>
                </c:pt>
                <c:pt idx="9">
                  <c:v>25424.2267542144</c:v>
                </c:pt>
                <c:pt idx="10">
                  <c:v>27426.828964266002</c:v>
                </c:pt>
                <c:pt idx="11">
                  <c:v>29264.968799567603</c:v>
                </c:pt>
                <c:pt idx="12">
                  <c:v>30938.6462601192</c:v>
                </c:pt>
                <c:pt idx="13">
                  <c:v>32447.861345920799</c:v>
                </c:pt>
                <c:pt idx="14">
                  <c:v>33792.614056972394</c:v>
                </c:pt>
                <c:pt idx="15">
                  <c:v>34972.904393274002</c:v>
                </c:pt>
                <c:pt idx="16">
                  <c:v>35988.732354825595</c:v>
                </c:pt>
                <c:pt idx="17">
                  <c:v>36840.097941627202</c:v>
                </c:pt>
                <c:pt idx="18">
                  <c:v>37527.001153678793</c:v>
                </c:pt>
                <c:pt idx="19">
                  <c:v>38049.441990980398</c:v>
                </c:pt>
                <c:pt idx="20">
                  <c:v>38407.420453532002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9AA-4513-A32B-7FAE7D10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5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Momen, kN.m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GESER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- Pembebanan'!$T$135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Pembebanan'!$T$137:$T$157</c:f>
              <c:numCache>
                <c:formatCode>0.00</c:formatCode>
                <c:ptCount val="21"/>
                <c:pt idx="0">
                  <c:v>1721.9687391012847</c:v>
                </c:pt>
                <c:pt idx="1">
                  <c:v>1635.9225125697512</c:v>
                </c:pt>
                <c:pt idx="2">
                  <c:v>1549.876286038218</c:v>
                </c:pt>
                <c:pt idx="3">
                  <c:v>1463.8300595066846</c:v>
                </c:pt>
                <c:pt idx="4">
                  <c:v>1377.7838329751514</c:v>
                </c:pt>
                <c:pt idx="5">
                  <c:v>1291.737606443618</c:v>
                </c:pt>
                <c:pt idx="6">
                  <c:v>1205.6913799120848</c:v>
                </c:pt>
                <c:pt idx="7">
                  <c:v>1119.6451533805512</c:v>
                </c:pt>
                <c:pt idx="8">
                  <c:v>1033.5989268490177</c:v>
                </c:pt>
                <c:pt idx="9">
                  <c:v>947.55270031748444</c:v>
                </c:pt>
                <c:pt idx="10">
                  <c:v>861.50647378595102</c:v>
                </c:pt>
                <c:pt idx="11">
                  <c:v>775.46024725441748</c:v>
                </c:pt>
                <c:pt idx="12">
                  <c:v>689.4140207228844</c:v>
                </c:pt>
                <c:pt idx="13">
                  <c:v>603.36779419135109</c:v>
                </c:pt>
                <c:pt idx="14">
                  <c:v>517.32156765981756</c:v>
                </c:pt>
                <c:pt idx="15">
                  <c:v>431.27534112828425</c:v>
                </c:pt>
                <c:pt idx="16">
                  <c:v>345.22911459675089</c:v>
                </c:pt>
                <c:pt idx="17">
                  <c:v>259.18288806521758</c:v>
                </c:pt>
                <c:pt idx="18">
                  <c:v>173.13666153368425</c:v>
                </c:pt>
                <c:pt idx="19">
                  <c:v>87.090435002150869</c:v>
                </c:pt>
                <c:pt idx="20">
                  <c:v>1.0442084706175125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34-404A-B6E5-17AD5666A981}"/>
            </c:ext>
          </c:extLst>
        </c:ser>
        <c:ser>
          <c:idx val="1"/>
          <c:order val="1"/>
          <c:tx>
            <c:strRef>
              <c:f>'Process - Pembebanan'!$U$135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Pembebanan'!$U$137:$U$157</c:f>
              <c:numCache>
                <c:formatCode>0.00</c:formatCode>
                <c:ptCount val="21"/>
                <c:pt idx="0">
                  <c:v>2633.2775712471116</c:v>
                </c:pt>
                <c:pt idx="1">
                  <c:v>2501.7076714471114</c:v>
                </c:pt>
                <c:pt idx="2">
                  <c:v>2370.1377716471115</c:v>
                </c:pt>
                <c:pt idx="3">
                  <c:v>2238.5678718471117</c:v>
                </c:pt>
                <c:pt idx="4">
                  <c:v>2106.9979720471119</c:v>
                </c:pt>
                <c:pt idx="5">
                  <c:v>1975.4280722471115</c:v>
                </c:pt>
                <c:pt idx="6">
                  <c:v>1843.8581724471114</c:v>
                </c:pt>
                <c:pt idx="7">
                  <c:v>1712.2882726471116</c:v>
                </c:pt>
                <c:pt idx="8">
                  <c:v>1580.7183728471116</c:v>
                </c:pt>
                <c:pt idx="9">
                  <c:v>1449.1484730471116</c:v>
                </c:pt>
                <c:pt idx="10">
                  <c:v>1317.5785732471115</c:v>
                </c:pt>
                <c:pt idx="11">
                  <c:v>1186.0086734471113</c:v>
                </c:pt>
                <c:pt idx="12">
                  <c:v>1054.4387736471117</c:v>
                </c:pt>
                <c:pt idx="13">
                  <c:v>922.86887384711156</c:v>
                </c:pt>
                <c:pt idx="14">
                  <c:v>791.29897404711164</c:v>
                </c:pt>
                <c:pt idx="15">
                  <c:v>659.72907424711161</c:v>
                </c:pt>
                <c:pt idx="16">
                  <c:v>528.15917444711158</c:v>
                </c:pt>
                <c:pt idx="17">
                  <c:v>396.58927464711155</c:v>
                </c:pt>
                <c:pt idx="18">
                  <c:v>265.01937484711158</c:v>
                </c:pt>
                <c:pt idx="19">
                  <c:v>133.44947504711155</c:v>
                </c:pt>
                <c:pt idx="20">
                  <c:v>1.8795752471115226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34-404A-B6E5-17AD5666A981}"/>
            </c:ext>
          </c:extLst>
        </c:ser>
        <c:ser>
          <c:idx val="2"/>
          <c:order val="2"/>
          <c:tx>
            <c:strRef>
              <c:f>'Process - Pembebanan'!$V$135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Pembebanan'!$V$137:$V$157</c:f>
              <c:numCache>
                <c:formatCode>0.00</c:formatCode>
                <c:ptCount val="21"/>
                <c:pt idx="0">
                  <c:v>2380.8598878588646</c:v>
                </c:pt>
                <c:pt idx="1">
                  <c:v>2261.8899880588642</c:v>
                </c:pt>
                <c:pt idx="2">
                  <c:v>2142.9200882588648</c:v>
                </c:pt>
                <c:pt idx="3">
                  <c:v>2023.9501884588644</c:v>
                </c:pt>
                <c:pt idx="4">
                  <c:v>1904.9802886588645</c:v>
                </c:pt>
                <c:pt idx="5">
                  <c:v>1786.0103888588644</c:v>
                </c:pt>
                <c:pt idx="6">
                  <c:v>1667.0404890588643</c:v>
                </c:pt>
                <c:pt idx="7">
                  <c:v>1548.0705892588644</c:v>
                </c:pt>
                <c:pt idx="8">
                  <c:v>1429.1006894588645</c:v>
                </c:pt>
                <c:pt idx="9">
                  <c:v>1310.1307896588646</c:v>
                </c:pt>
                <c:pt idx="10">
                  <c:v>1191.1608898588645</c:v>
                </c:pt>
                <c:pt idx="11">
                  <c:v>1072.1909900588644</c:v>
                </c:pt>
                <c:pt idx="12">
                  <c:v>953.22109025886459</c:v>
                </c:pt>
                <c:pt idx="13">
                  <c:v>834.25119045886458</c:v>
                </c:pt>
                <c:pt idx="14">
                  <c:v>715.28129065886446</c:v>
                </c:pt>
                <c:pt idx="15">
                  <c:v>596.31139085886457</c:v>
                </c:pt>
                <c:pt idx="16">
                  <c:v>477.34149105886456</c:v>
                </c:pt>
                <c:pt idx="17">
                  <c:v>358.37159125886456</c:v>
                </c:pt>
                <c:pt idx="18">
                  <c:v>239.40169145886455</c:v>
                </c:pt>
                <c:pt idx="19">
                  <c:v>120.43179165886453</c:v>
                </c:pt>
                <c:pt idx="20">
                  <c:v>1.4618918588645176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34-404A-B6E5-17AD5666A981}"/>
            </c:ext>
          </c:extLst>
        </c:ser>
        <c:ser>
          <c:idx val="3"/>
          <c:order val="3"/>
          <c:tx>
            <c:strRef>
              <c:f>'Process - Pembebanan'!$W$135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Pembebanan'!$W$137:$W$157</c:f>
              <c:numCache>
                <c:formatCode>0.00</c:formatCode>
                <c:ptCount val="21"/>
                <c:pt idx="0">
                  <c:v>1717.0693456097799</c:v>
                </c:pt>
                <c:pt idx="1">
                  <c:v>1631.2158783292907</c:v>
                </c:pt>
                <c:pt idx="2">
                  <c:v>1545.3624110488022</c:v>
                </c:pt>
                <c:pt idx="3">
                  <c:v>1459.5089437683127</c:v>
                </c:pt>
                <c:pt idx="4">
                  <c:v>1373.6554764878242</c:v>
                </c:pt>
                <c:pt idx="5">
                  <c:v>1287.8020092073348</c:v>
                </c:pt>
                <c:pt idx="6">
                  <c:v>1201.9485419268458</c:v>
                </c:pt>
                <c:pt idx="7">
                  <c:v>1116.0950746463568</c:v>
                </c:pt>
                <c:pt idx="8">
                  <c:v>1030.241607365868</c:v>
                </c:pt>
                <c:pt idx="9">
                  <c:v>944.38814008537895</c:v>
                </c:pt>
                <c:pt idx="10">
                  <c:v>858.53467280488996</c:v>
                </c:pt>
                <c:pt idx="11">
                  <c:v>772.68120552440075</c:v>
                </c:pt>
                <c:pt idx="12">
                  <c:v>686.82773824391211</c:v>
                </c:pt>
                <c:pt idx="13">
                  <c:v>600.9742709634229</c:v>
                </c:pt>
                <c:pt idx="14">
                  <c:v>515.12080368293402</c:v>
                </c:pt>
                <c:pt idx="15">
                  <c:v>429.26733640244498</c:v>
                </c:pt>
                <c:pt idx="16">
                  <c:v>343.41386912195605</c:v>
                </c:pt>
                <c:pt idx="17">
                  <c:v>257.56040184146701</c:v>
                </c:pt>
                <c:pt idx="18">
                  <c:v>171.70693456097803</c:v>
                </c:pt>
                <c:pt idx="19">
                  <c:v>85.853467280489014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34-404A-B6E5-17AD5666A981}"/>
            </c:ext>
          </c:extLst>
        </c:ser>
        <c:ser>
          <c:idx val="4"/>
          <c:order val="4"/>
          <c:tx>
            <c:strRef>
              <c:f>'Process - Pembebanan'!$X$135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Pembebanan'!$X$137:$X$157</c:f>
              <c:numCache>
                <c:formatCode>0.00</c:formatCode>
                <c:ptCount val="21"/>
                <c:pt idx="0">
                  <c:v>1497.3979960000001</c:v>
                </c:pt>
                <c:pt idx="1">
                  <c:v>1422.5280961999999</c:v>
                </c:pt>
                <c:pt idx="2">
                  <c:v>1347.6581964000002</c:v>
                </c:pt>
                <c:pt idx="3">
                  <c:v>1272.7882966</c:v>
                </c:pt>
                <c:pt idx="4">
                  <c:v>1197.9183968000002</c:v>
                </c:pt>
                <c:pt idx="5">
                  <c:v>1123.048497</c:v>
                </c:pt>
                <c:pt idx="6">
                  <c:v>1048.1785972</c:v>
                </c:pt>
                <c:pt idx="7">
                  <c:v>973.30869740000003</c:v>
                </c:pt>
                <c:pt idx="8">
                  <c:v>898.43879760000004</c:v>
                </c:pt>
                <c:pt idx="9">
                  <c:v>823.56889780000006</c:v>
                </c:pt>
                <c:pt idx="10">
                  <c:v>748.69899800000007</c:v>
                </c:pt>
                <c:pt idx="11">
                  <c:v>673.82909819999986</c:v>
                </c:pt>
                <c:pt idx="12">
                  <c:v>598.9591984000001</c:v>
                </c:pt>
                <c:pt idx="13">
                  <c:v>524.08929860000001</c:v>
                </c:pt>
                <c:pt idx="14">
                  <c:v>449.21939880000002</c:v>
                </c:pt>
                <c:pt idx="15">
                  <c:v>374.34949900000004</c:v>
                </c:pt>
                <c:pt idx="16">
                  <c:v>299.47959920000005</c:v>
                </c:pt>
                <c:pt idx="17">
                  <c:v>224.60969940000001</c:v>
                </c:pt>
                <c:pt idx="18">
                  <c:v>149.73979960000003</c:v>
                </c:pt>
                <c:pt idx="19">
                  <c:v>74.869899800000013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34-404A-B6E5-17AD5666A981}"/>
            </c:ext>
          </c:extLst>
        </c:ser>
        <c:ser>
          <c:idx val="5"/>
          <c:order val="5"/>
          <c:tx>
            <c:strRef>
              <c:f>'Process - Pembebanan'!$Y$135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Pembebanan'!$Y$137:$Y$157</c:f>
              <c:numCache>
                <c:formatCode>0.00</c:formatCode>
                <c:ptCount val="21"/>
                <c:pt idx="0">
                  <c:v>1966.9028863170799</c:v>
                </c:pt>
                <c:pt idx="1">
                  <c:v>1868.557742001226</c:v>
                </c:pt>
                <c:pt idx="2">
                  <c:v>1770.212597685372</c:v>
                </c:pt>
                <c:pt idx="3">
                  <c:v>1671.867453369518</c:v>
                </c:pt>
                <c:pt idx="4">
                  <c:v>1573.5223090536642</c:v>
                </c:pt>
                <c:pt idx="5">
                  <c:v>1475.17716473781</c:v>
                </c:pt>
                <c:pt idx="6">
                  <c:v>1376.832020421956</c:v>
                </c:pt>
                <c:pt idx="7">
                  <c:v>1278.486876106102</c:v>
                </c:pt>
                <c:pt idx="8">
                  <c:v>1180.1417317902481</c:v>
                </c:pt>
                <c:pt idx="9">
                  <c:v>1081.7965874743938</c:v>
                </c:pt>
                <c:pt idx="10">
                  <c:v>983.45144315853997</c:v>
                </c:pt>
                <c:pt idx="11">
                  <c:v>885.10629884268587</c:v>
                </c:pt>
                <c:pt idx="12">
                  <c:v>786.76115452683212</c:v>
                </c:pt>
                <c:pt idx="13">
                  <c:v>688.41601021097802</c:v>
                </c:pt>
                <c:pt idx="14">
                  <c:v>590.07086589512403</c:v>
                </c:pt>
                <c:pt idx="15">
                  <c:v>491.72572157926999</c:v>
                </c:pt>
                <c:pt idx="16">
                  <c:v>393.38057726341606</c:v>
                </c:pt>
                <c:pt idx="17">
                  <c:v>295.03543294756201</c:v>
                </c:pt>
                <c:pt idx="18">
                  <c:v>196.69028863170803</c:v>
                </c:pt>
                <c:pt idx="19">
                  <c:v>98.345144315854014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34-404A-B6E5-17AD5666A981}"/>
            </c:ext>
          </c:extLst>
        </c:ser>
        <c:ser>
          <c:idx val="6"/>
          <c:order val="6"/>
          <c:tx>
            <c:strRef>
              <c:f>'Process - Pembebanan'!$Z$135</c:f>
              <c:strCache>
                <c:ptCount val="1"/>
                <c:pt idx="0">
                  <c:v>ENVE KUAT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'Process - Pembebanan'!$M$137:$M$157</c:f>
              <c:numCache>
                <c:formatCode>0.000</c:formatCode>
                <c:ptCount val="21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6.25</c:v>
                </c:pt>
                <c:pt idx="6">
                  <c:v>7.5</c:v>
                </c:pt>
                <c:pt idx="7">
                  <c:v>8.75</c:v>
                </c:pt>
                <c:pt idx="8">
                  <c:v>10</c:v>
                </c:pt>
                <c:pt idx="9">
                  <c:v>11.25</c:v>
                </c:pt>
                <c:pt idx="10">
                  <c:v>12.5</c:v>
                </c:pt>
                <c:pt idx="11">
                  <c:v>13.750000000000002</c:v>
                </c:pt>
                <c:pt idx="12">
                  <c:v>15</c:v>
                </c:pt>
                <c:pt idx="13">
                  <c:v>16.25</c:v>
                </c:pt>
                <c:pt idx="14">
                  <c:v>17.5</c:v>
                </c:pt>
                <c:pt idx="15">
                  <c:v>18.75</c:v>
                </c:pt>
                <c:pt idx="16">
                  <c:v>20</c:v>
                </c:pt>
                <c:pt idx="17">
                  <c:v>21.25</c:v>
                </c:pt>
                <c:pt idx="18">
                  <c:v>22.5</c:v>
                </c:pt>
                <c:pt idx="19">
                  <c:v>23.75</c:v>
                </c:pt>
                <c:pt idx="20">
                  <c:v>25</c:v>
                </c:pt>
              </c:numCache>
            </c:numRef>
          </c:xVal>
          <c:yVal>
            <c:numRef>
              <c:f>'Process - Pembebanan'!$Z$137:$Z$157</c:f>
              <c:numCache>
                <c:formatCode>0.00</c:formatCode>
                <c:ptCount val="21"/>
                <c:pt idx="0">
                  <c:v>2633.2775712471116</c:v>
                </c:pt>
                <c:pt idx="1">
                  <c:v>2501.7076714471114</c:v>
                </c:pt>
                <c:pt idx="2">
                  <c:v>2370.1377716471115</c:v>
                </c:pt>
                <c:pt idx="3">
                  <c:v>2238.5678718471117</c:v>
                </c:pt>
                <c:pt idx="4">
                  <c:v>2106.9979720471119</c:v>
                </c:pt>
                <c:pt idx="5">
                  <c:v>1975.4280722471115</c:v>
                </c:pt>
                <c:pt idx="6">
                  <c:v>1843.8581724471114</c:v>
                </c:pt>
                <c:pt idx="7">
                  <c:v>1712.2882726471116</c:v>
                </c:pt>
                <c:pt idx="8">
                  <c:v>1580.7183728471116</c:v>
                </c:pt>
                <c:pt idx="9">
                  <c:v>1449.1484730471116</c:v>
                </c:pt>
                <c:pt idx="10">
                  <c:v>1317.5785732471115</c:v>
                </c:pt>
                <c:pt idx="11">
                  <c:v>1186.0086734471113</c:v>
                </c:pt>
                <c:pt idx="12">
                  <c:v>1054.4387736471117</c:v>
                </c:pt>
                <c:pt idx="13">
                  <c:v>922.86887384711156</c:v>
                </c:pt>
                <c:pt idx="14">
                  <c:v>791.29897404711164</c:v>
                </c:pt>
                <c:pt idx="15">
                  <c:v>659.72907424711161</c:v>
                </c:pt>
                <c:pt idx="16">
                  <c:v>528.15917444711158</c:v>
                </c:pt>
                <c:pt idx="17">
                  <c:v>396.58927464711155</c:v>
                </c:pt>
                <c:pt idx="18">
                  <c:v>265.01937484711158</c:v>
                </c:pt>
                <c:pt idx="19">
                  <c:v>133.44947504711155</c:v>
                </c:pt>
                <c:pt idx="20">
                  <c:v>1.8795752471115226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34-404A-B6E5-17AD5666A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5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Geser, kN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microsoft.com/office/2007/relationships/hdphoto" Target="../media/hdphoto1.wdp"/><Relationship Id="rId12" Type="http://schemas.openxmlformats.org/officeDocument/2006/relationships/image" Target="../media/image10.jpeg"/><Relationship Id="rId2" Type="http://schemas.openxmlformats.org/officeDocument/2006/relationships/image" Target="../media/image4.png"/><Relationship Id="rId1" Type="http://schemas.openxmlformats.org/officeDocument/2006/relationships/image" Target="../media/image9.png"/><Relationship Id="rId6" Type="http://schemas.openxmlformats.org/officeDocument/2006/relationships/image" Target="../media/image8.png"/><Relationship Id="rId11" Type="http://schemas.openxmlformats.org/officeDocument/2006/relationships/chart" Target="../charts/chart4.xml"/><Relationship Id="rId5" Type="http://schemas.openxmlformats.org/officeDocument/2006/relationships/image" Target="../media/image7.png"/><Relationship Id="rId10" Type="http://schemas.openxmlformats.org/officeDocument/2006/relationships/chart" Target="../charts/chart3.xml"/><Relationship Id="rId4" Type="http://schemas.openxmlformats.org/officeDocument/2006/relationships/image" Target="../media/image6.png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A4528-A6C6-4005-929F-6927BDA7056C}"/>
            </a:ext>
          </a:extLst>
        </xdr:cNvPr>
        <xdr:cNvSpPr/>
      </xdr:nvSpPr>
      <xdr:spPr>
        <a:xfrm>
          <a:off x="1724025" y="4314825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5AD37-F304-4134-A9E8-59556ED6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657475"/>
          <a:ext cx="1485900" cy="149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130</xdr:row>
      <xdr:rowOff>0</xdr:rowOff>
    </xdr:from>
    <xdr:to>
      <xdr:col>4</xdr:col>
      <xdr:colOff>603525</xdr:colOff>
      <xdr:row>142</xdr:row>
      <xdr:rowOff>12787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F8B23-F9CF-3D08-6FA5-D7A7074F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7383125"/>
          <a:ext cx="2880000" cy="287028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171</xdr:row>
      <xdr:rowOff>0</xdr:rowOff>
    </xdr:from>
    <xdr:to>
      <xdr:col>4</xdr:col>
      <xdr:colOff>594000</xdr:colOff>
      <xdr:row>183</xdr:row>
      <xdr:rowOff>31241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865D55-E174-4E3B-BE47-0F3064BFC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27146250"/>
          <a:ext cx="2880000" cy="2888741"/>
        </a:xfrm>
        <a:prstGeom prst="rect">
          <a:avLst/>
        </a:prstGeom>
      </xdr:spPr>
    </xdr:pic>
    <xdr:clientData/>
  </xdr:twoCellAnchor>
  <xdr:oneCellAnchor>
    <xdr:from>
      <xdr:col>1</xdr:col>
      <xdr:colOff>219075</xdr:colOff>
      <xdr:row>206</xdr:row>
      <xdr:rowOff>0</xdr:rowOff>
    </xdr:from>
    <xdr:ext cx="2880000" cy="2888741"/>
    <xdr:pic>
      <xdr:nvPicPr>
        <xdr:cNvPr id="6" name="Picture 5">
          <a:extLst>
            <a:ext uri="{FF2B5EF4-FFF2-40B4-BE49-F238E27FC236}">
              <a16:creationId xmlns:a16="http://schemas.microsoft.com/office/drawing/2014/main" id="{ECB099D9-7F14-4828-8B90-C604A247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35480625"/>
          <a:ext cx="2880000" cy="2888741"/>
        </a:xfrm>
        <a:prstGeom prst="rect">
          <a:avLst/>
        </a:prstGeom>
      </xdr:spPr>
    </xdr:pic>
    <xdr:clientData/>
  </xdr:oneCellAnchor>
  <xdr:twoCellAnchor>
    <xdr:from>
      <xdr:col>6</xdr:col>
      <xdr:colOff>361951</xdr:colOff>
      <xdr:row>70</xdr:row>
      <xdr:rowOff>0</xdr:rowOff>
    </xdr:from>
    <xdr:to>
      <xdr:col>6</xdr:col>
      <xdr:colOff>571501</xdr:colOff>
      <xdr:row>71</xdr:row>
      <xdr:rowOff>47625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05835F7-AA5F-4A98-8593-298FA31CDE14}"/>
            </a:ext>
          </a:extLst>
        </xdr:cNvPr>
        <xdr:cNvSpPr txBox="1"/>
      </xdr:nvSpPr>
      <xdr:spPr>
        <a:xfrm>
          <a:off x="4857751" y="6191250"/>
          <a:ext cx="209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361951</xdr:colOff>
      <xdr:row>71</xdr:row>
      <xdr:rowOff>0</xdr:rowOff>
    </xdr:from>
    <xdr:to>
      <xdr:col>6</xdr:col>
      <xdr:colOff>571501</xdr:colOff>
      <xdr:row>72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51128FA-9F68-49DE-8EE9-0DBF55BFD0C5}"/>
            </a:ext>
          </a:extLst>
        </xdr:cNvPr>
        <xdr:cNvSpPr txBox="1"/>
      </xdr:nvSpPr>
      <xdr:spPr>
        <a:xfrm>
          <a:off x="4857751" y="6191250"/>
          <a:ext cx="209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-</a:t>
          </a:r>
          <a:endParaRPr lang="id-ID" sz="1100"/>
        </a:p>
      </xdr:txBody>
    </xdr:sp>
    <xdr:clientData/>
  </xdr:twoCellAnchor>
  <xdr:twoCellAnchor editAs="oneCell">
    <xdr:from>
      <xdr:col>1</xdr:col>
      <xdr:colOff>238125</xdr:colOff>
      <xdr:row>12</xdr:row>
      <xdr:rowOff>66676</xdr:rowOff>
    </xdr:from>
    <xdr:to>
      <xdr:col>8</xdr:col>
      <xdr:colOff>533400</xdr:colOff>
      <xdr:row>20</xdr:row>
      <xdr:rowOff>7794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69D90F-AB3B-43E3-812B-CAED3F9AC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2924176"/>
          <a:ext cx="6248400" cy="1846118"/>
        </a:xfrm>
        <a:prstGeom prst="rect">
          <a:avLst/>
        </a:prstGeom>
      </xdr:spPr>
    </xdr:pic>
    <xdr:clientData/>
  </xdr:twoCellAnchor>
  <xdr:twoCellAnchor editAs="oneCell">
    <xdr:from>
      <xdr:col>2</xdr:col>
      <xdr:colOff>38792</xdr:colOff>
      <xdr:row>31</xdr:row>
      <xdr:rowOff>123825</xdr:rowOff>
    </xdr:from>
    <xdr:to>
      <xdr:col>7</xdr:col>
      <xdr:colOff>104775</xdr:colOff>
      <xdr:row>40</xdr:row>
      <xdr:rowOff>204422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E929FB7-9ABB-41E5-8223-CA9E8B1F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6092" y="6553200"/>
          <a:ext cx="4161733" cy="2223722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52</xdr:row>
      <xdr:rowOff>133350</xdr:rowOff>
    </xdr:from>
    <xdr:to>
      <xdr:col>7</xdr:col>
      <xdr:colOff>994267</xdr:colOff>
      <xdr:row>63</xdr:row>
      <xdr:rowOff>33974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9A33D4-1429-4B75-465D-48B52A24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12515850"/>
          <a:ext cx="5632942" cy="2519999"/>
        </a:xfrm>
        <a:prstGeom prst="rect">
          <a:avLst/>
        </a:prstGeom>
      </xdr:spPr>
    </xdr:pic>
    <xdr:clientData/>
  </xdr:twoCellAnchor>
  <xdr:twoCellAnchor>
    <xdr:from>
      <xdr:col>6</xdr:col>
      <xdr:colOff>698501</xdr:colOff>
      <xdr:row>25</xdr:row>
      <xdr:rowOff>0</xdr:rowOff>
    </xdr:from>
    <xdr:to>
      <xdr:col>7</xdr:col>
      <xdr:colOff>285751</xdr:colOff>
      <xdr:row>26</xdr:row>
      <xdr:rowOff>84666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F9CFF6-3AB3-59AB-8E4E-9A5EF839701C}"/>
            </a:ext>
          </a:extLst>
        </xdr:cNvPr>
        <xdr:cNvSpPr txBox="1"/>
      </xdr:nvSpPr>
      <xdr:spPr>
        <a:xfrm>
          <a:off x="5217584" y="5842000"/>
          <a:ext cx="444500" cy="328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1100" b="1"/>
            <a:t>s/d</a:t>
          </a:r>
        </a:p>
      </xdr:txBody>
    </xdr:sp>
    <xdr:clientData/>
  </xdr:twoCellAnchor>
  <xdr:twoCellAnchor>
    <xdr:from>
      <xdr:col>6</xdr:col>
      <xdr:colOff>692151</xdr:colOff>
      <xdr:row>27</xdr:row>
      <xdr:rowOff>237067</xdr:rowOff>
    </xdr:from>
    <xdr:to>
      <xdr:col>7</xdr:col>
      <xdr:colOff>279401</xdr:colOff>
      <xdr:row>29</xdr:row>
      <xdr:rowOff>78316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388C2C-C2BE-4875-B3E4-C7D1CE94F0D2}"/>
            </a:ext>
          </a:extLst>
        </xdr:cNvPr>
        <xdr:cNvSpPr txBox="1"/>
      </xdr:nvSpPr>
      <xdr:spPr>
        <a:xfrm>
          <a:off x="5211234" y="6565900"/>
          <a:ext cx="444500" cy="328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1100" b="1"/>
            <a:t>s/d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</xdr:colOff>
      <xdr:row>47</xdr:row>
      <xdr:rowOff>80010</xdr:rowOff>
    </xdr:from>
    <xdr:to>
      <xdr:col>5</xdr:col>
      <xdr:colOff>561975</xdr:colOff>
      <xdr:row>59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23087-EE98-4F44-9F5C-3CD5BB899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" y="10833735"/>
          <a:ext cx="3941445" cy="274891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65</xdr:row>
      <xdr:rowOff>28576</xdr:rowOff>
    </xdr:from>
    <xdr:to>
      <xdr:col>5</xdr:col>
      <xdr:colOff>304800</xdr:colOff>
      <xdr:row>69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E407F9-5905-43CC-BC26-CAB719CBDB6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aintStrokes/>
                  </a14:imgEffect>
                  <a14:imgEffect>
                    <a14:brightnessContrast contrast="-40000"/>
                  </a14:imgEffect>
                </a14:imgLayer>
              </a14:imgProps>
            </a:ext>
          </a:extLst>
        </a:blip>
        <a:srcRect b="40541"/>
        <a:stretch/>
      </xdr:blipFill>
      <xdr:spPr>
        <a:xfrm>
          <a:off x="571500" y="14897101"/>
          <a:ext cx="3800475" cy="10477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9</xdr:col>
      <xdr:colOff>285750</xdr:colOff>
      <xdr:row>157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03D0B7-B2CE-413E-AC07-426C36E5D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159</xdr:row>
      <xdr:rowOff>0</xdr:rowOff>
    </xdr:from>
    <xdr:to>
      <xdr:col>9</xdr:col>
      <xdr:colOff>285750</xdr:colOff>
      <xdr:row>173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F7EE4F-16DE-4091-8A0F-6B8D7B8DE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2</xdr:col>
      <xdr:colOff>292811</xdr:colOff>
      <xdr:row>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158CD-DE0C-4006-9719-8FDD96C25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30961" cy="361950"/>
        </a:xfrm>
        <a:prstGeom prst="rect">
          <a:avLst/>
        </a:prstGeom>
      </xdr:spPr>
    </xdr:pic>
    <xdr:clientData/>
  </xdr:twoCellAnchor>
  <xdr:twoCellAnchor>
    <xdr:from>
      <xdr:col>6</xdr:col>
      <xdr:colOff>361951</xdr:colOff>
      <xdr:row>72</xdr:row>
      <xdr:rowOff>0</xdr:rowOff>
    </xdr:from>
    <xdr:to>
      <xdr:col>6</xdr:col>
      <xdr:colOff>571501</xdr:colOff>
      <xdr:row>73</xdr:row>
      <xdr:rowOff>47625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8905E99-1B8C-40E4-8682-7BF75765A549}"/>
            </a:ext>
          </a:extLst>
        </xdr:cNvPr>
        <xdr:cNvSpPr txBox="1"/>
      </xdr:nvSpPr>
      <xdr:spPr>
        <a:xfrm>
          <a:off x="4857751" y="16668750"/>
          <a:ext cx="209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361951</xdr:colOff>
      <xdr:row>73</xdr:row>
      <xdr:rowOff>0</xdr:rowOff>
    </xdr:from>
    <xdr:to>
      <xdr:col>6</xdr:col>
      <xdr:colOff>571501</xdr:colOff>
      <xdr:row>74</xdr:row>
      <xdr:rowOff>47625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495BDA1-97F4-45C5-A614-13EFCF57DF2A}"/>
            </a:ext>
          </a:extLst>
        </xdr:cNvPr>
        <xdr:cNvSpPr txBox="1"/>
      </xdr:nvSpPr>
      <xdr:spPr>
        <a:xfrm>
          <a:off x="4857751" y="16906875"/>
          <a:ext cx="209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-</a:t>
          </a:r>
          <a:endParaRPr lang="id-ID" sz="1100"/>
        </a:p>
      </xdr:txBody>
    </xdr:sp>
    <xdr:clientData/>
  </xdr:twoCellAnchor>
  <xdr:twoCellAnchor editAs="oneCell">
    <xdr:from>
      <xdr:col>1</xdr:col>
      <xdr:colOff>238125</xdr:colOff>
      <xdr:row>18</xdr:row>
      <xdr:rowOff>66676</xdr:rowOff>
    </xdr:from>
    <xdr:to>
      <xdr:col>8</xdr:col>
      <xdr:colOff>447675</xdr:colOff>
      <xdr:row>24</xdr:row>
      <xdr:rowOff>137897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FDB9CB6-C211-4C9F-955B-6ECADC22E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4829176"/>
          <a:ext cx="5076825" cy="1499971"/>
        </a:xfrm>
        <a:prstGeom prst="rect">
          <a:avLst/>
        </a:prstGeom>
      </xdr:spPr>
    </xdr:pic>
    <xdr:clientData/>
  </xdr:twoCellAnchor>
  <xdr:twoCellAnchor editAs="oneCell">
    <xdr:from>
      <xdr:col>1</xdr:col>
      <xdr:colOff>219767</xdr:colOff>
      <xdr:row>35</xdr:row>
      <xdr:rowOff>76200</xdr:rowOff>
    </xdr:from>
    <xdr:to>
      <xdr:col>7</xdr:col>
      <xdr:colOff>209550</xdr:colOff>
      <xdr:row>44</xdr:row>
      <xdr:rowOff>156797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980056F-FE05-4FB0-AC01-632FA344E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5042" y="8886825"/>
          <a:ext cx="4161733" cy="222372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56</xdr:row>
      <xdr:rowOff>76200</xdr:rowOff>
    </xdr:from>
    <xdr:to>
      <xdr:col>8</xdr:col>
      <xdr:colOff>314326</xdr:colOff>
      <xdr:row>66</xdr:row>
      <xdr:rowOff>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4ED0E78-C1E3-4066-A5E7-881881547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850" y="13887450"/>
          <a:ext cx="5153026" cy="230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240030</xdr:colOff>
      <xdr:row>259</xdr:row>
      <xdr:rowOff>80010</xdr:rowOff>
    </xdr:from>
    <xdr:to>
      <xdr:col>7</xdr:col>
      <xdr:colOff>9525</xdr:colOff>
      <xdr:row>270</xdr:row>
      <xdr:rowOff>209550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F8B43DB-ABC2-4F3C-98DC-76DD9A834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7705" y="10833735"/>
          <a:ext cx="3941445" cy="274891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277</xdr:row>
      <xdr:rowOff>28576</xdr:rowOff>
    </xdr:from>
    <xdr:to>
      <xdr:col>6</xdr:col>
      <xdr:colOff>447675</xdr:colOff>
      <xdr:row>281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E44C9A0-532D-4CB1-8188-825E4D6A89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aintStrokes/>
                  </a14:imgEffect>
                  <a14:imgEffect>
                    <a14:brightnessContrast contrast="-40000"/>
                  </a14:imgEffect>
                </a14:imgLayer>
              </a14:imgProps>
            </a:ext>
          </a:extLst>
        </a:blip>
        <a:srcRect b="40541"/>
        <a:stretch/>
      </xdr:blipFill>
      <xdr:spPr>
        <a:xfrm>
          <a:off x="571500" y="14897101"/>
          <a:ext cx="3800475" cy="104774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441</xdr:row>
      <xdr:rowOff>0</xdr:rowOff>
    </xdr:from>
    <xdr:to>
      <xdr:col>5</xdr:col>
      <xdr:colOff>251100</xdr:colOff>
      <xdr:row>453</xdr:row>
      <xdr:rowOff>12787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6AD20D0-4731-4C8D-A1DE-88EDCB5D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30241875"/>
          <a:ext cx="2880000" cy="287028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484</xdr:row>
      <xdr:rowOff>0</xdr:rowOff>
    </xdr:from>
    <xdr:to>
      <xdr:col>5</xdr:col>
      <xdr:colOff>241575</xdr:colOff>
      <xdr:row>496</xdr:row>
      <xdr:rowOff>31241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3A71FD3-0603-4D2D-B908-26AA6BC7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0550" y="40005000"/>
          <a:ext cx="2880000" cy="2888741"/>
        </a:xfrm>
        <a:prstGeom prst="rect">
          <a:avLst/>
        </a:prstGeom>
      </xdr:spPr>
    </xdr:pic>
    <xdr:clientData/>
  </xdr:twoCellAnchor>
  <xdr:oneCellAnchor>
    <xdr:from>
      <xdr:col>1</xdr:col>
      <xdr:colOff>219075</xdr:colOff>
      <xdr:row>519</xdr:row>
      <xdr:rowOff>0</xdr:rowOff>
    </xdr:from>
    <xdr:ext cx="2880000" cy="2888741"/>
    <xdr:pic>
      <xdr:nvPicPr>
        <xdr:cNvPr id="28" name="Picture 27">
          <a:extLst>
            <a:ext uri="{FF2B5EF4-FFF2-40B4-BE49-F238E27FC236}">
              <a16:creationId xmlns:a16="http://schemas.microsoft.com/office/drawing/2014/main" id="{87C12A60-0171-4E02-B526-A4166B817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750" y="48339375"/>
          <a:ext cx="2880000" cy="2888741"/>
        </a:xfrm>
        <a:prstGeom prst="rect">
          <a:avLst/>
        </a:prstGeom>
      </xdr:spPr>
    </xdr:pic>
    <xdr:clientData/>
  </xdr:oneCellAnchor>
  <xdr:twoCellAnchor>
    <xdr:from>
      <xdr:col>1</xdr:col>
      <xdr:colOff>1</xdr:colOff>
      <xdr:row>332</xdr:row>
      <xdr:rowOff>76200</xdr:rowOff>
    </xdr:from>
    <xdr:to>
      <xdr:col>8</xdr:col>
      <xdr:colOff>532726</xdr:colOff>
      <xdr:row>346</xdr:row>
      <xdr:rowOff>76200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EDB5392-2232-47CC-AE45-BD423A283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347</xdr:row>
      <xdr:rowOff>0</xdr:rowOff>
    </xdr:from>
    <xdr:to>
      <xdr:col>8</xdr:col>
      <xdr:colOff>532725</xdr:colOff>
      <xdr:row>361</xdr:row>
      <xdr:rowOff>19050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40C6F517-CF9E-49E8-8C88-711DB482C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228601</xdr:colOff>
      <xdr:row>1</xdr:row>
      <xdr:rowOff>180974</xdr:rowOff>
    </xdr:from>
    <xdr:to>
      <xdr:col>2</xdr:col>
      <xdr:colOff>657227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4D9594-891E-B407-8122-251CF533F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419099"/>
          <a:ext cx="1485901" cy="1485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petra.id/product/pbs-v1-0-1-analisa-gaya-dalam-pada-balok-akibat-beban-berjalan-di-atas-balok-dengan-dua-tumpuan-sederhan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D4BC-63C3-4837-8135-35A2A3E28ED6}">
  <sheetPr>
    <tabColor rgb="FF002060"/>
  </sheetPr>
  <dimension ref="B2:J27"/>
  <sheetViews>
    <sheetView tabSelected="1" workbookViewId="0"/>
  </sheetViews>
  <sheetFormatPr defaultRowHeight="18.75" customHeight="1" x14ac:dyDescent="0.25"/>
  <cols>
    <col min="1" max="1" width="4.28515625" style="335" customWidth="1"/>
    <col min="2" max="2" width="16.7109375" style="335" customWidth="1"/>
    <col min="3" max="3" width="2.85546875" style="334" customWidth="1"/>
    <col min="4" max="16384" width="9.140625" style="335"/>
  </cols>
  <sheetData>
    <row r="2" spans="2:10" ht="15.75" x14ac:dyDescent="0.25">
      <c r="B2" s="333" t="s">
        <v>954</v>
      </c>
      <c r="C2" s="334" t="s">
        <v>955</v>
      </c>
      <c r="D2" s="335" t="s">
        <v>921</v>
      </c>
    </row>
    <row r="3" spans="2:10" ht="15.75" x14ac:dyDescent="0.25">
      <c r="B3" s="333" t="s">
        <v>956</v>
      </c>
      <c r="C3" s="334" t="s">
        <v>955</v>
      </c>
      <c r="D3" s="335" t="s">
        <v>967</v>
      </c>
    </row>
    <row r="4" spans="2:10" ht="15.75" x14ac:dyDescent="0.25">
      <c r="B4" s="333" t="s">
        <v>957</v>
      </c>
      <c r="C4" s="334" t="s">
        <v>955</v>
      </c>
      <c r="D4" s="336" t="s">
        <v>966</v>
      </c>
    </row>
    <row r="5" spans="2:10" ht="15.75" x14ac:dyDescent="0.25">
      <c r="B5" s="333"/>
    </row>
    <row r="6" spans="2:10" ht="15.75" x14ac:dyDescent="0.25">
      <c r="B6" s="333" t="s">
        <v>958</v>
      </c>
      <c r="C6" s="334" t="s">
        <v>955</v>
      </c>
      <c r="D6" s="335" t="s">
        <v>959</v>
      </c>
    </row>
    <row r="7" spans="2:10" ht="15.75" x14ac:dyDescent="0.25">
      <c r="B7" s="333" t="s">
        <v>960</v>
      </c>
      <c r="C7" s="334" t="s">
        <v>955</v>
      </c>
      <c r="D7" s="337" t="s">
        <v>919</v>
      </c>
    </row>
    <row r="8" spans="2:10" ht="15.75" x14ac:dyDescent="0.25">
      <c r="C8" s="335"/>
      <c r="J8" s="338"/>
    </row>
    <row r="10" spans="2:10" ht="15.75" x14ac:dyDescent="0.25">
      <c r="B10" s="339" t="s">
        <v>961</v>
      </c>
      <c r="C10" s="340"/>
      <c r="D10" s="340"/>
      <c r="E10" s="340"/>
      <c r="F10" s="340"/>
      <c r="G10" s="340"/>
      <c r="H10" s="340"/>
      <c r="I10" s="340"/>
    </row>
    <row r="12" spans="2:10" ht="15.75" x14ac:dyDescent="0.25"/>
    <row r="23" spans="2:10" ht="15.75" x14ac:dyDescent="0.25">
      <c r="B23" s="335" t="s">
        <v>962</v>
      </c>
    </row>
    <row r="24" spans="2:10" ht="15.75" x14ac:dyDescent="0.25">
      <c r="B24" s="335" t="s">
        <v>963</v>
      </c>
    </row>
    <row r="26" spans="2:10" ht="15.75" x14ac:dyDescent="0.25">
      <c r="B26" s="335" t="s">
        <v>964</v>
      </c>
      <c r="C26" s="335"/>
    </row>
    <row r="27" spans="2:10" ht="15.75" x14ac:dyDescent="0.25">
      <c r="B27" s="341" t="s">
        <v>965</v>
      </c>
      <c r="C27" s="342"/>
      <c r="D27" s="342"/>
      <c r="E27" s="342"/>
      <c r="F27" s="342"/>
      <c r="G27" s="342"/>
      <c r="H27" s="342"/>
      <c r="I27" s="342"/>
      <c r="J27" s="342"/>
    </row>
  </sheetData>
  <hyperlinks>
    <hyperlink ref="D7" r:id="rId1" xr:uid="{1588635D-CCB4-43D1-8E62-DF38D86AF6AD}"/>
    <hyperlink ref="B27" r:id="rId2" xr:uid="{F33418C0-82FD-4095-9A03-A6EF2D0CF2AF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1596-5BBB-42E9-BFB2-EE2DF8D3CAAA}">
  <sheetPr>
    <tabColor theme="9" tint="0.39997558519241921"/>
  </sheetPr>
  <dimension ref="A1:S703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8.75" customHeight="1" x14ac:dyDescent="0.25"/>
  <cols>
    <col min="1" max="1" width="6.7109375" style="1" customWidth="1"/>
    <col min="2" max="6" width="12.140625" style="1" customWidth="1"/>
    <col min="7" max="7" width="12.85546875" style="2" customWidth="1"/>
    <col min="8" max="8" width="15.7109375" style="3" customWidth="1"/>
    <col min="9" max="9" width="11.42578125" style="5" customWidth="1"/>
    <col min="10" max="10" width="12.85546875" style="1" customWidth="1"/>
    <col min="11" max="18" width="11.42578125" style="1" customWidth="1"/>
    <col min="19" max="16384" width="9.140625" style="1"/>
  </cols>
  <sheetData>
    <row r="1" spans="1:18" s="110" customFormat="1" ht="18.75" customHeight="1" x14ac:dyDescent="0.25">
      <c r="A1" s="125" t="s">
        <v>122</v>
      </c>
      <c r="B1" s="348" t="s">
        <v>123</v>
      </c>
      <c r="C1" s="348"/>
      <c r="D1" s="348"/>
      <c r="E1" s="348"/>
      <c r="F1" s="348"/>
      <c r="G1" s="136" t="s">
        <v>124</v>
      </c>
      <c r="H1" s="136" t="s">
        <v>125</v>
      </c>
      <c r="I1" s="137" t="s">
        <v>126</v>
      </c>
      <c r="J1" s="109"/>
      <c r="K1" s="347" t="s">
        <v>123</v>
      </c>
      <c r="L1" s="347"/>
      <c r="M1" s="347"/>
      <c r="N1" s="347"/>
      <c r="O1" s="347"/>
      <c r="P1" s="347"/>
      <c r="Q1" s="347"/>
      <c r="R1" s="347"/>
    </row>
    <row r="2" spans="1:18" s="110" customFormat="1" ht="18.75" customHeight="1" x14ac:dyDescent="0.25">
      <c r="A2" s="126" t="s">
        <v>764</v>
      </c>
      <c r="B2" s="138" t="s">
        <v>765</v>
      </c>
      <c r="C2" s="139"/>
      <c r="D2" s="139"/>
      <c r="E2" s="139"/>
      <c r="F2" s="139"/>
      <c r="G2" s="140"/>
      <c r="H2" s="139"/>
      <c r="I2" s="141"/>
      <c r="J2" s="109"/>
      <c r="K2" s="214" t="s">
        <v>873</v>
      </c>
      <c r="L2" s="215"/>
      <c r="M2" s="215"/>
      <c r="N2" s="215"/>
      <c r="O2" s="215"/>
      <c r="P2" s="216"/>
      <c r="Q2" s="215"/>
      <c r="R2" s="217"/>
    </row>
    <row r="3" spans="1:18" ht="18.75" customHeight="1" x14ac:dyDescent="0.25">
      <c r="A3" s="127" t="s">
        <v>766</v>
      </c>
      <c r="B3" s="142" t="s">
        <v>767</v>
      </c>
      <c r="C3" s="143"/>
      <c r="D3" s="143"/>
      <c r="E3" s="143"/>
      <c r="F3" s="143"/>
      <c r="G3" s="144"/>
      <c r="H3" s="143"/>
      <c r="I3" s="145"/>
      <c r="K3" s="227" t="s">
        <v>49</v>
      </c>
      <c r="L3" s="23"/>
      <c r="M3" s="23"/>
      <c r="N3" s="23"/>
      <c r="O3" s="23"/>
      <c r="P3" s="146"/>
      <c r="Q3" s="21"/>
      <c r="R3" s="156"/>
    </row>
    <row r="4" spans="1:18" ht="18.75" customHeight="1" x14ac:dyDescent="0.25">
      <c r="A4" s="128"/>
      <c r="B4" s="23" t="s">
        <v>22</v>
      </c>
      <c r="C4" s="23"/>
      <c r="D4" s="23"/>
      <c r="E4" s="23"/>
      <c r="F4" s="23"/>
      <c r="G4" s="146" t="s">
        <v>24</v>
      </c>
      <c r="H4" s="112">
        <v>30</v>
      </c>
      <c r="I4" s="147" t="s">
        <v>23</v>
      </c>
      <c r="K4" s="228" t="s">
        <v>19</v>
      </c>
      <c r="L4" s="23"/>
      <c r="M4" s="13" t="s">
        <v>344</v>
      </c>
      <c r="N4" s="21" t="s">
        <v>13</v>
      </c>
      <c r="O4" s="13" t="s">
        <v>12</v>
      </c>
      <c r="P4" s="146"/>
      <c r="Q4" s="21"/>
      <c r="R4" s="156"/>
    </row>
    <row r="5" spans="1:18" ht="18.75" customHeight="1" x14ac:dyDescent="0.25">
      <c r="A5" s="128"/>
      <c r="B5" s="23" t="s">
        <v>25</v>
      </c>
      <c r="C5" s="23"/>
      <c r="D5" s="23"/>
      <c r="E5" s="23"/>
      <c r="F5" s="23"/>
      <c r="G5" s="113" t="s">
        <v>26</v>
      </c>
      <c r="H5" s="114">
        <v>52</v>
      </c>
      <c r="I5" s="147"/>
      <c r="K5" s="227"/>
      <c r="L5" s="23"/>
      <c r="M5" s="13">
        <f>D100</f>
        <v>16</v>
      </c>
      <c r="N5" s="21" t="str">
        <f>IF(M5&gt;=O5,"≥","&lt;")</f>
        <v>≥</v>
      </c>
      <c r="O5" s="16">
        <f>F100</f>
        <v>13.733333333333333</v>
      </c>
      <c r="P5" s="149" t="s">
        <v>14</v>
      </c>
      <c r="Q5" s="149" t="str">
        <f>IF(M5&gt;=O5,"[ OK ]","[ NOT OK ]")</f>
        <v>[ OK ]</v>
      </c>
      <c r="R5" s="156"/>
    </row>
    <row r="6" spans="1:18" ht="18.75" customHeight="1" x14ac:dyDescent="0.25">
      <c r="A6" s="128"/>
      <c r="B6" s="23" t="s">
        <v>27</v>
      </c>
      <c r="C6" s="23"/>
      <c r="D6" s="23"/>
      <c r="E6" s="23"/>
      <c r="F6" s="23"/>
      <c r="G6" s="146" t="s">
        <v>30</v>
      </c>
      <c r="H6" s="115">
        <v>360</v>
      </c>
      <c r="I6" s="147" t="s">
        <v>23</v>
      </c>
      <c r="K6" s="227" t="s">
        <v>18</v>
      </c>
      <c r="L6" s="23"/>
      <c r="M6" s="23"/>
      <c r="N6" s="23"/>
      <c r="O6" s="23"/>
      <c r="P6" s="146"/>
      <c r="Q6" s="21"/>
      <c r="R6" s="156"/>
    </row>
    <row r="7" spans="1:18" ht="18.75" customHeight="1" x14ac:dyDescent="0.25">
      <c r="A7" s="128"/>
      <c r="B7" s="23" t="s">
        <v>28</v>
      </c>
      <c r="C7" s="23"/>
      <c r="D7" s="23"/>
      <c r="E7" s="23"/>
      <c r="F7" s="23"/>
      <c r="G7" s="146" t="s">
        <v>31</v>
      </c>
      <c r="H7" s="116">
        <v>520</v>
      </c>
      <c r="I7" s="147" t="s">
        <v>23</v>
      </c>
      <c r="K7" s="228" t="s">
        <v>19</v>
      </c>
      <c r="L7" s="23"/>
      <c r="M7" s="13" t="s">
        <v>21</v>
      </c>
      <c r="N7" s="21" t="s">
        <v>13</v>
      </c>
      <c r="O7" s="13" t="s">
        <v>20</v>
      </c>
      <c r="P7" s="146"/>
      <c r="Q7" s="21"/>
      <c r="R7" s="156"/>
    </row>
    <row r="8" spans="1:18" ht="18.75" customHeight="1" x14ac:dyDescent="0.25">
      <c r="A8" s="128"/>
      <c r="B8" s="23" t="s">
        <v>359</v>
      </c>
      <c r="C8" s="23"/>
      <c r="D8" s="23"/>
      <c r="E8" s="23"/>
      <c r="F8" s="23"/>
      <c r="G8" s="113" t="s">
        <v>360</v>
      </c>
      <c r="H8" s="117">
        <v>420</v>
      </c>
      <c r="I8" s="147"/>
      <c r="K8" s="227"/>
      <c r="L8" s="23"/>
      <c r="M8" s="13">
        <f>D103</f>
        <v>20</v>
      </c>
      <c r="N8" s="21" t="str">
        <f>IF(M8&gt;=O8,"≥","&lt;")</f>
        <v>≥</v>
      </c>
      <c r="O8" s="16">
        <f>F103</f>
        <v>17.600000000000001</v>
      </c>
      <c r="P8" s="149" t="s">
        <v>14</v>
      </c>
      <c r="Q8" s="149" t="str">
        <f>IF(M8&gt;=O8,"[ OK ]","[ NOT OK ]")</f>
        <v>[ OK ]</v>
      </c>
      <c r="R8" s="156"/>
    </row>
    <row r="9" spans="1:18" ht="18.75" customHeight="1" x14ac:dyDescent="0.25">
      <c r="A9" s="128"/>
      <c r="B9" s="23" t="s">
        <v>361</v>
      </c>
      <c r="C9" s="23"/>
      <c r="D9" s="23"/>
      <c r="E9" s="23"/>
      <c r="F9" s="23"/>
      <c r="G9" s="146" t="s">
        <v>30</v>
      </c>
      <c r="H9" s="115">
        <v>400</v>
      </c>
      <c r="I9" s="147" t="s">
        <v>23</v>
      </c>
      <c r="K9" s="227" t="s">
        <v>43</v>
      </c>
      <c r="L9" s="23"/>
      <c r="M9" s="23"/>
      <c r="N9" s="23"/>
      <c r="O9" s="23"/>
      <c r="P9" s="146"/>
      <c r="Q9" s="21"/>
      <c r="R9" s="156"/>
    </row>
    <row r="10" spans="1:18" ht="18.75" customHeight="1" x14ac:dyDescent="0.25">
      <c r="A10" s="128"/>
      <c r="B10" s="23" t="s">
        <v>29</v>
      </c>
      <c r="C10" s="23"/>
      <c r="D10" s="23"/>
      <c r="E10" s="23"/>
      <c r="F10" s="23"/>
      <c r="G10" s="146" t="s">
        <v>32</v>
      </c>
      <c r="H10" s="118">
        <v>200000</v>
      </c>
      <c r="I10" s="147" t="s">
        <v>23</v>
      </c>
      <c r="K10" s="228" t="s">
        <v>19</v>
      </c>
      <c r="L10" s="23"/>
      <c r="M10" s="13" t="s">
        <v>44</v>
      </c>
      <c r="N10" s="21" t="s">
        <v>13</v>
      </c>
      <c r="O10" s="13" t="s">
        <v>15</v>
      </c>
      <c r="P10" s="146"/>
      <c r="Q10" s="21"/>
      <c r="R10" s="156"/>
    </row>
    <row r="11" spans="1:18" ht="18.75" customHeight="1" x14ac:dyDescent="0.25">
      <c r="A11" s="128"/>
      <c r="B11" s="23"/>
      <c r="C11" s="23"/>
      <c r="D11" s="23"/>
      <c r="E11" s="23"/>
      <c r="F11" s="23"/>
      <c r="G11" s="146"/>
      <c r="H11" s="21"/>
      <c r="I11" s="147"/>
      <c r="K11" s="227"/>
      <c r="L11" s="23"/>
      <c r="M11" s="13">
        <f>D106</f>
        <v>380</v>
      </c>
      <c r="N11" s="21" t="str">
        <f>IF(M11&gt;=O11,"≥","&lt;")</f>
        <v>≥</v>
      </c>
      <c r="O11" s="16">
        <f>F106</f>
        <v>343.33333333333331</v>
      </c>
      <c r="P11" s="149" t="s">
        <v>14</v>
      </c>
      <c r="Q11" s="149" t="str">
        <f>IF(M11&gt;=O11,"[ OK ]","[ NOT OK ]")</f>
        <v>[ OK ]</v>
      </c>
      <c r="R11" s="156"/>
    </row>
    <row r="12" spans="1:18" ht="18.75" customHeight="1" x14ac:dyDescent="0.25">
      <c r="A12" s="127" t="s">
        <v>769</v>
      </c>
      <c r="B12" s="142" t="s">
        <v>768</v>
      </c>
      <c r="C12" s="143"/>
      <c r="D12" s="143"/>
      <c r="E12" s="143"/>
      <c r="F12" s="143"/>
      <c r="G12" s="144"/>
      <c r="H12" s="143"/>
      <c r="I12" s="145"/>
      <c r="K12" s="227" t="s">
        <v>47</v>
      </c>
      <c r="L12" s="23"/>
      <c r="M12" s="23"/>
      <c r="N12" s="23"/>
      <c r="O12" s="23"/>
      <c r="P12" s="146"/>
      <c r="Q12" s="21"/>
      <c r="R12" s="156"/>
    </row>
    <row r="13" spans="1:18" s="75" customFormat="1" ht="18.75" customHeight="1" x14ac:dyDescent="0.25">
      <c r="A13" s="180"/>
      <c r="B13" s="181"/>
      <c r="C13" s="182"/>
      <c r="D13" s="182"/>
      <c r="E13" s="182"/>
      <c r="F13" s="182"/>
      <c r="G13" s="183"/>
      <c r="H13" s="182"/>
      <c r="I13" s="184"/>
      <c r="K13" s="228" t="s">
        <v>19</v>
      </c>
      <c r="L13" s="23"/>
      <c r="M13" s="13" t="s">
        <v>343</v>
      </c>
      <c r="N13" s="21" t="s">
        <v>48</v>
      </c>
      <c r="O13" s="12">
        <v>12</v>
      </c>
      <c r="P13" s="146"/>
      <c r="Q13" s="21"/>
      <c r="R13" s="161"/>
    </row>
    <row r="14" spans="1:18" s="75" customFormat="1" ht="18.75" customHeight="1" x14ac:dyDescent="0.25">
      <c r="A14" s="180"/>
      <c r="B14" s="181"/>
      <c r="C14" s="182"/>
      <c r="D14" s="182"/>
      <c r="E14" s="182"/>
      <c r="F14" s="182"/>
      <c r="G14" s="183"/>
      <c r="H14" s="182"/>
      <c r="I14" s="184"/>
      <c r="K14" s="227"/>
      <c r="L14" s="23"/>
      <c r="M14" s="13">
        <f>D109</f>
        <v>9.5</v>
      </c>
      <c r="N14" s="21" t="str">
        <f>IF(M14&lt;=O14,"≤","&gt;")</f>
        <v>≤</v>
      </c>
      <c r="O14" s="16">
        <f>F109</f>
        <v>12</v>
      </c>
      <c r="P14" s="149" t="s">
        <v>14</v>
      </c>
      <c r="Q14" s="149" t="str">
        <f>IF(M14&lt;=O14,"[ OK ]","[ NOT OK ]")</f>
        <v>[ OK ]</v>
      </c>
      <c r="R14" s="161"/>
    </row>
    <row r="15" spans="1:18" s="75" customFormat="1" ht="18.75" customHeight="1" x14ac:dyDescent="0.25">
      <c r="A15" s="180"/>
      <c r="B15" s="181"/>
      <c r="C15" s="182"/>
      <c r="D15" s="182"/>
      <c r="E15" s="182"/>
      <c r="F15" s="182"/>
      <c r="G15" s="183"/>
      <c r="H15" s="182"/>
      <c r="I15" s="184"/>
      <c r="K15" s="227" t="s">
        <v>345</v>
      </c>
      <c r="L15" s="23"/>
      <c r="M15" s="23"/>
      <c r="N15" s="23"/>
      <c r="O15" s="23"/>
      <c r="P15" s="146"/>
      <c r="Q15" s="21"/>
      <c r="R15" s="161"/>
    </row>
    <row r="16" spans="1:18" s="75" customFormat="1" ht="18.75" customHeight="1" x14ac:dyDescent="0.25">
      <c r="A16" s="180"/>
      <c r="B16" s="181"/>
      <c r="C16" s="182"/>
      <c r="D16" s="182"/>
      <c r="E16" s="182"/>
      <c r="F16" s="182"/>
      <c r="G16" s="183"/>
      <c r="H16" s="182"/>
      <c r="I16" s="184"/>
      <c r="K16" s="228" t="s">
        <v>19</v>
      </c>
      <c r="L16" s="23"/>
      <c r="M16" s="13" t="s">
        <v>346</v>
      </c>
      <c r="N16" s="21" t="s">
        <v>48</v>
      </c>
      <c r="O16" s="12" t="s">
        <v>347</v>
      </c>
      <c r="P16" s="146"/>
      <c r="Q16" s="21"/>
      <c r="R16" s="161"/>
    </row>
    <row r="17" spans="1:19" s="75" customFormat="1" ht="18.75" customHeight="1" x14ac:dyDescent="0.25">
      <c r="A17" s="180"/>
      <c r="B17" s="181"/>
      <c r="C17" s="182"/>
      <c r="D17" s="182"/>
      <c r="E17" s="182"/>
      <c r="F17" s="182"/>
      <c r="G17" s="183"/>
      <c r="H17" s="182"/>
      <c r="I17" s="184"/>
      <c r="K17" s="227"/>
      <c r="L17" s="23"/>
      <c r="M17" s="13">
        <f>D112</f>
        <v>1800</v>
      </c>
      <c r="N17" s="21" t="str">
        <f>IF(M17&lt;=O17,"≤","&gt;")</f>
        <v>≤</v>
      </c>
      <c r="O17" s="13">
        <f>F112</f>
        <v>10000</v>
      </c>
      <c r="P17" s="149" t="s">
        <v>14</v>
      </c>
      <c r="Q17" s="149" t="str">
        <f>IF(M17&lt;=O17,"[ OK ]","[ NOT OK ]")</f>
        <v>[ OK ]</v>
      </c>
      <c r="R17" s="161"/>
    </row>
    <row r="18" spans="1:19" s="75" customFormat="1" ht="18.75" customHeight="1" x14ac:dyDescent="0.25">
      <c r="A18" s="180"/>
      <c r="B18" s="181"/>
      <c r="C18" s="182"/>
      <c r="D18" s="182"/>
      <c r="E18" s="182"/>
      <c r="F18" s="182"/>
      <c r="G18" s="183"/>
      <c r="H18" s="182"/>
      <c r="I18" s="184"/>
      <c r="K18" s="195" t="s">
        <v>345</v>
      </c>
      <c r="L18" s="23"/>
      <c r="M18" s="23"/>
      <c r="N18" s="23"/>
      <c r="O18" s="23"/>
      <c r="P18" s="146"/>
      <c r="Q18" s="21"/>
      <c r="R18" s="147"/>
    </row>
    <row r="19" spans="1:19" s="75" customFormat="1" ht="18.75" customHeight="1" x14ac:dyDescent="0.25">
      <c r="A19" s="180"/>
      <c r="B19" s="181"/>
      <c r="C19" s="182"/>
      <c r="D19" s="182"/>
      <c r="E19" s="182"/>
      <c r="F19" s="182"/>
      <c r="G19" s="183"/>
      <c r="H19" s="182"/>
      <c r="I19" s="184"/>
      <c r="K19" s="330" t="s">
        <v>19</v>
      </c>
      <c r="L19" s="23"/>
      <c r="M19" s="331" t="s">
        <v>953</v>
      </c>
      <c r="N19" s="21" t="s">
        <v>48</v>
      </c>
      <c r="O19" s="12">
        <v>2.5</v>
      </c>
      <c r="P19" s="146"/>
      <c r="Q19" s="21"/>
      <c r="R19" s="147"/>
    </row>
    <row r="20" spans="1:19" s="75" customFormat="1" ht="18.75" customHeight="1" x14ac:dyDescent="0.25">
      <c r="A20" s="180"/>
      <c r="B20" s="181"/>
      <c r="C20" s="182"/>
      <c r="D20" s="182"/>
      <c r="E20" s="182"/>
      <c r="F20" s="182"/>
      <c r="G20" s="183"/>
      <c r="H20" s="182"/>
      <c r="I20" s="184"/>
      <c r="K20" s="195"/>
      <c r="L20" s="23"/>
      <c r="M20" s="12">
        <f>D115</f>
        <v>1.511926605504587</v>
      </c>
      <c r="N20" s="21" t="str">
        <f>IF(M20&lt;=O20,"≤","&gt;")</f>
        <v>≤</v>
      </c>
      <c r="O20" s="12">
        <v>2.5</v>
      </c>
      <c r="P20" s="149" t="s">
        <v>14</v>
      </c>
      <c r="Q20" s="149" t="str">
        <f>IF(M20&lt;=O20,"[ OK ]","[ NOT OK ]")</f>
        <v>[ OK ]</v>
      </c>
      <c r="R20" s="147"/>
    </row>
    <row r="21" spans="1:19" s="75" customFormat="1" ht="18.75" customHeight="1" x14ac:dyDescent="0.25">
      <c r="A21" s="180"/>
      <c r="B21" s="181"/>
      <c r="C21" s="182"/>
      <c r="D21" s="182"/>
      <c r="E21" s="182"/>
      <c r="F21" s="182"/>
      <c r="G21" s="183"/>
      <c r="H21" s="182"/>
      <c r="I21" s="184"/>
      <c r="K21" s="229"/>
      <c r="L21" s="151"/>
      <c r="M21" s="151"/>
      <c r="N21" s="151"/>
      <c r="O21" s="151"/>
      <c r="P21" s="151"/>
      <c r="Q21" s="151"/>
      <c r="R21" s="161"/>
    </row>
    <row r="22" spans="1:19" ht="18.75" customHeight="1" x14ac:dyDescent="0.25">
      <c r="A22" s="180"/>
      <c r="B22" s="181" t="s">
        <v>910</v>
      </c>
      <c r="C22" s="182"/>
      <c r="D22" s="182"/>
      <c r="E22" s="182"/>
      <c r="F22" s="182"/>
      <c r="G22" s="146" t="s">
        <v>147</v>
      </c>
      <c r="H22" s="188">
        <v>4</v>
      </c>
      <c r="I22" s="147" t="s">
        <v>911</v>
      </c>
      <c r="K22" s="227" t="s">
        <v>291</v>
      </c>
      <c r="L22" s="23"/>
      <c r="M22" s="23"/>
      <c r="N22" s="23"/>
      <c r="O22" s="23"/>
      <c r="P22" s="146"/>
      <c r="Q22" s="21"/>
      <c r="R22" s="161"/>
      <c r="S22" s="75"/>
    </row>
    <row r="23" spans="1:19" ht="18.75" customHeight="1" x14ac:dyDescent="0.25">
      <c r="A23" s="128"/>
      <c r="B23" s="23" t="s">
        <v>0</v>
      </c>
      <c r="C23" s="23"/>
      <c r="D23" s="23"/>
      <c r="E23" s="23"/>
      <c r="F23" s="23"/>
      <c r="G23" s="146" t="s">
        <v>1</v>
      </c>
      <c r="H23" s="112">
        <v>50</v>
      </c>
      <c r="I23" s="147" t="s">
        <v>2</v>
      </c>
      <c r="K23" s="228" t="s">
        <v>19</v>
      </c>
      <c r="L23" s="23"/>
      <c r="M23" s="13" t="s">
        <v>294</v>
      </c>
      <c r="N23" s="21" t="s">
        <v>13</v>
      </c>
      <c r="O23" s="12">
        <v>0.1</v>
      </c>
      <c r="P23" s="146"/>
      <c r="Q23" s="21"/>
      <c r="R23" s="161"/>
      <c r="S23" s="75"/>
    </row>
    <row r="24" spans="1:19" ht="18.75" customHeight="1" x14ac:dyDescent="0.25">
      <c r="A24" s="128"/>
      <c r="B24" s="23" t="s">
        <v>3</v>
      </c>
      <c r="C24" s="23"/>
      <c r="D24" s="23"/>
      <c r="E24" s="23"/>
      <c r="F24" s="23"/>
      <c r="G24" s="146" t="s">
        <v>4</v>
      </c>
      <c r="H24" s="202">
        <v>1.8</v>
      </c>
      <c r="I24" s="147" t="s">
        <v>2</v>
      </c>
      <c r="K24" s="227"/>
      <c r="L24" s="23"/>
      <c r="M24" s="12">
        <f>D167</f>
        <v>0.21111761704692139</v>
      </c>
      <c r="N24" s="21" t="str">
        <f>IF(M24&gt;=O24,"≥","&lt;")</f>
        <v>≥</v>
      </c>
      <c r="O24" s="12">
        <v>0.1</v>
      </c>
      <c r="P24" s="149" t="s">
        <v>14</v>
      </c>
      <c r="Q24" s="149" t="str">
        <f>IF(M24&gt;=O24,"[ OK ]","[ NOT OK ]")</f>
        <v>[ OK ]</v>
      </c>
      <c r="R24" s="161"/>
      <c r="S24" s="75"/>
    </row>
    <row r="25" spans="1:19" ht="18.75" customHeight="1" x14ac:dyDescent="0.25">
      <c r="A25" s="128"/>
      <c r="B25" s="205" t="s">
        <v>5</v>
      </c>
      <c r="C25" s="206"/>
      <c r="D25" s="206"/>
      <c r="E25" s="206"/>
      <c r="F25" s="206"/>
      <c r="G25" s="207" t="s">
        <v>6</v>
      </c>
      <c r="H25" s="112">
        <v>2.1</v>
      </c>
      <c r="I25" s="212" t="s">
        <v>2</v>
      </c>
      <c r="K25" s="228" t="s">
        <v>19</v>
      </c>
      <c r="L25" s="23"/>
      <c r="M25" s="13" t="s">
        <v>294</v>
      </c>
      <c r="N25" s="21" t="s">
        <v>48</v>
      </c>
      <c r="O25" s="12">
        <v>10</v>
      </c>
      <c r="P25" s="146"/>
      <c r="Q25" s="21"/>
      <c r="R25" s="156"/>
    </row>
    <row r="26" spans="1:19" ht="18.75" customHeight="1" x14ac:dyDescent="0.25">
      <c r="A26" s="128"/>
      <c r="B26" s="241" t="s">
        <v>907</v>
      </c>
      <c r="C26" s="208"/>
      <c r="D26" s="209" t="s">
        <v>871</v>
      </c>
      <c r="E26" s="210"/>
      <c r="F26" s="211" t="s">
        <v>14</v>
      </c>
      <c r="G26" s="325">
        <f>1/22*H23</f>
        <v>2.2727272727272729</v>
      </c>
      <c r="H26" s="325">
        <f>1/25*H23</f>
        <v>2</v>
      </c>
      <c r="I26" s="213"/>
      <c r="K26" s="195"/>
      <c r="L26" s="23"/>
      <c r="M26" s="12">
        <f>M24</f>
        <v>0.21111761704692139</v>
      </c>
      <c r="N26" s="21" t="str">
        <f>IF(M26&lt;=O26,"≤","&gt;")</f>
        <v>≤</v>
      </c>
      <c r="O26" s="12">
        <v>10</v>
      </c>
      <c r="P26" s="149" t="s">
        <v>14</v>
      </c>
      <c r="Q26" s="149" t="str">
        <f>IF(M26&lt;=O26,"[ OK ]","[ NOT OK ]")</f>
        <v>[ OK ]</v>
      </c>
      <c r="R26" s="156"/>
    </row>
    <row r="27" spans="1:19" ht="18.75" customHeight="1" x14ac:dyDescent="0.25">
      <c r="A27" s="128"/>
      <c r="B27" s="23" t="s">
        <v>837</v>
      </c>
      <c r="C27" s="23"/>
      <c r="D27" s="23"/>
      <c r="E27" s="23"/>
      <c r="F27" s="23"/>
      <c r="G27" s="146" t="s">
        <v>838</v>
      </c>
      <c r="H27" s="204">
        <v>1.6</v>
      </c>
      <c r="I27" s="147" t="s">
        <v>2</v>
      </c>
      <c r="K27" s="195"/>
      <c r="L27" s="23"/>
      <c r="M27" s="23"/>
      <c r="N27" s="23"/>
      <c r="O27" s="23"/>
      <c r="P27" s="23"/>
      <c r="Q27" s="23"/>
      <c r="R27" s="156"/>
    </row>
    <row r="28" spans="1:19" ht="18.75" customHeight="1" x14ac:dyDescent="0.25">
      <c r="A28" s="128"/>
      <c r="B28" s="205" t="s">
        <v>35</v>
      </c>
      <c r="C28" s="206"/>
      <c r="D28" s="206"/>
      <c r="E28" s="206"/>
      <c r="F28" s="206"/>
      <c r="G28" s="207" t="s">
        <v>36</v>
      </c>
      <c r="H28" s="112">
        <v>3.5</v>
      </c>
      <c r="I28" s="212" t="s">
        <v>2</v>
      </c>
      <c r="K28" s="219" t="s">
        <v>874</v>
      </c>
      <c r="L28" s="139"/>
      <c r="M28" s="139"/>
      <c r="N28" s="139"/>
      <c r="O28" s="139"/>
      <c r="P28" s="140"/>
      <c r="Q28" s="139"/>
      <c r="R28" s="141"/>
    </row>
    <row r="29" spans="1:19" s="84" customFormat="1" ht="18.75" customHeight="1" x14ac:dyDescent="0.25">
      <c r="A29" s="128"/>
      <c r="B29" s="241" t="s">
        <v>907</v>
      </c>
      <c r="C29" s="208"/>
      <c r="D29" s="210" t="s">
        <v>872</v>
      </c>
      <c r="E29" s="210"/>
      <c r="F29" s="211" t="s">
        <v>14</v>
      </c>
      <c r="G29" s="325">
        <f>1.8*H24</f>
        <v>3.24</v>
      </c>
      <c r="H29" s="325">
        <f>2.2*H24</f>
        <v>3.9600000000000004</v>
      </c>
      <c r="I29" s="213"/>
      <c r="K29" s="227" t="s">
        <v>348</v>
      </c>
      <c r="L29" s="23"/>
      <c r="M29" s="23"/>
      <c r="N29" s="23"/>
      <c r="O29" s="23"/>
      <c r="P29" s="146"/>
      <c r="Q29" s="21"/>
      <c r="R29" s="147"/>
      <c r="S29" s="1"/>
    </row>
    <row r="30" spans="1:19" ht="18.75" customHeight="1" x14ac:dyDescent="0.25">
      <c r="A30" s="134"/>
      <c r="B30" s="169" t="s">
        <v>582</v>
      </c>
      <c r="C30" s="169"/>
      <c r="D30" s="169"/>
      <c r="E30" s="169"/>
      <c r="F30" s="169"/>
      <c r="G30" s="168" t="s">
        <v>591</v>
      </c>
      <c r="H30" s="203">
        <v>1.2</v>
      </c>
      <c r="I30" s="175" t="s">
        <v>2</v>
      </c>
      <c r="K30" s="228" t="s">
        <v>19</v>
      </c>
      <c r="L30" s="23"/>
      <c r="M30" s="71" t="s">
        <v>352</v>
      </c>
      <c r="N30" s="21" t="s">
        <v>48</v>
      </c>
      <c r="O30" s="68" t="s">
        <v>351</v>
      </c>
      <c r="P30" s="146"/>
      <c r="Q30" s="21"/>
      <c r="R30" s="147"/>
    </row>
    <row r="31" spans="1:19" ht="18.75" customHeight="1" x14ac:dyDescent="0.25">
      <c r="A31" s="128"/>
      <c r="B31" s="23" t="s">
        <v>710</v>
      </c>
      <c r="C31" s="23"/>
      <c r="D31" s="23"/>
      <c r="E31" s="23"/>
      <c r="F31" s="23"/>
      <c r="G31" s="146" t="s">
        <v>147</v>
      </c>
      <c r="H31" s="188">
        <v>10</v>
      </c>
      <c r="I31" s="147"/>
      <c r="K31" s="195"/>
      <c r="L31" s="23"/>
      <c r="M31" s="12">
        <f>D310</f>
        <v>38407.420453532002</v>
      </c>
      <c r="N31" s="21" t="str">
        <f>IF(M31&lt;=O31,"≤","&gt;")</f>
        <v>≤</v>
      </c>
      <c r="O31" s="12">
        <f>F310</f>
        <v>48784.238420800779</v>
      </c>
      <c r="P31" s="149" t="s">
        <v>14</v>
      </c>
      <c r="Q31" s="149" t="str">
        <f>IF(M31&lt;=O31,"[ OK ]","[ NOT OK ]")</f>
        <v>[ OK ]</v>
      </c>
      <c r="R31" s="147"/>
    </row>
    <row r="32" spans="1:19" ht="18.75" customHeight="1" x14ac:dyDescent="0.25">
      <c r="A32" s="128"/>
      <c r="B32" s="23"/>
      <c r="C32" s="23"/>
      <c r="D32" s="23"/>
      <c r="E32" s="23"/>
      <c r="F32" s="23"/>
      <c r="G32" s="146"/>
      <c r="H32" s="21"/>
      <c r="I32" s="147"/>
      <c r="K32" s="220"/>
      <c r="L32" s="169"/>
      <c r="M32" s="169"/>
      <c r="N32" s="169"/>
      <c r="O32" s="169"/>
      <c r="P32" s="169"/>
      <c r="Q32" s="169"/>
      <c r="R32" s="221"/>
      <c r="S32" s="84"/>
    </row>
    <row r="33" spans="1:18" ht="18.75" customHeight="1" x14ac:dyDescent="0.25">
      <c r="A33" s="128"/>
      <c r="B33" s="23"/>
      <c r="C33" s="23"/>
      <c r="D33" s="23"/>
      <c r="E33" s="23"/>
      <c r="F33" s="23"/>
      <c r="G33" s="146"/>
      <c r="H33" s="21"/>
      <c r="I33" s="147"/>
      <c r="K33" s="219" t="s">
        <v>875</v>
      </c>
      <c r="L33" s="139"/>
      <c r="M33" s="139"/>
      <c r="N33" s="139"/>
      <c r="O33" s="139"/>
      <c r="P33" s="140"/>
      <c r="Q33" s="139"/>
      <c r="R33" s="141"/>
    </row>
    <row r="34" spans="1:18" ht="18.75" customHeight="1" x14ac:dyDescent="0.25">
      <c r="A34" s="128"/>
      <c r="B34" s="23"/>
      <c r="C34" s="23"/>
      <c r="D34" s="23"/>
      <c r="E34" s="23"/>
      <c r="F34" s="23"/>
      <c r="G34" s="146"/>
      <c r="H34" s="21"/>
      <c r="I34" s="147"/>
      <c r="K34" s="253" t="s">
        <v>787</v>
      </c>
      <c r="L34" s="254"/>
      <c r="M34" s="254"/>
      <c r="N34" s="254"/>
      <c r="O34" s="254"/>
      <c r="P34" s="255"/>
      <c r="Q34" s="254"/>
      <c r="R34" s="256"/>
    </row>
    <row r="35" spans="1:18" ht="18.75" customHeight="1" x14ac:dyDescent="0.25">
      <c r="A35" s="128"/>
      <c r="B35" s="23"/>
      <c r="C35" s="23"/>
      <c r="D35" s="23"/>
      <c r="E35" s="23"/>
      <c r="F35" s="23"/>
      <c r="G35" s="146"/>
      <c r="H35" s="21"/>
      <c r="I35" s="147"/>
      <c r="K35" s="227" t="s">
        <v>348</v>
      </c>
      <c r="L35" s="23"/>
      <c r="M35" s="23"/>
      <c r="N35" s="23"/>
      <c r="O35" s="23"/>
      <c r="P35" s="146"/>
      <c r="Q35" s="21"/>
      <c r="R35" s="147"/>
    </row>
    <row r="36" spans="1:18" ht="18.75" customHeight="1" x14ac:dyDescent="0.25">
      <c r="A36" s="128"/>
      <c r="B36" s="23"/>
      <c r="C36" s="23"/>
      <c r="D36" s="23"/>
      <c r="E36" s="23"/>
      <c r="F36" s="23"/>
      <c r="G36" s="146"/>
      <c r="H36" s="21"/>
      <c r="I36" s="147"/>
      <c r="K36" s="228" t="s">
        <v>19</v>
      </c>
      <c r="L36" s="23"/>
      <c r="M36" s="71" t="s">
        <v>352</v>
      </c>
      <c r="N36" s="21" t="s">
        <v>48</v>
      </c>
      <c r="O36" s="68" t="s">
        <v>351</v>
      </c>
      <c r="P36" s="146"/>
      <c r="Q36" s="21"/>
      <c r="R36" s="147"/>
    </row>
    <row r="37" spans="1:18" ht="18.75" customHeight="1" x14ac:dyDescent="0.25">
      <c r="A37" s="128"/>
      <c r="B37" s="23"/>
      <c r="C37" s="23"/>
      <c r="D37" s="23"/>
      <c r="E37" s="23"/>
      <c r="F37" s="23"/>
      <c r="G37" s="146"/>
      <c r="H37" s="21"/>
      <c r="I37" s="147"/>
      <c r="K37" s="195"/>
      <c r="L37" s="23"/>
      <c r="M37" s="12">
        <f>D334</f>
        <v>38407.420453532002</v>
      </c>
      <c r="N37" s="21" t="str">
        <f>IF(M37&lt;=O37,"≤","&gt;")</f>
        <v>≤</v>
      </c>
      <c r="O37" s="12">
        <f>F334</f>
        <v>48784.238420800779</v>
      </c>
      <c r="P37" s="149" t="s">
        <v>14</v>
      </c>
      <c r="Q37" s="149" t="str">
        <f>IF(M37&lt;=O37,"[ OK ]","[ NOT OK ]")</f>
        <v>[ OK ]</v>
      </c>
      <c r="R37" s="147"/>
    </row>
    <row r="38" spans="1:18" ht="18.75" customHeight="1" x14ac:dyDescent="0.25">
      <c r="A38" s="128"/>
      <c r="B38" s="23"/>
      <c r="C38" s="23"/>
      <c r="D38" s="23"/>
      <c r="E38" s="23"/>
      <c r="F38" s="23"/>
      <c r="G38" s="146"/>
      <c r="H38" s="21"/>
      <c r="I38" s="147"/>
      <c r="K38" s="195"/>
      <c r="L38" s="23"/>
      <c r="M38" s="23"/>
      <c r="N38" s="23"/>
      <c r="O38" s="23"/>
      <c r="P38" s="23"/>
      <c r="Q38" s="23"/>
      <c r="R38" s="156"/>
    </row>
    <row r="39" spans="1:18" ht="18.75" customHeight="1" x14ac:dyDescent="0.25">
      <c r="A39" s="128"/>
      <c r="B39" s="23"/>
      <c r="C39" s="23"/>
      <c r="D39" s="23"/>
      <c r="E39" s="23"/>
      <c r="F39" s="23"/>
      <c r="G39" s="146"/>
      <c r="H39" s="21"/>
      <c r="I39" s="147"/>
      <c r="K39" s="253" t="s">
        <v>788</v>
      </c>
      <c r="L39" s="254"/>
      <c r="M39" s="254"/>
      <c r="N39" s="254"/>
      <c r="O39" s="254"/>
      <c r="P39" s="255"/>
      <c r="Q39" s="257" t="str">
        <f>H337</f>
        <v>[tidak perlu]</v>
      </c>
      <c r="R39" s="256"/>
    </row>
    <row r="40" spans="1:18" ht="18.75" customHeight="1" x14ac:dyDescent="0.25">
      <c r="A40" s="128"/>
      <c r="B40" s="23"/>
      <c r="C40" s="23"/>
      <c r="D40" s="23"/>
      <c r="E40" s="23"/>
      <c r="F40" s="23"/>
      <c r="G40" s="146"/>
      <c r="H40" s="21"/>
      <c r="I40" s="147"/>
      <c r="K40" s="222" t="s">
        <v>410</v>
      </c>
      <c r="L40" s="23"/>
      <c r="M40" s="23"/>
      <c r="N40" s="23"/>
      <c r="O40" s="23"/>
      <c r="P40" s="23"/>
      <c r="Q40" s="23"/>
      <c r="R40" s="156"/>
    </row>
    <row r="41" spans="1:18" ht="18.75" customHeight="1" x14ac:dyDescent="0.25">
      <c r="A41" s="128"/>
      <c r="B41" s="23"/>
      <c r="C41" s="23"/>
      <c r="D41" s="23"/>
      <c r="E41" s="23"/>
      <c r="F41" s="23"/>
      <c r="G41" s="146"/>
      <c r="H41" s="21"/>
      <c r="I41" s="147"/>
      <c r="K41" s="227" t="s">
        <v>439</v>
      </c>
      <c r="L41" s="23"/>
      <c r="M41" s="23"/>
      <c r="N41" s="23"/>
      <c r="O41" s="23"/>
      <c r="P41" s="146"/>
      <c r="Q41" s="21"/>
      <c r="R41" s="147"/>
    </row>
    <row r="42" spans="1:18" ht="18.75" customHeight="1" x14ac:dyDescent="0.25">
      <c r="A42" s="128"/>
      <c r="B42" s="23" t="s">
        <v>62</v>
      </c>
      <c r="C42" s="23"/>
      <c r="D42" s="23"/>
      <c r="E42" s="23"/>
      <c r="F42" s="23"/>
      <c r="G42" s="146" t="s">
        <v>64</v>
      </c>
      <c r="H42" s="115">
        <v>250</v>
      </c>
      <c r="I42" s="147" t="s">
        <v>9</v>
      </c>
      <c r="K42" s="228" t="s">
        <v>19</v>
      </c>
      <c r="L42" s="23"/>
      <c r="M42" s="71" t="s">
        <v>441</v>
      </c>
      <c r="N42" s="21" t="s">
        <v>48</v>
      </c>
      <c r="O42" s="68" t="s">
        <v>442</v>
      </c>
      <c r="P42" s="146"/>
      <c r="Q42" s="21"/>
      <c r="R42" s="147"/>
    </row>
    <row r="43" spans="1:18" ht="18.75" customHeight="1" x14ac:dyDescent="0.25">
      <c r="A43" s="128"/>
      <c r="B43" s="23" t="s">
        <v>815</v>
      </c>
      <c r="C43" s="23"/>
      <c r="D43" s="23"/>
      <c r="E43" s="23"/>
      <c r="F43" s="23"/>
      <c r="G43" s="146" t="s">
        <v>816</v>
      </c>
      <c r="H43" s="112">
        <v>0</v>
      </c>
      <c r="I43" s="147" t="s">
        <v>2</v>
      </c>
      <c r="K43" s="195"/>
      <c r="L43" s="23"/>
      <c r="M43" s="12" t="str">
        <f>D367</f>
        <v/>
      </c>
      <c r="N43" s="21" t="str">
        <f>IF(M43&lt;=O43,"≤","&gt;")</f>
        <v>≤</v>
      </c>
      <c r="O43" s="12" t="str">
        <f>F367</f>
        <v/>
      </c>
      <c r="P43" s="149" t="s">
        <v>14</v>
      </c>
      <c r="Q43" s="149" t="str">
        <f>IF(M43&lt;=O43,"[ OK ]","[ NOT OK ]")</f>
        <v>[ OK ]</v>
      </c>
      <c r="R43" s="147"/>
    </row>
    <row r="44" spans="1:18" ht="18.75" customHeight="1" x14ac:dyDescent="0.25">
      <c r="A44" s="128"/>
      <c r="B44" s="23" t="s">
        <v>63</v>
      </c>
      <c r="C44" s="23"/>
      <c r="D44" s="23"/>
      <c r="E44" s="23"/>
      <c r="F44" s="23"/>
      <c r="G44" s="146" t="s">
        <v>824</v>
      </c>
      <c r="H44" s="115">
        <v>100</v>
      </c>
      <c r="I44" s="147" t="s">
        <v>9</v>
      </c>
      <c r="K44" s="222" t="s">
        <v>440</v>
      </c>
      <c r="L44" s="169"/>
      <c r="M44" s="85"/>
      <c r="N44" s="170"/>
      <c r="O44" s="86"/>
      <c r="P44" s="168"/>
      <c r="Q44" s="170"/>
      <c r="R44" s="163"/>
    </row>
    <row r="45" spans="1:18" ht="18.75" customHeight="1" x14ac:dyDescent="0.25">
      <c r="A45" s="128"/>
      <c r="B45" s="23" t="s">
        <v>164</v>
      </c>
      <c r="C45" s="23"/>
      <c r="D45" s="23"/>
      <c r="E45" s="23"/>
      <c r="F45" s="23"/>
      <c r="G45" s="146" t="s">
        <v>287</v>
      </c>
      <c r="H45" s="115">
        <v>50</v>
      </c>
      <c r="I45" s="147" t="s">
        <v>9</v>
      </c>
      <c r="K45" s="227" t="s">
        <v>439</v>
      </c>
      <c r="L45" s="23"/>
      <c r="M45" s="23"/>
      <c r="N45" s="23"/>
      <c r="O45" s="23"/>
      <c r="P45" s="146"/>
      <c r="Q45" s="21"/>
      <c r="R45" s="147"/>
    </row>
    <row r="46" spans="1:18" ht="18.75" customHeight="1" x14ac:dyDescent="0.25">
      <c r="A46" s="128"/>
      <c r="B46" s="23"/>
      <c r="C46" s="23"/>
      <c r="D46" s="23"/>
      <c r="E46" s="23"/>
      <c r="F46" s="23"/>
      <c r="G46" s="146"/>
      <c r="H46" s="189"/>
      <c r="I46" s="147"/>
      <c r="K46" s="228" t="s">
        <v>19</v>
      </c>
      <c r="L46" s="23"/>
      <c r="M46" s="71" t="s">
        <v>441</v>
      </c>
      <c r="N46" s="21" t="s">
        <v>48</v>
      </c>
      <c r="O46" s="68" t="s">
        <v>445</v>
      </c>
      <c r="P46" s="146"/>
      <c r="Q46" s="21"/>
      <c r="R46" s="147"/>
    </row>
    <row r="47" spans="1:18" ht="18.75" customHeight="1" x14ac:dyDescent="0.25">
      <c r="A47" s="128"/>
      <c r="B47" s="23" t="s">
        <v>7</v>
      </c>
      <c r="C47" s="23"/>
      <c r="D47" s="23"/>
      <c r="E47" s="23"/>
      <c r="F47" s="23"/>
      <c r="G47" s="146" t="s">
        <v>8</v>
      </c>
      <c r="H47" s="115">
        <v>380</v>
      </c>
      <c r="I47" s="147" t="s">
        <v>9</v>
      </c>
      <c r="K47" s="195"/>
      <c r="L47" s="23"/>
      <c r="M47" s="12" t="str">
        <f>D380</f>
        <v/>
      </c>
      <c r="N47" s="21" t="str">
        <f>IF(M47&lt;=O47,"≤","&gt;")</f>
        <v>≤</v>
      </c>
      <c r="O47" s="12" t="str">
        <f>F380</f>
        <v/>
      </c>
      <c r="P47" s="149" t="s">
        <v>14</v>
      </c>
      <c r="Q47" s="149" t="str">
        <f>IF(M47&lt;=O47,"[ OK ]","[ NOT OK ]")</f>
        <v>[ OK ]</v>
      </c>
      <c r="R47" s="147"/>
    </row>
    <row r="48" spans="1:18" ht="18.75" customHeight="1" x14ac:dyDescent="0.25">
      <c r="A48" s="128"/>
      <c r="B48" s="23" t="s">
        <v>16</v>
      </c>
      <c r="C48" s="23"/>
      <c r="D48" s="23"/>
      <c r="E48" s="23"/>
      <c r="F48" s="23"/>
      <c r="G48" s="146" t="s">
        <v>17</v>
      </c>
      <c r="H48" s="115">
        <v>20</v>
      </c>
      <c r="I48" s="147" t="s">
        <v>9</v>
      </c>
      <c r="K48" s="218"/>
      <c r="L48" s="151"/>
      <c r="M48" s="151"/>
      <c r="N48" s="151"/>
      <c r="O48" s="151"/>
      <c r="P48" s="159"/>
      <c r="Q48" s="162"/>
      <c r="R48" s="163"/>
    </row>
    <row r="49" spans="1:18" ht="18.75" customHeight="1" x14ac:dyDescent="0.25">
      <c r="A49" s="128"/>
      <c r="B49" s="23" t="s">
        <v>40</v>
      </c>
      <c r="C49" s="23"/>
      <c r="D49" s="23"/>
      <c r="E49" s="23"/>
      <c r="F49" s="23"/>
      <c r="G49" s="146" t="s">
        <v>41</v>
      </c>
      <c r="H49" s="115">
        <v>20</v>
      </c>
      <c r="I49" s="147" t="s">
        <v>9</v>
      </c>
      <c r="K49" s="223" t="s">
        <v>876</v>
      </c>
      <c r="L49" s="139"/>
      <c r="M49" s="139"/>
      <c r="N49" s="139"/>
      <c r="O49" s="139"/>
      <c r="P49" s="140"/>
      <c r="Q49" s="139"/>
      <c r="R49" s="141"/>
    </row>
    <row r="50" spans="1:18" ht="18.75" customHeight="1" x14ac:dyDescent="0.25">
      <c r="A50" s="128"/>
      <c r="B50" s="23" t="s">
        <v>10</v>
      </c>
      <c r="C50" s="23"/>
      <c r="D50" s="23"/>
      <c r="E50" s="23"/>
      <c r="F50" s="23"/>
      <c r="G50" s="146" t="s">
        <v>11</v>
      </c>
      <c r="H50" s="115">
        <v>16</v>
      </c>
      <c r="I50" s="147" t="s">
        <v>9</v>
      </c>
      <c r="K50" s="258" t="s">
        <v>801</v>
      </c>
      <c r="L50" s="254"/>
      <c r="M50" s="254"/>
      <c r="N50" s="254"/>
      <c r="O50" s="254"/>
      <c r="P50" s="255"/>
      <c r="Q50" s="254"/>
      <c r="R50" s="256"/>
    </row>
    <row r="51" spans="1:18" ht="18.75" customHeight="1" x14ac:dyDescent="0.25">
      <c r="A51" s="128"/>
      <c r="B51" s="23" t="s">
        <v>460</v>
      </c>
      <c r="C51" s="23"/>
      <c r="D51" s="23"/>
      <c r="E51" s="23"/>
      <c r="F51" s="23"/>
      <c r="G51" s="146" t="s">
        <v>462</v>
      </c>
      <c r="H51" s="188">
        <v>200</v>
      </c>
      <c r="I51" s="147" t="s">
        <v>9</v>
      </c>
      <c r="K51" s="227" t="s">
        <v>495</v>
      </c>
      <c r="L51" s="23"/>
      <c r="M51" s="23"/>
      <c r="N51" s="23"/>
      <c r="O51" s="23"/>
      <c r="P51" s="146"/>
      <c r="Q51" s="21"/>
      <c r="R51" s="147"/>
    </row>
    <row r="52" spans="1:18" ht="18.75" customHeight="1" x14ac:dyDescent="0.25">
      <c r="A52" s="128"/>
      <c r="B52" s="23" t="s">
        <v>461</v>
      </c>
      <c r="C52" s="23"/>
      <c r="D52" s="23"/>
      <c r="E52" s="23"/>
      <c r="F52" s="23"/>
      <c r="G52" s="146" t="s">
        <v>463</v>
      </c>
      <c r="H52" s="188">
        <v>20</v>
      </c>
      <c r="I52" s="147" t="s">
        <v>9</v>
      </c>
      <c r="K52" s="228" t="s">
        <v>19</v>
      </c>
      <c r="L52" s="23"/>
      <c r="M52" s="199" t="s">
        <v>496</v>
      </c>
      <c r="N52" s="162" t="s">
        <v>48</v>
      </c>
      <c r="O52" s="78" t="s">
        <v>883</v>
      </c>
      <c r="P52" s="146"/>
      <c r="Q52" s="21"/>
      <c r="R52" s="147"/>
    </row>
    <row r="53" spans="1:18" ht="18.75" customHeight="1" x14ac:dyDescent="0.25">
      <c r="A53" s="128"/>
      <c r="B53" s="23"/>
      <c r="C53" s="23"/>
      <c r="D53" s="23"/>
      <c r="E53" s="23"/>
      <c r="F53" s="23"/>
      <c r="G53" s="146"/>
      <c r="H53" s="185"/>
      <c r="I53" s="147"/>
      <c r="K53" s="195"/>
      <c r="L53" s="23"/>
      <c r="M53" s="78">
        <f>D396</f>
        <v>2633.2775712471116</v>
      </c>
      <c r="N53" s="162" t="str">
        <f>IF(M53&lt;=O53,"≤","&gt;")</f>
        <v>&gt;</v>
      </c>
      <c r="O53" s="78">
        <f>F396</f>
        <v>1810.5910679611652</v>
      </c>
      <c r="P53" s="149" t="str">
        <f>IF(M53&lt;=O53,"→",IF(M65&lt;=O65,IF(M75&lt;=O75,"","→"),"→"))</f>
        <v/>
      </c>
      <c r="Q53" s="149" t="str">
        <f>IF(M53&lt;=O53,"[ OK ]",IF(M65&lt;=O65,IF(M75&lt;=O75,"","[ NOT OK ]"),"[ NOT OK ]"))</f>
        <v/>
      </c>
      <c r="R53" s="147"/>
    </row>
    <row r="54" spans="1:18" ht="18.75" customHeight="1" x14ac:dyDescent="0.25">
      <c r="A54" s="128"/>
      <c r="B54" s="23"/>
      <c r="C54" s="23"/>
      <c r="D54" s="23"/>
      <c r="E54" s="23"/>
      <c r="F54" s="23"/>
      <c r="G54" s="146"/>
      <c r="H54" s="162"/>
      <c r="I54" s="147"/>
      <c r="K54" s="224" t="str">
        <f>B398</f>
        <v>→ Analisa dengan pelat pengaku transversal diperlukan</v>
      </c>
      <c r="L54" s="23"/>
      <c r="M54" s="23"/>
      <c r="N54" s="23"/>
      <c r="O54" s="23"/>
      <c r="P54" s="146"/>
      <c r="Q54" s="21"/>
      <c r="R54" s="147"/>
    </row>
    <row r="55" spans="1:18" ht="18.75" customHeight="1" x14ac:dyDescent="0.25">
      <c r="A55" s="128"/>
      <c r="B55" s="23"/>
      <c r="C55" s="23"/>
      <c r="D55" s="23"/>
      <c r="E55" s="23"/>
      <c r="F55" s="23"/>
      <c r="G55" s="146"/>
      <c r="H55" s="162"/>
      <c r="I55" s="147"/>
      <c r="K55" s="224"/>
      <c r="L55" s="23"/>
      <c r="M55" s="23"/>
      <c r="N55" s="23"/>
      <c r="O55" s="23"/>
      <c r="P55" s="146"/>
      <c r="Q55" s="21"/>
      <c r="R55" s="147"/>
    </row>
    <row r="56" spans="1:18" ht="18.75" customHeight="1" x14ac:dyDescent="0.25">
      <c r="A56" s="128"/>
      <c r="B56" s="23"/>
      <c r="C56" s="23"/>
      <c r="D56" s="23"/>
      <c r="E56" s="23"/>
      <c r="F56" s="23"/>
      <c r="G56" s="146"/>
      <c r="H56" s="162"/>
      <c r="I56" s="147"/>
      <c r="K56" s="258" t="s">
        <v>803</v>
      </c>
      <c r="L56" s="254"/>
      <c r="M56" s="254"/>
      <c r="N56" s="254"/>
      <c r="O56" s="254"/>
      <c r="P56" s="255"/>
      <c r="Q56" s="254"/>
      <c r="R56" s="256"/>
    </row>
    <row r="57" spans="1:18" ht="18.75" customHeight="1" x14ac:dyDescent="0.25">
      <c r="A57" s="128"/>
      <c r="B57" s="23"/>
      <c r="C57" s="23"/>
      <c r="D57" s="23"/>
      <c r="E57" s="23"/>
      <c r="F57" s="23"/>
      <c r="G57" s="146"/>
      <c r="H57" s="162"/>
      <c r="I57" s="147"/>
      <c r="K57" s="222" t="s">
        <v>649</v>
      </c>
      <c r="L57" s="153"/>
      <c r="M57" s="153"/>
      <c r="N57" s="153"/>
      <c r="O57" s="153"/>
      <c r="P57" s="154"/>
      <c r="Q57" s="172"/>
      <c r="R57" s="155"/>
    </row>
    <row r="58" spans="1:18" ht="18.75" customHeight="1" x14ac:dyDescent="0.25">
      <c r="A58" s="128"/>
      <c r="B58" s="23"/>
      <c r="C58" s="23"/>
      <c r="D58" s="23"/>
      <c r="E58" s="23"/>
      <c r="F58" s="23"/>
      <c r="G58" s="146"/>
      <c r="H58" s="162"/>
      <c r="I58" s="147"/>
      <c r="K58" s="227" t="s">
        <v>477</v>
      </c>
      <c r="L58" s="23"/>
      <c r="M58" s="23"/>
      <c r="N58" s="23"/>
      <c r="O58" s="23"/>
      <c r="P58" s="146"/>
      <c r="Q58" s="21"/>
      <c r="R58" s="147"/>
    </row>
    <row r="59" spans="1:18" ht="18.75" customHeight="1" x14ac:dyDescent="0.25">
      <c r="A59" s="128"/>
      <c r="B59" s="23"/>
      <c r="C59" s="23"/>
      <c r="D59" s="23"/>
      <c r="E59" s="23"/>
      <c r="F59" s="23"/>
      <c r="G59" s="146"/>
      <c r="H59" s="162"/>
      <c r="I59" s="147"/>
      <c r="K59" s="227" t="s">
        <v>478</v>
      </c>
      <c r="L59" s="23"/>
      <c r="M59" s="23"/>
      <c r="N59" s="23"/>
      <c r="O59" s="23"/>
      <c r="P59" s="146"/>
      <c r="Q59" s="21"/>
      <c r="R59" s="147"/>
    </row>
    <row r="60" spans="1:18" ht="18.75" customHeight="1" x14ac:dyDescent="0.25">
      <c r="A60" s="128"/>
      <c r="B60" s="23"/>
      <c r="C60" s="23"/>
      <c r="D60" s="23"/>
      <c r="E60" s="23"/>
      <c r="F60" s="23"/>
      <c r="G60" s="146"/>
      <c r="H60" s="162"/>
      <c r="I60" s="147"/>
      <c r="K60" s="228" t="s">
        <v>466</v>
      </c>
      <c r="L60" s="23"/>
      <c r="M60" s="71" t="s">
        <v>479</v>
      </c>
      <c r="N60" s="21" t="s">
        <v>13</v>
      </c>
      <c r="O60" s="68" t="s">
        <v>882</v>
      </c>
      <c r="P60" s="146"/>
      <c r="Q60" s="21"/>
      <c r="R60" s="147"/>
    </row>
    <row r="61" spans="1:18" ht="18.75" customHeight="1" x14ac:dyDescent="0.25">
      <c r="A61" s="128"/>
      <c r="B61" s="23"/>
      <c r="C61" s="23"/>
      <c r="D61" s="23"/>
      <c r="E61" s="23"/>
      <c r="F61" s="23"/>
      <c r="G61" s="146"/>
      <c r="H61" s="162"/>
      <c r="I61" s="147"/>
      <c r="K61" s="227"/>
      <c r="L61" s="23"/>
      <c r="M61" s="18">
        <f>D430</f>
        <v>1.3333333333333332E-5</v>
      </c>
      <c r="N61" s="21" t="str">
        <f>IF(M61&gt;=O61,"≥","&lt;")</f>
        <v>≥</v>
      </c>
      <c r="O61" s="18">
        <f>F430</f>
        <v>4.2188800000000007E-6</v>
      </c>
      <c r="P61" s="149" t="s">
        <v>14</v>
      </c>
      <c r="Q61" s="149" t="str">
        <f>IF(M61&gt;=O61,"[ OK ]","[ NOT OK ]")</f>
        <v>[ OK ]</v>
      </c>
      <c r="R61" s="147"/>
    </row>
    <row r="62" spans="1:18" ht="18.75" customHeight="1" x14ac:dyDescent="0.25">
      <c r="A62" s="128"/>
      <c r="B62" s="23"/>
      <c r="C62" s="23"/>
      <c r="D62" s="23"/>
      <c r="E62" s="23"/>
      <c r="F62" s="23"/>
      <c r="G62" s="146"/>
      <c r="H62" s="162"/>
      <c r="I62" s="147"/>
      <c r="K62" s="227"/>
      <c r="L62" s="23"/>
      <c r="M62" s="23"/>
      <c r="N62" s="23"/>
      <c r="O62" s="23"/>
      <c r="P62" s="146"/>
      <c r="Q62" s="21"/>
      <c r="R62" s="147"/>
    </row>
    <row r="63" spans="1:18" ht="18.75" customHeight="1" x14ac:dyDescent="0.25">
      <c r="A63" s="128"/>
      <c r="B63" s="23"/>
      <c r="C63" s="23"/>
      <c r="D63" s="23"/>
      <c r="E63" s="23"/>
      <c r="F63" s="23"/>
      <c r="G63" s="146"/>
      <c r="H63" s="162"/>
      <c r="I63" s="147"/>
      <c r="K63" s="227" t="s">
        <v>495</v>
      </c>
      <c r="L63" s="23"/>
      <c r="M63" s="23"/>
      <c r="N63" s="23"/>
      <c r="O63" s="23"/>
      <c r="P63" s="146"/>
      <c r="Q63" s="21"/>
      <c r="R63" s="147"/>
    </row>
    <row r="64" spans="1:18" ht="18.75" customHeight="1" x14ac:dyDescent="0.25">
      <c r="A64" s="128"/>
      <c r="B64" s="23"/>
      <c r="C64" s="23"/>
      <c r="D64" s="23"/>
      <c r="E64" s="23"/>
      <c r="F64" s="23"/>
      <c r="G64" s="146"/>
      <c r="H64" s="21"/>
      <c r="I64" s="147"/>
      <c r="K64" s="228" t="s">
        <v>19</v>
      </c>
      <c r="L64" s="23"/>
      <c r="M64" s="199" t="s">
        <v>496</v>
      </c>
      <c r="N64" s="162" t="s">
        <v>48</v>
      </c>
      <c r="O64" s="78" t="s">
        <v>883</v>
      </c>
      <c r="P64" s="146"/>
      <c r="Q64" s="21"/>
      <c r="R64" s="147"/>
    </row>
    <row r="65" spans="1:19" ht="18.75" customHeight="1" x14ac:dyDescent="0.25">
      <c r="A65" s="128"/>
      <c r="B65" s="23" t="s">
        <v>511</v>
      </c>
      <c r="C65" s="23"/>
      <c r="D65" s="23"/>
      <c r="E65" s="23"/>
      <c r="F65" s="23"/>
      <c r="G65" s="146" t="s">
        <v>147</v>
      </c>
      <c r="H65" s="115">
        <v>3</v>
      </c>
      <c r="I65" s="147" t="s">
        <v>512</v>
      </c>
      <c r="K65" s="227"/>
      <c r="L65" s="23"/>
      <c r="M65" s="78">
        <f>D443</f>
        <v>2633.2775712471116</v>
      </c>
      <c r="N65" s="162" t="str">
        <f>IF(M65&lt;=O65,"≤","&gt;")</f>
        <v>≤</v>
      </c>
      <c r="O65" s="78">
        <f>F443</f>
        <v>2664.3048741833877</v>
      </c>
      <c r="P65" s="149" t="s">
        <v>14</v>
      </c>
      <c r="Q65" s="149" t="str">
        <f>IF(M65&lt;=O65,"[ OK ]","[ NOT OK ]")</f>
        <v>[ OK ]</v>
      </c>
      <c r="R65" s="147"/>
    </row>
    <row r="66" spans="1:19" ht="18.75" customHeight="1" x14ac:dyDescent="0.25">
      <c r="A66" s="128"/>
      <c r="B66" s="23" t="s">
        <v>830</v>
      </c>
      <c r="C66" s="23"/>
      <c r="D66" s="23"/>
      <c r="E66" s="23"/>
      <c r="F66" s="23"/>
      <c r="G66" s="146" t="s">
        <v>462</v>
      </c>
      <c r="H66" s="188">
        <v>200</v>
      </c>
      <c r="I66" s="147" t="s">
        <v>9</v>
      </c>
      <c r="K66" s="227"/>
      <c r="L66" s="23"/>
      <c r="M66" s="70"/>
      <c r="N66" s="21"/>
      <c r="O66" s="70"/>
      <c r="P66" s="149"/>
      <c r="Q66" s="149"/>
      <c r="R66" s="147"/>
    </row>
    <row r="67" spans="1:19" ht="18.75" customHeight="1" x14ac:dyDescent="0.25">
      <c r="A67" s="128"/>
      <c r="B67" s="23" t="s">
        <v>831</v>
      </c>
      <c r="C67" s="23"/>
      <c r="D67" s="23"/>
      <c r="E67" s="23"/>
      <c r="F67" s="23"/>
      <c r="G67" s="146" t="s">
        <v>463</v>
      </c>
      <c r="H67" s="188">
        <v>20</v>
      </c>
      <c r="I67" s="147" t="s">
        <v>9</v>
      </c>
      <c r="K67" s="222" t="s">
        <v>651</v>
      </c>
      <c r="L67" s="153"/>
      <c r="M67" s="153"/>
      <c r="N67" s="153"/>
      <c r="O67" s="153"/>
      <c r="P67" s="154"/>
      <c r="Q67" s="172"/>
      <c r="R67" s="155"/>
    </row>
    <row r="68" spans="1:19" ht="18.75" customHeight="1" x14ac:dyDescent="0.25">
      <c r="A68" s="128"/>
      <c r="B68" s="23" t="s">
        <v>832</v>
      </c>
      <c r="C68" s="23"/>
      <c r="D68" s="23"/>
      <c r="E68" s="23"/>
      <c r="F68" s="23"/>
      <c r="G68" s="146" t="s">
        <v>215</v>
      </c>
      <c r="H68" s="188">
        <f>ROUNDDOWN(12*C228*1000/50,0)*50</f>
        <v>150</v>
      </c>
      <c r="I68" s="147" t="s">
        <v>9</v>
      </c>
      <c r="K68" s="227" t="s">
        <v>477</v>
      </c>
      <c r="L68" s="23"/>
      <c r="M68" s="23"/>
      <c r="N68" s="23"/>
      <c r="O68" s="23"/>
      <c r="P68" s="146"/>
      <c r="Q68" s="21"/>
      <c r="R68" s="147"/>
    </row>
    <row r="69" spans="1:19" ht="18.75" customHeight="1" x14ac:dyDescent="0.25">
      <c r="A69" s="128"/>
      <c r="B69" s="23" t="s">
        <v>833</v>
      </c>
      <c r="C69" s="23"/>
      <c r="D69" s="23"/>
      <c r="E69" s="23"/>
      <c r="F69" s="23"/>
      <c r="G69" s="146" t="s">
        <v>528</v>
      </c>
      <c r="H69" s="188">
        <v>400</v>
      </c>
      <c r="I69" s="147" t="s">
        <v>9</v>
      </c>
      <c r="K69" s="227" t="s">
        <v>478</v>
      </c>
      <c r="L69" s="23"/>
      <c r="M69" s="23"/>
      <c r="N69" s="23"/>
      <c r="O69" s="23"/>
      <c r="P69" s="146"/>
      <c r="Q69" s="21"/>
      <c r="R69" s="147"/>
    </row>
    <row r="70" spans="1:19" ht="18.75" customHeight="1" x14ac:dyDescent="0.25">
      <c r="A70" s="128"/>
      <c r="B70" s="23"/>
      <c r="C70" s="23"/>
      <c r="D70" s="23"/>
      <c r="E70" s="23"/>
      <c r="F70" s="23"/>
      <c r="G70" s="146"/>
      <c r="H70" s="191"/>
      <c r="I70" s="147"/>
      <c r="K70" s="228" t="s">
        <v>466</v>
      </c>
      <c r="L70" s="23"/>
      <c r="M70" s="71" t="s">
        <v>479</v>
      </c>
      <c r="N70" s="21" t="s">
        <v>13</v>
      </c>
      <c r="O70" s="68" t="s">
        <v>882</v>
      </c>
      <c r="P70" s="146"/>
      <c r="Q70" s="21"/>
      <c r="R70" s="147"/>
    </row>
    <row r="71" spans="1:19" ht="18.75" customHeight="1" x14ac:dyDescent="0.25">
      <c r="A71" s="128"/>
      <c r="B71" s="23" t="s">
        <v>358</v>
      </c>
      <c r="C71" s="23"/>
      <c r="D71" s="23"/>
      <c r="E71" s="23"/>
      <c r="F71" s="119" t="s">
        <v>356</v>
      </c>
      <c r="G71" s="120">
        <v>25</v>
      </c>
      <c r="H71" s="121">
        <v>150</v>
      </c>
      <c r="I71" s="147"/>
      <c r="K71" s="227"/>
      <c r="L71" s="23"/>
      <c r="M71" s="18">
        <f>D474</f>
        <v>1.3333333333333332E-5</v>
      </c>
      <c r="N71" s="21" t="str">
        <f>IF(M71&gt;=O71,"≥","&lt;")</f>
        <v>≥</v>
      </c>
      <c r="O71" s="18">
        <f>F474</f>
        <v>4.2188800000000007E-6</v>
      </c>
      <c r="P71" s="149" t="s">
        <v>14</v>
      </c>
      <c r="Q71" s="149" t="str">
        <f>IF(M71&gt;=O71,"[ OK ]","[ NOT OK ]")</f>
        <v>[ OK ]</v>
      </c>
      <c r="R71" s="147"/>
    </row>
    <row r="72" spans="1:19" ht="18.75" customHeight="1" x14ac:dyDescent="0.25">
      <c r="A72" s="128"/>
      <c r="B72" s="23" t="s">
        <v>357</v>
      </c>
      <c r="C72" s="23"/>
      <c r="D72" s="23"/>
      <c r="E72" s="23"/>
      <c r="F72" s="119" t="s">
        <v>356</v>
      </c>
      <c r="G72" s="120">
        <v>25</v>
      </c>
      <c r="H72" s="121">
        <v>150</v>
      </c>
      <c r="I72" s="147"/>
      <c r="K72" s="227"/>
      <c r="L72" s="23"/>
      <c r="M72" s="23"/>
      <c r="N72" s="23"/>
      <c r="O72" s="23"/>
      <c r="P72" s="146"/>
      <c r="Q72" s="21"/>
      <c r="R72" s="147"/>
    </row>
    <row r="73" spans="1:19" ht="18.75" customHeight="1" x14ac:dyDescent="0.25">
      <c r="A73" s="128"/>
      <c r="B73" s="23" t="s">
        <v>362</v>
      </c>
      <c r="C73" s="23"/>
      <c r="D73" s="23"/>
      <c r="E73" s="23"/>
      <c r="F73" s="23"/>
      <c r="G73" s="146" t="s">
        <v>363</v>
      </c>
      <c r="H73" s="122">
        <v>20</v>
      </c>
      <c r="I73" s="147" t="s">
        <v>9</v>
      </c>
      <c r="K73" s="227" t="s">
        <v>495</v>
      </c>
      <c r="L73" s="23"/>
      <c r="M73" s="23"/>
      <c r="N73" s="23"/>
      <c r="O73" s="23"/>
      <c r="P73" s="146"/>
      <c r="Q73" s="21"/>
      <c r="R73" s="147"/>
    </row>
    <row r="74" spans="1:19" ht="18.75" customHeight="1" x14ac:dyDescent="0.25">
      <c r="A74" s="128"/>
      <c r="B74" s="23"/>
      <c r="C74" s="23"/>
      <c r="D74" s="23"/>
      <c r="E74" s="23"/>
      <c r="F74" s="23"/>
      <c r="G74" s="146"/>
      <c r="H74" s="21"/>
      <c r="I74" s="147"/>
      <c r="K74" s="228" t="s">
        <v>19</v>
      </c>
      <c r="L74" s="23"/>
      <c r="M74" s="199" t="s">
        <v>884</v>
      </c>
      <c r="N74" s="162" t="s">
        <v>48</v>
      </c>
      <c r="O74" s="78" t="s">
        <v>883</v>
      </c>
      <c r="P74" s="146"/>
      <c r="Q74" s="21"/>
      <c r="R74" s="147"/>
    </row>
    <row r="75" spans="1:19" ht="18.75" customHeight="1" x14ac:dyDescent="0.25">
      <c r="A75" s="127" t="s">
        <v>770</v>
      </c>
      <c r="B75" s="142" t="s">
        <v>771</v>
      </c>
      <c r="C75" s="143"/>
      <c r="D75" s="143"/>
      <c r="E75" s="143"/>
      <c r="F75" s="143"/>
      <c r="G75" s="144"/>
      <c r="H75" s="143"/>
      <c r="I75" s="145"/>
      <c r="K75" s="227"/>
      <c r="L75" s="23"/>
      <c r="M75" s="78">
        <f>D491</f>
        <v>2317.2842626974584</v>
      </c>
      <c r="N75" s="162" t="str">
        <f>IF(M65&lt;=O65,"≤","&gt;")</f>
        <v>≤</v>
      </c>
      <c r="O75" s="78">
        <f>F491</f>
        <v>3931.8719839524379</v>
      </c>
      <c r="P75" s="149" t="s">
        <v>14</v>
      </c>
      <c r="Q75" s="149" t="str">
        <f>IF(M75&lt;=O75,"[ OK ]","[ NOT OK ]")</f>
        <v>[ OK ]</v>
      </c>
      <c r="R75" s="147"/>
    </row>
    <row r="76" spans="1:19" ht="18.75" customHeight="1" x14ac:dyDescent="0.25">
      <c r="A76" s="128"/>
      <c r="B76" s="23" t="s">
        <v>50</v>
      </c>
      <c r="C76" s="23"/>
      <c r="D76" s="23"/>
      <c r="E76" s="23"/>
      <c r="F76" s="23"/>
      <c r="G76" s="146" t="s">
        <v>54</v>
      </c>
      <c r="H76" s="112">
        <v>78.599999999999994</v>
      </c>
      <c r="I76" s="147" t="s">
        <v>58</v>
      </c>
      <c r="K76" s="230"/>
      <c r="L76" s="153"/>
      <c r="M76" s="101"/>
      <c r="N76" s="172"/>
      <c r="O76" s="101"/>
      <c r="P76" s="174"/>
      <c r="Q76" s="174"/>
      <c r="R76" s="155"/>
    </row>
    <row r="77" spans="1:19" ht="18.75" customHeight="1" x14ac:dyDescent="0.25">
      <c r="A77" s="128"/>
      <c r="B77" s="23" t="s">
        <v>51</v>
      </c>
      <c r="C77" s="23"/>
      <c r="D77" s="23"/>
      <c r="E77" s="23"/>
      <c r="F77" s="23"/>
      <c r="G77" s="146" t="s">
        <v>55</v>
      </c>
      <c r="H77" s="112">
        <v>24</v>
      </c>
      <c r="I77" s="147" t="s">
        <v>58</v>
      </c>
      <c r="K77" s="258" t="s">
        <v>806</v>
      </c>
      <c r="L77" s="254"/>
      <c r="M77" s="254"/>
      <c r="N77" s="254"/>
      <c r="O77" s="254"/>
      <c r="P77" s="255"/>
      <c r="Q77" s="254"/>
      <c r="R77" s="256"/>
    </row>
    <row r="78" spans="1:19" ht="18.75" customHeight="1" x14ac:dyDescent="0.25">
      <c r="A78" s="128"/>
      <c r="B78" s="23" t="s">
        <v>52</v>
      </c>
      <c r="C78" s="23"/>
      <c r="D78" s="23"/>
      <c r="E78" s="23"/>
      <c r="F78" s="23"/>
      <c r="G78" s="146" t="s">
        <v>56</v>
      </c>
      <c r="H78" s="112">
        <v>22</v>
      </c>
      <c r="I78" s="147" t="s">
        <v>58</v>
      </c>
      <c r="K78" s="227" t="s">
        <v>825</v>
      </c>
      <c r="L78" s="23"/>
      <c r="M78" s="23"/>
      <c r="N78" s="23"/>
      <c r="O78" s="23"/>
      <c r="P78" s="146"/>
      <c r="Q78" s="21"/>
      <c r="R78" s="147"/>
    </row>
    <row r="79" spans="1:19" ht="18.75" customHeight="1" x14ac:dyDescent="0.25">
      <c r="A79" s="128"/>
      <c r="B79" s="23" t="s">
        <v>53</v>
      </c>
      <c r="C79" s="23"/>
      <c r="D79" s="23"/>
      <c r="E79" s="23"/>
      <c r="F79" s="23"/>
      <c r="G79" s="146" t="s">
        <v>57</v>
      </c>
      <c r="H79" s="112">
        <v>9.81</v>
      </c>
      <c r="I79" s="147" t="s">
        <v>58</v>
      </c>
      <c r="K79" s="228" t="s">
        <v>19</v>
      </c>
      <c r="L79" s="23"/>
      <c r="M79" s="13" t="s">
        <v>502</v>
      </c>
      <c r="N79" s="21" t="s">
        <v>48</v>
      </c>
      <c r="O79" s="13" t="s">
        <v>827</v>
      </c>
      <c r="P79" s="146"/>
      <c r="Q79" s="21"/>
      <c r="R79" s="147"/>
    </row>
    <row r="80" spans="1:19" s="84" customFormat="1" ht="18.75" customHeight="1" x14ac:dyDescent="0.25">
      <c r="A80" s="128"/>
      <c r="B80" s="23"/>
      <c r="C80" s="23"/>
      <c r="D80" s="23"/>
      <c r="E80" s="23"/>
      <c r="F80" s="23"/>
      <c r="G80" s="146"/>
      <c r="H80" s="21"/>
      <c r="I80" s="147"/>
      <c r="K80" s="227"/>
      <c r="L80" s="23"/>
      <c r="M80" s="12">
        <f>D501</f>
        <v>200</v>
      </c>
      <c r="N80" s="21" t="str">
        <f>IF(M80&lt;=O80,"≤","&gt;")</f>
        <v>≤</v>
      </c>
      <c r="O80" s="12">
        <f>F501</f>
        <v>226.27416997969522</v>
      </c>
      <c r="P80" s="149" t="s">
        <v>14</v>
      </c>
      <c r="Q80" s="149" t="str">
        <f>IF(M80&lt;=O80,"[ OK ]","[ NOT OK ]")</f>
        <v>[ OK ]</v>
      </c>
      <c r="R80" s="147"/>
      <c r="S80" s="1"/>
    </row>
    <row r="81" spans="1:19" s="84" customFormat="1" ht="18.75" customHeight="1" x14ac:dyDescent="0.25">
      <c r="A81" s="127" t="s">
        <v>828</v>
      </c>
      <c r="B81" s="142" t="s">
        <v>829</v>
      </c>
      <c r="C81" s="143"/>
      <c r="D81" s="143"/>
      <c r="E81" s="143"/>
      <c r="F81" s="143"/>
      <c r="G81" s="144"/>
      <c r="H81" s="143"/>
      <c r="I81" s="145"/>
      <c r="K81" s="227"/>
      <c r="L81" s="23"/>
      <c r="M81" s="70"/>
      <c r="N81" s="21"/>
      <c r="O81" s="70"/>
      <c r="P81" s="149"/>
      <c r="Q81" s="149"/>
      <c r="R81" s="147"/>
      <c r="S81" s="1"/>
    </row>
    <row r="82" spans="1:19" s="84" customFormat="1" ht="18.75" customHeight="1" x14ac:dyDescent="0.25">
      <c r="A82" s="134"/>
      <c r="B82" s="169" t="s">
        <v>586</v>
      </c>
      <c r="C82" s="169"/>
      <c r="D82" s="169"/>
      <c r="E82" s="169"/>
      <c r="F82" s="169"/>
      <c r="G82" s="168" t="s">
        <v>593</v>
      </c>
      <c r="H82" s="112">
        <v>0.6</v>
      </c>
      <c r="I82" s="175" t="s">
        <v>585</v>
      </c>
      <c r="K82" s="227" t="s">
        <v>495</v>
      </c>
      <c r="L82" s="23"/>
      <c r="M82" s="23"/>
      <c r="N82" s="23"/>
      <c r="O82" s="23"/>
      <c r="P82" s="146"/>
      <c r="Q82" s="21"/>
      <c r="R82" s="147"/>
      <c r="S82" s="1"/>
    </row>
    <row r="83" spans="1:19" s="84" customFormat="1" ht="18.75" customHeight="1" x14ac:dyDescent="0.25">
      <c r="A83" s="134"/>
      <c r="B83" s="169" t="s">
        <v>587</v>
      </c>
      <c r="C83" s="169"/>
      <c r="D83" s="169"/>
      <c r="E83" s="169"/>
      <c r="F83" s="169"/>
      <c r="G83" s="168" t="s">
        <v>594</v>
      </c>
      <c r="H83" s="112">
        <v>1.5</v>
      </c>
      <c r="I83" s="175" t="s">
        <v>585</v>
      </c>
      <c r="K83" s="228" t="s">
        <v>19</v>
      </c>
      <c r="L83" s="23"/>
      <c r="M83" s="71" t="s">
        <v>520</v>
      </c>
      <c r="N83" s="21" t="s">
        <v>48</v>
      </c>
      <c r="O83" s="71" t="s">
        <v>521</v>
      </c>
      <c r="P83" s="146"/>
      <c r="Q83" s="21"/>
      <c r="R83" s="147"/>
    </row>
    <row r="84" spans="1:19" s="84" customFormat="1" ht="18.75" customHeight="1" x14ac:dyDescent="0.25">
      <c r="A84" s="134"/>
      <c r="B84" s="169" t="s">
        <v>588</v>
      </c>
      <c r="C84" s="169"/>
      <c r="D84" s="169"/>
      <c r="E84" s="169"/>
      <c r="F84" s="169"/>
      <c r="G84" s="168" t="s">
        <v>595</v>
      </c>
      <c r="H84" s="112">
        <v>0.5</v>
      </c>
      <c r="I84" s="175" t="s">
        <v>585</v>
      </c>
      <c r="K84" s="227"/>
      <c r="L84" s="23"/>
      <c r="M84" s="12">
        <f>D510</f>
        <v>2633.2775712471116</v>
      </c>
      <c r="N84" s="21" t="str">
        <f>IF(M84&lt;=O84,"≤","&gt;")</f>
        <v>≤</v>
      </c>
      <c r="O84" s="12">
        <f>F510</f>
        <v>3144.96</v>
      </c>
      <c r="P84" s="149" t="s">
        <v>14</v>
      </c>
      <c r="Q84" s="149" t="str">
        <f>IF(M84&lt;=O84,"[ OK ]","[ NOT OK ]")</f>
        <v>[ OK ]</v>
      </c>
      <c r="R84" s="147"/>
    </row>
    <row r="85" spans="1:19" ht="18.75" customHeight="1" x14ac:dyDescent="0.25">
      <c r="A85" s="134"/>
      <c r="B85" s="169" t="s">
        <v>589</v>
      </c>
      <c r="C85" s="169"/>
      <c r="D85" s="169"/>
      <c r="E85" s="169"/>
      <c r="F85" s="169"/>
      <c r="G85" s="168" t="s">
        <v>596</v>
      </c>
      <c r="H85" s="112">
        <v>2</v>
      </c>
      <c r="I85" s="175" t="s">
        <v>585</v>
      </c>
      <c r="K85" s="227"/>
      <c r="L85" s="23"/>
      <c r="M85" s="23"/>
      <c r="N85" s="23"/>
      <c r="O85" s="23"/>
      <c r="P85" s="146"/>
      <c r="Q85" s="21"/>
      <c r="R85" s="147"/>
      <c r="S85" s="84"/>
    </row>
    <row r="86" spans="1:19" ht="18.75" customHeight="1" x14ac:dyDescent="0.25">
      <c r="A86" s="134"/>
      <c r="B86" s="169" t="s">
        <v>590</v>
      </c>
      <c r="C86" s="169"/>
      <c r="D86" s="169"/>
      <c r="E86" s="169"/>
      <c r="F86" s="169"/>
      <c r="G86" s="168" t="s">
        <v>597</v>
      </c>
      <c r="H86" s="112">
        <v>13</v>
      </c>
      <c r="I86" s="175" t="s">
        <v>585</v>
      </c>
      <c r="K86" s="227" t="s">
        <v>877</v>
      </c>
      <c r="L86" s="23"/>
      <c r="M86" s="23"/>
      <c r="N86" s="23"/>
      <c r="O86" s="23"/>
      <c r="P86" s="146"/>
      <c r="Q86" s="21"/>
      <c r="R86" s="147"/>
      <c r="S86" s="84"/>
    </row>
    <row r="87" spans="1:19" ht="18.75" customHeight="1" x14ac:dyDescent="0.25">
      <c r="A87" s="128"/>
      <c r="B87" s="23"/>
      <c r="C87" s="23"/>
      <c r="D87" s="23"/>
      <c r="E87" s="23"/>
      <c r="F87" s="23"/>
      <c r="G87" s="146"/>
      <c r="H87" s="21"/>
      <c r="I87" s="147"/>
      <c r="K87" s="228" t="s">
        <v>19</v>
      </c>
      <c r="L87" s="23"/>
      <c r="M87" s="71" t="s">
        <v>496</v>
      </c>
      <c r="N87" s="21" t="s">
        <v>48</v>
      </c>
      <c r="O87" s="68" t="s">
        <v>550</v>
      </c>
      <c r="P87" s="146"/>
      <c r="Q87" s="21"/>
      <c r="R87" s="147"/>
      <c r="S87" s="84"/>
    </row>
    <row r="88" spans="1:19" ht="18.75" customHeight="1" x14ac:dyDescent="0.25">
      <c r="A88" s="127" t="s">
        <v>885</v>
      </c>
      <c r="B88" s="142" t="s">
        <v>886</v>
      </c>
      <c r="C88" s="143"/>
      <c r="D88" s="143"/>
      <c r="E88" s="143"/>
      <c r="F88" s="143"/>
      <c r="G88" s="144"/>
      <c r="H88" s="143"/>
      <c r="I88" s="145"/>
      <c r="J88" s="1" t="s">
        <v>339</v>
      </c>
      <c r="K88" s="227"/>
      <c r="L88" s="23"/>
      <c r="M88" s="12">
        <f>M53</f>
        <v>2633.2775712471116</v>
      </c>
      <c r="N88" s="21" t="str">
        <f>IF(M88&lt;=O88,"≤","&gt;")</f>
        <v>≤</v>
      </c>
      <c r="O88" s="12">
        <f>F528</f>
        <v>6572.5843517887179</v>
      </c>
      <c r="P88" s="149" t="s">
        <v>14</v>
      </c>
      <c r="Q88" s="149" t="str">
        <f>IF(M88&lt;=O88,"[ OK ]","[ NOT OK ]")</f>
        <v>[ OK ]</v>
      </c>
      <c r="R88" s="147"/>
    </row>
    <row r="89" spans="1:19" ht="18.75" customHeight="1" x14ac:dyDescent="0.25">
      <c r="A89" s="134"/>
      <c r="B89" s="169" t="s">
        <v>888</v>
      </c>
      <c r="C89" s="169"/>
      <c r="D89" s="169"/>
      <c r="E89" s="169"/>
      <c r="F89" s="169"/>
      <c r="G89" s="168" t="s">
        <v>889</v>
      </c>
      <c r="H89" s="112">
        <f>1.3*5431</f>
        <v>7060.3</v>
      </c>
      <c r="I89" s="175" t="s">
        <v>585</v>
      </c>
      <c r="K89" s="227"/>
      <c r="L89" s="23"/>
      <c r="M89" s="23"/>
      <c r="N89" s="23"/>
      <c r="O89" s="23"/>
      <c r="P89" s="23"/>
      <c r="Q89" s="23"/>
      <c r="R89" s="156"/>
    </row>
    <row r="90" spans="1:19" ht="18.75" customHeight="1" x14ac:dyDescent="0.25">
      <c r="A90" s="134"/>
      <c r="B90" s="169" t="s">
        <v>887</v>
      </c>
      <c r="C90" s="169"/>
      <c r="D90" s="169"/>
      <c r="E90" s="169"/>
      <c r="F90" s="169"/>
      <c r="G90" s="168"/>
      <c r="H90" s="101"/>
      <c r="I90" s="175"/>
      <c r="K90" s="219" t="s">
        <v>878</v>
      </c>
      <c r="L90" s="139"/>
      <c r="M90" s="139"/>
      <c r="N90" s="139"/>
      <c r="O90" s="139"/>
      <c r="P90" s="140"/>
      <c r="Q90" s="139"/>
      <c r="R90" s="141"/>
    </row>
    <row r="91" spans="1:19" ht="18.75" customHeight="1" x14ac:dyDescent="0.25">
      <c r="A91" s="134"/>
      <c r="B91" s="150" t="s">
        <v>890</v>
      </c>
      <c r="C91" s="169"/>
      <c r="D91" s="169"/>
      <c r="F91" s="169"/>
      <c r="G91" s="168"/>
      <c r="H91" s="101"/>
      <c r="I91" s="175"/>
      <c r="K91" s="227" t="s">
        <v>561</v>
      </c>
      <c r="L91" s="23"/>
      <c r="M91" s="23"/>
      <c r="N91" s="23"/>
      <c r="O91" s="23"/>
      <c r="P91" s="146"/>
      <c r="Q91" s="21"/>
      <c r="R91" s="147"/>
    </row>
    <row r="92" spans="1:19" ht="18.75" customHeight="1" x14ac:dyDescent="0.25">
      <c r="A92" s="134"/>
      <c r="B92" s="234" t="s">
        <v>891</v>
      </c>
      <c r="C92" s="169"/>
      <c r="D92" s="169"/>
      <c r="F92" s="169"/>
      <c r="G92" s="168"/>
      <c r="H92" s="101"/>
      <c r="I92" s="175"/>
      <c r="K92" s="228" t="s">
        <v>19</v>
      </c>
      <c r="L92" s="23"/>
      <c r="M92" s="71" t="s">
        <v>698</v>
      </c>
      <c r="N92" s="21" t="s">
        <v>48</v>
      </c>
      <c r="O92" s="68" t="s">
        <v>562</v>
      </c>
      <c r="P92" s="146"/>
      <c r="Q92" s="21"/>
      <c r="R92" s="147"/>
    </row>
    <row r="93" spans="1:19" ht="18.75" customHeight="1" x14ac:dyDescent="0.25">
      <c r="A93" s="128"/>
      <c r="B93" s="233"/>
      <c r="C93" s="23"/>
      <c r="D93" s="23"/>
      <c r="E93" s="23"/>
      <c r="F93" s="23"/>
      <c r="G93" s="146"/>
      <c r="H93" s="21"/>
      <c r="I93" s="147"/>
      <c r="K93" s="227"/>
      <c r="L93" s="23"/>
      <c r="M93" s="12">
        <f>D544</f>
        <v>260.14549010429141</v>
      </c>
      <c r="N93" s="21" t="str">
        <f>IF(M93&lt;=O93,"≤","&gt;")</f>
        <v>≤</v>
      </c>
      <c r="O93" s="12">
        <f>F544</f>
        <v>342</v>
      </c>
      <c r="P93" s="149" t="s">
        <v>14</v>
      </c>
      <c r="Q93" s="149" t="str">
        <f>IF(M93&lt;=O93,"[ OK ]","[ NOT OK ]")</f>
        <v>[ OK ]</v>
      </c>
      <c r="R93" s="147"/>
    </row>
    <row r="94" spans="1:19" ht="18.75" customHeight="1" x14ac:dyDescent="0.25">
      <c r="A94" s="126" t="s">
        <v>772</v>
      </c>
      <c r="B94" s="138" t="s">
        <v>773</v>
      </c>
      <c r="C94" s="139"/>
      <c r="D94" s="139"/>
      <c r="E94" s="139"/>
      <c r="F94" s="139"/>
      <c r="G94" s="140"/>
      <c r="H94" s="139"/>
      <c r="I94" s="141"/>
      <c r="K94" s="227"/>
      <c r="L94" s="23"/>
      <c r="M94" s="23"/>
      <c r="N94" s="23"/>
      <c r="O94" s="23"/>
      <c r="P94" s="23"/>
      <c r="Q94" s="23"/>
      <c r="R94" s="156"/>
    </row>
    <row r="95" spans="1:19" ht="18.75" customHeight="1" x14ac:dyDescent="0.25">
      <c r="A95" s="127" t="s">
        <v>774</v>
      </c>
      <c r="B95" s="142" t="s">
        <v>775</v>
      </c>
      <c r="C95" s="143"/>
      <c r="D95" s="143"/>
      <c r="E95" s="143"/>
      <c r="F95" s="143"/>
      <c r="G95" s="144"/>
      <c r="H95" s="143"/>
      <c r="I95" s="145"/>
      <c r="K95" s="219" t="s">
        <v>879</v>
      </c>
      <c r="L95" s="139"/>
      <c r="M95" s="139"/>
      <c r="N95" s="139"/>
      <c r="O95" s="139"/>
      <c r="P95" s="140"/>
      <c r="Q95" s="139"/>
      <c r="R95" s="141"/>
    </row>
    <row r="96" spans="1:19" ht="18.75" customHeight="1" x14ac:dyDescent="0.25">
      <c r="A96" s="128"/>
      <c r="B96" s="23" t="s">
        <v>39</v>
      </c>
      <c r="C96" s="23"/>
      <c r="D96" s="23"/>
      <c r="E96" s="23"/>
      <c r="F96" s="23"/>
      <c r="G96" s="146" t="s">
        <v>42</v>
      </c>
      <c r="H96" s="13">
        <f>H25*1000-H48-H49</f>
        <v>2060</v>
      </c>
      <c r="I96" s="147" t="s">
        <v>9</v>
      </c>
      <c r="K96" s="227" t="s">
        <v>702</v>
      </c>
      <c r="L96" s="23"/>
      <c r="M96" s="23"/>
      <c r="N96" s="23"/>
      <c r="O96" s="23"/>
      <c r="P96" s="146"/>
      <c r="Q96" s="21"/>
      <c r="R96" s="147"/>
    </row>
    <row r="97" spans="1:18" ht="18.75" customHeight="1" x14ac:dyDescent="0.25">
      <c r="A97" s="128"/>
      <c r="B97" s="23" t="s">
        <v>45</v>
      </c>
      <c r="C97" s="23"/>
      <c r="D97" s="23"/>
      <c r="E97" s="23"/>
      <c r="F97" s="23"/>
      <c r="G97" s="146" t="s">
        <v>46</v>
      </c>
      <c r="H97" s="13">
        <f>H24*1000</f>
        <v>1800</v>
      </c>
      <c r="I97" s="147" t="s">
        <v>9</v>
      </c>
      <c r="K97" s="228" t="s">
        <v>19</v>
      </c>
      <c r="L97" s="23"/>
      <c r="M97" s="71" t="s">
        <v>705</v>
      </c>
      <c r="N97" s="21" t="s">
        <v>48</v>
      </c>
      <c r="O97" s="68" t="s">
        <v>700</v>
      </c>
      <c r="P97" s="146"/>
      <c r="Q97" s="21"/>
      <c r="R97" s="147"/>
    </row>
    <row r="98" spans="1:18" ht="18.75" customHeight="1" x14ac:dyDescent="0.25">
      <c r="A98" s="128"/>
      <c r="B98" s="23" t="s">
        <v>49</v>
      </c>
      <c r="C98" s="23"/>
      <c r="D98" s="23"/>
      <c r="E98" s="23"/>
      <c r="F98" s="23"/>
      <c r="G98" s="146"/>
      <c r="H98" s="21"/>
      <c r="I98" s="147"/>
      <c r="K98" s="227"/>
      <c r="L98" s="23"/>
      <c r="M98" s="12">
        <f>D640</f>
        <v>265.18234092170673</v>
      </c>
      <c r="N98" s="21" t="str">
        <f>IF(M98&lt;=O98,"≤","&gt;")</f>
        <v>≤</v>
      </c>
      <c r="O98" s="12">
        <f>F640</f>
        <v>324</v>
      </c>
      <c r="P98" s="149" t="s">
        <v>14</v>
      </c>
      <c r="Q98" s="149" t="str">
        <f>IF(M98&lt;=O98,"[ OK ]","[ NOT OK ]")</f>
        <v>[ OK ]</v>
      </c>
      <c r="R98" s="147"/>
    </row>
    <row r="99" spans="1:18" ht="18.75" customHeight="1" x14ac:dyDescent="0.25">
      <c r="A99" s="128"/>
      <c r="B99" s="148" t="s">
        <v>19</v>
      </c>
      <c r="C99" s="23"/>
      <c r="D99" s="13" t="s">
        <v>344</v>
      </c>
      <c r="E99" s="21" t="s">
        <v>13</v>
      </c>
      <c r="F99" s="13" t="s">
        <v>12</v>
      </c>
      <c r="G99" s="146"/>
      <c r="H99" s="21"/>
      <c r="I99" s="147"/>
      <c r="K99" s="227" t="s">
        <v>703</v>
      </c>
      <c r="L99" s="23"/>
      <c r="M99" s="23"/>
      <c r="N99" s="23"/>
      <c r="O99" s="23"/>
      <c r="P99" s="146"/>
      <c r="Q99" s="21"/>
      <c r="R99" s="175"/>
    </row>
    <row r="100" spans="1:18" ht="18.75" customHeight="1" x14ac:dyDescent="0.25">
      <c r="A100" s="128"/>
      <c r="B100" s="23"/>
      <c r="C100" s="23"/>
      <c r="D100" s="13">
        <f>H50</f>
        <v>16</v>
      </c>
      <c r="E100" s="21" t="str">
        <f>IF(D100&gt;=F100,"≥","&lt;")</f>
        <v>≥</v>
      </c>
      <c r="F100" s="12">
        <f>H96/150</f>
        <v>13.733333333333333</v>
      </c>
      <c r="G100" s="149" t="s">
        <v>14</v>
      </c>
      <c r="H100" s="149" t="str">
        <f>IF(D100&gt;=F100,"[ OK ]","[ NOT OK ]")</f>
        <v>[ OK ]</v>
      </c>
      <c r="I100" s="147"/>
      <c r="K100" s="228" t="s">
        <v>19</v>
      </c>
      <c r="L100" s="23"/>
      <c r="M100" s="71" t="s">
        <v>706</v>
      </c>
      <c r="N100" s="21" t="s">
        <v>48</v>
      </c>
      <c r="O100" s="68" t="s">
        <v>442</v>
      </c>
      <c r="P100" s="146"/>
      <c r="Q100" s="21"/>
      <c r="R100" s="175"/>
    </row>
    <row r="101" spans="1:18" ht="18.75" customHeight="1" x14ac:dyDescent="0.25">
      <c r="A101" s="128"/>
      <c r="B101" s="23" t="s">
        <v>18</v>
      </c>
      <c r="C101" s="23"/>
      <c r="D101" s="23"/>
      <c r="E101" s="23"/>
      <c r="F101" s="23"/>
      <c r="G101" s="146"/>
      <c r="H101" s="21"/>
      <c r="I101" s="147"/>
      <c r="K101" s="227"/>
      <c r="L101" s="23"/>
      <c r="M101" s="12">
        <f>D643</f>
        <v>222.50913158256941</v>
      </c>
      <c r="N101" s="21" t="str">
        <f>IF(M101&lt;=O101,"≤","&gt;")</f>
        <v>≤</v>
      </c>
      <c r="O101" s="12">
        <f>F643</f>
        <v>303.25422125130115</v>
      </c>
      <c r="P101" s="149" t="s">
        <v>14</v>
      </c>
      <c r="Q101" s="149" t="str">
        <f>IF(M101&lt;=O101,"[ OK ]","[ NOT OK ]")</f>
        <v>[ OK ]</v>
      </c>
      <c r="R101" s="175"/>
    </row>
    <row r="102" spans="1:18" ht="18.75" customHeight="1" x14ac:dyDescent="0.25">
      <c r="A102" s="128"/>
      <c r="B102" s="148" t="s">
        <v>19</v>
      </c>
      <c r="C102" s="23"/>
      <c r="D102" s="13" t="s">
        <v>21</v>
      </c>
      <c r="E102" s="21" t="s">
        <v>13</v>
      </c>
      <c r="F102" s="13" t="s">
        <v>20</v>
      </c>
      <c r="G102" s="146"/>
      <c r="H102" s="21"/>
      <c r="I102" s="147"/>
      <c r="K102" s="227" t="s">
        <v>704</v>
      </c>
      <c r="L102" s="23"/>
      <c r="M102" s="23"/>
      <c r="N102" s="23"/>
      <c r="O102" s="23"/>
      <c r="P102" s="146"/>
      <c r="Q102" s="21"/>
      <c r="R102" s="175"/>
    </row>
    <row r="103" spans="1:18" ht="18.75" customHeight="1" x14ac:dyDescent="0.25">
      <c r="A103" s="128"/>
      <c r="B103" s="23"/>
      <c r="C103" s="23"/>
      <c r="D103" s="13">
        <f>H48</f>
        <v>20</v>
      </c>
      <c r="E103" s="21" t="str">
        <f>IF(D103&gt;=F103,"≥","&lt;")</f>
        <v>≥</v>
      </c>
      <c r="F103" s="12">
        <f>1.1*H50</f>
        <v>17.600000000000001</v>
      </c>
      <c r="G103" s="149" t="s">
        <v>14</v>
      </c>
      <c r="H103" s="149" t="str">
        <f>IF(D103&gt;=F103,"[ OK ]","[ NOT OK ]")</f>
        <v>[ OK ]</v>
      </c>
      <c r="I103" s="147"/>
      <c r="K103" s="228" t="s">
        <v>19</v>
      </c>
      <c r="L103" s="23"/>
      <c r="M103" s="71" t="s">
        <v>707</v>
      </c>
      <c r="N103" s="21" t="s">
        <v>48</v>
      </c>
      <c r="O103" s="68" t="s">
        <v>442</v>
      </c>
      <c r="P103" s="146"/>
      <c r="Q103" s="21"/>
      <c r="R103" s="175"/>
    </row>
    <row r="104" spans="1:18" ht="18.75" customHeight="1" x14ac:dyDescent="0.25">
      <c r="A104" s="128"/>
      <c r="B104" s="23" t="s">
        <v>43</v>
      </c>
      <c r="C104" s="23"/>
      <c r="D104" s="23"/>
      <c r="E104" s="23"/>
      <c r="F104" s="23"/>
      <c r="G104" s="146"/>
      <c r="H104" s="21"/>
      <c r="I104" s="147"/>
      <c r="K104" s="227"/>
      <c r="L104" s="23"/>
      <c r="M104" s="12">
        <f>D646</f>
        <v>222.50913158256941</v>
      </c>
      <c r="N104" s="21" t="str">
        <f>IF(M104&lt;=O104,"≤","&gt;")</f>
        <v>≤</v>
      </c>
      <c r="O104" s="12">
        <f>F646</f>
        <v>311.89490401284888</v>
      </c>
      <c r="P104" s="149" t="s">
        <v>14</v>
      </c>
      <c r="Q104" s="149" t="str">
        <f>IF(M104&lt;=O104,"[ OK ]","[ NOT OK ]")</f>
        <v>[ OK ]</v>
      </c>
      <c r="R104" s="175"/>
    </row>
    <row r="105" spans="1:18" ht="18.75" customHeight="1" x14ac:dyDescent="0.25">
      <c r="A105" s="128"/>
      <c r="B105" s="148" t="s">
        <v>19</v>
      </c>
      <c r="C105" s="23"/>
      <c r="D105" s="13" t="s">
        <v>44</v>
      </c>
      <c r="E105" s="21" t="s">
        <v>13</v>
      </c>
      <c r="F105" s="13" t="s">
        <v>15</v>
      </c>
      <c r="G105" s="146"/>
      <c r="H105" s="21"/>
      <c r="I105" s="147"/>
      <c r="K105" s="227"/>
      <c r="L105" s="23"/>
      <c r="M105" s="23"/>
      <c r="N105" s="23"/>
      <c r="O105" s="23"/>
      <c r="P105" s="23"/>
      <c r="Q105" s="23"/>
      <c r="R105" s="156"/>
    </row>
    <row r="106" spans="1:18" ht="18.75" customHeight="1" x14ac:dyDescent="0.25">
      <c r="A106" s="128"/>
      <c r="B106" s="23"/>
      <c r="C106" s="23"/>
      <c r="D106" s="13">
        <f>H47</f>
        <v>380</v>
      </c>
      <c r="E106" s="21" t="str">
        <f>IF(D106&gt;=F106,"≥","&lt;")</f>
        <v>≥</v>
      </c>
      <c r="F106" s="12">
        <f>H96/6</f>
        <v>343.33333333333331</v>
      </c>
      <c r="G106" s="149" t="s">
        <v>14</v>
      </c>
      <c r="H106" s="149" t="str">
        <f>IF(D106&gt;=F106,"[ OK ]","[ NOT OK ]")</f>
        <v>[ OK ]</v>
      </c>
      <c r="I106" s="147"/>
      <c r="K106" s="219" t="s">
        <v>880</v>
      </c>
      <c r="L106" s="139"/>
      <c r="M106" s="139"/>
      <c r="N106" s="139"/>
      <c r="O106" s="139"/>
      <c r="P106" s="140"/>
      <c r="Q106" s="139"/>
      <c r="R106" s="141"/>
    </row>
    <row r="107" spans="1:18" ht="18.75" customHeight="1" x14ac:dyDescent="0.25">
      <c r="A107" s="128"/>
      <c r="B107" s="23" t="s">
        <v>47</v>
      </c>
      <c r="C107" s="23"/>
      <c r="D107" s="23"/>
      <c r="E107" s="23"/>
      <c r="F107" s="23"/>
      <c r="G107" s="146"/>
      <c r="H107" s="21"/>
      <c r="I107" s="147"/>
      <c r="K107" s="225" t="s">
        <v>744</v>
      </c>
      <c r="L107" s="23"/>
      <c r="M107" s="23"/>
      <c r="N107" s="23"/>
      <c r="O107" s="23"/>
      <c r="P107" s="146"/>
      <c r="Q107" s="21"/>
      <c r="R107" s="147"/>
    </row>
    <row r="108" spans="1:18" ht="18.75" customHeight="1" x14ac:dyDescent="0.25">
      <c r="A108" s="128"/>
      <c r="B108" s="148" t="s">
        <v>19</v>
      </c>
      <c r="C108" s="23"/>
      <c r="D108" s="13" t="s">
        <v>343</v>
      </c>
      <c r="E108" s="21" t="s">
        <v>48</v>
      </c>
      <c r="F108" s="12">
        <v>12</v>
      </c>
      <c r="G108" s="146"/>
      <c r="H108" s="21"/>
      <c r="I108" s="147"/>
      <c r="K108" s="227" t="s">
        <v>757</v>
      </c>
      <c r="L108" s="23"/>
      <c r="M108" s="23"/>
      <c r="N108" s="23"/>
      <c r="O108" s="23"/>
      <c r="P108" s="146"/>
      <c r="Q108" s="21"/>
      <c r="R108" s="147"/>
    </row>
    <row r="109" spans="1:18" ht="18.75" customHeight="1" x14ac:dyDescent="0.25">
      <c r="A109" s="128"/>
      <c r="B109" s="23"/>
      <c r="C109" s="23"/>
      <c r="D109" s="13">
        <f>D106/(2*H48)</f>
        <v>9.5</v>
      </c>
      <c r="E109" s="21" t="str">
        <f>IF(D109&lt;=F109,"≤","&gt;")</f>
        <v>≤</v>
      </c>
      <c r="F109" s="12">
        <v>12</v>
      </c>
      <c r="G109" s="149" t="s">
        <v>14</v>
      </c>
      <c r="H109" s="149" t="str">
        <f>IF(D109&lt;=F109,"[ OK ]","[ NOT OK ]")</f>
        <v>[ OK ]</v>
      </c>
      <c r="I109" s="147"/>
      <c r="J109" s="23"/>
      <c r="K109" s="228" t="s">
        <v>19</v>
      </c>
      <c r="L109" s="23"/>
      <c r="M109" s="71" t="s">
        <v>909</v>
      </c>
      <c r="N109" s="21" t="s">
        <v>48</v>
      </c>
      <c r="O109" s="68" t="s">
        <v>758</v>
      </c>
      <c r="P109" s="146"/>
      <c r="Q109" s="21"/>
      <c r="R109" s="147"/>
    </row>
    <row r="110" spans="1:18" ht="18.75" customHeight="1" x14ac:dyDescent="0.25">
      <c r="A110" s="128"/>
      <c r="B110" s="23" t="s">
        <v>345</v>
      </c>
      <c r="C110" s="23"/>
      <c r="D110" s="23"/>
      <c r="E110" s="23"/>
      <c r="F110" s="23"/>
      <c r="G110" s="146"/>
      <c r="H110" s="21"/>
      <c r="I110" s="147"/>
      <c r="J110" s="23"/>
      <c r="K110" s="227"/>
      <c r="L110" s="23"/>
      <c r="M110" s="12">
        <f>D687</f>
        <v>36.744166282925789</v>
      </c>
      <c r="N110" s="21" t="str">
        <f>IF(M110&lt;=O110,"≤","&gt;")</f>
        <v>≤</v>
      </c>
      <c r="O110" s="12">
        <f>F687</f>
        <v>180.32292166822552</v>
      </c>
      <c r="P110" s="149" t="s">
        <v>14</v>
      </c>
      <c r="Q110" s="149" t="str">
        <f>IF(M110&lt;=O110,"[ OK ]","[ NOT OK ]")</f>
        <v>[ OK ]</v>
      </c>
      <c r="R110" s="147"/>
    </row>
    <row r="111" spans="1:18" ht="18.75" customHeight="1" x14ac:dyDescent="0.25">
      <c r="A111" s="128"/>
      <c r="B111" s="148" t="s">
        <v>19</v>
      </c>
      <c r="C111" s="23"/>
      <c r="D111" s="13" t="s">
        <v>346</v>
      </c>
      <c r="E111" s="21" t="s">
        <v>48</v>
      </c>
      <c r="F111" s="12" t="s">
        <v>347</v>
      </c>
      <c r="G111" s="146"/>
      <c r="H111" s="21"/>
      <c r="I111" s="147"/>
      <c r="J111" s="23"/>
      <c r="K111" s="227"/>
      <c r="L111" s="23"/>
      <c r="M111" s="23"/>
      <c r="N111" s="23"/>
      <c r="O111" s="23"/>
      <c r="P111" s="146"/>
      <c r="Q111" s="21"/>
      <c r="R111" s="147"/>
    </row>
    <row r="112" spans="1:18" ht="18.75" customHeight="1" x14ac:dyDescent="0.25">
      <c r="A112" s="128"/>
      <c r="B112" s="23"/>
      <c r="C112" s="23"/>
      <c r="D112" s="13">
        <f>H97</f>
        <v>1800</v>
      </c>
      <c r="E112" s="21" t="str">
        <f>IF(D112&lt;=F112,"≤","&gt;")</f>
        <v>≤</v>
      </c>
      <c r="F112" s="12">
        <f>1/5*H23*1000</f>
        <v>10000</v>
      </c>
      <c r="G112" s="149" t="s">
        <v>14</v>
      </c>
      <c r="H112" s="149" t="str">
        <f>IF(D112&lt;=F112,"[ OK ]","[ NOT OK ]")</f>
        <v>[ OK ]</v>
      </c>
      <c r="I112" s="147"/>
      <c r="J112" s="23"/>
      <c r="K112" s="231" t="s">
        <v>759</v>
      </c>
      <c r="L112" s="23"/>
      <c r="M112" s="23"/>
      <c r="N112" s="23"/>
      <c r="O112" s="23"/>
      <c r="P112" s="146"/>
      <c r="Q112" s="21"/>
      <c r="R112" s="147"/>
    </row>
    <row r="113" spans="1:18" ht="18.75" customHeight="1" x14ac:dyDescent="0.25">
      <c r="A113" s="128"/>
      <c r="B113" s="23" t="s">
        <v>345</v>
      </c>
      <c r="C113" s="23"/>
      <c r="D113" s="23"/>
      <c r="E113" s="23"/>
      <c r="F113" s="23"/>
      <c r="G113" s="146"/>
      <c r="H113" s="21"/>
      <c r="I113" s="147"/>
      <c r="J113" s="23"/>
      <c r="K113" s="227" t="s">
        <v>757</v>
      </c>
      <c r="L113" s="23"/>
      <c r="M113" s="23"/>
      <c r="N113" s="23"/>
      <c r="O113" s="23"/>
      <c r="P113" s="146"/>
      <c r="Q113" s="21"/>
      <c r="R113" s="147"/>
    </row>
    <row r="114" spans="1:18" ht="37.5" customHeight="1" x14ac:dyDescent="0.25">
      <c r="A114" s="128"/>
      <c r="B114" s="148" t="s">
        <v>19</v>
      </c>
      <c r="C114" s="23"/>
      <c r="D114" s="328" t="s">
        <v>952</v>
      </c>
      <c r="E114" s="21" t="s">
        <v>48</v>
      </c>
      <c r="F114" s="12">
        <v>2.5</v>
      </c>
      <c r="G114" s="146"/>
      <c r="H114" s="21"/>
      <c r="I114" s="147"/>
      <c r="J114" s="23"/>
      <c r="K114" s="228" t="s">
        <v>19</v>
      </c>
      <c r="L114" s="23"/>
      <c r="M114" s="71" t="s">
        <v>909</v>
      </c>
      <c r="N114" s="21" t="s">
        <v>48</v>
      </c>
      <c r="O114" s="68" t="s">
        <v>758</v>
      </c>
      <c r="P114" s="146"/>
      <c r="Q114" s="21"/>
      <c r="R114" s="147"/>
    </row>
    <row r="115" spans="1:18" ht="18.75" customHeight="1" x14ac:dyDescent="0.25">
      <c r="A115" s="128"/>
      <c r="B115" s="23"/>
      <c r="C115" s="23"/>
      <c r="D115" s="12">
        <f>2*D228*C228/(D229*C229+D226*C226)</f>
        <v>1.511926605504587</v>
      </c>
      <c r="E115" s="21" t="str">
        <f>IF(D115&lt;=F115,"≤","&gt;")</f>
        <v>≤</v>
      </c>
      <c r="F115" s="12">
        <v>2.5</v>
      </c>
      <c r="G115" s="149" t="s">
        <v>14</v>
      </c>
      <c r="H115" s="149" t="str">
        <f>IF(D115&lt;=F115,"[ OK ]","[ NOT OK ]")</f>
        <v>[ OK ]</v>
      </c>
      <c r="I115" s="147"/>
      <c r="J115" s="23"/>
      <c r="K115" s="227"/>
      <c r="L115" s="23"/>
      <c r="M115" s="12">
        <f>D699</f>
        <v>89.337822030166336</v>
      </c>
      <c r="N115" s="21" t="str">
        <f>IF(M115&lt;=O115,"≤","&gt;")</f>
        <v>≤</v>
      </c>
      <c r="O115" s="12">
        <f>F699</f>
        <v>136.16515252654264</v>
      </c>
      <c r="P115" s="149" t="s">
        <v>14</v>
      </c>
      <c r="Q115" s="149" t="str">
        <f>IF(M115&lt;=O115,"[ OK ]","[ NOT OK ]")</f>
        <v>[ OK ]</v>
      </c>
      <c r="R115" s="147"/>
    </row>
    <row r="116" spans="1:18" ht="18.75" customHeight="1" x14ac:dyDescent="0.25">
      <c r="A116" s="128"/>
      <c r="B116" s="23"/>
      <c r="C116" s="23"/>
      <c r="D116" s="21"/>
      <c r="E116" s="21"/>
      <c r="F116" s="70"/>
      <c r="G116" s="149"/>
      <c r="H116" s="149"/>
      <c r="I116" s="147"/>
      <c r="J116" s="23"/>
      <c r="K116" s="232"/>
      <c r="L116" s="96"/>
      <c r="M116" s="96"/>
      <c r="N116" s="96"/>
      <c r="O116" s="96"/>
      <c r="P116" s="96"/>
      <c r="Q116" s="96"/>
      <c r="R116" s="226"/>
    </row>
    <row r="117" spans="1:18" ht="18.75" customHeight="1" x14ac:dyDescent="0.25">
      <c r="A117" s="127" t="s">
        <v>776</v>
      </c>
      <c r="B117" s="142" t="s">
        <v>778</v>
      </c>
      <c r="C117" s="143"/>
      <c r="D117" s="143"/>
      <c r="E117" s="143"/>
      <c r="F117" s="143"/>
      <c r="G117" s="144"/>
      <c r="H117" s="143"/>
      <c r="I117" s="145"/>
    </row>
    <row r="118" spans="1:18" ht="18.75" customHeight="1" x14ac:dyDescent="0.25">
      <c r="A118" s="128"/>
      <c r="B118" s="23" t="s">
        <v>59</v>
      </c>
      <c r="C118" s="23"/>
      <c r="D118" s="23"/>
      <c r="E118" s="23"/>
      <c r="F118" s="23"/>
      <c r="G118" s="146" t="s">
        <v>61</v>
      </c>
      <c r="H118" s="12">
        <f>H28</f>
        <v>3.5</v>
      </c>
      <c r="I118" s="147" t="s">
        <v>2</v>
      </c>
    </row>
    <row r="119" spans="1:18" ht="18.75" customHeight="1" x14ac:dyDescent="0.25">
      <c r="A119" s="128"/>
      <c r="B119" s="23" t="s">
        <v>65</v>
      </c>
      <c r="C119" s="23"/>
      <c r="D119" s="23"/>
      <c r="E119" s="23"/>
      <c r="F119" s="23"/>
      <c r="G119" s="23"/>
      <c r="H119" s="146"/>
      <c r="I119" s="11"/>
    </row>
    <row r="120" spans="1:18" ht="18.75" customHeight="1" x14ac:dyDescent="0.25">
      <c r="A120" s="128"/>
      <c r="B120" s="25" t="s">
        <v>66</v>
      </c>
      <c r="C120" s="23"/>
      <c r="D120" s="23"/>
      <c r="E120" s="23"/>
      <c r="F120" s="23"/>
      <c r="G120" s="146" t="s">
        <v>70</v>
      </c>
      <c r="H120" s="12">
        <f>H23/4</f>
        <v>12.5</v>
      </c>
      <c r="I120" s="147" t="s">
        <v>2</v>
      </c>
    </row>
    <row r="121" spans="1:18" ht="18.75" customHeight="1" x14ac:dyDescent="0.25">
      <c r="A121" s="128"/>
      <c r="B121" s="25" t="s">
        <v>67</v>
      </c>
      <c r="C121" s="23"/>
      <c r="D121" s="23"/>
      <c r="E121" s="23"/>
      <c r="F121" s="23"/>
      <c r="G121" s="146" t="s">
        <v>71</v>
      </c>
      <c r="H121" s="12">
        <f>H28</f>
        <v>3.5</v>
      </c>
      <c r="I121" s="147" t="s">
        <v>2</v>
      </c>
    </row>
    <row r="122" spans="1:18" ht="18.75" customHeight="1" x14ac:dyDescent="0.25">
      <c r="A122" s="128"/>
      <c r="B122" s="25" t="s">
        <v>68</v>
      </c>
      <c r="C122" s="23"/>
      <c r="D122" s="23"/>
      <c r="E122" s="23"/>
      <c r="F122" s="23"/>
      <c r="G122" s="146" t="s">
        <v>72</v>
      </c>
      <c r="H122" s="12">
        <f>12*H42/1000</f>
        <v>3</v>
      </c>
      <c r="I122" s="147" t="s">
        <v>2</v>
      </c>
    </row>
    <row r="123" spans="1:18" ht="18.75" customHeight="1" x14ac:dyDescent="0.25">
      <c r="A123" s="128"/>
      <c r="B123" s="23" t="s">
        <v>69</v>
      </c>
      <c r="C123" s="23"/>
      <c r="D123" s="23"/>
      <c r="E123" s="23"/>
      <c r="F123" s="23"/>
      <c r="G123" s="146" t="s">
        <v>73</v>
      </c>
      <c r="H123" s="12">
        <f>MIN(H120:H122)</f>
        <v>3</v>
      </c>
      <c r="I123" s="147" t="s">
        <v>2</v>
      </c>
    </row>
    <row r="124" spans="1:18" ht="18.75" customHeight="1" x14ac:dyDescent="0.25">
      <c r="A124" s="128"/>
      <c r="B124" s="23" t="s">
        <v>33</v>
      </c>
      <c r="C124" s="23"/>
      <c r="D124" s="23"/>
      <c r="E124" s="23"/>
      <c r="F124" s="23"/>
      <c r="G124" s="146" t="s">
        <v>34</v>
      </c>
      <c r="H124" s="12">
        <f>4700*SQRT(H4)</f>
        <v>25742.960202742808</v>
      </c>
      <c r="I124" s="147" t="s">
        <v>23</v>
      </c>
    </row>
    <row r="125" spans="1:18" ht="18.75" customHeight="1" x14ac:dyDescent="0.25">
      <c r="A125" s="128"/>
      <c r="B125" s="23" t="s">
        <v>37</v>
      </c>
      <c r="C125" s="23"/>
      <c r="D125" s="23"/>
      <c r="E125" s="23"/>
      <c r="F125" s="23"/>
      <c r="G125" s="146" t="s">
        <v>38</v>
      </c>
      <c r="H125" s="16">
        <f>H10/H124</f>
        <v>7.7691142908534196</v>
      </c>
      <c r="I125" s="147"/>
    </row>
    <row r="126" spans="1:18" ht="18.75" customHeight="1" x14ac:dyDescent="0.25">
      <c r="A126" s="128"/>
      <c r="B126" s="23" t="s">
        <v>296</v>
      </c>
      <c r="C126" s="23"/>
      <c r="D126" s="23"/>
      <c r="E126" s="23"/>
      <c r="F126" s="23"/>
      <c r="G126" s="146" t="s">
        <v>74</v>
      </c>
      <c r="H126" s="16">
        <f>1/H125*H123</f>
        <v>0.38614440304114217</v>
      </c>
      <c r="I126" s="147" t="s">
        <v>2</v>
      </c>
    </row>
    <row r="127" spans="1:18" ht="18.75" customHeight="1" x14ac:dyDescent="0.25">
      <c r="A127" s="128"/>
      <c r="B127" s="23" t="s">
        <v>297</v>
      </c>
      <c r="C127" s="23"/>
      <c r="D127" s="23"/>
      <c r="E127" s="23"/>
      <c r="F127" s="23"/>
      <c r="G127" s="146" t="s">
        <v>298</v>
      </c>
      <c r="H127" s="16">
        <f>1/(3*H125)*H123</f>
        <v>0.12871480101371405</v>
      </c>
      <c r="I127" s="147" t="s">
        <v>2</v>
      </c>
    </row>
    <row r="128" spans="1:18" ht="18.75" customHeight="1" x14ac:dyDescent="0.25">
      <c r="A128" s="128"/>
      <c r="B128" s="23"/>
      <c r="C128" s="23"/>
      <c r="D128" s="23"/>
      <c r="E128" s="23"/>
      <c r="F128" s="23"/>
      <c r="G128" s="146"/>
      <c r="H128" s="21"/>
      <c r="I128" s="147"/>
    </row>
    <row r="129" spans="1:10" ht="18.75" customHeight="1" x14ac:dyDescent="0.25">
      <c r="A129" s="127" t="s">
        <v>777</v>
      </c>
      <c r="B129" s="142" t="s">
        <v>779</v>
      </c>
      <c r="C129" s="143"/>
      <c r="D129" s="143"/>
      <c r="E129" s="143"/>
      <c r="F129" s="143"/>
      <c r="G129" s="144"/>
      <c r="H129" s="143"/>
      <c r="I129" s="145"/>
    </row>
    <row r="130" spans="1:10" ht="18.75" customHeight="1" x14ac:dyDescent="0.25">
      <c r="A130" s="129" t="s">
        <v>781</v>
      </c>
      <c r="B130" s="150" t="s">
        <v>95</v>
      </c>
      <c r="C130" s="23"/>
      <c r="D130" s="23"/>
      <c r="E130" s="23"/>
      <c r="F130" s="23"/>
      <c r="G130" s="146"/>
      <c r="H130" s="21"/>
      <c r="I130" s="147"/>
    </row>
    <row r="131" spans="1:10" ht="18.75" customHeight="1" x14ac:dyDescent="0.25">
      <c r="A131" s="128"/>
      <c r="B131" s="23"/>
      <c r="C131" s="23"/>
      <c r="D131" s="23"/>
      <c r="E131" s="23"/>
      <c r="F131" s="23"/>
      <c r="G131" s="146"/>
      <c r="H131" s="21"/>
      <c r="I131" s="147"/>
    </row>
    <row r="132" spans="1:10" ht="18.75" customHeight="1" x14ac:dyDescent="0.25">
      <c r="A132" s="128"/>
      <c r="B132" s="23"/>
      <c r="C132" s="23"/>
      <c r="D132" s="23"/>
      <c r="E132" s="23"/>
      <c r="F132" s="23"/>
      <c r="G132" s="146"/>
      <c r="H132" s="21"/>
      <c r="I132" s="147"/>
    </row>
    <row r="133" spans="1:10" ht="18.75" customHeight="1" x14ac:dyDescent="0.25">
      <c r="A133" s="128"/>
      <c r="B133" s="23"/>
      <c r="C133" s="23"/>
      <c r="D133" s="23"/>
      <c r="E133" s="23"/>
      <c r="F133" s="23"/>
      <c r="G133" s="146"/>
      <c r="H133" s="21"/>
      <c r="I133" s="147"/>
    </row>
    <row r="134" spans="1:10" ht="18.75" customHeight="1" x14ac:dyDescent="0.25">
      <c r="A134" s="128"/>
      <c r="B134" s="23"/>
      <c r="C134" s="23"/>
      <c r="D134" s="23"/>
      <c r="E134" s="23"/>
      <c r="F134" s="23"/>
      <c r="G134" s="146"/>
      <c r="H134" s="21"/>
      <c r="I134" s="147"/>
    </row>
    <row r="135" spans="1:10" ht="18.75" customHeight="1" x14ac:dyDescent="0.25">
      <c r="A135" s="128"/>
      <c r="B135" s="23"/>
      <c r="C135" s="23"/>
      <c r="D135" s="23"/>
      <c r="E135" s="23"/>
      <c r="F135" s="23"/>
      <c r="G135" s="146"/>
      <c r="H135" s="21"/>
      <c r="I135" s="147"/>
    </row>
    <row r="136" spans="1:10" ht="18.75" customHeight="1" x14ac:dyDescent="0.25">
      <c r="A136" s="128"/>
      <c r="B136" s="23"/>
      <c r="C136" s="23"/>
      <c r="D136" s="23"/>
      <c r="E136" s="23"/>
      <c r="F136" s="23"/>
      <c r="G136" s="146"/>
      <c r="H136" s="21"/>
      <c r="I136" s="147"/>
    </row>
    <row r="137" spans="1:10" ht="18.75" customHeight="1" x14ac:dyDescent="0.25">
      <c r="A137" s="128"/>
      <c r="B137" s="23"/>
      <c r="C137" s="23"/>
      <c r="D137" s="23"/>
      <c r="E137" s="23"/>
      <c r="F137" s="23"/>
      <c r="G137" s="146"/>
      <c r="H137" s="21"/>
      <c r="I137" s="147"/>
    </row>
    <row r="138" spans="1:10" ht="18.75" customHeight="1" x14ac:dyDescent="0.25">
      <c r="A138" s="128"/>
      <c r="B138" s="23"/>
      <c r="C138" s="23"/>
      <c r="D138" s="23"/>
      <c r="E138" s="23"/>
      <c r="F138" s="23"/>
      <c r="G138" s="146"/>
      <c r="H138" s="21"/>
      <c r="I138" s="147"/>
      <c r="J138" s="7"/>
    </row>
    <row r="139" spans="1:10" ht="18.75" customHeight="1" x14ac:dyDescent="0.25">
      <c r="A139" s="128"/>
      <c r="B139" s="23"/>
      <c r="C139" s="23"/>
      <c r="D139" s="23"/>
      <c r="E139" s="23"/>
      <c r="F139" s="23"/>
      <c r="G139" s="146"/>
      <c r="H139" s="21"/>
      <c r="I139" s="147"/>
      <c r="J139" s="7"/>
    </row>
    <row r="140" spans="1:10" ht="18.75" customHeight="1" x14ac:dyDescent="0.25">
      <c r="A140" s="128"/>
      <c r="B140" s="23"/>
      <c r="C140" s="23"/>
      <c r="D140" s="23"/>
      <c r="E140" s="23"/>
      <c r="F140" s="23"/>
      <c r="G140" s="146"/>
      <c r="H140" s="21"/>
      <c r="I140" s="147"/>
      <c r="J140" s="7"/>
    </row>
    <row r="141" spans="1:10" ht="18.75" customHeight="1" x14ac:dyDescent="0.25">
      <c r="A141" s="128"/>
      <c r="B141" s="23"/>
      <c r="C141" s="23"/>
      <c r="D141" s="23"/>
      <c r="E141" s="23"/>
      <c r="F141" s="23"/>
      <c r="G141" s="146"/>
      <c r="H141" s="21"/>
      <c r="I141" s="147"/>
      <c r="J141" s="7"/>
    </row>
    <row r="142" spans="1:10" ht="18.75" customHeight="1" x14ac:dyDescent="0.25">
      <c r="A142" s="128"/>
      <c r="B142" s="23"/>
      <c r="C142" s="23"/>
      <c r="D142" s="23"/>
      <c r="E142" s="23"/>
      <c r="F142" s="23"/>
      <c r="G142" s="146"/>
      <c r="H142" s="21"/>
      <c r="I142" s="147"/>
      <c r="J142" s="7"/>
    </row>
    <row r="143" spans="1:10" ht="18.75" customHeight="1" x14ac:dyDescent="0.25">
      <c r="A143" s="128"/>
      <c r="B143" s="23"/>
      <c r="C143" s="23"/>
      <c r="D143" s="23"/>
      <c r="E143" s="23"/>
      <c r="F143" s="23"/>
      <c r="G143" s="146"/>
      <c r="H143" s="21"/>
      <c r="I143" s="147"/>
    </row>
    <row r="144" spans="1:10" ht="18.75" customHeight="1" x14ac:dyDescent="0.25">
      <c r="A144" s="128"/>
      <c r="B144" s="344" t="s">
        <v>94</v>
      </c>
      <c r="C144" s="345" t="s">
        <v>75</v>
      </c>
      <c r="D144" s="345"/>
      <c r="E144" s="346" t="s">
        <v>76</v>
      </c>
      <c r="F144" s="343" t="s">
        <v>77</v>
      </c>
      <c r="G144" s="343" t="s">
        <v>78</v>
      </c>
      <c r="H144" s="343" t="s">
        <v>79</v>
      </c>
      <c r="I144" s="343" t="s">
        <v>79</v>
      </c>
    </row>
    <row r="145" spans="1:12" ht="18.75" customHeight="1" x14ac:dyDescent="0.25">
      <c r="A145" s="128"/>
      <c r="B145" s="344"/>
      <c r="C145" s="111" t="s">
        <v>80</v>
      </c>
      <c r="D145" s="111" t="s">
        <v>81</v>
      </c>
      <c r="E145" s="346"/>
      <c r="F145" s="343"/>
      <c r="G145" s="343"/>
      <c r="H145" s="343"/>
      <c r="I145" s="343"/>
      <c r="J145" s="25"/>
    </row>
    <row r="146" spans="1:12" ht="18.75" customHeight="1" x14ac:dyDescent="0.25">
      <c r="A146" s="128"/>
      <c r="B146" s="344"/>
      <c r="C146" s="111" t="s">
        <v>82</v>
      </c>
      <c r="D146" s="111" t="s">
        <v>83</v>
      </c>
      <c r="E146" s="111" t="s">
        <v>84</v>
      </c>
      <c r="F146" s="111" t="s">
        <v>85</v>
      </c>
      <c r="G146" s="111" t="s">
        <v>86</v>
      </c>
      <c r="H146" s="111" t="s">
        <v>87</v>
      </c>
      <c r="I146" s="111" t="s">
        <v>88</v>
      </c>
      <c r="J146" s="25"/>
    </row>
    <row r="147" spans="1:12" ht="18.75" customHeight="1" x14ac:dyDescent="0.25">
      <c r="A147" s="128"/>
      <c r="B147" s="344"/>
      <c r="C147" s="111" t="s">
        <v>89</v>
      </c>
      <c r="D147" s="111" t="s">
        <v>89</v>
      </c>
      <c r="E147" s="111" t="s">
        <v>90</v>
      </c>
      <c r="F147" s="111" t="s">
        <v>89</v>
      </c>
      <c r="G147" s="111" t="s">
        <v>91</v>
      </c>
      <c r="H147" s="111" t="s">
        <v>92</v>
      </c>
      <c r="I147" s="111" t="s">
        <v>92</v>
      </c>
      <c r="J147" s="25"/>
    </row>
    <row r="148" spans="1:12" ht="18.75" customHeight="1" x14ac:dyDescent="0.25">
      <c r="A148" s="128"/>
      <c r="B148" s="74">
        <v>1</v>
      </c>
      <c r="C148" s="17">
        <f>H47/1000</f>
        <v>0.38</v>
      </c>
      <c r="D148" s="17">
        <f>H48/1000</f>
        <v>0.02</v>
      </c>
      <c r="E148" s="17">
        <f>C148*D148</f>
        <v>7.6E-3</v>
      </c>
      <c r="F148" s="17">
        <f>D152+D150+0.5*D148</f>
        <v>2.09</v>
      </c>
      <c r="G148" s="17">
        <f>E148*F148</f>
        <v>1.5883999999999999E-2</v>
      </c>
      <c r="H148" s="17">
        <f>E148*F148^2</f>
        <v>3.3197559999999994E-2</v>
      </c>
      <c r="I148" s="18">
        <f>1/12*C148*D148^3</f>
        <v>2.5333333333333333E-7</v>
      </c>
      <c r="J148" s="25"/>
    </row>
    <row r="149" spans="1:12" ht="18.75" customHeight="1" x14ac:dyDescent="0.25">
      <c r="A149" s="128"/>
      <c r="B149" s="74">
        <v>2</v>
      </c>
      <c r="C149" s="17">
        <f>C148</f>
        <v>0.38</v>
      </c>
      <c r="D149" s="17">
        <f>D148</f>
        <v>0.02</v>
      </c>
      <c r="E149" s="17">
        <f>C149*D149</f>
        <v>7.6E-3</v>
      </c>
      <c r="F149" s="17">
        <f>F148</f>
        <v>2.09</v>
      </c>
      <c r="G149" s="17">
        <f>E149*F149</f>
        <v>1.5883999999999999E-2</v>
      </c>
      <c r="H149" s="17">
        <f>E149*F149^2</f>
        <v>3.3197559999999994E-2</v>
      </c>
      <c r="I149" s="18">
        <f>1/12*C149*D149^3</f>
        <v>2.5333333333333333E-7</v>
      </c>
      <c r="J149" s="25"/>
    </row>
    <row r="150" spans="1:12" ht="18.75" customHeight="1" x14ac:dyDescent="0.25">
      <c r="A150" s="128"/>
      <c r="B150" s="74">
        <v>3</v>
      </c>
      <c r="C150" s="17">
        <f>H50/1000</f>
        <v>1.6E-2</v>
      </c>
      <c r="D150" s="17">
        <f>H96/1000</f>
        <v>2.06</v>
      </c>
      <c r="E150" s="17">
        <f>C150*D150</f>
        <v>3.2960000000000003E-2</v>
      </c>
      <c r="F150" s="17">
        <f>D152+0.5*D150</f>
        <v>1.05</v>
      </c>
      <c r="G150" s="17">
        <f>E150*F150</f>
        <v>3.4608000000000007E-2</v>
      </c>
      <c r="H150" s="17">
        <f>E150*F150^2</f>
        <v>3.6338400000000007E-2</v>
      </c>
      <c r="I150" s="18">
        <f>1/12*C150*D150^3</f>
        <v>1.1655754666666667E-2</v>
      </c>
      <c r="J150" s="25"/>
    </row>
    <row r="151" spans="1:12" ht="18.75" customHeight="1" x14ac:dyDescent="0.25">
      <c r="A151" s="128"/>
      <c r="B151" s="74">
        <v>4</v>
      </c>
      <c r="C151" s="17">
        <f>C150</f>
        <v>1.6E-2</v>
      </c>
      <c r="D151" s="17">
        <f>D150</f>
        <v>2.06</v>
      </c>
      <c r="E151" s="17">
        <f>C151*D151</f>
        <v>3.2960000000000003E-2</v>
      </c>
      <c r="F151" s="17">
        <f>F150</f>
        <v>1.05</v>
      </c>
      <c r="G151" s="17">
        <f>E151*F151</f>
        <v>3.4608000000000007E-2</v>
      </c>
      <c r="H151" s="17">
        <f>E151*F151^2</f>
        <v>3.6338400000000007E-2</v>
      </c>
      <c r="I151" s="18">
        <f>1/12*C151*D151^3</f>
        <v>1.1655754666666667E-2</v>
      </c>
      <c r="J151" s="25"/>
    </row>
    <row r="152" spans="1:12" ht="18.75" customHeight="1" x14ac:dyDescent="0.25">
      <c r="A152" s="128"/>
      <c r="B152" s="74">
        <v>5</v>
      </c>
      <c r="C152" s="17">
        <f>H97/1000</f>
        <v>1.8</v>
      </c>
      <c r="D152" s="17">
        <f>H49/1000</f>
        <v>0.02</v>
      </c>
      <c r="E152" s="17">
        <f>C152*D152</f>
        <v>3.6000000000000004E-2</v>
      </c>
      <c r="F152" s="17">
        <f>0.5*D152</f>
        <v>0.01</v>
      </c>
      <c r="G152" s="17">
        <f>E152*F152</f>
        <v>3.6000000000000002E-4</v>
      </c>
      <c r="H152" s="17">
        <f>E152*F152^2</f>
        <v>3.6000000000000007E-6</v>
      </c>
      <c r="I152" s="18">
        <f>1/12*C152*D152^3</f>
        <v>1.2000000000000002E-6</v>
      </c>
    </row>
    <row r="153" spans="1:12" ht="18.75" customHeight="1" x14ac:dyDescent="0.25">
      <c r="A153" s="128"/>
      <c r="B153" s="23"/>
      <c r="C153" s="23"/>
      <c r="D153" s="19" t="s">
        <v>93</v>
      </c>
      <c r="E153" s="20">
        <f>SUM(E148:E152)</f>
        <v>0.11712</v>
      </c>
      <c r="F153" s="25"/>
      <c r="G153" s="20">
        <f>SUM(G148:G152)</f>
        <v>0.10134400000000002</v>
      </c>
      <c r="H153" s="20">
        <f>SUM(H148:H152)</f>
        <v>0.13907552000000001</v>
      </c>
      <c r="I153" s="20">
        <f>SUM(I148:I152)</f>
        <v>2.3313216000000001E-2</v>
      </c>
    </row>
    <row r="154" spans="1:12" ht="18.75" customHeight="1" x14ac:dyDescent="0.25">
      <c r="A154" s="128"/>
      <c r="B154" s="23"/>
      <c r="C154" s="23"/>
      <c r="D154" s="23"/>
      <c r="E154" s="23"/>
      <c r="F154" s="23"/>
      <c r="G154" s="146"/>
      <c r="H154" s="21"/>
      <c r="I154" s="147"/>
    </row>
    <row r="155" spans="1:12" ht="18.75" customHeight="1" x14ac:dyDescent="0.25">
      <c r="A155" s="130"/>
      <c r="B155" s="23" t="s">
        <v>107</v>
      </c>
      <c r="C155" s="23"/>
      <c r="D155" s="23"/>
      <c r="E155" s="23"/>
      <c r="F155" s="23"/>
      <c r="G155" s="146" t="s">
        <v>6</v>
      </c>
      <c r="H155" s="15">
        <f>H25</f>
        <v>2.1</v>
      </c>
      <c r="I155" s="147" t="s">
        <v>2</v>
      </c>
    </row>
    <row r="156" spans="1:12" ht="18.75" customHeight="1" x14ac:dyDescent="0.25">
      <c r="A156" s="130"/>
      <c r="B156" s="23" t="s">
        <v>108</v>
      </c>
      <c r="C156" s="23"/>
      <c r="D156" s="23"/>
      <c r="E156" s="23"/>
      <c r="F156" s="23"/>
      <c r="G156" s="146" t="s">
        <v>96</v>
      </c>
      <c r="H156" s="15">
        <f>E153</f>
        <v>0.11712</v>
      </c>
      <c r="I156" s="147" t="s">
        <v>97</v>
      </c>
    </row>
    <row r="157" spans="1:12" ht="18.75" customHeight="1" x14ac:dyDescent="0.25">
      <c r="A157" s="130"/>
      <c r="B157" s="23" t="s">
        <v>98</v>
      </c>
      <c r="C157" s="23"/>
      <c r="D157" s="23"/>
      <c r="E157" s="23"/>
      <c r="F157" s="23"/>
      <c r="G157" s="146" t="s">
        <v>99</v>
      </c>
      <c r="H157" s="15">
        <f>G153/E153</f>
        <v>0.86530054644808752</v>
      </c>
      <c r="I157" s="147" t="s">
        <v>2</v>
      </c>
    </row>
    <row r="158" spans="1:12" ht="18.75" customHeight="1" x14ac:dyDescent="0.25">
      <c r="A158" s="130"/>
      <c r="B158" s="23"/>
      <c r="C158" s="23"/>
      <c r="D158" s="23"/>
      <c r="E158" s="23"/>
      <c r="F158" s="23"/>
      <c r="G158" s="146" t="s">
        <v>109</v>
      </c>
      <c r="H158" s="15">
        <f>H155-H157</f>
        <v>1.2346994535519125</v>
      </c>
      <c r="I158" s="147" t="s">
        <v>2</v>
      </c>
      <c r="L158" s="1" t="s">
        <v>339</v>
      </c>
    </row>
    <row r="159" spans="1:12" ht="18.75" customHeight="1" x14ac:dyDescent="0.25">
      <c r="A159" s="130"/>
      <c r="B159" s="23" t="s">
        <v>100</v>
      </c>
      <c r="C159" s="23"/>
      <c r="D159" s="23"/>
      <c r="E159" s="23"/>
      <c r="F159" s="23"/>
      <c r="G159" s="146" t="s">
        <v>110</v>
      </c>
      <c r="H159" s="15">
        <f>I153+E148*($H$157-F148)^2+E149*($H$157-F149)^2+E150*($H$157-F150)^2+E151*($H$157-F151)^2+E152*($H$157-F152)^2</f>
        <v>7.4695717420765029E-2</v>
      </c>
      <c r="I159" s="147" t="s">
        <v>101</v>
      </c>
    </row>
    <row r="160" spans="1:12" ht="18.75" customHeight="1" x14ac:dyDescent="0.25">
      <c r="A160" s="130"/>
      <c r="B160" s="23" t="s">
        <v>102</v>
      </c>
      <c r="C160" s="23"/>
      <c r="D160" s="23"/>
      <c r="E160" s="23"/>
      <c r="F160" s="23"/>
      <c r="G160" s="146" t="s">
        <v>103</v>
      </c>
      <c r="H160" s="15">
        <f>H159/H158</f>
        <v>6.0497084700154906E-2</v>
      </c>
      <c r="I160" s="147" t="s">
        <v>104</v>
      </c>
    </row>
    <row r="161" spans="1:18" ht="18.75" customHeight="1" x14ac:dyDescent="0.25">
      <c r="A161" s="130"/>
      <c r="B161" s="23" t="s">
        <v>105</v>
      </c>
      <c r="C161" s="23"/>
      <c r="D161" s="23"/>
      <c r="E161" s="23"/>
      <c r="F161" s="23"/>
      <c r="G161" s="146" t="s">
        <v>106</v>
      </c>
      <c r="H161" s="15">
        <f>H159/H157</f>
        <v>8.6323437246605614E-2</v>
      </c>
      <c r="I161" s="147" t="s">
        <v>104</v>
      </c>
    </row>
    <row r="162" spans="1:18" ht="18.75" customHeight="1" x14ac:dyDescent="0.25">
      <c r="A162" s="128"/>
      <c r="B162" s="23"/>
      <c r="C162" s="23"/>
      <c r="D162" s="23"/>
      <c r="E162" s="23"/>
      <c r="F162" s="23"/>
      <c r="G162" s="146"/>
      <c r="H162" s="21"/>
      <c r="I162" s="147"/>
    </row>
    <row r="163" spans="1:18" ht="18.75" customHeight="1" x14ac:dyDescent="0.25">
      <c r="A163" s="128"/>
      <c r="B163" s="23" t="s">
        <v>292</v>
      </c>
      <c r="C163" s="23"/>
      <c r="D163" s="23"/>
      <c r="E163" s="23"/>
      <c r="F163" s="23"/>
      <c r="G163" s="146" t="s">
        <v>302</v>
      </c>
      <c r="H163" s="17">
        <f>1/12*2*C148*D148^3+E148*(F150-F148)^2</f>
        <v>8.2206666666666643E-3</v>
      </c>
      <c r="I163" s="147" t="s">
        <v>101</v>
      </c>
    </row>
    <row r="164" spans="1:18" ht="18.75" customHeight="1" x14ac:dyDescent="0.25">
      <c r="A164" s="128"/>
      <c r="B164" s="23" t="s">
        <v>293</v>
      </c>
      <c r="C164" s="23"/>
      <c r="D164" s="23"/>
      <c r="E164" s="23"/>
      <c r="F164" s="23"/>
      <c r="G164" s="146" t="s">
        <v>303</v>
      </c>
      <c r="H164" s="17">
        <f>1/12*C152*D152^3+E152*(F150-F152)^2</f>
        <v>3.893880000000001E-2</v>
      </c>
      <c r="I164" s="147" t="s">
        <v>101</v>
      </c>
    </row>
    <row r="165" spans="1:18" ht="18.75" customHeight="1" x14ac:dyDescent="0.25">
      <c r="A165" s="128"/>
      <c r="B165" s="23" t="s">
        <v>291</v>
      </c>
      <c r="C165" s="23"/>
      <c r="D165" s="23"/>
      <c r="E165" s="23"/>
      <c r="F165" s="23"/>
      <c r="G165" s="146"/>
      <c r="H165" s="21"/>
      <c r="I165" s="147"/>
    </row>
    <row r="166" spans="1:18" ht="18.75" customHeight="1" x14ac:dyDescent="0.25">
      <c r="A166" s="128"/>
      <c r="B166" s="148" t="s">
        <v>19</v>
      </c>
      <c r="C166" s="23"/>
      <c r="D166" s="13" t="s">
        <v>294</v>
      </c>
      <c r="E166" s="21" t="s">
        <v>13</v>
      </c>
      <c r="F166" s="12">
        <v>0.1</v>
      </c>
      <c r="G166" s="146"/>
      <c r="H166" s="21"/>
      <c r="I166" s="147"/>
    </row>
    <row r="167" spans="1:18" ht="18.75" customHeight="1" x14ac:dyDescent="0.25">
      <c r="A167" s="128"/>
      <c r="B167" s="23"/>
      <c r="C167" s="23"/>
      <c r="D167" s="17">
        <f>H163/H164</f>
        <v>0.21111761704692139</v>
      </c>
      <c r="E167" s="21" t="str">
        <f>IF(D167&gt;=F167,"≥","&lt;")</f>
        <v>≥</v>
      </c>
      <c r="F167" s="12">
        <v>0.1</v>
      </c>
      <c r="G167" s="149" t="s">
        <v>14</v>
      </c>
      <c r="H167" s="149" t="str">
        <f>IF(D167&gt;=F167,"[ OK ]","[ NOT OK ]")</f>
        <v>[ OK ]</v>
      </c>
      <c r="I167" s="147"/>
    </row>
    <row r="168" spans="1:18" ht="18.75" customHeight="1" x14ac:dyDescent="0.25">
      <c r="A168" s="128"/>
      <c r="B168" s="148" t="s">
        <v>19</v>
      </c>
      <c r="C168" s="23"/>
      <c r="D168" s="13" t="s">
        <v>294</v>
      </c>
      <c r="E168" s="21" t="s">
        <v>48</v>
      </c>
      <c r="F168" s="13">
        <v>10</v>
      </c>
      <c r="G168" s="146"/>
      <c r="H168" s="21"/>
      <c r="I168" s="147"/>
    </row>
    <row r="169" spans="1:18" ht="18.75" customHeight="1" x14ac:dyDescent="0.25">
      <c r="A169" s="128"/>
      <c r="B169" s="23"/>
      <c r="C169" s="23"/>
      <c r="D169" s="17">
        <f>D167</f>
        <v>0.21111761704692139</v>
      </c>
      <c r="E169" s="21" t="str">
        <f>IF(D169&lt;=F169,"≤","&gt;")</f>
        <v>≤</v>
      </c>
      <c r="F169" s="12">
        <v>10</v>
      </c>
      <c r="G169" s="149" t="s">
        <v>14</v>
      </c>
      <c r="H169" s="149" t="str">
        <f>IF(D169&lt;=F169,"[ OK ]","[ NOT OK ]")</f>
        <v>[ OK ]</v>
      </c>
      <c r="I169" s="147"/>
    </row>
    <row r="170" spans="1:18" ht="18.75" customHeight="1" x14ac:dyDescent="0.25">
      <c r="A170" s="128"/>
      <c r="B170" s="23"/>
      <c r="C170" s="23"/>
      <c r="D170" s="23"/>
      <c r="E170" s="23"/>
      <c r="F170" s="23"/>
      <c r="G170" s="146"/>
      <c r="H170" s="21"/>
      <c r="I170" s="147"/>
      <c r="K170" s="75"/>
      <c r="L170" s="75"/>
      <c r="M170" s="75"/>
      <c r="N170" s="75"/>
      <c r="O170" s="75"/>
      <c r="P170" s="75"/>
      <c r="Q170" s="75"/>
      <c r="R170" s="75"/>
    </row>
    <row r="171" spans="1:18" ht="18.75" customHeight="1" x14ac:dyDescent="0.25">
      <c r="A171" s="129" t="s">
        <v>782</v>
      </c>
      <c r="B171" s="150" t="s">
        <v>295</v>
      </c>
      <c r="C171" s="23"/>
      <c r="D171" s="23"/>
      <c r="E171" s="23"/>
      <c r="F171" s="23"/>
      <c r="G171" s="146"/>
      <c r="H171" s="21"/>
      <c r="I171" s="147"/>
      <c r="K171" s="75"/>
      <c r="L171" s="75"/>
      <c r="M171" s="75"/>
      <c r="N171" s="75"/>
      <c r="O171" s="75"/>
      <c r="P171" s="75"/>
      <c r="Q171" s="75"/>
      <c r="R171" s="75"/>
    </row>
    <row r="172" spans="1:18" ht="18.75" customHeight="1" x14ac:dyDescent="0.25">
      <c r="A172" s="128"/>
      <c r="B172" s="23"/>
      <c r="C172" s="23"/>
      <c r="D172" s="23"/>
      <c r="E172" s="23"/>
      <c r="F172" s="23"/>
      <c r="G172" s="146"/>
      <c r="H172" s="21"/>
      <c r="I172" s="147"/>
    </row>
    <row r="173" spans="1:18" ht="18.75" customHeight="1" x14ac:dyDescent="0.25">
      <c r="A173" s="128"/>
      <c r="B173" s="23"/>
      <c r="C173" s="23"/>
      <c r="D173" s="23"/>
      <c r="E173" s="23"/>
      <c r="F173" s="23"/>
      <c r="G173" s="146"/>
      <c r="H173" s="21"/>
      <c r="I173" s="147"/>
    </row>
    <row r="174" spans="1:18" ht="18.75" customHeight="1" x14ac:dyDescent="0.25">
      <c r="A174" s="128"/>
      <c r="B174" s="23"/>
      <c r="C174" s="23"/>
      <c r="D174" s="23"/>
      <c r="E174" s="23"/>
      <c r="F174" s="23"/>
      <c r="G174" s="146"/>
      <c r="H174" s="21"/>
      <c r="I174" s="147"/>
    </row>
    <row r="175" spans="1:18" ht="18.75" customHeight="1" x14ac:dyDescent="0.25">
      <c r="A175" s="128"/>
      <c r="B175" s="23"/>
      <c r="C175" s="23"/>
      <c r="D175" s="23"/>
      <c r="E175" s="23"/>
      <c r="F175" s="23"/>
      <c r="G175" s="146"/>
      <c r="H175" s="21"/>
      <c r="I175" s="147"/>
    </row>
    <row r="176" spans="1:18" ht="18.75" customHeight="1" x14ac:dyDescent="0.25">
      <c r="A176" s="128"/>
      <c r="B176" s="23"/>
      <c r="C176" s="23"/>
      <c r="D176" s="23"/>
      <c r="E176" s="23"/>
      <c r="F176" s="23"/>
      <c r="G176" s="146"/>
      <c r="H176" s="21"/>
      <c r="I176" s="147"/>
      <c r="K176" s="75"/>
      <c r="L176" s="75"/>
      <c r="M176" s="75"/>
      <c r="N176" s="75"/>
      <c r="O176" s="75"/>
      <c r="P176" s="75"/>
      <c r="Q176" s="75"/>
      <c r="R176" s="75"/>
    </row>
    <row r="177" spans="1:18" ht="18.75" customHeight="1" x14ac:dyDescent="0.25">
      <c r="A177" s="128"/>
      <c r="B177" s="23"/>
      <c r="C177" s="23"/>
      <c r="D177" s="23"/>
      <c r="E177" s="23"/>
      <c r="F177" s="23"/>
      <c r="G177" s="146"/>
      <c r="H177" s="21"/>
      <c r="I177" s="147"/>
      <c r="K177" s="75"/>
      <c r="L177" s="75"/>
      <c r="M177" s="75"/>
      <c r="N177" s="75"/>
      <c r="O177" s="75"/>
      <c r="P177" s="75"/>
      <c r="Q177" s="75"/>
      <c r="R177" s="75"/>
    </row>
    <row r="178" spans="1:18" ht="18.75" customHeight="1" x14ac:dyDescent="0.25">
      <c r="A178" s="128"/>
      <c r="B178" s="23"/>
      <c r="C178" s="23"/>
      <c r="D178" s="23"/>
      <c r="E178" s="23"/>
      <c r="F178" s="23"/>
      <c r="G178" s="146"/>
      <c r="H178" s="21"/>
      <c r="I178" s="147"/>
      <c r="K178" s="75"/>
      <c r="L178" s="75"/>
      <c r="M178" s="75"/>
      <c r="N178" s="75"/>
      <c r="O178" s="75"/>
      <c r="P178" s="75"/>
      <c r="Q178" s="75"/>
      <c r="R178" s="75"/>
    </row>
    <row r="179" spans="1:18" ht="18.75" customHeight="1" x14ac:dyDescent="0.25">
      <c r="A179" s="128"/>
      <c r="B179" s="23"/>
      <c r="C179" s="23"/>
      <c r="D179" s="23"/>
      <c r="E179" s="23"/>
      <c r="F179" s="23"/>
      <c r="G179" s="146"/>
      <c r="H179" s="21"/>
      <c r="I179" s="147"/>
      <c r="K179" s="75"/>
      <c r="L179" s="75"/>
      <c r="M179" s="75"/>
      <c r="N179" s="75"/>
      <c r="O179" s="75"/>
      <c r="P179" s="75"/>
      <c r="Q179" s="75"/>
      <c r="R179" s="75"/>
    </row>
    <row r="180" spans="1:18" ht="18.75" customHeight="1" x14ac:dyDescent="0.25">
      <c r="A180" s="128"/>
      <c r="B180" s="23"/>
      <c r="C180" s="23"/>
      <c r="D180" s="23"/>
      <c r="E180" s="23"/>
      <c r="F180" s="23"/>
      <c r="G180" s="146"/>
      <c r="H180" s="21"/>
      <c r="I180" s="147"/>
      <c r="K180" s="75"/>
      <c r="L180" s="75"/>
      <c r="M180" s="75"/>
      <c r="N180" s="75"/>
      <c r="O180" s="75"/>
      <c r="P180" s="75"/>
      <c r="Q180" s="75"/>
      <c r="R180" s="75"/>
    </row>
    <row r="181" spans="1:18" ht="18.75" customHeight="1" x14ac:dyDescent="0.25">
      <c r="A181" s="128"/>
      <c r="B181" s="23"/>
      <c r="C181" s="23"/>
      <c r="D181" s="23"/>
      <c r="E181" s="23"/>
      <c r="F181" s="23"/>
      <c r="G181" s="146"/>
      <c r="H181" s="21"/>
      <c r="I181" s="147"/>
    </row>
    <row r="182" spans="1:18" ht="18.75" customHeight="1" x14ac:dyDescent="0.25">
      <c r="A182" s="128"/>
      <c r="B182" s="23"/>
      <c r="C182" s="23"/>
      <c r="D182" s="23"/>
      <c r="E182" s="23"/>
      <c r="F182" s="23"/>
      <c r="G182" s="146"/>
      <c r="H182" s="21"/>
      <c r="I182" s="147"/>
      <c r="L182" s="1" t="s">
        <v>339</v>
      </c>
    </row>
    <row r="183" spans="1:18" ht="18.75" customHeight="1" x14ac:dyDescent="0.25">
      <c r="A183" s="128"/>
      <c r="B183" s="23"/>
      <c r="C183" s="23"/>
      <c r="D183" s="23"/>
      <c r="E183" s="23"/>
      <c r="F183" s="23"/>
      <c r="G183" s="146"/>
      <c r="H183" s="21"/>
      <c r="I183" s="147"/>
    </row>
    <row r="184" spans="1:18" ht="18.75" customHeight="1" x14ac:dyDescent="0.25">
      <c r="A184" s="128"/>
      <c r="B184" s="23"/>
      <c r="C184" s="23"/>
      <c r="D184" s="23"/>
      <c r="E184" s="23"/>
      <c r="F184" s="23"/>
      <c r="G184" s="146"/>
      <c r="H184" s="21"/>
      <c r="I184" s="147"/>
    </row>
    <row r="185" spans="1:18" ht="18.75" customHeight="1" x14ac:dyDescent="0.25">
      <c r="A185" s="128"/>
      <c r="B185" s="344" t="s">
        <v>94</v>
      </c>
      <c r="C185" s="345" t="s">
        <v>75</v>
      </c>
      <c r="D185" s="345"/>
      <c r="E185" s="346" t="s">
        <v>76</v>
      </c>
      <c r="F185" s="343" t="s">
        <v>77</v>
      </c>
      <c r="G185" s="343" t="s">
        <v>78</v>
      </c>
      <c r="H185" s="343" t="s">
        <v>79</v>
      </c>
      <c r="I185" s="343" t="s">
        <v>79</v>
      </c>
      <c r="K185" s="75"/>
      <c r="L185" s="75"/>
      <c r="M185" s="75"/>
      <c r="N185" s="75"/>
      <c r="O185" s="75"/>
      <c r="P185" s="75"/>
      <c r="Q185" s="75"/>
      <c r="R185" s="75"/>
    </row>
    <row r="186" spans="1:18" ht="18.75" customHeight="1" x14ac:dyDescent="0.25">
      <c r="A186" s="128"/>
      <c r="B186" s="344"/>
      <c r="C186" s="111" t="s">
        <v>80</v>
      </c>
      <c r="D186" s="111" t="s">
        <v>81</v>
      </c>
      <c r="E186" s="346"/>
      <c r="F186" s="343"/>
      <c r="G186" s="343"/>
      <c r="H186" s="343"/>
      <c r="I186" s="343"/>
      <c r="J186" s="23"/>
      <c r="K186" s="75"/>
      <c r="L186" s="75"/>
      <c r="M186" s="75"/>
      <c r="N186" s="75"/>
      <c r="O186" s="75"/>
      <c r="P186" s="75"/>
      <c r="Q186" s="75"/>
      <c r="R186" s="75"/>
    </row>
    <row r="187" spans="1:18" ht="18.75" customHeight="1" x14ac:dyDescent="0.25">
      <c r="A187" s="128"/>
      <c r="B187" s="344"/>
      <c r="C187" s="111" t="s">
        <v>82</v>
      </c>
      <c r="D187" s="111" t="s">
        <v>83</v>
      </c>
      <c r="E187" s="111" t="s">
        <v>84</v>
      </c>
      <c r="F187" s="111" t="s">
        <v>85</v>
      </c>
      <c r="G187" s="111" t="s">
        <v>86</v>
      </c>
      <c r="H187" s="111" t="s">
        <v>87</v>
      </c>
      <c r="I187" s="111" t="s">
        <v>88</v>
      </c>
      <c r="J187" s="25"/>
    </row>
    <row r="188" spans="1:18" ht="18.75" customHeight="1" x14ac:dyDescent="0.25">
      <c r="A188" s="128"/>
      <c r="B188" s="344"/>
      <c r="C188" s="111" t="s">
        <v>89</v>
      </c>
      <c r="D188" s="111" t="s">
        <v>89</v>
      </c>
      <c r="E188" s="111" t="s">
        <v>90</v>
      </c>
      <c r="F188" s="111" t="s">
        <v>89</v>
      </c>
      <c r="G188" s="111" t="s">
        <v>91</v>
      </c>
      <c r="H188" s="111" t="s">
        <v>92</v>
      </c>
      <c r="I188" s="111" t="s">
        <v>92</v>
      </c>
      <c r="J188" s="25"/>
      <c r="K188" s="75"/>
      <c r="L188" s="75"/>
      <c r="M188" s="75"/>
      <c r="N188" s="75"/>
      <c r="O188" s="75"/>
      <c r="P188" s="75"/>
      <c r="Q188" s="75"/>
      <c r="R188" s="75"/>
    </row>
    <row r="189" spans="1:18" ht="18.75" customHeight="1" x14ac:dyDescent="0.25">
      <c r="A189" s="128"/>
      <c r="B189" s="74">
        <v>0</v>
      </c>
      <c r="C189" s="17">
        <f>H126</f>
        <v>0.38614440304114217</v>
      </c>
      <c r="D189" s="17">
        <f>H42/1000</f>
        <v>0.25</v>
      </c>
      <c r="E189" s="17">
        <f t="shared" ref="E189" si="0">C189*D189</f>
        <v>9.6536100760285543E-2</v>
      </c>
      <c r="F189" s="17">
        <f>D194+D192+D190+H43/1000+0.5*D189</f>
        <v>2.2250000000000001</v>
      </c>
      <c r="G189" s="17">
        <f>E189*F189</f>
        <v>0.21479282419163534</v>
      </c>
      <c r="H189" s="17">
        <f>E189*F189^2</f>
        <v>0.47791403382638864</v>
      </c>
      <c r="I189" s="18">
        <f t="shared" ref="I189:I194" si="1">1/12*C189*D189^3</f>
        <v>5.027921914598205E-4</v>
      </c>
      <c r="J189" s="25"/>
      <c r="K189" s="75"/>
      <c r="L189" s="75"/>
      <c r="M189" s="75"/>
      <c r="N189" s="75"/>
      <c r="O189" s="75"/>
      <c r="P189" s="75"/>
      <c r="Q189" s="75"/>
      <c r="R189" s="75"/>
    </row>
    <row r="190" spans="1:18" ht="18.75" customHeight="1" x14ac:dyDescent="0.25">
      <c r="A190" s="128"/>
      <c r="B190" s="74">
        <v>1</v>
      </c>
      <c r="C190" s="17">
        <f t="shared" ref="C190:D194" si="2">C148</f>
        <v>0.38</v>
      </c>
      <c r="D190" s="17">
        <f t="shared" si="2"/>
        <v>0.02</v>
      </c>
      <c r="E190" s="17">
        <f t="shared" ref="E190:E194" si="3">C190*D190</f>
        <v>7.6E-3</v>
      </c>
      <c r="F190" s="17">
        <f>D194+D192+0.5*D190</f>
        <v>2.09</v>
      </c>
      <c r="G190" s="17">
        <f>E190*F190</f>
        <v>1.5883999999999999E-2</v>
      </c>
      <c r="H190" s="17">
        <f>E190*F190^2</f>
        <v>3.3197559999999994E-2</v>
      </c>
      <c r="I190" s="18">
        <f t="shared" si="1"/>
        <v>2.5333333333333333E-7</v>
      </c>
      <c r="J190" s="25"/>
      <c r="K190" s="75"/>
      <c r="L190" s="75"/>
      <c r="M190" s="75"/>
      <c r="N190" s="75"/>
      <c r="O190" s="75"/>
      <c r="P190" s="75"/>
      <c r="Q190" s="75"/>
      <c r="R190" s="75"/>
    </row>
    <row r="191" spans="1:18" ht="18.75" customHeight="1" x14ac:dyDescent="0.25">
      <c r="A191" s="128"/>
      <c r="B191" s="74">
        <v>2</v>
      </c>
      <c r="C191" s="17">
        <f t="shared" si="2"/>
        <v>0.38</v>
      </c>
      <c r="D191" s="17">
        <f t="shared" si="2"/>
        <v>0.02</v>
      </c>
      <c r="E191" s="17">
        <f t="shared" si="3"/>
        <v>7.6E-3</v>
      </c>
      <c r="F191" s="17">
        <f>F190</f>
        <v>2.09</v>
      </c>
      <c r="G191" s="17">
        <f t="shared" ref="G191:G194" si="4">E191*F191</f>
        <v>1.5883999999999999E-2</v>
      </c>
      <c r="H191" s="17">
        <f t="shared" ref="H191:H194" si="5">E191*F191^2</f>
        <v>3.3197559999999994E-2</v>
      </c>
      <c r="I191" s="18">
        <f t="shared" si="1"/>
        <v>2.5333333333333333E-7</v>
      </c>
      <c r="J191" s="25"/>
      <c r="K191" s="75"/>
      <c r="L191" s="75"/>
      <c r="M191" s="75"/>
      <c r="N191" s="75"/>
      <c r="O191" s="75"/>
      <c r="P191" s="75"/>
      <c r="Q191" s="75"/>
      <c r="R191" s="75"/>
    </row>
    <row r="192" spans="1:18" ht="18.75" customHeight="1" x14ac:dyDescent="0.25">
      <c r="A192" s="128"/>
      <c r="B192" s="74">
        <v>3</v>
      </c>
      <c r="C192" s="17">
        <f t="shared" si="2"/>
        <v>1.6E-2</v>
      </c>
      <c r="D192" s="17">
        <f t="shared" si="2"/>
        <v>2.06</v>
      </c>
      <c r="E192" s="17">
        <f t="shared" si="3"/>
        <v>3.2960000000000003E-2</v>
      </c>
      <c r="F192" s="17">
        <f>D194+0.5*D192</f>
        <v>1.05</v>
      </c>
      <c r="G192" s="17">
        <f t="shared" si="4"/>
        <v>3.4608000000000007E-2</v>
      </c>
      <c r="H192" s="17">
        <f t="shared" si="5"/>
        <v>3.6338400000000007E-2</v>
      </c>
      <c r="I192" s="18">
        <f t="shared" si="1"/>
        <v>1.1655754666666667E-2</v>
      </c>
      <c r="J192" s="25"/>
      <c r="K192" s="75"/>
      <c r="L192" s="75"/>
      <c r="M192" s="75"/>
      <c r="N192" s="75"/>
      <c r="O192" s="75"/>
      <c r="P192" s="75"/>
      <c r="Q192" s="75"/>
      <c r="R192" s="75"/>
    </row>
    <row r="193" spans="1:18" ht="18.75" customHeight="1" x14ac:dyDescent="0.25">
      <c r="A193" s="128"/>
      <c r="B193" s="74">
        <v>4</v>
      </c>
      <c r="C193" s="17">
        <f t="shared" si="2"/>
        <v>1.6E-2</v>
      </c>
      <c r="D193" s="17">
        <f t="shared" si="2"/>
        <v>2.06</v>
      </c>
      <c r="E193" s="17">
        <f t="shared" si="3"/>
        <v>3.2960000000000003E-2</v>
      </c>
      <c r="F193" s="17">
        <f>F192</f>
        <v>1.05</v>
      </c>
      <c r="G193" s="17">
        <f t="shared" si="4"/>
        <v>3.4608000000000007E-2</v>
      </c>
      <c r="H193" s="17">
        <f t="shared" si="5"/>
        <v>3.6338400000000007E-2</v>
      </c>
      <c r="I193" s="18">
        <f t="shared" si="1"/>
        <v>1.1655754666666667E-2</v>
      </c>
      <c r="J193" s="25"/>
      <c r="K193" s="75"/>
      <c r="L193" s="75"/>
      <c r="M193" s="75"/>
      <c r="N193" s="75"/>
      <c r="O193" s="75"/>
      <c r="P193" s="75"/>
      <c r="Q193" s="75"/>
      <c r="R193" s="75"/>
    </row>
    <row r="194" spans="1:18" ht="18.75" customHeight="1" x14ac:dyDescent="0.25">
      <c r="A194" s="128"/>
      <c r="B194" s="74">
        <v>5</v>
      </c>
      <c r="C194" s="17">
        <f t="shared" si="2"/>
        <v>1.8</v>
      </c>
      <c r="D194" s="17">
        <f t="shared" si="2"/>
        <v>0.02</v>
      </c>
      <c r="E194" s="17">
        <f t="shared" si="3"/>
        <v>3.6000000000000004E-2</v>
      </c>
      <c r="F194" s="17">
        <f>0.5*D194</f>
        <v>0.01</v>
      </c>
      <c r="G194" s="17">
        <f t="shared" si="4"/>
        <v>3.6000000000000002E-4</v>
      </c>
      <c r="H194" s="17">
        <f t="shared" si="5"/>
        <v>3.6000000000000007E-6</v>
      </c>
      <c r="I194" s="18">
        <f t="shared" si="1"/>
        <v>1.2000000000000002E-6</v>
      </c>
      <c r="J194" s="25"/>
      <c r="K194" s="75"/>
      <c r="L194" s="75"/>
      <c r="M194" s="75"/>
      <c r="N194" s="75"/>
      <c r="O194" s="75"/>
      <c r="P194" s="75"/>
      <c r="Q194" s="75"/>
      <c r="R194" s="75"/>
    </row>
    <row r="195" spans="1:18" ht="18.75" customHeight="1" x14ac:dyDescent="0.25">
      <c r="A195" s="128"/>
      <c r="B195" s="23"/>
      <c r="C195" s="23"/>
      <c r="D195" s="19" t="s">
        <v>93</v>
      </c>
      <c r="E195" s="20">
        <f>SUM(E189:E194)</f>
        <v>0.21365610076028554</v>
      </c>
      <c r="F195" s="25"/>
      <c r="G195" s="20">
        <f>SUM(G189:G194)</f>
        <v>0.31613682419163541</v>
      </c>
      <c r="H195" s="20">
        <f>SUM(H189:H194)</f>
        <v>0.61698955382638854</v>
      </c>
      <c r="I195" s="20">
        <f>SUM(I189:I194)</f>
        <v>2.381600819145982E-2</v>
      </c>
      <c r="K195" s="75"/>
      <c r="L195" s="75"/>
      <c r="M195" s="75"/>
      <c r="N195" s="75"/>
      <c r="O195" s="75"/>
      <c r="P195" s="75"/>
      <c r="Q195" s="75"/>
      <c r="R195" s="75"/>
    </row>
    <row r="196" spans="1:18" ht="18.75" customHeight="1" x14ac:dyDescent="0.25">
      <c r="A196" s="128"/>
      <c r="B196" s="23"/>
      <c r="C196" s="23"/>
      <c r="D196" s="23"/>
      <c r="E196" s="23"/>
      <c r="F196" s="23"/>
      <c r="G196" s="146"/>
      <c r="H196" s="21"/>
      <c r="I196" s="147"/>
      <c r="K196" s="75"/>
      <c r="L196" s="75"/>
      <c r="M196" s="75"/>
      <c r="N196" s="75"/>
      <c r="O196" s="75"/>
      <c r="P196" s="75"/>
      <c r="Q196" s="75"/>
      <c r="R196" s="75"/>
    </row>
    <row r="197" spans="1:18" ht="18.75" customHeight="1" x14ac:dyDescent="0.25">
      <c r="A197" s="130"/>
      <c r="B197" s="23" t="s">
        <v>300</v>
      </c>
      <c r="C197" s="23"/>
      <c r="D197" s="23"/>
      <c r="E197" s="23"/>
      <c r="F197" s="23"/>
      <c r="G197" s="146" t="s">
        <v>119</v>
      </c>
      <c r="H197" s="10">
        <f>H25+H43/1000+H42/1000</f>
        <v>2.35</v>
      </c>
      <c r="I197" s="147" t="s">
        <v>2</v>
      </c>
      <c r="K197" s="75"/>
      <c r="L197" s="75"/>
      <c r="M197" s="75"/>
      <c r="N197" s="75"/>
      <c r="O197" s="75"/>
      <c r="P197" s="75"/>
      <c r="Q197" s="75"/>
      <c r="R197" s="75"/>
    </row>
    <row r="198" spans="1:18" ht="18.75" customHeight="1" x14ac:dyDescent="0.25">
      <c r="A198" s="130"/>
      <c r="B198" s="23" t="s">
        <v>301</v>
      </c>
      <c r="C198" s="23"/>
      <c r="D198" s="23"/>
      <c r="E198" s="23"/>
      <c r="F198" s="23"/>
      <c r="G198" s="146" t="s">
        <v>111</v>
      </c>
      <c r="H198" s="15">
        <f>E195</f>
        <v>0.21365610076028554</v>
      </c>
      <c r="I198" s="147" t="s">
        <v>97</v>
      </c>
      <c r="K198" s="75"/>
      <c r="L198" s="75"/>
      <c r="M198" s="75"/>
      <c r="N198" s="75"/>
      <c r="O198" s="75"/>
      <c r="P198" s="75"/>
      <c r="Q198" s="75"/>
      <c r="R198" s="75"/>
    </row>
    <row r="199" spans="1:18" ht="18.75" customHeight="1" x14ac:dyDescent="0.25">
      <c r="A199" s="130"/>
      <c r="B199" s="23" t="s">
        <v>98</v>
      </c>
      <c r="C199" s="23"/>
      <c r="D199" s="23"/>
      <c r="E199" s="23"/>
      <c r="F199" s="23"/>
      <c r="G199" s="146" t="s">
        <v>112</v>
      </c>
      <c r="H199" s="15">
        <f>G195/E195</f>
        <v>1.4796526898444597</v>
      </c>
      <c r="I199" s="147" t="s">
        <v>2</v>
      </c>
      <c r="K199" s="75"/>
      <c r="L199" s="75"/>
      <c r="M199" s="75"/>
      <c r="N199" s="75"/>
      <c r="O199" s="75"/>
      <c r="P199" s="75"/>
      <c r="Q199" s="75"/>
      <c r="R199" s="75"/>
    </row>
    <row r="200" spans="1:18" ht="18.75" customHeight="1" x14ac:dyDescent="0.25">
      <c r="A200" s="130"/>
      <c r="B200" s="23"/>
      <c r="C200" s="23"/>
      <c r="D200" s="23"/>
      <c r="E200" s="23"/>
      <c r="F200" s="23"/>
      <c r="G200" s="146" t="s">
        <v>120</v>
      </c>
      <c r="H200" s="15">
        <f>H197-H199</f>
        <v>0.87034731015554034</v>
      </c>
      <c r="I200" s="147" t="s">
        <v>2</v>
      </c>
      <c r="K200" s="75"/>
      <c r="L200" s="75"/>
      <c r="M200" s="75"/>
      <c r="N200" s="75"/>
      <c r="O200" s="75"/>
      <c r="P200" s="75"/>
      <c r="Q200" s="75"/>
      <c r="R200" s="75"/>
    </row>
    <row r="201" spans="1:18" ht="18.75" customHeight="1" x14ac:dyDescent="0.25">
      <c r="A201" s="130"/>
      <c r="B201" s="23" t="s">
        <v>113</v>
      </c>
      <c r="C201" s="23"/>
      <c r="D201" s="23"/>
      <c r="E201" s="23"/>
      <c r="F201" s="23"/>
      <c r="G201" s="146" t="s">
        <v>121</v>
      </c>
      <c r="H201" s="15">
        <f>I195+E189*($H$199-F189)^2+E190*($H$199-F190)^2+E191*($H$199-F191)^2+E192*($H$199-F192)^2+E193*($H$199-F193)^2+E194*($H$199-F194)^2</f>
        <v>0.1730328597438103</v>
      </c>
      <c r="I201" s="147" t="s">
        <v>101</v>
      </c>
      <c r="K201" s="75"/>
      <c r="L201" s="75"/>
      <c r="M201" s="75"/>
      <c r="N201" s="75"/>
      <c r="O201" s="75"/>
      <c r="P201" s="75"/>
      <c r="Q201" s="75"/>
      <c r="R201" s="75"/>
    </row>
    <row r="202" spans="1:18" ht="18.75" customHeight="1" x14ac:dyDescent="0.25">
      <c r="A202" s="130"/>
      <c r="B202" s="23" t="s">
        <v>114</v>
      </c>
      <c r="C202" s="23"/>
      <c r="D202" s="23"/>
      <c r="E202" s="23"/>
      <c r="F202" s="23"/>
      <c r="G202" s="146" t="s">
        <v>115</v>
      </c>
      <c r="H202" s="15">
        <f>H201/H200</f>
        <v>0.1988089785822254</v>
      </c>
      <c r="I202" s="147" t="s">
        <v>104</v>
      </c>
      <c r="K202" s="75"/>
      <c r="L202" s="75"/>
      <c r="M202" s="75"/>
      <c r="N202" s="75"/>
      <c r="O202" s="75"/>
      <c r="P202" s="75"/>
      <c r="Q202" s="75"/>
      <c r="R202" s="75"/>
    </row>
    <row r="203" spans="1:18" ht="18.75" customHeight="1" x14ac:dyDescent="0.25">
      <c r="A203" s="130"/>
      <c r="B203" s="23" t="s">
        <v>116</v>
      </c>
      <c r="C203" s="23"/>
      <c r="D203" s="23"/>
      <c r="E203" s="23"/>
      <c r="F203" s="23"/>
      <c r="G203" s="146" t="s">
        <v>817</v>
      </c>
      <c r="H203" s="15">
        <f>H201/(H200-(D189+H43/1000))</f>
        <v>0.27892900784953123</v>
      </c>
      <c r="I203" s="147" t="s">
        <v>104</v>
      </c>
      <c r="K203" s="75"/>
      <c r="L203" s="75"/>
      <c r="M203" s="75"/>
      <c r="N203" s="75"/>
      <c r="O203" s="75"/>
      <c r="P203" s="75"/>
      <c r="Q203" s="75"/>
      <c r="R203" s="75"/>
    </row>
    <row r="204" spans="1:18" ht="18.75" customHeight="1" x14ac:dyDescent="0.25">
      <c r="A204" s="130"/>
      <c r="B204" s="23" t="s">
        <v>117</v>
      </c>
      <c r="C204" s="23"/>
      <c r="D204" s="23"/>
      <c r="E204" s="23"/>
      <c r="F204" s="23"/>
      <c r="G204" s="146" t="s">
        <v>118</v>
      </c>
      <c r="H204" s="15">
        <f>H201/H199</f>
        <v>0.11694153697784269</v>
      </c>
      <c r="I204" s="147" t="s">
        <v>104</v>
      </c>
      <c r="K204" s="75" t="str">
        <f>IF(C295&lt;=E295,"",IF(C344&gt;=E344,'Process - Pembebanan'!Q100,""))</f>
        <v/>
      </c>
      <c r="L204" s="75"/>
      <c r="M204" s="75"/>
      <c r="N204" s="75"/>
      <c r="O204" s="75"/>
      <c r="P204" s="75"/>
      <c r="Q204" s="75"/>
      <c r="R204" s="75"/>
    </row>
    <row r="205" spans="1:18" ht="18.75" customHeight="1" x14ac:dyDescent="0.25">
      <c r="A205" s="128"/>
      <c r="B205" s="23"/>
      <c r="C205" s="23"/>
      <c r="D205" s="23"/>
      <c r="E205" s="23"/>
      <c r="F205" s="23"/>
      <c r="G205" s="146"/>
      <c r="H205" s="21"/>
      <c r="I205" s="147"/>
      <c r="K205" s="75"/>
      <c r="L205" s="75"/>
      <c r="M205" s="75"/>
      <c r="N205" s="75"/>
      <c r="O205" s="75"/>
      <c r="P205" s="75"/>
      <c r="Q205" s="75"/>
      <c r="R205" s="75"/>
    </row>
    <row r="206" spans="1:18" ht="18.75" customHeight="1" x14ac:dyDescent="0.25">
      <c r="A206" s="129" t="s">
        <v>783</v>
      </c>
      <c r="B206" s="150" t="s">
        <v>299</v>
      </c>
      <c r="C206" s="23"/>
      <c r="D206" s="23"/>
      <c r="E206" s="23"/>
      <c r="F206" s="23"/>
      <c r="G206" s="146"/>
      <c r="H206" s="21"/>
      <c r="I206" s="147"/>
      <c r="K206" s="75"/>
      <c r="L206" s="75"/>
      <c r="M206" s="75"/>
      <c r="N206" s="75"/>
      <c r="O206" s="75"/>
      <c r="P206" s="75"/>
      <c r="Q206" s="75"/>
      <c r="R206" s="75"/>
    </row>
    <row r="207" spans="1:18" ht="18.75" customHeight="1" x14ac:dyDescent="0.25">
      <c r="A207" s="128"/>
      <c r="B207" s="23"/>
      <c r="C207" s="23"/>
      <c r="D207" s="23"/>
      <c r="E207" s="23"/>
      <c r="F207" s="23"/>
      <c r="G207" s="146"/>
      <c r="H207" s="21"/>
      <c r="I207" s="147"/>
      <c r="K207" s="75"/>
      <c r="L207" s="75"/>
      <c r="M207" s="75"/>
      <c r="N207" s="75"/>
      <c r="O207" s="75"/>
      <c r="P207" s="75"/>
      <c r="Q207" s="75"/>
      <c r="R207" s="75"/>
    </row>
    <row r="208" spans="1:18" ht="18.75" customHeight="1" x14ac:dyDescent="0.25">
      <c r="A208" s="128"/>
      <c r="B208" s="23"/>
      <c r="C208" s="23"/>
      <c r="D208" s="23"/>
      <c r="E208" s="23"/>
      <c r="F208" s="23"/>
      <c r="G208" s="146"/>
      <c r="H208" s="21"/>
      <c r="I208" s="147"/>
      <c r="K208" s="75"/>
      <c r="L208" s="75"/>
      <c r="M208" s="75"/>
      <c r="N208" s="75"/>
      <c r="O208" s="75"/>
      <c r="P208" s="75"/>
      <c r="Q208" s="75"/>
      <c r="R208" s="75"/>
    </row>
    <row r="209" spans="1:18" ht="18.75" customHeight="1" x14ac:dyDescent="0.25">
      <c r="A209" s="128"/>
      <c r="B209" s="23"/>
      <c r="C209" s="23"/>
      <c r="D209" s="23"/>
      <c r="E209" s="23"/>
      <c r="F209" s="23"/>
      <c r="G209" s="146"/>
      <c r="H209" s="21"/>
      <c r="I209" s="147"/>
      <c r="K209" s="75"/>
      <c r="L209" s="75"/>
      <c r="M209" s="75"/>
      <c r="N209" s="75"/>
      <c r="O209" s="75"/>
      <c r="P209" s="75"/>
      <c r="Q209" s="75"/>
      <c r="R209" s="75"/>
    </row>
    <row r="210" spans="1:18" ht="18.75" customHeight="1" x14ac:dyDescent="0.25">
      <c r="A210" s="128"/>
      <c r="B210" s="23"/>
      <c r="C210" s="23"/>
      <c r="D210" s="23"/>
      <c r="E210" s="23"/>
      <c r="F210" s="23"/>
      <c r="G210" s="146"/>
      <c r="H210" s="21"/>
      <c r="I210" s="147"/>
      <c r="K210" s="75"/>
      <c r="L210" s="75"/>
      <c r="M210" s="75"/>
      <c r="N210" s="75"/>
      <c r="O210" s="75"/>
      <c r="P210" s="75"/>
      <c r="Q210" s="75"/>
      <c r="R210" s="75"/>
    </row>
    <row r="211" spans="1:18" ht="18.75" customHeight="1" x14ac:dyDescent="0.25">
      <c r="A211" s="128"/>
      <c r="B211" s="23"/>
      <c r="C211" s="23"/>
      <c r="D211" s="23"/>
      <c r="E211" s="23"/>
      <c r="F211" s="23"/>
      <c r="G211" s="146"/>
      <c r="H211" s="21"/>
      <c r="I211" s="147"/>
      <c r="K211" s="75"/>
      <c r="L211" s="75"/>
      <c r="M211" s="75"/>
      <c r="N211" s="75"/>
      <c r="O211" s="75"/>
      <c r="P211" s="75"/>
      <c r="Q211" s="75"/>
      <c r="R211" s="75"/>
    </row>
    <row r="212" spans="1:18" ht="18.75" customHeight="1" x14ac:dyDescent="0.25">
      <c r="A212" s="128"/>
      <c r="B212" s="23"/>
      <c r="C212" s="23"/>
      <c r="D212" s="23"/>
      <c r="E212" s="23"/>
      <c r="F212" s="23"/>
      <c r="G212" s="146"/>
      <c r="H212" s="21"/>
      <c r="I212" s="147"/>
      <c r="K212" s="75"/>
      <c r="L212" s="75"/>
      <c r="M212" s="75"/>
      <c r="N212" s="75"/>
      <c r="O212" s="75"/>
      <c r="P212" s="75"/>
      <c r="Q212" s="75"/>
      <c r="R212" s="75"/>
    </row>
    <row r="213" spans="1:18" ht="18.75" customHeight="1" x14ac:dyDescent="0.25">
      <c r="A213" s="128"/>
      <c r="B213" s="23"/>
      <c r="C213" s="23"/>
      <c r="D213" s="23"/>
      <c r="E213" s="23"/>
      <c r="F213" s="23"/>
      <c r="G213" s="146"/>
      <c r="H213" s="21"/>
      <c r="I213" s="147"/>
      <c r="K213" s="75"/>
      <c r="L213" s="75"/>
      <c r="M213" s="75"/>
      <c r="N213" s="75"/>
      <c r="O213" s="75"/>
      <c r="P213" s="75"/>
      <c r="Q213" s="75"/>
      <c r="R213" s="75"/>
    </row>
    <row r="214" spans="1:18" ht="18.75" customHeight="1" x14ac:dyDescent="0.25">
      <c r="A214" s="128"/>
      <c r="B214" s="23"/>
      <c r="C214" s="23"/>
      <c r="D214" s="23"/>
      <c r="E214" s="23"/>
      <c r="F214" s="23"/>
      <c r="G214" s="146"/>
      <c r="H214" s="21"/>
      <c r="I214" s="147"/>
      <c r="K214" s="75"/>
      <c r="L214" s="75"/>
      <c r="M214" s="75"/>
      <c r="N214" s="75"/>
      <c r="O214" s="75"/>
      <c r="P214" s="75"/>
      <c r="Q214" s="75"/>
      <c r="R214" s="75"/>
    </row>
    <row r="215" spans="1:18" ht="18.75" customHeight="1" x14ac:dyDescent="0.25">
      <c r="A215" s="128"/>
      <c r="B215" s="23"/>
      <c r="C215" s="23"/>
      <c r="D215" s="23"/>
      <c r="E215" s="23"/>
      <c r="F215" s="23"/>
      <c r="G215" s="146"/>
      <c r="H215" s="21"/>
      <c r="I215" s="147"/>
    </row>
    <row r="216" spans="1:18" ht="18.75" customHeight="1" x14ac:dyDescent="0.25">
      <c r="A216" s="128"/>
      <c r="B216" s="23"/>
      <c r="C216" s="23"/>
      <c r="D216" s="23"/>
      <c r="E216" s="23"/>
      <c r="F216" s="23"/>
      <c r="G216" s="146"/>
      <c r="H216" s="21"/>
      <c r="I216" s="147"/>
    </row>
    <row r="217" spans="1:18" ht="18.75" customHeight="1" x14ac:dyDescent="0.25">
      <c r="A217" s="128"/>
      <c r="B217" s="23"/>
      <c r="C217" s="23"/>
      <c r="D217" s="23"/>
      <c r="E217" s="23"/>
      <c r="F217" s="23"/>
      <c r="G217" s="146"/>
      <c r="H217" s="21"/>
      <c r="I217" s="147"/>
    </row>
    <row r="218" spans="1:18" ht="18.75" customHeight="1" x14ac:dyDescent="0.25">
      <c r="A218" s="128"/>
      <c r="B218" s="23"/>
      <c r="C218" s="23"/>
      <c r="D218" s="23"/>
      <c r="E218" s="23"/>
      <c r="F218" s="23"/>
      <c r="G218" s="146"/>
      <c r="H218" s="21"/>
      <c r="I218" s="147"/>
      <c r="K218" s="75"/>
      <c r="L218" s="75"/>
      <c r="M218" s="75"/>
      <c r="N218" s="75"/>
      <c r="O218" s="75"/>
      <c r="P218" s="75"/>
      <c r="Q218" s="75"/>
      <c r="R218" s="75"/>
    </row>
    <row r="219" spans="1:18" ht="18.75" customHeight="1" x14ac:dyDescent="0.25">
      <c r="A219" s="128"/>
      <c r="B219" s="23"/>
      <c r="C219" s="23"/>
      <c r="D219" s="23"/>
      <c r="E219" s="23"/>
      <c r="F219" s="23"/>
      <c r="G219" s="146"/>
      <c r="H219" s="21"/>
      <c r="I219" s="147"/>
      <c r="K219" s="75"/>
      <c r="L219" s="75"/>
      <c r="M219" s="75"/>
      <c r="N219" s="75"/>
      <c r="O219" s="75"/>
      <c r="P219" s="75"/>
      <c r="Q219" s="75"/>
      <c r="R219" s="75"/>
    </row>
    <row r="220" spans="1:18" ht="18.75" customHeight="1" x14ac:dyDescent="0.25">
      <c r="A220" s="128"/>
      <c r="B220" s="344" t="s">
        <v>94</v>
      </c>
      <c r="C220" s="345" t="s">
        <v>75</v>
      </c>
      <c r="D220" s="345"/>
      <c r="E220" s="346" t="s">
        <v>76</v>
      </c>
      <c r="F220" s="343" t="s">
        <v>77</v>
      </c>
      <c r="G220" s="343" t="s">
        <v>78</v>
      </c>
      <c r="H220" s="343" t="s">
        <v>79</v>
      </c>
      <c r="I220" s="343" t="s">
        <v>79</v>
      </c>
      <c r="K220" s="75"/>
      <c r="L220" s="75"/>
      <c r="M220" s="75"/>
      <c r="N220" s="75"/>
      <c r="O220" s="75"/>
      <c r="P220" s="75"/>
      <c r="Q220" s="75"/>
      <c r="R220" s="75"/>
    </row>
    <row r="221" spans="1:18" ht="18.75" customHeight="1" x14ac:dyDescent="0.25">
      <c r="A221" s="128"/>
      <c r="B221" s="344"/>
      <c r="C221" s="111" t="s">
        <v>80</v>
      </c>
      <c r="D221" s="111" t="s">
        <v>81</v>
      </c>
      <c r="E221" s="346"/>
      <c r="F221" s="343"/>
      <c r="G221" s="343"/>
      <c r="H221" s="343"/>
      <c r="I221" s="343"/>
      <c r="J221" s="23"/>
      <c r="K221" s="75"/>
      <c r="L221" s="75"/>
      <c r="M221" s="75"/>
      <c r="N221" s="75"/>
      <c r="O221" s="75"/>
      <c r="P221" s="75"/>
      <c r="Q221" s="75"/>
      <c r="R221" s="75"/>
    </row>
    <row r="222" spans="1:18" ht="18.75" customHeight="1" x14ac:dyDescent="0.25">
      <c r="A222" s="128"/>
      <c r="B222" s="344"/>
      <c r="C222" s="111" t="s">
        <v>82</v>
      </c>
      <c r="D222" s="111" t="s">
        <v>83</v>
      </c>
      <c r="E222" s="111" t="s">
        <v>84</v>
      </c>
      <c r="F222" s="111" t="s">
        <v>85</v>
      </c>
      <c r="G222" s="111" t="s">
        <v>86</v>
      </c>
      <c r="H222" s="111" t="s">
        <v>87</v>
      </c>
      <c r="I222" s="111" t="s">
        <v>88</v>
      </c>
      <c r="J222" s="25"/>
      <c r="K222" s="75"/>
      <c r="L222" s="75"/>
      <c r="M222" s="75"/>
      <c r="N222" s="75"/>
      <c r="O222" s="75"/>
      <c r="P222" s="75"/>
      <c r="Q222" s="75"/>
      <c r="R222" s="75"/>
    </row>
    <row r="223" spans="1:18" ht="18.75" customHeight="1" x14ac:dyDescent="0.25">
      <c r="A223" s="128"/>
      <c r="B223" s="344"/>
      <c r="C223" s="111" t="s">
        <v>89</v>
      </c>
      <c r="D223" s="111" t="s">
        <v>89</v>
      </c>
      <c r="E223" s="111" t="s">
        <v>90</v>
      </c>
      <c r="F223" s="111" t="s">
        <v>89</v>
      </c>
      <c r="G223" s="111" t="s">
        <v>91</v>
      </c>
      <c r="H223" s="111" t="s">
        <v>92</v>
      </c>
      <c r="I223" s="111" t="s">
        <v>92</v>
      </c>
      <c r="J223" s="25"/>
      <c r="K223" s="75"/>
      <c r="L223" s="75"/>
      <c r="M223" s="75"/>
      <c r="N223" s="75"/>
      <c r="O223" s="75"/>
      <c r="P223" s="75"/>
      <c r="Q223" s="75"/>
      <c r="R223" s="75"/>
    </row>
    <row r="224" spans="1:18" ht="18.75" customHeight="1" x14ac:dyDescent="0.25">
      <c r="A224" s="128"/>
      <c r="B224" s="74">
        <v>0</v>
      </c>
      <c r="C224" s="17">
        <f>H127</f>
        <v>0.12871480101371405</v>
      </c>
      <c r="D224" s="17">
        <f>D189</f>
        <v>0.25</v>
      </c>
      <c r="E224" s="17">
        <f t="shared" ref="E224:E229" si="6">C224*D224</f>
        <v>3.2178700253428512E-2</v>
      </c>
      <c r="F224" s="16">
        <f>D229+D227+D225+H108+0.5*D224</f>
        <v>2.2250000000000001</v>
      </c>
      <c r="G224" s="16">
        <f>E224*F224</f>
        <v>7.1597608063878437E-2</v>
      </c>
      <c r="H224" s="16">
        <f>E224*F224^2</f>
        <v>0.15930467794212955</v>
      </c>
      <c r="I224" s="18">
        <f t="shared" ref="I224:I229" si="7">1/12*C224*D224^3</f>
        <v>1.675973971532735E-4</v>
      </c>
      <c r="J224" s="25"/>
      <c r="K224" s="75"/>
      <c r="L224" s="75"/>
      <c r="M224" s="75"/>
      <c r="N224" s="75"/>
      <c r="O224" s="75"/>
      <c r="P224" s="75"/>
      <c r="Q224" s="75"/>
      <c r="R224" s="75"/>
    </row>
    <row r="225" spans="1:18" ht="18.75" customHeight="1" x14ac:dyDescent="0.25">
      <c r="A225" s="128"/>
      <c r="B225" s="74">
        <v>1</v>
      </c>
      <c r="C225" s="17">
        <f>C190</f>
        <v>0.38</v>
      </c>
      <c r="D225" s="17">
        <f>D190</f>
        <v>0.02</v>
      </c>
      <c r="E225" s="17">
        <f t="shared" si="6"/>
        <v>7.6E-3</v>
      </c>
      <c r="F225" s="16">
        <f>D229+D227+0.5*D225</f>
        <v>2.09</v>
      </c>
      <c r="G225" s="16">
        <f>E225*F225</f>
        <v>1.5883999999999999E-2</v>
      </c>
      <c r="H225" s="16">
        <f>E225*F225^2</f>
        <v>3.3197559999999994E-2</v>
      </c>
      <c r="I225" s="18">
        <f t="shared" si="7"/>
        <v>2.5333333333333333E-7</v>
      </c>
      <c r="J225" s="25"/>
      <c r="K225" s="75"/>
      <c r="L225" s="75"/>
      <c r="M225" s="75"/>
      <c r="N225" s="75"/>
      <c r="O225" s="75"/>
      <c r="P225" s="75"/>
      <c r="Q225" s="75"/>
      <c r="R225" s="75"/>
    </row>
    <row r="226" spans="1:18" ht="18.75" customHeight="1" x14ac:dyDescent="0.25">
      <c r="A226" s="128"/>
      <c r="B226" s="74">
        <v>2</v>
      </c>
      <c r="C226" s="17">
        <f t="shared" ref="C226:D229" si="8">C191</f>
        <v>0.38</v>
      </c>
      <c r="D226" s="17">
        <f t="shared" si="8"/>
        <v>0.02</v>
      </c>
      <c r="E226" s="17">
        <f t="shared" si="6"/>
        <v>7.6E-3</v>
      </c>
      <c r="F226" s="16">
        <f>F225</f>
        <v>2.09</v>
      </c>
      <c r="G226" s="16">
        <f t="shared" ref="G226:G229" si="9">E226*F226</f>
        <v>1.5883999999999999E-2</v>
      </c>
      <c r="H226" s="16">
        <f t="shared" ref="H226:H229" si="10">E226*F226^2</f>
        <v>3.3197559999999994E-2</v>
      </c>
      <c r="I226" s="18">
        <f t="shared" si="7"/>
        <v>2.5333333333333333E-7</v>
      </c>
      <c r="J226" s="25"/>
      <c r="L226" s="1" t="s">
        <v>339</v>
      </c>
      <c r="R226" s="75"/>
    </row>
    <row r="227" spans="1:18" ht="18.75" customHeight="1" x14ac:dyDescent="0.25">
      <c r="A227" s="128"/>
      <c r="B227" s="74">
        <v>3</v>
      </c>
      <c r="C227" s="17">
        <f t="shared" si="8"/>
        <v>1.6E-2</v>
      </c>
      <c r="D227" s="17">
        <f t="shared" si="8"/>
        <v>2.06</v>
      </c>
      <c r="E227" s="17">
        <f t="shared" si="6"/>
        <v>3.2960000000000003E-2</v>
      </c>
      <c r="F227" s="16">
        <f>D229+0.5*D227</f>
        <v>1.05</v>
      </c>
      <c r="G227" s="16">
        <f t="shared" si="9"/>
        <v>3.4608000000000007E-2</v>
      </c>
      <c r="H227" s="16">
        <f t="shared" si="10"/>
        <v>3.6338400000000007E-2</v>
      </c>
      <c r="I227" s="18">
        <f t="shared" si="7"/>
        <v>1.1655754666666667E-2</v>
      </c>
      <c r="J227" s="25"/>
      <c r="R227" s="75"/>
    </row>
    <row r="228" spans="1:18" ht="18.75" customHeight="1" x14ac:dyDescent="0.25">
      <c r="A228" s="128"/>
      <c r="B228" s="74">
        <v>4</v>
      </c>
      <c r="C228" s="17">
        <f t="shared" si="8"/>
        <v>1.6E-2</v>
      </c>
      <c r="D228" s="17">
        <f t="shared" si="8"/>
        <v>2.06</v>
      </c>
      <c r="E228" s="17">
        <f t="shared" si="6"/>
        <v>3.2960000000000003E-2</v>
      </c>
      <c r="F228" s="16">
        <f>F227</f>
        <v>1.05</v>
      </c>
      <c r="G228" s="16">
        <f t="shared" si="9"/>
        <v>3.4608000000000007E-2</v>
      </c>
      <c r="H228" s="16">
        <f t="shared" si="10"/>
        <v>3.6338400000000007E-2</v>
      </c>
      <c r="I228" s="18">
        <f t="shared" si="7"/>
        <v>1.1655754666666667E-2</v>
      </c>
      <c r="J228" s="25"/>
    </row>
    <row r="229" spans="1:18" ht="18.75" customHeight="1" x14ac:dyDescent="0.25">
      <c r="A229" s="128"/>
      <c r="B229" s="74">
        <v>5</v>
      </c>
      <c r="C229" s="17">
        <f t="shared" si="8"/>
        <v>1.8</v>
      </c>
      <c r="D229" s="17">
        <f t="shared" si="8"/>
        <v>0.02</v>
      </c>
      <c r="E229" s="17">
        <f t="shared" si="6"/>
        <v>3.6000000000000004E-2</v>
      </c>
      <c r="F229" s="16">
        <f>0.5*D229</f>
        <v>0.01</v>
      </c>
      <c r="G229" s="16">
        <f t="shared" si="9"/>
        <v>3.6000000000000002E-4</v>
      </c>
      <c r="H229" s="16">
        <f t="shared" si="10"/>
        <v>3.6000000000000007E-6</v>
      </c>
      <c r="I229" s="18">
        <f t="shared" si="7"/>
        <v>1.2000000000000002E-6</v>
      </c>
      <c r="J229" s="25"/>
      <c r="K229" s="75"/>
      <c r="L229" s="75"/>
      <c r="M229" s="75"/>
      <c r="N229" s="75"/>
      <c r="O229" s="75"/>
      <c r="P229" s="75"/>
      <c r="Q229" s="75"/>
    </row>
    <row r="230" spans="1:18" ht="18.75" customHeight="1" x14ac:dyDescent="0.25">
      <c r="A230" s="128"/>
      <c r="B230" s="23"/>
      <c r="C230" s="23"/>
      <c r="D230" s="19" t="s">
        <v>93</v>
      </c>
      <c r="E230" s="20">
        <f>SUM(E224:E229)</f>
        <v>0.14929870025342851</v>
      </c>
      <c r="F230" s="25"/>
      <c r="G230" s="66">
        <f>SUM(G224:G229)</f>
        <v>0.17294160806387843</v>
      </c>
      <c r="H230" s="66">
        <f>SUM(H224:H229)</f>
        <v>0.2983801979421295</v>
      </c>
      <c r="I230" s="67">
        <f>SUM(I224:I229)</f>
        <v>2.3480813397153272E-2</v>
      </c>
      <c r="K230" s="75"/>
      <c r="L230" s="75"/>
      <c r="M230" s="75"/>
      <c r="N230" s="75"/>
      <c r="O230" s="75"/>
      <c r="P230" s="75"/>
      <c r="Q230" s="75"/>
    </row>
    <row r="231" spans="1:18" ht="18.75" customHeight="1" x14ac:dyDescent="0.25">
      <c r="A231" s="128"/>
      <c r="B231" s="23"/>
      <c r="C231" s="23"/>
      <c r="D231" s="23"/>
      <c r="E231" s="23"/>
      <c r="F231" s="23"/>
      <c r="G231" s="146"/>
      <c r="H231" s="21"/>
      <c r="I231" s="147"/>
      <c r="R231" s="75"/>
    </row>
    <row r="232" spans="1:18" ht="18.75" customHeight="1" x14ac:dyDescent="0.25">
      <c r="A232" s="130"/>
      <c r="B232" s="23" t="s">
        <v>300</v>
      </c>
      <c r="C232" s="23"/>
      <c r="D232" s="23"/>
      <c r="E232" s="23"/>
      <c r="F232" s="23"/>
      <c r="G232" s="146" t="s">
        <v>119</v>
      </c>
      <c r="H232" s="10">
        <f>H197</f>
        <v>2.35</v>
      </c>
      <c r="I232" s="147" t="s">
        <v>2</v>
      </c>
      <c r="R232" s="75"/>
    </row>
    <row r="233" spans="1:18" ht="18.75" customHeight="1" x14ac:dyDescent="0.25">
      <c r="A233" s="130"/>
      <c r="B233" s="23" t="s">
        <v>301</v>
      </c>
      <c r="C233" s="23"/>
      <c r="D233" s="23"/>
      <c r="E233" s="23"/>
      <c r="F233" s="23"/>
      <c r="G233" s="146" t="s">
        <v>111</v>
      </c>
      <c r="H233" s="15">
        <f>E230</f>
        <v>0.14929870025342851</v>
      </c>
      <c r="I233" s="147" t="s">
        <v>97</v>
      </c>
    </row>
    <row r="234" spans="1:18" ht="18.75" customHeight="1" x14ac:dyDescent="0.25">
      <c r="A234" s="130"/>
      <c r="B234" s="23" t="s">
        <v>98</v>
      </c>
      <c r="C234" s="23"/>
      <c r="D234" s="23"/>
      <c r="E234" s="23"/>
      <c r="F234" s="23"/>
      <c r="G234" s="146" t="s">
        <v>112</v>
      </c>
      <c r="H234" s="15">
        <f>G230/E230</f>
        <v>1.1583597698460673</v>
      </c>
      <c r="I234" s="147" t="s">
        <v>2</v>
      </c>
    </row>
    <row r="235" spans="1:18" ht="18.75" customHeight="1" x14ac:dyDescent="0.25">
      <c r="A235" s="130"/>
      <c r="B235" s="23"/>
      <c r="C235" s="23"/>
      <c r="D235" s="23"/>
      <c r="E235" s="23"/>
      <c r="F235" s="23"/>
      <c r="G235" s="146" t="s">
        <v>120</v>
      </c>
      <c r="H235" s="15">
        <f>H232-H234</f>
        <v>1.1916402301539328</v>
      </c>
      <c r="I235" s="147" t="s">
        <v>2</v>
      </c>
    </row>
    <row r="236" spans="1:18" ht="18.75" customHeight="1" x14ac:dyDescent="0.25">
      <c r="A236" s="130"/>
      <c r="B236" s="23" t="s">
        <v>113</v>
      </c>
      <c r="C236" s="23"/>
      <c r="D236" s="23"/>
      <c r="E236" s="23"/>
      <c r="F236" s="23"/>
      <c r="G236" s="146" t="s">
        <v>121</v>
      </c>
      <c r="H236" s="15">
        <f>I230+E224*($H$199-F224)^2+E225*($H$199-F225)^2+E226*($H$199-F226)^2+E227*($H$199-F227)^2+E228*($H$199-F228)^2+E229*($H$199-F229)^2</f>
        <v>0.13694438652173369</v>
      </c>
      <c r="I236" s="147" t="s">
        <v>101</v>
      </c>
    </row>
    <row r="237" spans="1:18" ht="18.75" customHeight="1" x14ac:dyDescent="0.25">
      <c r="A237" s="130"/>
      <c r="B237" s="23" t="s">
        <v>114</v>
      </c>
      <c r="C237" s="23"/>
      <c r="D237" s="23"/>
      <c r="E237" s="23"/>
      <c r="F237" s="23"/>
      <c r="G237" s="146" t="s">
        <v>115</v>
      </c>
      <c r="H237" s="15">
        <f>H236/H235</f>
        <v>0.11492091577341559</v>
      </c>
      <c r="I237" s="147" t="s">
        <v>104</v>
      </c>
    </row>
    <row r="238" spans="1:18" ht="18.75" customHeight="1" x14ac:dyDescent="0.25">
      <c r="A238" s="130"/>
      <c r="B238" s="23" t="s">
        <v>116</v>
      </c>
      <c r="C238" s="23"/>
      <c r="D238" s="23"/>
      <c r="E238" s="23"/>
      <c r="F238" s="23"/>
      <c r="G238" s="146" t="s">
        <v>817</v>
      </c>
      <c r="H238" s="15">
        <f>H236/(H235-(D224+H43/1000))</f>
        <v>0.14543174997880767</v>
      </c>
      <c r="I238" s="147" t="s">
        <v>104</v>
      </c>
    </row>
    <row r="239" spans="1:18" ht="18.75" customHeight="1" x14ac:dyDescent="0.25">
      <c r="A239" s="130"/>
      <c r="B239" s="23" t="s">
        <v>117</v>
      </c>
      <c r="C239" s="23"/>
      <c r="D239" s="23"/>
      <c r="E239" s="23"/>
      <c r="F239" s="23"/>
      <c r="G239" s="146" t="s">
        <v>118</v>
      </c>
      <c r="H239" s="15">
        <f>H236/H234</f>
        <v>0.11822267147617879</v>
      </c>
      <c r="I239" s="147" t="s">
        <v>104</v>
      </c>
    </row>
    <row r="240" spans="1:18" ht="18.75" customHeight="1" x14ac:dyDescent="0.25">
      <c r="A240" s="128"/>
      <c r="B240" s="23"/>
      <c r="C240" s="23"/>
      <c r="D240" s="23"/>
      <c r="E240" s="23"/>
      <c r="F240" s="23"/>
      <c r="G240" s="146"/>
      <c r="H240" s="21"/>
      <c r="I240" s="147"/>
    </row>
    <row r="241" spans="1:18" ht="18.75" customHeight="1" x14ac:dyDescent="0.25">
      <c r="A241" s="126" t="s">
        <v>780</v>
      </c>
      <c r="B241" s="138" t="s">
        <v>799</v>
      </c>
      <c r="C241" s="139"/>
      <c r="D241" s="139"/>
      <c r="E241" s="139"/>
      <c r="F241" s="139"/>
      <c r="G241" s="140"/>
      <c r="H241" s="139"/>
      <c r="I241" s="141"/>
    </row>
    <row r="242" spans="1:18" ht="18.75" customHeight="1" x14ac:dyDescent="0.25">
      <c r="A242" s="127" t="s">
        <v>127</v>
      </c>
      <c r="B242" s="142" t="s">
        <v>798</v>
      </c>
      <c r="C242" s="143"/>
      <c r="D242" s="143"/>
      <c r="E242" s="143"/>
      <c r="F242" s="143"/>
      <c r="G242" s="144"/>
      <c r="H242" s="143"/>
      <c r="I242" s="145"/>
    </row>
    <row r="243" spans="1:18" ht="18.75" customHeight="1" x14ac:dyDescent="0.25">
      <c r="A243" s="128"/>
      <c r="B243" s="151" t="s">
        <v>365</v>
      </c>
      <c r="C243" s="23"/>
      <c r="D243" s="23"/>
      <c r="E243" s="23"/>
      <c r="F243" s="23"/>
      <c r="G243" s="146" t="s">
        <v>382</v>
      </c>
      <c r="H243" s="12">
        <f>1.3*'Process - Pembebanan'!$N$131</f>
        <v>12832.0062</v>
      </c>
      <c r="I243" s="147" t="s">
        <v>137</v>
      </c>
    </row>
    <row r="244" spans="1:18" ht="18.75" customHeight="1" x14ac:dyDescent="0.25">
      <c r="A244" s="128"/>
      <c r="B244" s="151" t="s">
        <v>364</v>
      </c>
      <c r="C244" s="23"/>
      <c r="D244" s="23"/>
      <c r="E244" s="23"/>
      <c r="F244" s="23"/>
      <c r="G244" s="146" t="s">
        <v>383</v>
      </c>
      <c r="H244" s="12">
        <f>2*'Process - Pembebanan'!$O$131</f>
        <v>5885.46875</v>
      </c>
      <c r="I244" s="147" t="s">
        <v>137</v>
      </c>
    </row>
    <row r="245" spans="1:18" ht="18.75" customHeight="1" x14ac:dyDescent="0.25">
      <c r="A245" s="128"/>
      <c r="B245" s="151" t="s">
        <v>366</v>
      </c>
      <c r="C245" s="23"/>
      <c r="D245" s="23"/>
      <c r="E245" s="23"/>
      <c r="F245" s="23"/>
      <c r="G245" s="146" t="s">
        <v>370</v>
      </c>
      <c r="H245" s="16">
        <f>$H$160</f>
        <v>6.0497084700154906E-2</v>
      </c>
      <c r="I245" s="147" t="s">
        <v>369</v>
      </c>
    </row>
    <row r="246" spans="1:18" ht="18.75" customHeight="1" x14ac:dyDescent="0.25">
      <c r="A246" s="128"/>
      <c r="B246" s="151"/>
      <c r="C246" s="23"/>
      <c r="D246" s="23"/>
      <c r="E246" s="23"/>
      <c r="F246" s="23"/>
      <c r="G246" s="146" t="s">
        <v>371</v>
      </c>
      <c r="H246" s="16">
        <f>$H$161</f>
        <v>8.6323437246605614E-2</v>
      </c>
      <c r="I246" s="147" t="s">
        <v>369</v>
      </c>
    </row>
    <row r="247" spans="1:18" ht="18.75" customHeight="1" x14ac:dyDescent="0.25">
      <c r="A247" s="128"/>
      <c r="B247" s="151" t="s">
        <v>367</v>
      </c>
      <c r="C247" s="23"/>
      <c r="D247" s="23"/>
      <c r="E247" s="23"/>
      <c r="F247" s="23"/>
      <c r="G247" s="146" t="s">
        <v>372</v>
      </c>
      <c r="H247" s="16">
        <f>$H$202</f>
        <v>0.1988089785822254</v>
      </c>
      <c r="I247" s="147" t="s">
        <v>369</v>
      </c>
    </row>
    <row r="248" spans="1:18" ht="18.75" customHeight="1" x14ac:dyDescent="0.25">
      <c r="A248" s="128"/>
      <c r="B248" s="151"/>
      <c r="C248" s="23"/>
      <c r="D248" s="23"/>
      <c r="E248" s="23"/>
      <c r="F248" s="23"/>
      <c r="G248" s="146" t="s">
        <v>373</v>
      </c>
      <c r="H248" s="16">
        <f>$H$204</f>
        <v>0.11694153697784269</v>
      </c>
      <c r="I248" s="147" t="s">
        <v>369</v>
      </c>
    </row>
    <row r="249" spans="1:18" ht="18.75" customHeight="1" x14ac:dyDescent="0.25">
      <c r="A249" s="128"/>
      <c r="B249" s="151" t="s">
        <v>368</v>
      </c>
      <c r="C249" s="23"/>
      <c r="D249" s="23"/>
      <c r="E249" s="23"/>
      <c r="F249" s="23"/>
      <c r="G249" s="146" t="s">
        <v>374</v>
      </c>
      <c r="H249" s="16">
        <f>$H$237</f>
        <v>0.11492091577341559</v>
      </c>
      <c r="I249" s="147" t="s">
        <v>369</v>
      </c>
      <c r="K249" s="77"/>
      <c r="L249" s="77"/>
      <c r="M249" s="77"/>
      <c r="N249" s="77"/>
      <c r="O249" s="77"/>
      <c r="P249" s="77"/>
      <c r="Q249" s="77"/>
    </row>
    <row r="250" spans="1:18" ht="18.75" customHeight="1" x14ac:dyDescent="0.25">
      <c r="A250" s="128"/>
      <c r="B250" s="151"/>
      <c r="C250" s="23"/>
      <c r="D250" s="23"/>
      <c r="E250" s="23"/>
      <c r="F250" s="23"/>
      <c r="G250" s="146" t="s">
        <v>375</v>
      </c>
      <c r="H250" s="16">
        <f>$H$239</f>
        <v>0.11822267147617879</v>
      </c>
      <c r="I250" s="147" t="s">
        <v>369</v>
      </c>
    </row>
    <row r="251" spans="1:18" ht="18.75" customHeight="1" x14ac:dyDescent="0.25">
      <c r="A251" s="128"/>
      <c r="B251" s="151" t="s">
        <v>376</v>
      </c>
      <c r="C251" s="23"/>
      <c r="D251" s="23"/>
      <c r="E251" s="23"/>
      <c r="F251" s="23"/>
      <c r="G251" s="146"/>
      <c r="H251" s="21"/>
      <c r="I251" s="147"/>
      <c r="R251" s="77"/>
    </row>
    <row r="252" spans="1:18" ht="18.75" customHeight="1" x14ac:dyDescent="0.25">
      <c r="A252" s="128"/>
      <c r="B252" s="151"/>
      <c r="C252" s="23"/>
      <c r="D252" s="23"/>
      <c r="E252" s="23"/>
      <c r="F252" s="23"/>
      <c r="G252" s="146" t="s">
        <v>377</v>
      </c>
      <c r="H252" s="16">
        <f>H247*($H$6*1000-(H243/H245+H244/H249))</f>
        <v>19220.314312411221</v>
      </c>
      <c r="I252" s="147" t="s">
        <v>137</v>
      </c>
    </row>
    <row r="253" spans="1:18" ht="18.75" customHeight="1" x14ac:dyDescent="0.25">
      <c r="A253" s="128"/>
      <c r="B253" s="151"/>
      <c r="C253" s="23"/>
      <c r="D253" s="23"/>
      <c r="E253" s="23"/>
      <c r="F253" s="23"/>
      <c r="G253" s="146" t="s">
        <v>380</v>
      </c>
      <c r="H253" s="16">
        <f>H248*($H$6*1000-(H243/H246+H244/H250))</f>
        <v>18893.866775393966</v>
      </c>
      <c r="I253" s="147" t="s">
        <v>137</v>
      </c>
    </row>
    <row r="254" spans="1:18" ht="18.75" customHeight="1" x14ac:dyDescent="0.25">
      <c r="A254" s="128"/>
      <c r="B254" s="151"/>
      <c r="C254" s="23"/>
      <c r="D254" s="23"/>
      <c r="E254" s="23"/>
      <c r="F254" s="23"/>
      <c r="G254" s="146" t="s">
        <v>384</v>
      </c>
      <c r="H254" s="16">
        <f>MIN(H252:H253)</f>
        <v>18893.866775393966</v>
      </c>
      <c r="I254" s="147" t="s">
        <v>137</v>
      </c>
      <c r="L254" s="1" t="s">
        <v>339</v>
      </c>
    </row>
    <row r="255" spans="1:18" ht="18.75" customHeight="1" x14ac:dyDescent="0.25">
      <c r="A255" s="128"/>
      <c r="B255" s="151" t="s">
        <v>381</v>
      </c>
      <c r="C255" s="23"/>
      <c r="D255" s="23"/>
      <c r="E255" s="23"/>
      <c r="F255" s="23"/>
      <c r="G255" s="146" t="s">
        <v>385</v>
      </c>
      <c r="H255" s="76">
        <f>H243+H244+H254</f>
        <v>37611.34172539397</v>
      </c>
      <c r="I255" s="147" t="s">
        <v>137</v>
      </c>
    </row>
    <row r="256" spans="1:18" ht="18.75" customHeight="1" x14ac:dyDescent="0.25">
      <c r="A256" s="128"/>
      <c r="B256" s="151"/>
      <c r="C256" s="23"/>
      <c r="D256" s="23"/>
      <c r="E256" s="23"/>
      <c r="F256" s="23"/>
      <c r="G256" s="146"/>
      <c r="H256" s="21"/>
      <c r="I256" s="147"/>
    </row>
    <row r="257" spans="1:9" ht="18.75" customHeight="1" x14ac:dyDescent="0.25">
      <c r="A257" s="127" t="s">
        <v>784</v>
      </c>
      <c r="B257" s="142" t="s">
        <v>797</v>
      </c>
      <c r="C257" s="143"/>
      <c r="D257" s="143"/>
      <c r="E257" s="143"/>
      <c r="F257" s="143"/>
      <c r="G257" s="144"/>
      <c r="H257" s="143"/>
      <c r="I257" s="145"/>
    </row>
    <row r="258" spans="1:9" ht="18.75" customHeight="1" x14ac:dyDescent="0.25">
      <c r="A258" s="128"/>
      <c r="B258" s="23" t="s">
        <v>307</v>
      </c>
      <c r="C258" s="23"/>
      <c r="D258" s="23"/>
      <c r="E258" s="23"/>
      <c r="F258" s="23"/>
      <c r="G258" s="146" t="s">
        <v>24</v>
      </c>
      <c r="H258" s="12">
        <f>H4</f>
        <v>30</v>
      </c>
      <c r="I258" s="147" t="s">
        <v>23</v>
      </c>
    </row>
    <row r="259" spans="1:9" ht="18.75" customHeight="1" x14ac:dyDescent="0.25">
      <c r="A259" s="128"/>
      <c r="B259" s="23" t="s">
        <v>308</v>
      </c>
      <c r="C259" s="23"/>
      <c r="D259" s="23"/>
      <c r="E259" s="23"/>
      <c r="F259" s="23"/>
      <c r="G259" s="146" t="s">
        <v>30</v>
      </c>
      <c r="H259" s="12">
        <f>H6</f>
        <v>360</v>
      </c>
      <c r="I259" s="147" t="s">
        <v>23</v>
      </c>
    </row>
    <row r="260" spans="1:9" ht="18.75" customHeight="1" x14ac:dyDescent="0.25">
      <c r="A260" s="128"/>
      <c r="B260" s="23" t="s">
        <v>304</v>
      </c>
      <c r="C260" s="23"/>
      <c r="D260" s="23"/>
      <c r="E260" s="23"/>
      <c r="F260" s="23"/>
      <c r="G260" s="146" t="s">
        <v>60</v>
      </c>
      <c r="H260" s="12">
        <f>H118</f>
        <v>3.5</v>
      </c>
      <c r="I260" s="147" t="s">
        <v>2</v>
      </c>
    </row>
    <row r="261" spans="1:9" ht="18.75" customHeight="1" x14ac:dyDescent="0.25">
      <c r="A261" s="128"/>
      <c r="B261" s="23" t="s">
        <v>305</v>
      </c>
      <c r="C261" s="23"/>
      <c r="D261" s="23"/>
      <c r="E261" s="23"/>
      <c r="F261" s="23"/>
      <c r="G261" s="146" t="s">
        <v>311</v>
      </c>
      <c r="H261" s="16">
        <f>0.85*H258*H118*1000*H42/1000</f>
        <v>22312.5</v>
      </c>
      <c r="I261" s="147" t="s">
        <v>148</v>
      </c>
    </row>
    <row r="262" spans="1:9" ht="18.75" customHeight="1" x14ac:dyDescent="0.25">
      <c r="A262" s="128"/>
      <c r="B262" s="23" t="s">
        <v>306</v>
      </c>
      <c r="C262" s="23"/>
      <c r="D262" s="23"/>
      <c r="E262" s="23"/>
      <c r="F262" s="23"/>
      <c r="G262" s="146" t="s">
        <v>323</v>
      </c>
      <c r="H262" s="16">
        <f>H259*2*C225*D225*1000</f>
        <v>5472</v>
      </c>
      <c r="I262" s="147" t="s">
        <v>148</v>
      </c>
    </row>
    <row r="263" spans="1:9" ht="18.75" customHeight="1" x14ac:dyDescent="0.25">
      <c r="A263" s="128"/>
      <c r="B263" s="23" t="s">
        <v>309</v>
      </c>
      <c r="C263" s="23"/>
      <c r="D263" s="23"/>
      <c r="E263" s="23"/>
      <c r="F263" s="23"/>
      <c r="G263" s="146" t="s">
        <v>312</v>
      </c>
      <c r="H263" s="16">
        <f>H259*2*D227*C227*1000</f>
        <v>23731.200000000001</v>
      </c>
      <c r="I263" s="147" t="s">
        <v>148</v>
      </c>
    </row>
    <row r="264" spans="1:9" ht="18.75" customHeight="1" x14ac:dyDescent="0.25">
      <c r="A264" s="128"/>
      <c r="B264" s="23" t="s">
        <v>310</v>
      </c>
      <c r="C264" s="23"/>
      <c r="D264" s="23"/>
      <c r="E264" s="23"/>
      <c r="F264" s="23"/>
      <c r="G264" s="146" t="s">
        <v>313</v>
      </c>
      <c r="H264" s="16">
        <f>H259*C229*D229*1000</f>
        <v>12960</v>
      </c>
      <c r="I264" s="147" t="s">
        <v>148</v>
      </c>
    </row>
    <row r="265" spans="1:9" ht="18.75" customHeight="1" x14ac:dyDescent="0.25">
      <c r="A265" s="128"/>
      <c r="B265" s="23"/>
      <c r="C265" s="23"/>
      <c r="D265" s="23"/>
      <c r="E265" s="23"/>
      <c r="F265" s="23"/>
      <c r="G265" s="146"/>
      <c r="H265" s="21"/>
      <c r="I265" s="147"/>
    </row>
    <row r="266" spans="1:9" ht="18.75" customHeight="1" x14ac:dyDescent="0.25">
      <c r="A266" s="128"/>
      <c r="B266" s="23" t="s">
        <v>314</v>
      </c>
      <c r="C266" s="23"/>
      <c r="D266" s="23"/>
      <c r="E266" s="23"/>
      <c r="F266" s="23"/>
      <c r="G266" s="146"/>
      <c r="H266" s="21"/>
      <c r="I266" s="147"/>
    </row>
    <row r="267" spans="1:9" ht="18.75" customHeight="1" x14ac:dyDescent="0.25">
      <c r="A267" s="128"/>
      <c r="B267" s="23" t="s">
        <v>315</v>
      </c>
      <c r="C267" s="23" t="s">
        <v>327</v>
      </c>
      <c r="D267" s="23"/>
      <c r="E267" s="16">
        <f>H264+H263</f>
        <v>36691.199999999997</v>
      </c>
      <c r="F267" s="21" t="str">
        <f>IF(E267&gt;=G267,"≥","&lt;")</f>
        <v>≥</v>
      </c>
      <c r="G267" s="16">
        <f>H262+H261</f>
        <v>27784.5</v>
      </c>
      <c r="H267" s="349" t="str">
        <f>IF(E267&gt;=G267,"[ Terpenuhi]","[Tdk terpenuhi]")</f>
        <v>[ Terpenuhi]</v>
      </c>
      <c r="I267" s="350"/>
    </row>
    <row r="268" spans="1:9" ht="18.75" customHeight="1" x14ac:dyDescent="0.25">
      <c r="A268" s="128"/>
      <c r="B268" s="23" t="s">
        <v>316</v>
      </c>
      <c r="C268" s="23" t="s">
        <v>328</v>
      </c>
      <c r="D268" s="23"/>
      <c r="E268" s="16">
        <f>H264+H263+H262</f>
        <v>42163.199999999997</v>
      </c>
      <c r="F268" s="21" t="str">
        <f>IF(E268&gt;=G268,"≥","&lt;")</f>
        <v>≥</v>
      </c>
      <c r="G268" s="16">
        <f>H261</f>
        <v>22312.5</v>
      </c>
      <c r="H268" s="349" t="str">
        <f>IF(E268&gt;=G268,"[ Terpenuhi]","[Tdk terpenuhi]")</f>
        <v>[ Terpenuhi]</v>
      </c>
      <c r="I268" s="350"/>
    </row>
    <row r="269" spans="1:9" ht="18.75" customHeight="1" x14ac:dyDescent="0.25">
      <c r="A269" s="128"/>
      <c r="B269" s="23"/>
      <c r="C269" s="23"/>
      <c r="D269" s="23"/>
      <c r="E269" s="23"/>
      <c r="F269" s="23"/>
      <c r="G269" s="146"/>
      <c r="H269" s="21"/>
      <c r="I269" s="147"/>
    </row>
    <row r="270" spans="1:9" ht="18.75" customHeight="1" x14ac:dyDescent="0.25">
      <c r="A270" s="128"/>
      <c r="B270" s="23" t="s">
        <v>317</v>
      </c>
      <c r="C270" s="23"/>
      <c r="D270" s="23"/>
      <c r="E270" s="23"/>
      <c r="F270" s="23"/>
      <c r="G270" s="146" t="s">
        <v>319</v>
      </c>
      <c r="H270" s="16">
        <f>IF(E267&gt;=G267,D227/2*((H264-H262-H261)/H263+1)*1000,"-")</f>
        <v>386.57552083333337</v>
      </c>
      <c r="I270" s="147" t="s">
        <v>9</v>
      </c>
    </row>
    <row r="271" spans="1:9" ht="18.75" customHeight="1" x14ac:dyDescent="0.25">
      <c r="A271" s="128"/>
      <c r="B271" s="23" t="s">
        <v>318</v>
      </c>
      <c r="C271" s="23"/>
      <c r="D271" s="23"/>
      <c r="E271" s="23"/>
      <c r="F271" s="23"/>
      <c r="G271" s="146" t="s">
        <v>320</v>
      </c>
      <c r="H271" s="16">
        <f>IF(E268&gt;=G268,D225/2*((H263+H264-H261)/H262+1)*1000,"-")</f>
        <v>36.276864035087719</v>
      </c>
      <c r="I271" s="147" t="s">
        <v>9</v>
      </c>
    </row>
    <row r="272" spans="1:9" ht="18.75" customHeight="1" x14ac:dyDescent="0.25">
      <c r="A272" s="128"/>
      <c r="B272" s="152" t="str">
        <f>IF(E267&gt;=G267,"*PNA berada di badan web",IF(E268&gt;=G268,"*PNA berada di flens atas","[ EROR ]"))</f>
        <v>*PNA berada di badan web</v>
      </c>
      <c r="C272" s="23"/>
      <c r="D272" s="23"/>
      <c r="E272" s="23"/>
      <c r="F272" s="23"/>
      <c r="G272" s="146" t="s">
        <v>334</v>
      </c>
      <c r="H272" s="16">
        <f>MAX(H270:H271)</f>
        <v>386.57552083333337</v>
      </c>
      <c r="I272" s="147" t="s">
        <v>9</v>
      </c>
    </row>
    <row r="273" spans="1:9" ht="18.75" customHeight="1" x14ac:dyDescent="0.25">
      <c r="A273" s="128"/>
      <c r="B273" s="23"/>
      <c r="C273" s="23"/>
      <c r="D273" s="23"/>
      <c r="E273" s="23"/>
      <c r="F273" s="23"/>
      <c r="G273" s="146"/>
      <c r="H273" s="21"/>
      <c r="I273" s="147"/>
    </row>
    <row r="274" spans="1:9" ht="18.75" customHeight="1" x14ac:dyDescent="0.25">
      <c r="A274" s="128"/>
      <c r="B274" s="23"/>
      <c r="C274" s="23"/>
      <c r="D274" s="23"/>
      <c r="E274" s="23"/>
      <c r="F274" s="23"/>
      <c r="G274" s="146"/>
      <c r="H274" s="21"/>
      <c r="I274" s="147"/>
    </row>
    <row r="275" spans="1:9" ht="18.75" customHeight="1" x14ac:dyDescent="0.25">
      <c r="A275" s="128"/>
      <c r="B275" s="23" t="s">
        <v>329</v>
      </c>
      <c r="C275" s="23"/>
      <c r="D275" s="23"/>
      <c r="E275" s="23"/>
      <c r="F275" s="23"/>
      <c r="G275" s="146" t="s">
        <v>340</v>
      </c>
      <c r="H275" s="16">
        <f>IF(E267&gt;=G267,H270+H48+H43+H42,IF(E268&gt;=G268,H271+H48+H43,"[ EROR ]"))</f>
        <v>656.57552083333337</v>
      </c>
      <c r="I275" s="147" t="s">
        <v>9</v>
      </c>
    </row>
    <row r="276" spans="1:9" ht="18.75" customHeight="1" x14ac:dyDescent="0.25">
      <c r="A276" s="128"/>
      <c r="B276" s="23" t="s">
        <v>321</v>
      </c>
      <c r="C276" s="23"/>
      <c r="D276" s="23"/>
      <c r="E276" s="23"/>
      <c r="F276" s="23"/>
      <c r="G276" s="146" t="s">
        <v>322</v>
      </c>
      <c r="H276" s="16">
        <f>IF(H270="-",0,H270/1000)</f>
        <v>0.38657552083333335</v>
      </c>
      <c r="I276" s="147" t="s">
        <v>2</v>
      </c>
    </row>
    <row r="277" spans="1:9" ht="18.75" customHeight="1" x14ac:dyDescent="0.25">
      <c r="A277" s="128"/>
      <c r="B277" s="23"/>
      <c r="C277" s="23"/>
      <c r="D277" s="23"/>
      <c r="E277" s="23"/>
      <c r="F277" s="23"/>
      <c r="G277" s="146"/>
      <c r="H277" s="21"/>
      <c r="I277" s="147"/>
    </row>
    <row r="278" spans="1:9" ht="18.75" customHeight="1" x14ac:dyDescent="0.25">
      <c r="A278" s="128"/>
      <c r="B278" s="23" t="s">
        <v>330</v>
      </c>
      <c r="C278" s="23"/>
      <c r="D278" s="23"/>
      <c r="E278" s="23"/>
      <c r="F278" s="23"/>
      <c r="G278" s="146" t="s">
        <v>818</v>
      </c>
      <c r="H278" s="12">
        <f>SQRT(((F229+D228+D226+H43/1000+D224)*1000-H275)^2)</f>
        <v>1683.4244791666665</v>
      </c>
      <c r="I278" s="147" t="s">
        <v>9</v>
      </c>
    </row>
    <row r="279" spans="1:9" ht="18.75" customHeight="1" x14ac:dyDescent="0.25">
      <c r="A279" s="128"/>
      <c r="B279" s="23" t="s">
        <v>331</v>
      </c>
      <c r="C279" s="23"/>
      <c r="D279" s="23"/>
      <c r="E279" s="23"/>
      <c r="F279" s="23"/>
      <c r="G279" s="146" t="s">
        <v>819</v>
      </c>
      <c r="H279" s="12">
        <f>SQRT(((0.5*D227+D226+H43/1000+D224)*1000-H275)^2)</f>
        <v>643.42447916666663</v>
      </c>
      <c r="I279" s="147" t="s">
        <v>9</v>
      </c>
    </row>
    <row r="280" spans="1:9" ht="18.75" customHeight="1" x14ac:dyDescent="0.25">
      <c r="A280" s="128"/>
      <c r="B280" s="23" t="s">
        <v>332</v>
      </c>
      <c r="C280" s="23"/>
      <c r="D280" s="23"/>
      <c r="E280" s="23"/>
      <c r="F280" s="23"/>
      <c r="G280" s="146" t="s">
        <v>820</v>
      </c>
      <c r="H280" s="68">
        <f>SQRT(((0.5*D226+H43/1000+D224)*1000-H275)^2)</f>
        <v>396.57552083333337</v>
      </c>
      <c r="I280" s="147" t="s">
        <v>9</v>
      </c>
    </row>
    <row r="281" spans="1:9" ht="18.75" customHeight="1" x14ac:dyDescent="0.25">
      <c r="A281" s="128"/>
      <c r="B281" s="23" t="s">
        <v>333</v>
      </c>
      <c r="C281" s="23"/>
      <c r="D281" s="23"/>
      <c r="E281" s="23"/>
      <c r="F281" s="23"/>
      <c r="G281" s="146" t="s">
        <v>821</v>
      </c>
      <c r="H281" s="12">
        <f>SQRT(((H43/1000+0.5*D224)*1000-H275)^2)</f>
        <v>531.57552083333337</v>
      </c>
      <c r="I281" s="147" t="s">
        <v>9</v>
      </c>
    </row>
    <row r="282" spans="1:9" ht="18.75" customHeight="1" x14ac:dyDescent="0.25">
      <c r="A282" s="128"/>
      <c r="B282" s="23"/>
      <c r="C282" s="23"/>
      <c r="D282" s="23"/>
      <c r="E282" s="23"/>
      <c r="F282" s="23"/>
      <c r="G282" s="146"/>
      <c r="H282" s="21"/>
      <c r="I282" s="147"/>
    </row>
    <row r="283" spans="1:9" ht="18.75" customHeight="1" x14ac:dyDescent="0.25">
      <c r="A283" s="128"/>
      <c r="B283" s="23" t="s">
        <v>324</v>
      </c>
      <c r="C283" s="23"/>
      <c r="D283" s="23"/>
      <c r="E283" s="23"/>
      <c r="F283" s="23"/>
      <c r="G283" s="146"/>
      <c r="H283" s="21"/>
      <c r="I283" s="147"/>
    </row>
    <row r="284" spans="1:9" ht="18.75" customHeight="1" x14ac:dyDescent="0.25">
      <c r="A284" s="128"/>
      <c r="B284" s="23" t="s">
        <v>325</v>
      </c>
      <c r="C284" s="23"/>
      <c r="D284" s="23"/>
      <c r="E284" s="23"/>
      <c r="F284" s="23"/>
      <c r="G284" s="146" t="s">
        <v>326</v>
      </c>
      <c r="H284" s="69">
        <f>IF(H270="-","-",H263/(2*D228)*(H270/1000+(D228-H270/1000)^2)+H261*H281/1000+H262*H280/1000+H264*H278/1000)</f>
        <v>54204.70935644531</v>
      </c>
      <c r="I284" s="147" t="s">
        <v>137</v>
      </c>
    </row>
    <row r="285" spans="1:9" ht="18.75" customHeight="1" x14ac:dyDescent="0.25">
      <c r="A285" s="128"/>
      <c r="B285" s="23" t="s">
        <v>316</v>
      </c>
      <c r="C285" s="23"/>
      <c r="D285" s="23"/>
      <c r="E285" s="23"/>
      <c r="F285" s="23"/>
      <c r="G285" s="146" t="s">
        <v>337</v>
      </c>
      <c r="H285" s="16" t="str">
        <f>IF(E267&gt;=G267,"",H262/2/D225*(H271/1000+(D225-H271/1000)^2)+(H261*H281/1000+H263*H279/1000+H264*H278/1000))</f>
        <v/>
      </c>
      <c r="I285" s="147" t="s">
        <v>137</v>
      </c>
    </row>
    <row r="286" spans="1:9" ht="18.75" customHeight="1" x14ac:dyDescent="0.25">
      <c r="A286" s="128"/>
      <c r="B286" s="23"/>
      <c r="C286" s="23"/>
      <c r="D286" s="23"/>
      <c r="E286" s="23"/>
      <c r="F286" s="23"/>
      <c r="G286" s="146" t="s">
        <v>338</v>
      </c>
      <c r="H286" s="76">
        <f>MIN(H284:H285)</f>
        <v>54204.70935644531</v>
      </c>
      <c r="I286" s="147" t="s">
        <v>137</v>
      </c>
    </row>
    <row r="287" spans="1:9" ht="18.75" customHeight="1" x14ac:dyDescent="0.25">
      <c r="A287" s="128"/>
      <c r="B287" s="23"/>
      <c r="C287" s="23"/>
      <c r="D287" s="23"/>
      <c r="E287" s="23"/>
      <c r="F287" s="23"/>
      <c r="G287" s="146"/>
      <c r="H287" s="21"/>
      <c r="I287" s="147"/>
    </row>
    <row r="288" spans="1:9" ht="18.75" customHeight="1" x14ac:dyDescent="0.25">
      <c r="A288" s="127" t="s">
        <v>149</v>
      </c>
      <c r="B288" s="142" t="s">
        <v>796</v>
      </c>
      <c r="C288" s="143"/>
      <c r="D288" s="143"/>
      <c r="E288" s="143"/>
      <c r="F288" s="143"/>
      <c r="G288" s="144"/>
      <c r="H288" s="143"/>
      <c r="I288" s="145"/>
    </row>
    <row r="289" spans="1:18" ht="18.75" customHeight="1" x14ac:dyDescent="0.25">
      <c r="A289" s="131"/>
      <c r="B289" s="153" t="s">
        <v>391</v>
      </c>
      <c r="C289" s="153"/>
      <c r="D289" s="153"/>
      <c r="E289" s="153"/>
      <c r="F289" s="153"/>
      <c r="G289" s="154" t="s">
        <v>393</v>
      </c>
      <c r="H289" s="80">
        <f>1/12*D229*C229^3</f>
        <v>9.7200000000000012E-3</v>
      </c>
      <c r="I289" s="155" t="s">
        <v>395</v>
      </c>
    </row>
    <row r="290" spans="1:18" ht="18.75" customHeight="1" x14ac:dyDescent="0.25">
      <c r="A290" s="131"/>
      <c r="B290" s="153" t="s">
        <v>390</v>
      </c>
      <c r="C290" s="153"/>
      <c r="D290" s="153"/>
      <c r="E290" s="153"/>
      <c r="F290" s="153"/>
      <c r="G290" s="146"/>
      <c r="H290" s="21"/>
      <c r="I290" s="147"/>
    </row>
    <row r="291" spans="1:18" ht="18.75" customHeight="1" x14ac:dyDescent="0.25">
      <c r="A291" s="131"/>
      <c r="B291" s="153"/>
      <c r="C291" s="153"/>
      <c r="D291" s="153"/>
      <c r="E291" s="153"/>
      <c r="F291" s="153"/>
      <c r="G291" s="154" t="s">
        <v>392</v>
      </c>
      <c r="H291" s="80">
        <f>2*(1/12*D225*C225^3+E225*(0.5*C229)^2)</f>
        <v>1.2494906666666666E-2</v>
      </c>
      <c r="I291" s="155" t="s">
        <v>395</v>
      </c>
    </row>
    <row r="292" spans="1:18" ht="18.75" customHeight="1" x14ac:dyDescent="0.25">
      <c r="A292" s="131"/>
      <c r="B292" s="153"/>
      <c r="C292" s="153"/>
      <c r="D292" s="153"/>
      <c r="E292" s="153"/>
      <c r="F292" s="153"/>
      <c r="G292" s="154"/>
      <c r="H292" s="81"/>
      <c r="I292" s="155"/>
    </row>
    <row r="293" spans="1:18" ht="18.75" customHeight="1" x14ac:dyDescent="0.25">
      <c r="A293" s="128"/>
      <c r="B293" s="23" t="s">
        <v>355</v>
      </c>
      <c r="C293" s="23"/>
      <c r="D293" s="23"/>
      <c r="E293" s="23"/>
      <c r="F293" s="23"/>
      <c r="G293" s="146"/>
      <c r="H293" s="21"/>
      <c r="I293" s="147"/>
    </row>
    <row r="294" spans="1:18" ht="18.75" customHeight="1" x14ac:dyDescent="0.25">
      <c r="A294" s="128"/>
      <c r="B294" s="148" t="s">
        <v>66</v>
      </c>
      <c r="C294" s="92" t="s">
        <v>335</v>
      </c>
      <c r="D294" s="21" t="s">
        <v>48</v>
      </c>
      <c r="E294" s="93" t="s">
        <v>336</v>
      </c>
      <c r="F294" s="23"/>
      <c r="G294" s="146"/>
      <c r="H294" s="21"/>
      <c r="I294" s="147"/>
    </row>
    <row r="295" spans="1:18" ht="18.75" customHeight="1" x14ac:dyDescent="0.25">
      <c r="A295" s="128"/>
      <c r="B295" s="23"/>
      <c r="C295" s="16">
        <f>2*H276/C227</f>
        <v>48.321940104166671</v>
      </c>
      <c r="D295" s="21" t="str">
        <f>IF(C295&lt;=E295,"≤","&gt;")</f>
        <v>≤</v>
      </c>
      <c r="E295" s="12">
        <f>3.76*SQRT(H10/H6)</f>
        <v>88.624049908713957</v>
      </c>
      <c r="F295" s="23"/>
      <c r="G295" s="149" t="s">
        <v>14</v>
      </c>
      <c r="H295" s="149" t="str">
        <f>IF(C295&lt;=E295,"[ OK ]","[ NOT OK ]")</f>
        <v>[ OK ]</v>
      </c>
      <c r="I295" s="147"/>
      <c r="K295" s="77"/>
      <c r="L295" s="77"/>
      <c r="M295" s="77"/>
      <c r="N295" s="77"/>
      <c r="O295" s="77"/>
      <c r="P295" s="77"/>
      <c r="Q295" s="77"/>
    </row>
    <row r="296" spans="1:18" ht="18.75" customHeight="1" x14ac:dyDescent="0.25">
      <c r="A296" s="128"/>
      <c r="B296" s="25" t="s">
        <v>67</v>
      </c>
      <c r="C296" s="91" t="s">
        <v>394</v>
      </c>
      <c r="D296" s="21" t="s">
        <v>48</v>
      </c>
      <c r="E296" s="90">
        <v>150</v>
      </c>
      <c r="F296" s="23"/>
      <c r="G296" s="146"/>
      <c r="H296" s="21"/>
      <c r="I296" s="147"/>
    </row>
    <row r="297" spans="1:18" ht="18.75" customHeight="1" x14ac:dyDescent="0.25">
      <c r="A297" s="128"/>
      <c r="B297" s="23"/>
      <c r="C297" s="16">
        <f>C229/D229</f>
        <v>90</v>
      </c>
      <c r="D297" s="21" t="str">
        <f>IF(C297&lt;=E297,"≤","&gt;")</f>
        <v>≤</v>
      </c>
      <c r="E297" s="12">
        <v>150</v>
      </c>
      <c r="F297" s="23"/>
      <c r="G297" s="149" t="s">
        <v>14</v>
      </c>
      <c r="H297" s="149" t="str">
        <f>IF(C297&lt;=E297,"[ OK ]","[ NOT OK (Ubah ketinggian Penampang) ]")</f>
        <v>[ OK ]</v>
      </c>
      <c r="I297" s="147"/>
      <c r="R297" s="77"/>
    </row>
    <row r="298" spans="1:18" ht="18.75" customHeight="1" x14ac:dyDescent="0.25">
      <c r="A298" s="128"/>
      <c r="B298" s="25" t="s">
        <v>68</v>
      </c>
      <c r="C298" s="90">
        <v>0.1</v>
      </c>
      <c r="D298" s="21" t="s">
        <v>48</v>
      </c>
      <c r="E298" s="90" t="s">
        <v>294</v>
      </c>
      <c r="F298" s="21" t="s">
        <v>48</v>
      </c>
      <c r="G298" s="90">
        <v>10</v>
      </c>
      <c r="H298" s="22"/>
      <c r="I298" s="156"/>
    </row>
    <row r="299" spans="1:18" ht="18.75" customHeight="1" x14ac:dyDescent="0.25">
      <c r="A299" s="128"/>
      <c r="B299" s="23"/>
      <c r="C299" s="16">
        <v>0.1</v>
      </c>
      <c r="D299" s="21" t="str">
        <f>IF(C299&lt;=E299,"≤","&gt;")</f>
        <v>≤</v>
      </c>
      <c r="E299" s="12">
        <f>H289/H291</f>
        <v>0.77791697523684333</v>
      </c>
      <c r="F299" s="21" t="str">
        <f>IF(E299&lt;=G299,"≤","&gt;")</f>
        <v>≤</v>
      </c>
      <c r="G299" s="12">
        <v>10</v>
      </c>
      <c r="H299" s="22"/>
      <c r="I299" s="156"/>
    </row>
    <row r="300" spans="1:18" ht="18.75" customHeight="1" x14ac:dyDescent="0.25">
      <c r="A300" s="128"/>
      <c r="B300" s="23"/>
      <c r="C300" s="23"/>
      <c r="D300" s="82"/>
      <c r="E300" s="21"/>
      <c r="F300" s="70"/>
      <c r="G300" s="149" t="s">
        <v>14</v>
      </c>
      <c r="H300" s="149" t="str">
        <f>IF(C299&lt;=E299,IF(E299&lt;=G299,"[ OK ]","[ NOT OK ]"),"[ NOT OK ]")</f>
        <v>[ OK ]</v>
      </c>
      <c r="I300" s="147"/>
    </row>
    <row r="301" spans="1:18" ht="18.75" customHeight="1" x14ac:dyDescent="0.25">
      <c r="A301" s="128"/>
      <c r="B301" s="150" t="str">
        <f>IF(C295&lt;=E295,"*Penampang kompak, batas kekuatan adalah momen plastis","*Penampang tak kompak, batas kekuatan adalah momen leleh")</f>
        <v>*Penampang kompak, batas kekuatan adalah momen plastis</v>
      </c>
      <c r="C301" s="23"/>
      <c r="D301" s="70"/>
      <c r="E301" s="21"/>
      <c r="F301" s="70"/>
      <c r="G301" s="149"/>
      <c r="H301" s="149"/>
      <c r="I301" s="147"/>
      <c r="L301" s="1" t="s">
        <v>339</v>
      </c>
    </row>
    <row r="302" spans="1:18" ht="18.75" customHeight="1" x14ac:dyDescent="0.25">
      <c r="A302" s="128"/>
      <c r="B302" s="23"/>
      <c r="C302" s="23"/>
      <c r="D302" s="70"/>
      <c r="E302" s="21"/>
      <c r="F302" s="70"/>
      <c r="G302" s="149"/>
      <c r="H302" s="149"/>
      <c r="I302" s="147"/>
    </row>
    <row r="303" spans="1:18" ht="18.75" customHeight="1" x14ac:dyDescent="0.25">
      <c r="A303" s="128"/>
      <c r="B303" s="23" t="s">
        <v>396</v>
      </c>
      <c r="C303" s="23"/>
      <c r="D303" s="23"/>
      <c r="E303" s="23"/>
      <c r="F303" s="23"/>
      <c r="G303" s="146"/>
      <c r="H303" s="21"/>
      <c r="I303" s="147"/>
    </row>
    <row r="304" spans="1:18" ht="18.75" customHeight="1" x14ac:dyDescent="0.25">
      <c r="A304" s="128"/>
      <c r="B304" s="157" t="s">
        <v>388</v>
      </c>
      <c r="C304" s="23"/>
      <c r="D304" s="23"/>
      <c r="E304" s="23"/>
      <c r="F304" s="23"/>
      <c r="G304" s="146" t="s">
        <v>389</v>
      </c>
      <c r="H304" s="13" t="str">
        <f>IF(C295&lt;=E295,"",H255)</f>
        <v/>
      </c>
      <c r="I304" s="147" t="s">
        <v>137</v>
      </c>
    </row>
    <row r="305" spans="1:19" ht="18.75" customHeight="1" x14ac:dyDescent="0.25">
      <c r="A305" s="128"/>
      <c r="B305" s="157" t="s">
        <v>387</v>
      </c>
      <c r="C305" s="23"/>
      <c r="D305" s="23"/>
      <c r="E305" s="23"/>
      <c r="F305" s="23"/>
      <c r="G305" s="146" t="s">
        <v>342</v>
      </c>
      <c r="H305" s="12">
        <f>IF(C295&lt;=E295,H286,"")</f>
        <v>54204.70935644531</v>
      </c>
      <c r="I305" s="147" t="s">
        <v>137</v>
      </c>
    </row>
    <row r="306" spans="1:19" ht="18.75" customHeight="1" x14ac:dyDescent="0.25">
      <c r="A306" s="128"/>
      <c r="B306" s="23"/>
      <c r="C306" s="23"/>
      <c r="D306" s="23"/>
      <c r="E306" s="23"/>
      <c r="F306" s="23"/>
      <c r="G306" s="146" t="s">
        <v>386</v>
      </c>
      <c r="H306" s="12">
        <f>MAX(H304,H305)</f>
        <v>54204.70935644531</v>
      </c>
      <c r="I306" s="147" t="s">
        <v>137</v>
      </c>
    </row>
    <row r="307" spans="1:19" ht="18.75" customHeight="1" x14ac:dyDescent="0.25">
      <c r="A307" s="128"/>
      <c r="B307" s="158" t="s">
        <v>353</v>
      </c>
      <c r="C307" s="23"/>
      <c r="D307" s="23"/>
      <c r="E307" s="23"/>
      <c r="F307" s="23"/>
      <c r="G307" s="72" t="s">
        <v>354</v>
      </c>
      <c r="H307" s="12">
        <v>0.9</v>
      </c>
      <c r="I307" s="147"/>
    </row>
    <row r="308" spans="1:19" ht="18.75" customHeight="1" x14ac:dyDescent="0.25">
      <c r="A308" s="128"/>
      <c r="B308" s="23" t="s">
        <v>348</v>
      </c>
      <c r="C308" s="23"/>
      <c r="D308" s="23"/>
      <c r="E308" s="23"/>
      <c r="F308" s="23"/>
      <c r="G308" s="146"/>
      <c r="H308" s="21"/>
      <c r="I308" s="147"/>
    </row>
    <row r="309" spans="1:19" ht="18.75" customHeight="1" x14ac:dyDescent="0.25">
      <c r="A309" s="128"/>
      <c r="B309" s="148" t="s">
        <v>19</v>
      </c>
      <c r="C309" s="23"/>
      <c r="D309" s="240" t="s">
        <v>905</v>
      </c>
      <c r="E309" s="21" t="s">
        <v>48</v>
      </c>
      <c r="F309" s="239" t="s">
        <v>906</v>
      </c>
      <c r="G309" s="146"/>
      <c r="H309" s="21"/>
      <c r="I309" s="147"/>
    </row>
    <row r="310" spans="1:19" s="75" customFormat="1" ht="18.75" customHeight="1" x14ac:dyDescent="0.25">
      <c r="A310" s="128"/>
      <c r="B310" s="23"/>
      <c r="C310" s="23"/>
      <c r="D310" s="237">
        <f>MAX('Process - Pembebanan'!Z111:Z131)</f>
        <v>38407.420453532002</v>
      </c>
      <c r="E310" s="21" t="str">
        <f>IF(D310&lt;=F310,"≤","&gt;")</f>
        <v>≤</v>
      </c>
      <c r="F310" s="237">
        <f>H307*'Input &amp; Process'!H306</f>
        <v>48784.238420800779</v>
      </c>
      <c r="G310" s="149" t="s">
        <v>14</v>
      </c>
      <c r="H310" s="149" t="str">
        <f>IF(D310&lt;=F310,"[ OK ]","[ NOT OK (Ubah ketinggian Penampang) ]")</f>
        <v>[ OK ]</v>
      </c>
      <c r="I310" s="147"/>
      <c r="K310" s="1"/>
      <c r="L310" s="1"/>
      <c r="M310" s="1"/>
      <c r="N310" s="1"/>
      <c r="O310" s="1"/>
      <c r="P310" s="1"/>
      <c r="Q310" s="1"/>
      <c r="R310" s="1"/>
      <c r="S310" s="1"/>
    </row>
    <row r="311" spans="1:19" s="75" customFormat="1" ht="18.75" customHeight="1" x14ac:dyDescent="0.25">
      <c r="A311" s="128"/>
      <c r="B311" s="23"/>
      <c r="C311" s="23"/>
      <c r="D311" s="23"/>
      <c r="E311" s="23"/>
      <c r="F311" s="23"/>
      <c r="G311" s="146"/>
      <c r="H311" s="21"/>
      <c r="I311" s="147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8.75" customHeight="1" x14ac:dyDescent="0.25">
      <c r="A312" s="128"/>
      <c r="B312" s="23"/>
      <c r="C312" s="23"/>
      <c r="D312" s="23"/>
      <c r="E312" s="23"/>
      <c r="F312" s="23"/>
      <c r="G312" s="146"/>
      <c r="H312" s="21"/>
      <c r="I312" s="147"/>
    </row>
    <row r="313" spans="1:19" ht="18.75" customHeight="1" x14ac:dyDescent="0.25">
      <c r="A313" s="126" t="s">
        <v>785</v>
      </c>
      <c r="B313" s="138" t="s">
        <v>795</v>
      </c>
      <c r="C313" s="139"/>
      <c r="D313" s="139"/>
      <c r="E313" s="139"/>
      <c r="F313" s="139"/>
      <c r="G313" s="140"/>
      <c r="H313" s="139"/>
      <c r="I313" s="141"/>
      <c r="S313" s="75"/>
    </row>
    <row r="314" spans="1:19" ht="18.75" customHeight="1" x14ac:dyDescent="0.25">
      <c r="A314" s="128"/>
      <c r="B314" s="23" t="s">
        <v>341</v>
      </c>
      <c r="C314" s="23"/>
      <c r="D314" s="23"/>
      <c r="E314" s="23"/>
      <c r="F314" s="23"/>
      <c r="G314" s="146"/>
      <c r="H314" s="21"/>
      <c r="I314" s="147"/>
      <c r="S314" s="75"/>
    </row>
    <row r="315" spans="1:19" ht="18.75" customHeight="1" x14ac:dyDescent="0.25">
      <c r="A315" s="128"/>
      <c r="B315" s="148" t="s">
        <v>19</v>
      </c>
      <c r="C315" s="23"/>
      <c r="D315" s="71" t="s">
        <v>350</v>
      </c>
      <c r="E315" s="21" t="s">
        <v>48</v>
      </c>
      <c r="F315" s="68" t="s">
        <v>349</v>
      </c>
      <c r="G315" s="146"/>
      <c r="H315" s="21"/>
      <c r="I315" s="147"/>
    </row>
    <row r="316" spans="1:19" s="75" customFormat="1" ht="18.75" customHeight="1" x14ac:dyDescent="0.25">
      <c r="A316" s="128"/>
      <c r="B316" s="23"/>
      <c r="C316" s="23"/>
      <c r="D316" s="12">
        <f>H275</f>
        <v>656.57552083333337</v>
      </c>
      <c r="E316" s="21" t="str">
        <f>IF(D316&lt;=F316,"≤","&gt;")</f>
        <v>≤</v>
      </c>
      <c r="F316" s="12">
        <f>0.42*H197*1000</f>
        <v>987</v>
      </c>
      <c r="G316" s="149" t="s">
        <v>14</v>
      </c>
      <c r="H316" s="149" t="str">
        <f>IF(D316&lt;=F316,"[ OK ]","[ NOT OK (Ubah ketinggian Penampang) ]")</f>
        <v>[ OK ]</v>
      </c>
      <c r="I316" s="147"/>
      <c r="K316" s="1"/>
      <c r="L316" s="1"/>
      <c r="M316" s="1"/>
      <c r="N316" s="1"/>
      <c r="O316" s="1"/>
      <c r="P316" s="1"/>
      <c r="Q316" s="1"/>
      <c r="R316" s="1"/>
      <c r="S316" s="1"/>
    </row>
    <row r="317" spans="1:19" s="75" customFormat="1" ht="18.75" customHeight="1" x14ac:dyDescent="0.25">
      <c r="A317" s="128"/>
      <c r="B317" s="150" t="str">
        <f>IF(D316&lt;=F316,"*Persyaratan daktilitas penampang terhadap lentur terpenuhi","*Persyaratan daktilitas tidak terpenuhi")</f>
        <v>*Persyaratan daktilitas penampang terhadap lentur terpenuhi</v>
      </c>
      <c r="C317" s="23"/>
      <c r="D317" s="23"/>
      <c r="E317" s="23"/>
      <c r="F317" s="23"/>
      <c r="G317" s="146"/>
      <c r="H317" s="21"/>
      <c r="I317" s="147"/>
      <c r="K317" s="1"/>
      <c r="L317" s="1"/>
      <c r="M317" s="1"/>
      <c r="N317" s="1"/>
      <c r="O317" s="1"/>
      <c r="P317" s="1"/>
      <c r="Q317" s="1"/>
      <c r="R317" s="1"/>
      <c r="S317" s="1"/>
    </row>
    <row r="318" spans="1:19" s="75" customFormat="1" ht="18.75" customHeight="1" x14ac:dyDescent="0.25">
      <c r="A318" s="128"/>
      <c r="B318" s="23"/>
      <c r="C318" s="23"/>
      <c r="D318" s="23"/>
      <c r="E318" s="23"/>
      <c r="F318" s="23"/>
      <c r="G318" s="146"/>
      <c r="H318" s="21"/>
      <c r="I318" s="147"/>
      <c r="K318" s="1"/>
      <c r="L318" s="1"/>
      <c r="M318" s="1"/>
      <c r="N318" s="1"/>
      <c r="O318" s="1"/>
      <c r="P318" s="1"/>
      <c r="Q318" s="1"/>
      <c r="R318" s="1"/>
      <c r="S318" s="1"/>
    </row>
    <row r="319" spans="1:19" s="75" customFormat="1" ht="18.75" customHeight="1" x14ac:dyDescent="0.25">
      <c r="A319" s="127" t="s">
        <v>786</v>
      </c>
      <c r="B319" s="142" t="s">
        <v>787</v>
      </c>
      <c r="C319" s="143"/>
      <c r="D319" s="143"/>
      <c r="E319" s="143"/>
      <c r="F319" s="143"/>
      <c r="G319" s="144"/>
      <c r="H319" s="143"/>
      <c r="I319" s="145"/>
      <c r="K319" s="1"/>
      <c r="L319" s="1"/>
      <c r="M319" s="1"/>
      <c r="N319" s="1"/>
      <c r="O319" s="1"/>
      <c r="P319" s="1"/>
      <c r="Q319" s="1"/>
      <c r="R319" s="1"/>
    </row>
    <row r="320" spans="1:19" s="75" customFormat="1" ht="18.75" customHeight="1" x14ac:dyDescent="0.25">
      <c r="A320" s="132"/>
      <c r="B320" s="151" t="s">
        <v>397</v>
      </c>
      <c r="C320" s="151"/>
      <c r="D320" s="151"/>
      <c r="E320" s="151"/>
      <c r="F320" s="151"/>
      <c r="G320" s="159"/>
      <c r="H320" s="160" t="str">
        <f>IF(C295&lt;=E295,"*Penampang kompak","*Penampang tak kompak")</f>
        <v>*Penampang kompak</v>
      </c>
      <c r="I320" s="161"/>
      <c r="K320" s="1"/>
      <c r="L320" s="1"/>
      <c r="M320" s="1"/>
      <c r="N320" s="1"/>
      <c r="O320" s="1"/>
      <c r="P320" s="1"/>
      <c r="Q320" s="1"/>
      <c r="R320" s="1"/>
    </row>
    <row r="321" spans="1:19" ht="18.75" customHeight="1" x14ac:dyDescent="0.25">
      <c r="A321" s="132"/>
      <c r="B321" s="151" t="s">
        <v>399</v>
      </c>
      <c r="C321" s="151"/>
      <c r="D321" s="151"/>
      <c r="E321" s="151"/>
      <c r="F321" s="151"/>
      <c r="G321" s="159"/>
      <c r="H321" s="162"/>
      <c r="I321" s="163"/>
      <c r="S321" s="75"/>
    </row>
    <row r="322" spans="1:19" ht="18.75" customHeight="1" x14ac:dyDescent="0.25">
      <c r="A322" s="128"/>
      <c r="B322" s="148" t="s">
        <v>19</v>
      </c>
      <c r="C322" s="23"/>
      <c r="D322" s="71" t="s">
        <v>350</v>
      </c>
      <c r="E322" s="21" t="s">
        <v>401</v>
      </c>
      <c r="F322" s="68" t="s">
        <v>400</v>
      </c>
      <c r="G322" s="146"/>
      <c r="H322" s="21"/>
      <c r="I322" s="147"/>
      <c r="S322" s="75"/>
    </row>
    <row r="323" spans="1:19" ht="18.75" customHeight="1" x14ac:dyDescent="0.25">
      <c r="A323" s="128"/>
      <c r="B323" s="23"/>
      <c r="C323" s="23"/>
      <c r="D323" s="12">
        <f>IF(C295&gt;E295,"",D316)</f>
        <v>656.57552083333337</v>
      </c>
      <c r="E323" s="21" t="str">
        <f>IF(D323&lt;=F323,"≤","&gt;")</f>
        <v>&gt;</v>
      </c>
      <c r="F323" s="12">
        <f>IF(C295&gt;E295,"",0.1*H197*1000)</f>
        <v>235.00000000000003</v>
      </c>
      <c r="G323" s="146"/>
      <c r="H323" s="21"/>
      <c r="I323" s="147"/>
      <c r="S323" s="75"/>
    </row>
    <row r="324" spans="1:19" ht="18.75" customHeight="1" x14ac:dyDescent="0.25">
      <c r="A324" s="128"/>
      <c r="B324" s="149" t="s">
        <v>14</v>
      </c>
      <c r="C324" s="164" t="str">
        <f>IF(D323&gt;=F323,"Tahanan lentur tidak tereduksi","Tahanan lentur tereduksi")</f>
        <v>Tahanan lentur tidak tereduksi</v>
      </c>
      <c r="D324" s="70"/>
      <c r="E324" s="21"/>
      <c r="F324" s="70"/>
      <c r="G324" s="149"/>
      <c r="H324" s="149"/>
      <c r="I324" s="147"/>
    </row>
    <row r="325" spans="1:19" s="75" customFormat="1" ht="18.75" customHeight="1" x14ac:dyDescent="0.25">
      <c r="A325" s="128"/>
      <c r="B325" s="149"/>
      <c r="C325" s="164"/>
      <c r="D325" s="70"/>
      <c r="E325" s="21"/>
      <c r="F325" s="70"/>
      <c r="G325" s="149"/>
      <c r="H325" s="149"/>
      <c r="I325" s="147"/>
      <c r="K325" s="1"/>
      <c r="L325" s="1"/>
      <c r="M325" s="1"/>
      <c r="N325" s="1"/>
      <c r="O325" s="1"/>
      <c r="P325" s="1"/>
      <c r="Q325" s="1"/>
      <c r="R325" s="1"/>
      <c r="S325" s="1"/>
    </row>
    <row r="326" spans="1:19" s="75" customFormat="1" ht="18.75" customHeight="1" x14ac:dyDescent="0.25">
      <c r="A326" s="132"/>
      <c r="B326" s="151" t="s">
        <v>402</v>
      </c>
      <c r="C326" s="151"/>
      <c r="D326" s="151"/>
      <c r="E326" s="151"/>
      <c r="F326" s="151"/>
      <c r="G326" s="159" t="s">
        <v>338</v>
      </c>
      <c r="H326" s="79">
        <f>IF(C295&gt;E295,"",H286)</f>
        <v>54204.70935644531</v>
      </c>
      <c r="I326" s="163" t="s">
        <v>137</v>
      </c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8.75" customHeight="1" x14ac:dyDescent="0.25">
      <c r="A327" s="132"/>
      <c r="B327" s="151" t="s">
        <v>398</v>
      </c>
      <c r="C327" s="151"/>
      <c r="D327" s="151"/>
      <c r="E327" s="151"/>
      <c r="F327" s="151"/>
      <c r="G327" s="159"/>
      <c r="H327" s="162"/>
      <c r="I327" s="163"/>
    </row>
    <row r="328" spans="1:19" s="75" customFormat="1" ht="18.75" customHeight="1" x14ac:dyDescent="0.25">
      <c r="A328" s="132"/>
      <c r="B328" s="165" t="s">
        <v>403</v>
      </c>
      <c r="C328" s="151"/>
      <c r="D328" s="160" t="str">
        <f>IF(D323&gt;F323,"[ Terpenuhi ]","")</f>
        <v>[ Terpenuhi ]</v>
      </c>
      <c r="E328" s="151"/>
      <c r="F328" s="151"/>
      <c r="G328" s="159" t="s">
        <v>342</v>
      </c>
      <c r="H328" s="79">
        <f>IF(C295&gt;E295,"",IF(D323&gt;F323,H326,""))</f>
        <v>54204.70935644531</v>
      </c>
      <c r="I328" s="163" t="s">
        <v>137</v>
      </c>
      <c r="K328" s="1"/>
      <c r="L328" s="1"/>
      <c r="M328" s="1"/>
      <c r="N328" s="1"/>
      <c r="O328" s="1"/>
      <c r="P328" s="1"/>
      <c r="Q328" s="1"/>
      <c r="R328" s="1"/>
    </row>
    <row r="329" spans="1:19" s="75" customFormat="1" ht="18.75" customHeight="1" x14ac:dyDescent="0.25">
      <c r="A329" s="132"/>
      <c r="B329" s="165" t="s">
        <v>404</v>
      </c>
      <c r="C329" s="151"/>
      <c r="D329" s="160" t="str">
        <f>IF(D323&lt;=F323,"[ Terpenuhi ]","")</f>
        <v/>
      </c>
      <c r="E329" s="151"/>
      <c r="F329" s="151"/>
      <c r="G329" s="159" t="s">
        <v>405</v>
      </c>
      <c r="H329" s="79" t="str">
        <f>IF(C295&gt;E295,"",IF(D323&lt;=F323,H326*(1.07-0.7*D316/(H197*1000)),""))</f>
        <v/>
      </c>
      <c r="I329" s="163" t="s">
        <v>137</v>
      </c>
      <c r="K329" s="1"/>
      <c r="L329" s="1"/>
      <c r="M329" s="1"/>
      <c r="N329" s="1"/>
      <c r="O329" s="1"/>
      <c r="P329" s="1"/>
      <c r="Q329" s="1"/>
      <c r="R329" s="1"/>
    </row>
    <row r="330" spans="1:19" s="75" customFormat="1" ht="18.75" customHeight="1" x14ac:dyDescent="0.25">
      <c r="A330" s="132"/>
      <c r="B330" s="151"/>
      <c r="C330" s="151"/>
      <c r="D330" s="151"/>
      <c r="E330" s="151"/>
      <c r="F330" s="151"/>
      <c r="G330" s="159" t="s">
        <v>386</v>
      </c>
      <c r="H330" s="79">
        <f>IF(C295&gt;E295,"",MIN(H328:H329))</f>
        <v>54204.70935644531</v>
      </c>
      <c r="I330" s="163"/>
      <c r="K330" s="1"/>
      <c r="L330" s="1"/>
      <c r="M330" s="1"/>
      <c r="N330" s="1"/>
      <c r="O330" s="1"/>
      <c r="P330" s="1"/>
      <c r="Q330" s="1"/>
      <c r="R330" s="1"/>
      <c r="S330" s="1"/>
    </row>
    <row r="331" spans="1:19" s="75" customFormat="1" ht="18.75" customHeight="1" x14ac:dyDescent="0.25">
      <c r="A331" s="128"/>
      <c r="B331" s="158" t="s">
        <v>353</v>
      </c>
      <c r="C331" s="23"/>
      <c r="D331" s="23"/>
      <c r="E331" s="23"/>
      <c r="F331" s="23"/>
      <c r="G331" s="72" t="s">
        <v>354</v>
      </c>
      <c r="H331" s="12">
        <f>0.9</f>
        <v>0.9</v>
      </c>
      <c r="I331" s="147"/>
      <c r="K331" s="1"/>
      <c r="L331" s="1"/>
      <c r="M331" s="1"/>
      <c r="N331" s="1"/>
      <c r="O331" s="1"/>
      <c r="P331" s="1"/>
      <c r="Q331" s="1"/>
      <c r="R331" s="1"/>
    </row>
    <row r="332" spans="1:19" s="75" customFormat="1" ht="18.75" customHeight="1" x14ac:dyDescent="0.25">
      <c r="A332" s="128"/>
      <c r="B332" s="23" t="s">
        <v>348</v>
      </c>
      <c r="C332" s="23"/>
      <c r="D332" s="23"/>
      <c r="E332" s="23"/>
      <c r="F332" s="23"/>
      <c r="G332" s="146"/>
      <c r="H332" s="21"/>
      <c r="I332" s="147"/>
      <c r="K332" s="1"/>
      <c r="L332" s="1"/>
      <c r="M332" s="1"/>
      <c r="N332" s="1"/>
      <c r="O332" s="1"/>
      <c r="P332" s="1"/>
      <c r="Q332" s="1"/>
      <c r="R332" s="1"/>
    </row>
    <row r="333" spans="1:19" s="75" customFormat="1" ht="18.75" customHeight="1" x14ac:dyDescent="0.25">
      <c r="A333" s="128"/>
      <c r="B333" s="148" t="s">
        <v>19</v>
      </c>
      <c r="C333" s="23"/>
      <c r="D333" s="240" t="s">
        <v>905</v>
      </c>
      <c r="E333" s="21" t="s">
        <v>48</v>
      </c>
      <c r="F333" s="239" t="s">
        <v>906</v>
      </c>
      <c r="G333" s="146"/>
      <c r="H333" s="21"/>
      <c r="I333" s="147"/>
      <c r="K333" s="1"/>
      <c r="L333" s="1"/>
      <c r="M333" s="1"/>
      <c r="N333" s="1"/>
      <c r="O333" s="1"/>
      <c r="P333" s="1"/>
      <c r="Q333" s="1"/>
      <c r="R333" s="1"/>
    </row>
    <row r="334" spans="1:19" s="75" customFormat="1" ht="18.75" customHeight="1" x14ac:dyDescent="0.25">
      <c r="A334" s="128"/>
      <c r="B334" s="23"/>
      <c r="C334" s="23"/>
      <c r="D334" s="237">
        <f>IF(C295&gt;E295,"",D310)</f>
        <v>38407.420453532002</v>
      </c>
      <c r="E334" s="21" t="str">
        <f>IF(D334&lt;=F334,"≤","&gt;")</f>
        <v>≤</v>
      </c>
      <c r="F334" s="237">
        <f>IF(C295&gt;E295,"",H331*'Input &amp; Process'!H330)</f>
        <v>48784.238420800779</v>
      </c>
      <c r="G334" s="149" t="s">
        <v>14</v>
      </c>
      <c r="H334" s="149" t="str">
        <f>IF(D334&lt;=F334,"[ OK ]","[ NOT OK (Ubah ketinggian Penampang) ]")</f>
        <v>[ OK ]</v>
      </c>
      <c r="I334" s="147"/>
      <c r="K334" s="1"/>
      <c r="L334" s="1"/>
      <c r="M334" s="1"/>
      <c r="N334" s="1"/>
      <c r="O334" s="1"/>
      <c r="P334" s="1"/>
      <c r="Q334" s="1"/>
      <c r="R334" s="1"/>
    </row>
    <row r="335" spans="1:19" s="75" customFormat="1" ht="18.75" customHeight="1" x14ac:dyDescent="0.25">
      <c r="A335" s="132"/>
      <c r="B335" s="151"/>
      <c r="C335" s="151"/>
      <c r="D335" s="151"/>
      <c r="E335" s="151"/>
      <c r="F335" s="151"/>
      <c r="G335" s="159"/>
      <c r="H335" s="162"/>
      <c r="I335" s="163"/>
      <c r="K335" s="1"/>
      <c r="L335" s="1"/>
      <c r="M335" s="1"/>
      <c r="N335" s="1"/>
      <c r="O335" s="1"/>
      <c r="P335" s="1"/>
      <c r="Q335" s="1"/>
      <c r="R335" s="1"/>
    </row>
    <row r="336" spans="1:19" s="75" customFormat="1" ht="18.75" customHeight="1" x14ac:dyDescent="0.25">
      <c r="A336" s="132"/>
      <c r="B336" s="151"/>
      <c r="C336" s="151"/>
      <c r="D336" s="151"/>
      <c r="E336" s="151"/>
      <c r="F336" s="151"/>
      <c r="G336" s="159"/>
      <c r="H336" s="162"/>
      <c r="I336" s="163"/>
      <c r="K336" s="1"/>
      <c r="L336" s="1"/>
      <c r="M336" s="1"/>
      <c r="N336" s="1"/>
      <c r="O336" s="1"/>
      <c r="P336" s="1"/>
      <c r="Q336" s="1"/>
      <c r="R336" s="1"/>
    </row>
    <row r="337" spans="1:18" s="75" customFormat="1" ht="18.75" customHeight="1" x14ac:dyDescent="0.25">
      <c r="A337" s="127" t="s">
        <v>790</v>
      </c>
      <c r="B337" s="142" t="s">
        <v>788</v>
      </c>
      <c r="C337" s="143"/>
      <c r="D337" s="143"/>
      <c r="E337" s="143"/>
      <c r="F337" s="143"/>
      <c r="G337" s="144"/>
      <c r="H337" s="143" t="str">
        <f>IF(C295&lt;=E295,"[tidak perlu]","")</f>
        <v>[tidak perlu]</v>
      </c>
      <c r="I337" s="145"/>
      <c r="K337" s="1"/>
      <c r="L337" s="1"/>
      <c r="M337" s="1"/>
      <c r="N337" s="1"/>
      <c r="O337" s="1"/>
      <c r="P337" s="1"/>
      <c r="Q337" s="1"/>
      <c r="R337" s="1"/>
    </row>
    <row r="338" spans="1:18" s="75" customFormat="1" ht="18.75" customHeight="1" x14ac:dyDescent="0.25">
      <c r="A338" s="132"/>
      <c r="B338" s="151" t="s">
        <v>435</v>
      </c>
      <c r="C338" s="151"/>
      <c r="D338" s="151"/>
      <c r="E338" s="151"/>
      <c r="F338" s="151"/>
      <c r="G338" s="159" t="s">
        <v>448</v>
      </c>
      <c r="H338" s="79" t="str">
        <f>IF(C295&lt;=E295,"",D310)</f>
        <v/>
      </c>
      <c r="I338" s="163" t="s">
        <v>137</v>
      </c>
      <c r="K338" s="1"/>
      <c r="L338" s="1"/>
      <c r="M338" s="1"/>
      <c r="N338" s="1"/>
      <c r="O338" s="1"/>
      <c r="P338" s="1"/>
      <c r="Q338" s="1"/>
      <c r="R338" s="1"/>
    </row>
    <row r="339" spans="1:18" s="75" customFormat="1" ht="18.75" customHeight="1" x14ac:dyDescent="0.25">
      <c r="A339" s="132"/>
      <c r="B339" s="151" t="s">
        <v>434</v>
      </c>
      <c r="C339" s="151"/>
      <c r="D339" s="151"/>
      <c r="E339" s="151"/>
      <c r="F339" s="151"/>
      <c r="G339" s="159" t="s">
        <v>436</v>
      </c>
      <c r="H339" s="79" t="str">
        <f>IF(C295&lt;=E295,"",H338*10^6/(H238*10^9))</f>
        <v/>
      </c>
      <c r="I339" s="163" t="s">
        <v>23</v>
      </c>
      <c r="K339" s="8"/>
      <c r="L339" s="1"/>
      <c r="M339" s="1"/>
      <c r="N339" s="1"/>
      <c r="O339" s="1"/>
      <c r="P339" s="1"/>
      <c r="Q339" s="1"/>
      <c r="R339" s="1"/>
    </row>
    <row r="340" spans="1:18" s="75" customFormat="1" ht="18.75" customHeight="1" x14ac:dyDescent="0.25">
      <c r="A340" s="132"/>
      <c r="B340" s="151" t="s">
        <v>406</v>
      </c>
      <c r="C340" s="151"/>
      <c r="D340" s="151"/>
      <c r="E340" s="151"/>
      <c r="F340" s="151"/>
      <c r="G340" s="159" t="s">
        <v>822</v>
      </c>
      <c r="H340" s="79" t="str">
        <f>IF(C295&lt;=E295,"",(0.5*D225+H43/1000)*1000+H42)</f>
        <v/>
      </c>
      <c r="I340" s="163" t="s">
        <v>9</v>
      </c>
      <c r="K340" s="8"/>
      <c r="L340" s="1"/>
      <c r="M340" s="1"/>
      <c r="N340" s="1"/>
      <c r="O340" s="1"/>
      <c r="P340" s="1"/>
      <c r="Q340" s="1"/>
      <c r="R340" s="1"/>
    </row>
    <row r="341" spans="1:18" s="75" customFormat="1" ht="18.75" customHeight="1" x14ac:dyDescent="0.25">
      <c r="A341" s="132"/>
      <c r="B341" s="23" t="s">
        <v>417</v>
      </c>
      <c r="C341" s="151"/>
      <c r="D341" s="151"/>
      <c r="E341" s="151"/>
      <c r="F341" s="151"/>
      <c r="G341" s="159" t="s">
        <v>823</v>
      </c>
      <c r="H341" s="79" t="str">
        <f>IF(C295&lt;=E295,"",H235*1000-H42-H43-H48)</f>
        <v/>
      </c>
      <c r="I341" s="163" t="s">
        <v>9</v>
      </c>
      <c r="K341" s="1"/>
      <c r="L341" s="1"/>
      <c r="M341" s="1"/>
      <c r="N341" s="1"/>
      <c r="O341" s="1"/>
      <c r="P341" s="1"/>
      <c r="Q341" s="1"/>
      <c r="R341" s="1"/>
    </row>
    <row r="342" spans="1:18" s="75" customFormat="1" ht="18.75" customHeight="1" x14ac:dyDescent="0.25">
      <c r="A342" s="132"/>
      <c r="B342" s="151" t="s">
        <v>407</v>
      </c>
      <c r="C342" s="151"/>
      <c r="D342" s="151"/>
      <c r="E342" s="151"/>
      <c r="F342" s="151"/>
      <c r="G342" s="159"/>
      <c r="H342" s="162"/>
      <c r="I342" s="163"/>
      <c r="K342" s="1"/>
      <c r="L342" s="1"/>
      <c r="M342" s="1"/>
      <c r="N342" s="1"/>
      <c r="O342" s="1"/>
      <c r="P342" s="1"/>
      <c r="Q342" s="1"/>
      <c r="R342" s="1"/>
    </row>
    <row r="343" spans="1:18" s="75" customFormat="1" ht="18.75" customHeight="1" x14ac:dyDescent="0.25">
      <c r="A343" s="132"/>
      <c r="B343" s="148" t="s">
        <v>19</v>
      </c>
      <c r="C343" s="71" t="s">
        <v>447</v>
      </c>
      <c r="D343" s="21" t="s">
        <v>13</v>
      </c>
      <c r="E343" s="68" t="s">
        <v>408</v>
      </c>
      <c r="F343" s="146"/>
      <c r="G343" s="21"/>
      <c r="H343" s="166"/>
      <c r="I343" s="161"/>
      <c r="K343" s="1"/>
      <c r="L343" s="1"/>
      <c r="M343" s="1"/>
      <c r="N343" s="1"/>
      <c r="O343" s="1"/>
      <c r="P343" s="1"/>
      <c r="Q343" s="1"/>
      <c r="R343" s="1"/>
    </row>
    <row r="344" spans="1:18" s="75" customFormat="1" ht="18.75" customHeight="1" x14ac:dyDescent="0.25">
      <c r="A344" s="132"/>
      <c r="B344" s="23"/>
      <c r="C344" s="12" t="str">
        <f>H341</f>
        <v/>
      </c>
      <c r="D344" s="21" t="str">
        <f>IF(C344&gt;=E344,"≥","&lt;")</f>
        <v>≥</v>
      </c>
      <c r="E344" s="12" t="str">
        <f>H340</f>
        <v/>
      </c>
      <c r="F344" s="149" t="s">
        <v>14</v>
      </c>
      <c r="G344" s="164" t="str">
        <f>IF(C295&lt;=E295,"",IF(C344&gt;=E344,"[ OK - Flens atas tekan]","[ NOT OK - Flens atas tarik ]"))</f>
        <v/>
      </c>
      <c r="H344" s="166"/>
      <c r="I344" s="161"/>
      <c r="K344" s="1"/>
      <c r="L344" s="1"/>
      <c r="M344" s="1"/>
      <c r="N344" s="1"/>
      <c r="O344" s="1"/>
      <c r="P344" s="1"/>
      <c r="Q344" s="1"/>
      <c r="R344" s="1"/>
    </row>
    <row r="345" spans="1:18" s="75" customFormat="1" ht="18.75" customHeight="1" x14ac:dyDescent="0.25">
      <c r="A345" s="132"/>
      <c r="B345" s="151"/>
      <c r="C345" s="151"/>
      <c r="D345" s="151"/>
      <c r="E345" s="151"/>
      <c r="F345" s="151"/>
      <c r="G345" s="159"/>
      <c r="H345" s="162"/>
      <c r="I345" s="163"/>
      <c r="K345" s="77"/>
      <c r="L345" s="77"/>
      <c r="M345" s="77"/>
      <c r="N345" s="77"/>
      <c r="O345" s="77"/>
      <c r="P345" s="77"/>
      <c r="Q345" s="77"/>
      <c r="R345" s="1"/>
    </row>
    <row r="346" spans="1:18" s="75" customFormat="1" ht="18.75" customHeight="1" x14ac:dyDescent="0.25">
      <c r="A346" s="133" t="s">
        <v>791</v>
      </c>
      <c r="B346" s="160" t="s">
        <v>410</v>
      </c>
      <c r="C346" s="151"/>
      <c r="D346" s="151"/>
      <c r="E346" s="151"/>
      <c r="F346" s="151"/>
      <c r="G346" s="159"/>
      <c r="H346" s="162"/>
      <c r="I346" s="163"/>
      <c r="K346" s="77"/>
      <c r="L346" s="77"/>
      <c r="M346" s="77"/>
      <c r="N346" s="77"/>
      <c r="O346" s="77"/>
      <c r="P346" s="77"/>
      <c r="Q346" s="77"/>
      <c r="R346" s="1"/>
    </row>
    <row r="347" spans="1:18" s="75" customFormat="1" ht="18.75" customHeight="1" x14ac:dyDescent="0.25">
      <c r="A347" s="132"/>
      <c r="B347" s="151" t="s">
        <v>409</v>
      </c>
      <c r="C347" s="151"/>
      <c r="D347" s="151"/>
      <c r="E347" s="151"/>
      <c r="F347" s="151"/>
      <c r="G347" s="159" t="s">
        <v>416</v>
      </c>
      <c r="H347" s="78" t="str">
        <f>IF(C295&lt;=E295,"",IF(C344&gt;=E344,2*(H341*C227/1000)/(C225*D225),""))</f>
        <v/>
      </c>
      <c r="I347" s="163"/>
      <c r="K347" s="1"/>
      <c r="L347" s="1"/>
      <c r="M347" s="1"/>
      <c r="N347" s="1"/>
      <c r="O347" s="1"/>
      <c r="P347" s="1"/>
      <c r="Q347" s="1"/>
      <c r="R347" s="77"/>
    </row>
    <row r="348" spans="1:18" s="75" customFormat="1" ht="18.75" customHeight="1" x14ac:dyDescent="0.25">
      <c r="A348" s="132"/>
      <c r="B348" s="151" t="s">
        <v>681</v>
      </c>
      <c r="C348" s="151"/>
      <c r="D348" s="151"/>
      <c r="E348" s="151"/>
      <c r="F348" s="151"/>
      <c r="G348" s="167" t="s">
        <v>411</v>
      </c>
      <c r="H348" s="79" t="str">
        <f>IF(C295&lt;=E295,"",IF(C344&gt;=E344,(3.1+5/H347)*SQRT(H10/H6),""))</f>
        <v/>
      </c>
      <c r="I348" s="163"/>
      <c r="K348" s="1"/>
      <c r="L348" s="1"/>
      <c r="M348" s="1"/>
      <c r="N348" s="1"/>
      <c r="O348" s="1"/>
      <c r="P348" s="1"/>
      <c r="Q348" s="1"/>
      <c r="R348" s="77"/>
    </row>
    <row r="349" spans="1:18" s="75" customFormat="1" ht="18.75" customHeight="1" x14ac:dyDescent="0.25">
      <c r="A349" s="132"/>
      <c r="B349" s="151" t="s">
        <v>412</v>
      </c>
      <c r="C349" s="151"/>
      <c r="D349" s="151"/>
      <c r="E349" s="151"/>
      <c r="F349" s="151"/>
      <c r="G349" s="151"/>
      <c r="H349" s="151"/>
      <c r="I349" s="163"/>
      <c r="K349" s="1"/>
      <c r="L349" s="1"/>
      <c r="M349" s="1"/>
      <c r="N349" s="1"/>
      <c r="O349" s="1"/>
      <c r="P349" s="1"/>
      <c r="Q349" s="1"/>
      <c r="R349" s="1"/>
    </row>
    <row r="350" spans="1:18" s="75" customFormat="1" ht="18.75" customHeight="1" x14ac:dyDescent="0.25">
      <c r="A350" s="132"/>
      <c r="B350" s="25" t="s">
        <v>19</v>
      </c>
      <c r="C350" s="12" t="s">
        <v>413</v>
      </c>
      <c r="D350" s="21" t="s">
        <v>48</v>
      </c>
      <c r="E350" s="83" t="s">
        <v>415</v>
      </c>
      <c r="F350" s="21" t="s">
        <v>48</v>
      </c>
      <c r="G350" s="12" t="s">
        <v>414</v>
      </c>
      <c r="H350" s="22"/>
      <c r="I350" s="163"/>
      <c r="K350" s="1"/>
      <c r="L350" s="1"/>
      <c r="M350" s="1"/>
      <c r="N350" s="1"/>
      <c r="O350" s="1"/>
      <c r="P350" s="1"/>
      <c r="Q350" s="1"/>
      <c r="R350" s="1"/>
    </row>
    <row r="351" spans="1:18" s="75" customFormat="1" ht="18.75" customHeight="1" x14ac:dyDescent="0.25">
      <c r="A351" s="132"/>
      <c r="B351" s="23"/>
      <c r="C351" s="16" t="str">
        <f>IF(C295&lt;=E295,"",IF(C344&gt;=E344,4.6*SQRT(H10/H6),""))</f>
        <v/>
      </c>
      <c r="D351" s="21" t="str">
        <f>IF(C351&lt;=E351,"≤","&gt;")</f>
        <v>≤</v>
      </c>
      <c r="E351" s="12" t="str">
        <f>IF(C344&gt;=E344,H348,"")</f>
        <v/>
      </c>
      <c r="F351" s="21" t="str">
        <f>IF(E351&lt;=G351,"≤","&gt;")</f>
        <v>≤</v>
      </c>
      <c r="G351" s="12" t="str">
        <f>IF(C295&lt;=E295,"",IF(C344&gt;=E344,5.7*SQRT(H10/H6),""))</f>
        <v/>
      </c>
      <c r="H351" s="22"/>
      <c r="I351" s="163"/>
      <c r="K351" s="1"/>
      <c r="L351" s="1"/>
      <c r="M351" s="1"/>
      <c r="N351" s="1"/>
      <c r="O351" s="1"/>
      <c r="P351" s="1"/>
      <c r="Q351" s="1"/>
      <c r="R351" s="1"/>
    </row>
    <row r="352" spans="1:18" s="75" customFormat="1" ht="18.75" customHeight="1" x14ac:dyDescent="0.25">
      <c r="A352" s="132"/>
      <c r="B352" s="23"/>
      <c r="C352" s="23"/>
      <c r="D352" s="82"/>
      <c r="E352" s="21"/>
      <c r="F352" s="70"/>
      <c r="G352" s="167" t="s">
        <v>451</v>
      </c>
      <c r="H352" s="87" t="str">
        <f>IF(C351&lt;=E351,IF(E351&lt;=G351,E351,G351),C351)</f>
        <v/>
      </c>
      <c r="I352" s="163"/>
      <c r="K352" s="1"/>
      <c r="L352" s="1"/>
      <c r="M352" s="1"/>
      <c r="N352" s="1"/>
      <c r="O352" s="1"/>
      <c r="P352" s="1"/>
      <c r="Q352" s="1"/>
      <c r="R352" s="1"/>
    </row>
    <row r="353" spans="1:19" s="75" customFormat="1" ht="18.75" customHeight="1" x14ac:dyDescent="0.25">
      <c r="A353" s="132"/>
      <c r="B353" s="23" t="s">
        <v>418</v>
      </c>
      <c r="C353" s="23"/>
      <c r="D353" s="82"/>
      <c r="E353" s="21"/>
      <c r="F353" s="70"/>
      <c r="G353" s="151"/>
      <c r="H353" s="149"/>
      <c r="I353" s="163"/>
      <c r="K353" s="1"/>
      <c r="L353" s="1"/>
      <c r="M353" s="1"/>
      <c r="N353" s="1"/>
      <c r="O353" s="1"/>
      <c r="P353" s="1"/>
      <c r="Q353" s="1"/>
      <c r="R353" s="1"/>
    </row>
    <row r="354" spans="1:19" s="75" customFormat="1" ht="18.75" customHeight="1" x14ac:dyDescent="0.25">
      <c r="A354" s="132"/>
      <c r="B354" s="23"/>
      <c r="C354" s="23"/>
      <c r="D354" s="82"/>
      <c r="E354" s="21"/>
      <c r="F354" s="70"/>
      <c r="G354" s="168" t="s">
        <v>419</v>
      </c>
      <c r="H354" s="68" t="str">
        <f>IF(C295&lt;=E295,"",IF(C344&gt;=E344,1-H347/(1200+300*H347)*(2*H341/C227/1000-H348),""))</f>
        <v/>
      </c>
      <c r="I354" s="163"/>
      <c r="K354" s="1"/>
      <c r="L354" s="1"/>
      <c r="M354" s="1"/>
      <c r="N354" s="1"/>
      <c r="O354" s="1"/>
      <c r="P354" s="1"/>
      <c r="Q354" s="1"/>
      <c r="R354" s="1"/>
    </row>
    <row r="355" spans="1:19" ht="18.75" customHeight="1" x14ac:dyDescent="0.25">
      <c r="A355" s="132"/>
      <c r="B355" s="169"/>
      <c r="C355" s="169"/>
      <c r="D355" s="85"/>
      <c r="E355" s="170"/>
      <c r="F355" s="86"/>
      <c r="G355" s="168" t="s">
        <v>420</v>
      </c>
      <c r="H355" s="68" t="str">
        <f>IF(C295&lt;=E295,"",IF(C344&gt;=E344,1,""))</f>
        <v/>
      </c>
      <c r="I355" s="163"/>
      <c r="S355" s="75"/>
    </row>
    <row r="356" spans="1:19" ht="18.75" customHeight="1" x14ac:dyDescent="0.25">
      <c r="A356" s="132"/>
      <c r="B356" s="169"/>
      <c r="C356" s="169"/>
      <c r="D356" s="85"/>
      <c r="E356" s="170"/>
      <c r="F356" s="86"/>
      <c r="G356" s="168" t="s">
        <v>421</v>
      </c>
      <c r="H356" s="68" t="str">
        <f>IF(C295&lt;=E295,"",IF(C344&gt;=E344,IF(H354&lt;H355,H354,H355),""))</f>
        <v/>
      </c>
      <c r="I356" s="163"/>
      <c r="S356" s="75"/>
    </row>
    <row r="357" spans="1:19" ht="18.75" customHeight="1" x14ac:dyDescent="0.25">
      <c r="A357" s="132"/>
      <c r="B357" s="169" t="s">
        <v>422</v>
      </c>
      <c r="C357" s="169"/>
      <c r="D357" s="85"/>
      <c r="E357" s="170"/>
      <c r="F357" s="86"/>
      <c r="G357" s="168" t="s">
        <v>423</v>
      </c>
      <c r="H357" s="68" t="str">
        <f>IF(C295&lt;=E295,"",IF(C344&gt;=E344,1,""))</f>
        <v/>
      </c>
      <c r="I357" s="163"/>
      <c r="S357" s="75"/>
    </row>
    <row r="358" spans="1:19" s="75" customFormat="1" ht="18.75" customHeight="1" x14ac:dyDescent="0.25">
      <c r="A358" s="132"/>
      <c r="B358" s="169" t="s">
        <v>424</v>
      </c>
      <c r="C358" s="169"/>
      <c r="D358" s="85"/>
      <c r="E358" s="170"/>
      <c r="F358" s="86"/>
      <c r="G358" s="168" t="s">
        <v>425</v>
      </c>
      <c r="H358" s="78" t="str">
        <f>IF(C295&lt;=E295,"",IF(C344&gt;=E344,'Process - Pembebanan'!H141,""))</f>
        <v/>
      </c>
      <c r="I358" s="163" t="s">
        <v>137</v>
      </c>
      <c r="K358" s="1"/>
      <c r="L358" s="1"/>
      <c r="M358" s="1"/>
      <c r="N358" s="1"/>
      <c r="O358" s="1"/>
      <c r="P358" s="1"/>
      <c r="Q358" s="1"/>
      <c r="R358" s="1"/>
      <c r="S358" s="1"/>
    </row>
    <row r="359" spans="1:19" s="75" customFormat="1" ht="18.75" customHeight="1" x14ac:dyDescent="0.25">
      <c r="A359" s="132"/>
      <c r="B359" s="169" t="s">
        <v>426</v>
      </c>
      <c r="C359" s="169"/>
      <c r="D359" s="85"/>
      <c r="E359" s="170"/>
      <c r="F359" s="86"/>
      <c r="G359" s="168" t="s">
        <v>814</v>
      </c>
      <c r="H359" s="87" t="str">
        <f>IF(C295&lt;=E295,"",IF(C344&gt;=E344,H156,""))</f>
        <v/>
      </c>
      <c r="I359" s="163" t="s">
        <v>429</v>
      </c>
      <c r="K359" s="1"/>
      <c r="L359" s="1"/>
      <c r="M359" s="1"/>
      <c r="N359" s="1"/>
      <c r="O359" s="1"/>
      <c r="P359" s="1"/>
      <c r="Q359" s="1"/>
      <c r="R359" s="1"/>
      <c r="S359" s="1"/>
    </row>
    <row r="360" spans="1:19" s="75" customFormat="1" ht="18.75" customHeight="1" x14ac:dyDescent="0.25">
      <c r="A360" s="132"/>
      <c r="B360" s="169" t="s">
        <v>427</v>
      </c>
      <c r="C360" s="169"/>
      <c r="D360" s="85"/>
      <c r="E360" s="170"/>
      <c r="F360" s="86"/>
      <c r="G360" s="168" t="s">
        <v>428</v>
      </c>
      <c r="H360" s="68" t="str">
        <f>IF(C295&lt;=E295,"",IF(C344&gt;=E344,H358*10^6/(2*H359*10^6*D225*10^3),""))</f>
        <v/>
      </c>
      <c r="I360" s="163" t="s">
        <v>23</v>
      </c>
      <c r="K360" s="1"/>
      <c r="L360" s="1"/>
      <c r="M360" s="1"/>
      <c r="N360" s="1"/>
      <c r="O360" s="1"/>
      <c r="P360" s="1"/>
      <c r="Q360" s="1"/>
      <c r="R360" s="1"/>
      <c r="S360" s="1"/>
    </row>
    <row r="361" spans="1:19" s="75" customFormat="1" ht="18.75" customHeight="1" x14ac:dyDescent="0.25">
      <c r="A361" s="132"/>
      <c r="B361" s="169" t="s">
        <v>430</v>
      </c>
      <c r="C361" s="169"/>
      <c r="D361" s="85"/>
      <c r="E361" s="170"/>
      <c r="F361" s="86"/>
      <c r="G361" s="168" t="s">
        <v>431</v>
      </c>
      <c r="H361" s="68" t="str">
        <f>IF(C295&lt;=E295,"",IF(C344&gt;=E344,SQRT(1-3*(H360/H6)^2),""))</f>
        <v/>
      </c>
      <c r="I361" s="163"/>
      <c r="K361" s="1"/>
      <c r="L361" s="1"/>
      <c r="M361" s="1"/>
      <c r="N361" s="1"/>
      <c r="O361" s="1"/>
      <c r="P361" s="1"/>
      <c r="Q361" s="1"/>
      <c r="R361" s="1"/>
    </row>
    <row r="362" spans="1:19" s="75" customFormat="1" ht="18.75" customHeight="1" x14ac:dyDescent="0.25">
      <c r="A362" s="132"/>
      <c r="B362" s="169"/>
      <c r="C362" s="169"/>
      <c r="D362" s="85"/>
      <c r="E362" s="170"/>
      <c r="F362" s="86"/>
      <c r="G362" s="168" t="s">
        <v>432</v>
      </c>
      <c r="H362" s="68" t="str">
        <f>IF(C295&lt;=E295,"",IF(C344&gt;=E344,1,""))</f>
        <v/>
      </c>
      <c r="I362" s="163"/>
      <c r="K362" s="1"/>
      <c r="L362" s="1"/>
      <c r="M362" s="1"/>
      <c r="N362" s="1"/>
      <c r="O362" s="1"/>
      <c r="P362" s="1"/>
      <c r="Q362" s="1"/>
      <c r="R362" s="1"/>
    </row>
    <row r="363" spans="1:19" s="75" customFormat="1" ht="18.75" customHeight="1" x14ac:dyDescent="0.25">
      <c r="A363" s="132"/>
      <c r="B363" s="169"/>
      <c r="C363" s="169"/>
      <c r="D363" s="85"/>
      <c r="E363" s="170"/>
      <c r="F363" s="86"/>
      <c r="G363" s="168" t="s">
        <v>433</v>
      </c>
      <c r="H363" s="68" t="str">
        <f>IF(C295&lt;=E295,"",IF(C344&gt;=E344,MIN(H361:H362),""))</f>
        <v/>
      </c>
      <c r="I363" s="163"/>
      <c r="K363" s="1"/>
      <c r="L363" s="1"/>
      <c r="M363" s="1"/>
      <c r="N363" s="1"/>
      <c r="O363" s="1"/>
      <c r="P363" s="1"/>
      <c r="Q363" s="1"/>
      <c r="R363" s="1"/>
    </row>
    <row r="364" spans="1:19" s="75" customFormat="1" ht="18.75" customHeight="1" x14ac:dyDescent="0.25">
      <c r="A364" s="132"/>
      <c r="B364" s="169" t="s">
        <v>438</v>
      </c>
      <c r="C364" s="169"/>
      <c r="D364" s="85"/>
      <c r="E364" s="170"/>
      <c r="F364" s="86"/>
      <c r="G364" s="168" t="s">
        <v>437</v>
      </c>
      <c r="H364" s="68" t="str">
        <f>IF(C295&lt;=E295,"",IF(C344&gt;=E344,H356*H357*H363*H6,""))</f>
        <v/>
      </c>
      <c r="I364" s="163" t="s">
        <v>23</v>
      </c>
      <c r="K364" s="1"/>
      <c r="L364" s="1"/>
      <c r="M364" s="1"/>
      <c r="N364" s="1"/>
      <c r="O364" s="1"/>
      <c r="P364" s="1"/>
      <c r="Q364" s="1"/>
      <c r="R364" s="1"/>
    </row>
    <row r="365" spans="1:19" s="75" customFormat="1" ht="18.75" customHeight="1" x14ac:dyDescent="0.25">
      <c r="A365" s="128"/>
      <c r="B365" s="23" t="s">
        <v>439</v>
      </c>
      <c r="C365" s="23"/>
      <c r="D365" s="23"/>
      <c r="E365" s="23"/>
      <c r="F365" s="23"/>
      <c r="G365" s="146"/>
      <c r="H365" s="21"/>
      <c r="I365" s="147"/>
      <c r="K365" s="1"/>
      <c r="L365" s="1"/>
      <c r="M365" s="1"/>
      <c r="N365" s="1"/>
      <c r="O365" s="1"/>
      <c r="P365" s="1"/>
      <c r="Q365" s="1"/>
      <c r="R365" s="1"/>
    </row>
    <row r="366" spans="1:19" s="75" customFormat="1" ht="18.75" customHeight="1" x14ac:dyDescent="0.25">
      <c r="A366" s="128"/>
      <c r="B366" s="148" t="s">
        <v>19</v>
      </c>
      <c r="C366" s="23"/>
      <c r="D366" s="240" t="s">
        <v>903</v>
      </c>
      <c r="E366" s="21" t="s">
        <v>48</v>
      </c>
      <c r="F366" s="239" t="s">
        <v>894</v>
      </c>
      <c r="G366" s="146"/>
      <c r="H366" s="21"/>
      <c r="I366" s="147"/>
      <c r="K366" s="1"/>
      <c r="L366" s="1"/>
      <c r="M366" s="1"/>
      <c r="N366" s="1"/>
      <c r="O366" s="1"/>
      <c r="P366" s="1"/>
      <c r="Q366" s="1"/>
      <c r="R366" s="1"/>
    </row>
    <row r="367" spans="1:19" s="75" customFormat="1" ht="18.75" customHeight="1" x14ac:dyDescent="0.25">
      <c r="A367" s="128"/>
      <c r="B367" s="23"/>
      <c r="C367" s="23"/>
      <c r="D367" s="237" t="str">
        <f>IF(C295&lt;=E295,"",IF(C344&gt;=E344,H339,""))</f>
        <v/>
      </c>
      <c r="E367" s="21" t="str">
        <f>IF(D367&lt;=F367,"≤","&gt;")</f>
        <v>≤</v>
      </c>
      <c r="F367" s="237" t="str">
        <f>IF(C295&lt;=E295,"",IF(C344&gt;=E344,H331*H364,""))</f>
        <v/>
      </c>
      <c r="G367" s="149" t="s">
        <v>14</v>
      </c>
      <c r="H367" s="149" t="str">
        <f>IF(C295&lt;=E295,"",IF(D367&lt;=F367,"[ OK ]","[ NOT OK ]"))</f>
        <v/>
      </c>
      <c r="I367" s="147"/>
      <c r="K367" s="1"/>
      <c r="L367" s="1"/>
      <c r="M367" s="1"/>
      <c r="N367" s="1"/>
      <c r="O367" s="1"/>
      <c r="P367" s="1"/>
      <c r="Q367" s="1"/>
      <c r="R367" s="1"/>
    </row>
    <row r="368" spans="1:19" ht="18.75" customHeight="1" x14ac:dyDescent="0.25">
      <c r="A368" s="132"/>
      <c r="B368" s="169"/>
      <c r="C368" s="169"/>
      <c r="D368" s="85"/>
      <c r="E368" s="170"/>
      <c r="F368" s="86"/>
      <c r="G368" s="168"/>
      <c r="H368" s="170"/>
      <c r="I368" s="163"/>
      <c r="S368" s="75"/>
    </row>
    <row r="369" spans="1:19" ht="18.75" customHeight="1" x14ac:dyDescent="0.25">
      <c r="A369" s="133" t="s">
        <v>792</v>
      </c>
      <c r="B369" s="160" t="s">
        <v>440</v>
      </c>
      <c r="C369" s="169"/>
      <c r="D369" s="85"/>
      <c r="E369" s="170"/>
      <c r="F369" s="86"/>
      <c r="G369" s="168"/>
      <c r="H369" s="170"/>
      <c r="I369" s="163"/>
      <c r="S369" s="75"/>
    </row>
    <row r="370" spans="1:19" ht="18.75" customHeight="1" x14ac:dyDescent="0.25">
      <c r="A370" s="132"/>
      <c r="B370" s="169" t="s">
        <v>422</v>
      </c>
      <c r="C370" s="169"/>
      <c r="D370" s="85"/>
      <c r="E370" s="170"/>
      <c r="F370" s="86"/>
      <c r="G370" s="168" t="s">
        <v>423</v>
      </c>
      <c r="H370" s="68" t="str">
        <f>IF(C295&lt;=E295,"",IF(C344&gt;=E344,"",1))</f>
        <v/>
      </c>
      <c r="I370" s="163"/>
      <c r="S370" s="75"/>
    </row>
    <row r="371" spans="1:19" s="75" customFormat="1" ht="18.75" customHeight="1" x14ac:dyDescent="0.25">
      <c r="A371" s="132"/>
      <c r="B371" s="169" t="s">
        <v>424</v>
      </c>
      <c r="C371" s="169"/>
      <c r="D371" s="85"/>
      <c r="E371" s="170"/>
      <c r="F371" s="86"/>
      <c r="G371" s="168" t="s">
        <v>425</v>
      </c>
      <c r="H371" s="68" t="str">
        <f>IF(C295&lt;=E295,"",IF(C344&gt;=E344,"",'Process - Pembebanan'!H141))</f>
        <v/>
      </c>
      <c r="I371" s="163" t="s">
        <v>137</v>
      </c>
      <c r="K371" s="1"/>
      <c r="L371" s="1"/>
      <c r="M371" s="1"/>
      <c r="N371" s="1"/>
      <c r="O371" s="1"/>
      <c r="P371" s="1"/>
      <c r="Q371" s="1"/>
      <c r="R371" s="1"/>
      <c r="S371" s="1"/>
    </row>
    <row r="372" spans="1:19" s="75" customFormat="1" ht="18.75" customHeight="1" x14ac:dyDescent="0.25">
      <c r="A372" s="132"/>
      <c r="B372" s="169" t="s">
        <v>426</v>
      </c>
      <c r="C372" s="169"/>
      <c r="D372" s="85"/>
      <c r="E372" s="170"/>
      <c r="F372" s="86"/>
      <c r="G372" s="168" t="s">
        <v>814</v>
      </c>
      <c r="H372" s="87" t="str">
        <f>IF(C295&lt;=E295,"",IF(C344&gt;=E344,"",H156))</f>
        <v/>
      </c>
      <c r="I372" s="163" t="s">
        <v>429</v>
      </c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8.75" customHeight="1" x14ac:dyDescent="0.25">
      <c r="A373" s="132"/>
      <c r="B373" s="169" t="s">
        <v>427</v>
      </c>
      <c r="C373" s="169"/>
      <c r="D373" s="85"/>
      <c r="E373" s="170"/>
      <c r="F373" s="86"/>
      <c r="G373" s="168" t="s">
        <v>428</v>
      </c>
      <c r="H373" s="68" t="str">
        <f>IF(C295&lt;=E295,"",IF(C344&gt;=E344,"",H358*10^6/(2*H359*10^6*D225*10^3)))</f>
        <v/>
      </c>
      <c r="I373" s="163" t="s">
        <v>23</v>
      </c>
    </row>
    <row r="374" spans="1:19" ht="18.75" customHeight="1" x14ac:dyDescent="0.25">
      <c r="A374" s="132"/>
      <c r="B374" s="169" t="s">
        <v>430</v>
      </c>
      <c r="C374" s="169"/>
      <c r="D374" s="85"/>
      <c r="E374" s="170"/>
      <c r="F374" s="86"/>
      <c r="G374" s="168" t="s">
        <v>431</v>
      </c>
      <c r="H374" s="68" t="str">
        <f>IF(C295&lt;=E295,"",IF(C344&gt;=E344,"",SQRT(1-3*(H360/H6)^2)))</f>
        <v/>
      </c>
      <c r="I374" s="163"/>
      <c r="S374" s="75"/>
    </row>
    <row r="375" spans="1:19" ht="18.75" customHeight="1" x14ac:dyDescent="0.25">
      <c r="A375" s="132"/>
      <c r="B375" s="169"/>
      <c r="C375" s="169"/>
      <c r="D375" s="85"/>
      <c r="E375" s="170"/>
      <c r="F375" s="86"/>
      <c r="G375" s="168" t="s">
        <v>432</v>
      </c>
      <c r="H375" s="68" t="str">
        <f>IF(C295&lt;=E295,"",IF(C344&gt;=E344,"",1))</f>
        <v/>
      </c>
      <c r="I375" s="163"/>
      <c r="S375" s="75"/>
    </row>
    <row r="376" spans="1:19" ht="18.75" customHeight="1" x14ac:dyDescent="0.25">
      <c r="A376" s="132"/>
      <c r="B376" s="169"/>
      <c r="C376" s="169"/>
      <c r="D376" s="85"/>
      <c r="E376" s="170"/>
      <c r="F376" s="86"/>
      <c r="G376" s="168" t="s">
        <v>433</v>
      </c>
      <c r="H376" s="68" t="str">
        <f>IF(C295&lt;=E295,"",IF(C344&gt;=E344,"",MIN(H374:H375)))</f>
        <v/>
      </c>
      <c r="I376" s="163"/>
    </row>
    <row r="377" spans="1:19" ht="18.75" customHeight="1" x14ac:dyDescent="0.25">
      <c r="A377" s="132"/>
      <c r="B377" s="169" t="s">
        <v>443</v>
      </c>
      <c r="C377" s="169"/>
      <c r="D377" s="85"/>
      <c r="E377" s="170"/>
      <c r="F377" s="86"/>
      <c r="G377" s="168" t="s">
        <v>444</v>
      </c>
      <c r="H377" s="68" t="str">
        <f>IF(C295&lt;=E295,"",IF(C344&gt;=E344,"",H370*H376*H6))</f>
        <v/>
      </c>
      <c r="I377" s="163" t="s">
        <v>23</v>
      </c>
    </row>
    <row r="378" spans="1:19" ht="18.75" customHeight="1" x14ac:dyDescent="0.25">
      <c r="A378" s="128"/>
      <c r="B378" s="23" t="s">
        <v>439</v>
      </c>
      <c r="C378" s="23"/>
      <c r="D378" s="23"/>
      <c r="E378" s="23"/>
      <c r="F378" s="23"/>
      <c r="G378" s="146"/>
      <c r="H378" s="21"/>
      <c r="I378" s="147"/>
    </row>
    <row r="379" spans="1:19" ht="18.75" customHeight="1" x14ac:dyDescent="0.25">
      <c r="A379" s="128"/>
      <c r="B379" s="148" t="s">
        <v>19</v>
      </c>
      <c r="C379" s="23"/>
      <c r="D379" s="240" t="s">
        <v>903</v>
      </c>
      <c r="E379" s="21" t="s">
        <v>48</v>
      </c>
      <c r="F379" s="239" t="s">
        <v>904</v>
      </c>
      <c r="G379" s="146"/>
      <c r="H379" s="21"/>
      <c r="I379" s="147"/>
    </row>
    <row r="380" spans="1:19" ht="18.75" customHeight="1" x14ac:dyDescent="0.25">
      <c r="A380" s="128"/>
      <c r="B380" s="23"/>
      <c r="C380" s="23"/>
      <c r="D380" s="237" t="str">
        <f>IF(C295&lt;=E295,"",IF(C344&gt;=E344,"",H339))</f>
        <v/>
      </c>
      <c r="E380" s="21" t="str">
        <f>IF(D380&lt;=F380,"≤","&gt;")</f>
        <v>≤</v>
      </c>
      <c r="F380" s="237" t="str">
        <f>IF(C295&lt;=E295,"",IF(C344&gt;=E344,"",H331*H377))</f>
        <v/>
      </c>
      <c r="G380" s="149" t="s">
        <v>14</v>
      </c>
      <c r="H380" s="149" t="str">
        <f>IF(C295&lt;=E295,"",IF(D380&lt;=F380,"[ OK ]","[ NOT OK ]"))</f>
        <v/>
      </c>
      <c r="I380" s="147"/>
    </row>
    <row r="381" spans="1:19" ht="18.75" customHeight="1" x14ac:dyDescent="0.25">
      <c r="A381" s="132"/>
      <c r="B381" s="151"/>
      <c r="C381" s="151"/>
      <c r="D381" s="151"/>
      <c r="E381" s="151"/>
      <c r="F381" s="151"/>
      <c r="G381" s="159"/>
      <c r="H381" s="162"/>
      <c r="I381" s="163"/>
    </row>
    <row r="382" spans="1:19" ht="18.75" customHeight="1" x14ac:dyDescent="0.25">
      <c r="A382" s="132"/>
      <c r="B382" s="151"/>
      <c r="C382" s="151"/>
      <c r="D382" s="151"/>
      <c r="E382" s="151"/>
      <c r="F382" s="151"/>
      <c r="G382" s="159"/>
      <c r="H382" s="162"/>
      <c r="I382" s="163"/>
    </row>
    <row r="383" spans="1:19" ht="18.75" customHeight="1" x14ac:dyDescent="0.25">
      <c r="A383" s="126" t="s">
        <v>793</v>
      </c>
      <c r="B383" s="138" t="s">
        <v>794</v>
      </c>
      <c r="C383" s="139"/>
      <c r="D383" s="139"/>
      <c r="E383" s="139"/>
      <c r="F383" s="139"/>
      <c r="G383" s="140"/>
      <c r="H383" s="139"/>
      <c r="I383" s="141"/>
    </row>
    <row r="384" spans="1:19" ht="18.75" customHeight="1" x14ac:dyDescent="0.25">
      <c r="A384" s="127" t="s">
        <v>800</v>
      </c>
      <c r="B384" s="142" t="s">
        <v>801</v>
      </c>
      <c r="C384" s="143"/>
      <c r="D384" s="143"/>
      <c r="E384" s="143"/>
      <c r="F384" s="143"/>
      <c r="G384" s="144"/>
      <c r="H384" s="143"/>
      <c r="I384" s="145"/>
    </row>
    <row r="385" spans="1:19" ht="18.75" customHeight="1" x14ac:dyDescent="0.25">
      <c r="A385" s="128"/>
      <c r="B385" s="23" t="s">
        <v>480</v>
      </c>
      <c r="C385" s="23"/>
      <c r="D385" s="23"/>
      <c r="E385" s="23"/>
      <c r="F385" s="23"/>
      <c r="G385" s="146" t="s">
        <v>446</v>
      </c>
      <c r="H385" s="16">
        <v>5</v>
      </c>
      <c r="I385" s="147"/>
    </row>
    <row r="386" spans="1:19" ht="18.75" customHeight="1" x14ac:dyDescent="0.25">
      <c r="A386" s="128"/>
      <c r="B386" s="23" t="s">
        <v>485</v>
      </c>
      <c r="C386" s="23"/>
      <c r="D386" s="23"/>
      <c r="E386" s="23"/>
      <c r="F386" s="23"/>
      <c r="G386" s="146"/>
      <c r="H386" s="21"/>
      <c r="I386" s="147"/>
      <c r="K386" s="75"/>
      <c r="L386" s="75"/>
      <c r="M386" s="75"/>
      <c r="N386" s="75"/>
      <c r="O386" s="75"/>
      <c r="P386" s="75"/>
      <c r="Q386" s="75"/>
    </row>
    <row r="387" spans="1:19" ht="18.75" customHeight="1" x14ac:dyDescent="0.25">
      <c r="A387" s="128"/>
      <c r="B387" s="123" t="s">
        <v>497</v>
      </c>
      <c r="C387" s="88"/>
      <c r="D387" s="88"/>
      <c r="E387" s="88"/>
      <c r="F387" s="88"/>
      <c r="G387" s="89" t="s">
        <v>482</v>
      </c>
      <c r="H387" s="16" t="str">
        <f>IF(D151/C151&lt;=1.12*SQRT(H10*H385/H6),1,"")</f>
        <v/>
      </c>
      <c r="I387" s="147"/>
    </row>
    <row r="388" spans="1:19" ht="18.75" customHeight="1" x14ac:dyDescent="0.25">
      <c r="A388" s="128"/>
      <c r="B388" s="123" t="s">
        <v>498</v>
      </c>
      <c r="C388" s="88"/>
      <c r="D388" s="88"/>
      <c r="E388" s="88"/>
      <c r="F388" s="88"/>
      <c r="G388" s="89" t="s">
        <v>483</v>
      </c>
      <c r="H388" s="16" t="str">
        <f>IF(1.12*SQRT(H10*H385/H6)&lt;D151/C151,IF(D151/C151&lt;=1.4*SQRT(H10*H385/H6),(1.12/(D151/C151))*SQRT(H10*H385/H6),""),"")</f>
        <v/>
      </c>
      <c r="I388" s="147"/>
      <c r="R388" s="75"/>
    </row>
    <row r="389" spans="1:19" ht="18.75" customHeight="1" x14ac:dyDescent="0.25">
      <c r="A389" s="128"/>
      <c r="B389" s="123" t="s">
        <v>499</v>
      </c>
      <c r="C389" s="88"/>
      <c r="D389" s="88"/>
      <c r="E389" s="88"/>
      <c r="F389" s="88"/>
      <c r="G389" s="89" t="s">
        <v>484</v>
      </c>
      <c r="H389" s="16">
        <f>IF(D151/C151&gt;1.4*SQRT(H10*H385/H6),(1.57/(D151/C151)^2)*(H10*H385/H6),"")</f>
        <v>0.26308899152711013</v>
      </c>
      <c r="I389" s="147"/>
    </row>
    <row r="390" spans="1:19" ht="18.75" customHeight="1" x14ac:dyDescent="0.25">
      <c r="A390" s="128"/>
      <c r="B390" s="23"/>
      <c r="C390" s="23"/>
      <c r="D390" s="23"/>
      <c r="E390" s="23"/>
      <c r="F390" s="23"/>
      <c r="G390" s="146" t="s">
        <v>482</v>
      </c>
      <c r="H390" s="16">
        <f>IF(MAX(H387:H389)&lt;=1,MAX(H387:H389),1)</f>
        <v>0.26308899152711013</v>
      </c>
      <c r="I390" s="147"/>
    </row>
    <row r="391" spans="1:19" s="77" customFormat="1" ht="18.75" customHeight="1" x14ac:dyDescent="0.25">
      <c r="A391" s="128"/>
      <c r="B391" s="23" t="s">
        <v>486</v>
      </c>
      <c r="C391" s="23"/>
      <c r="D391" s="23"/>
      <c r="E391" s="23"/>
      <c r="F391" s="23"/>
      <c r="G391" s="146" t="s">
        <v>487</v>
      </c>
      <c r="H391" s="16">
        <f>0.58*H6*D151*C151*10^3</f>
        <v>6882.0479999999998</v>
      </c>
      <c r="I391" s="147" t="s">
        <v>148</v>
      </c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8.75" customHeight="1" x14ac:dyDescent="0.25">
      <c r="A392" s="128"/>
      <c r="B392" s="23" t="s">
        <v>506</v>
      </c>
      <c r="C392" s="23"/>
      <c r="D392" s="23"/>
      <c r="E392" s="23"/>
      <c r="F392" s="23"/>
      <c r="G392" s="146" t="s">
        <v>492</v>
      </c>
      <c r="H392" s="16">
        <f>H390*H391</f>
        <v>1810.5910679611652</v>
      </c>
      <c r="I392" s="171" t="s">
        <v>148</v>
      </c>
    </row>
    <row r="393" spans="1:19" s="77" customFormat="1" ht="18.75" customHeight="1" x14ac:dyDescent="0.25">
      <c r="A393" s="128"/>
      <c r="B393" s="23" t="s">
        <v>449</v>
      </c>
      <c r="C393" s="23"/>
      <c r="D393" s="23"/>
      <c r="E393" s="23"/>
      <c r="F393" s="23"/>
      <c r="G393" s="148" t="s">
        <v>450</v>
      </c>
      <c r="H393" s="12">
        <v>1</v>
      </c>
      <c r="I393" s="147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8.75" customHeight="1" x14ac:dyDescent="0.25">
      <c r="A394" s="128"/>
      <c r="B394" s="23" t="s">
        <v>495</v>
      </c>
      <c r="C394" s="23"/>
      <c r="D394" s="23"/>
      <c r="E394" s="23"/>
      <c r="F394" s="23"/>
      <c r="G394" s="146"/>
      <c r="H394" s="21"/>
      <c r="I394" s="147"/>
      <c r="S394" s="77"/>
    </row>
    <row r="395" spans="1:19" ht="18.75" customHeight="1" x14ac:dyDescent="0.25">
      <c r="A395" s="128"/>
      <c r="B395" s="148" t="s">
        <v>19</v>
      </c>
      <c r="C395" s="23"/>
      <c r="D395" s="240" t="s">
        <v>566</v>
      </c>
      <c r="E395" s="21" t="s">
        <v>48</v>
      </c>
      <c r="F395" s="239" t="s">
        <v>567</v>
      </c>
      <c r="G395" s="146"/>
      <c r="H395" s="21"/>
      <c r="I395" s="147"/>
      <c r="J395" s="7"/>
    </row>
    <row r="396" spans="1:19" ht="18.75" customHeight="1" x14ac:dyDescent="0.25">
      <c r="A396" s="128"/>
      <c r="B396" s="23"/>
      <c r="C396" s="23"/>
      <c r="D396" s="238">
        <f>MAX('Process - Pembebanan'!Z137:Z157)</f>
        <v>2633.2775712471116</v>
      </c>
      <c r="E396" s="21" t="str">
        <f>IF(D396&lt;=F396,"≤","&gt;")</f>
        <v>&gt;</v>
      </c>
      <c r="F396" s="238">
        <f>H393*H392</f>
        <v>1810.5910679611652</v>
      </c>
      <c r="G396" s="149" t="s">
        <v>14</v>
      </c>
      <c r="H396" s="149" t="str">
        <f>IF(D396&lt;=F396,"[ OK ]","[ NOT OK ]")</f>
        <v>[ NOT OK ]</v>
      </c>
      <c r="I396" s="147"/>
      <c r="K396" s="77"/>
      <c r="L396" s="77"/>
      <c r="M396" s="77"/>
      <c r="N396" s="77"/>
      <c r="O396" s="77"/>
      <c r="P396" s="77"/>
      <c r="Q396" s="77"/>
      <c r="R396" s="77"/>
      <c r="S396" s="77"/>
    </row>
    <row r="397" spans="1:19" ht="18.75" customHeight="1" x14ac:dyDescent="0.25">
      <c r="A397" s="131"/>
      <c r="B397" s="153"/>
      <c r="C397" s="153"/>
      <c r="D397" s="252"/>
      <c r="E397" s="172"/>
      <c r="F397" s="252"/>
      <c r="G397" s="174"/>
      <c r="H397" s="174"/>
      <c r="I397" s="155"/>
    </row>
    <row r="398" spans="1:19" ht="18.75" customHeight="1" x14ac:dyDescent="0.25">
      <c r="A398" s="128"/>
      <c r="B398" s="160" t="str">
        <f>IF(D396&lt;=F396,"→ Analisa dengan pelat pengaku transversal tidak diperlukan","→ Analisa dengan pelat pengaku transversal diperlukan")</f>
        <v>→ Analisa dengan pelat pengaku transversal diperlukan</v>
      </c>
      <c r="C398" s="23"/>
      <c r="D398" s="23"/>
      <c r="E398" s="23"/>
      <c r="F398" s="23"/>
      <c r="G398" s="146"/>
      <c r="H398" s="21"/>
      <c r="I398" s="147"/>
    </row>
    <row r="399" spans="1:19" ht="18.75" customHeight="1" x14ac:dyDescent="0.25">
      <c r="A399" s="128"/>
      <c r="B399" s="160"/>
      <c r="C399" s="23"/>
      <c r="D399" s="23"/>
      <c r="E399" s="23"/>
      <c r="F399" s="23"/>
      <c r="G399" s="146"/>
      <c r="H399" s="21"/>
      <c r="I399" s="147"/>
    </row>
    <row r="400" spans="1:19" ht="18.75" customHeight="1" x14ac:dyDescent="0.25">
      <c r="A400" s="128"/>
      <c r="B400" s="151"/>
      <c r="C400" s="23"/>
      <c r="D400" s="23"/>
      <c r="E400" s="23"/>
      <c r="F400" s="23"/>
      <c r="G400" s="146"/>
      <c r="H400" s="21"/>
      <c r="I400" s="147"/>
    </row>
    <row r="401" spans="1:18" ht="18.75" customHeight="1" x14ac:dyDescent="0.25">
      <c r="A401" s="127" t="s">
        <v>802</v>
      </c>
      <c r="B401" s="142" t="s">
        <v>803</v>
      </c>
      <c r="C401" s="143"/>
      <c r="D401" s="143"/>
      <c r="E401" s="143"/>
      <c r="F401" s="143"/>
      <c r="G401" s="144"/>
      <c r="H401" s="143"/>
      <c r="I401" s="145"/>
    </row>
    <row r="402" spans="1:18" ht="18.75" customHeight="1" x14ac:dyDescent="0.25">
      <c r="A402" s="133" t="s">
        <v>804</v>
      </c>
      <c r="B402" s="160" t="s">
        <v>649</v>
      </c>
      <c r="C402" s="153"/>
      <c r="D402" s="153"/>
      <c r="E402" s="153"/>
      <c r="F402" s="153"/>
      <c r="G402" s="154"/>
      <c r="H402" s="172"/>
      <c r="I402" s="155"/>
      <c r="K402" s="84"/>
      <c r="L402" s="84"/>
      <c r="M402" s="84"/>
      <c r="N402" s="84"/>
      <c r="O402" s="84"/>
      <c r="P402" s="84"/>
      <c r="Q402" s="84"/>
    </row>
    <row r="403" spans="1:18" ht="18.75" customHeight="1" x14ac:dyDescent="0.25">
      <c r="A403" s="128"/>
      <c r="B403" s="23" t="s">
        <v>460</v>
      </c>
      <c r="C403" s="23"/>
      <c r="D403" s="23"/>
      <c r="E403" s="23"/>
      <c r="F403" s="23"/>
      <c r="G403" s="146" t="s">
        <v>462</v>
      </c>
      <c r="H403" s="187">
        <f>H51</f>
        <v>200</v>
      </c>
      <c r="I403" s="147" t="s">
        <v>9</v>
      </c>
      <c r="K403" s="84"/>
      <c r="L403" s="84"/>
      <c r="M403" s="84"/>
      <c r="N403" s="84"/>
      <c r="O403" s="84"/>
      <c r="P403" s="84"/>
      <c r="Q403" s="84"/>
    </row>
    <row r="404" spans="1:18" ht="18.75" customHeight="1" x14ac:dyDescent="0.25">
      <c r="A404" s="128"/>
      <c r="B404" s="23" t="s">
        <v>461</v>
      </c>
      <c r="C404" s="23"/>
      <c r="D404" s="23"/>
      <c r="E404" s="23"/>
      <c r="F404" s="23"/>
      <c r="G404" s="146" t="s">
        <v>463</v>
      </c>
      <c r="H404" s="187">
        <f>H52</f>
        <v>20</v>
      </c>
      <c r="I404" s="147" t="s">
        <v>9</v>
      </c>
      <c r="K404" s="84"/>
      <c r="L404" s="84"/>
      <c r="M404" s="84"/>
      <c r="N404" s="84"/>
      <c r="O404" s="84"/>
      <c r="P404" s="84"/>
      <c r="Q404" s="84"/>
      <c r="R404" s="84"/>
    </row>
    <row r="405" spans="1:18" ht="18.75" customHeight="1" x14ac:dyDescent="0.25">
      <c r="A405" s="128"/>
      <c r="B405" s="23" t="s">
        <v>648</v>
      </c>
      <c r="C405" s="23"/>
      <c r="D405" s="23"/>
      <c r="E405" s="23"/>
      <c r="F405" s="23"/>
      <c r="G405" s="146" t="s">
        <v>505</v>
      </c>
      <c r="H405" s="16">
        <f>1.5*D227</f>
        <v>3.09</v>
      </c>
      <c r="I405" s="147" t="s">
        <v>2</v>
      </c>
      <c r="K405" s="84"/>
      <c r="L405" s="84"/>
      <c r="M405" s="84"/>
      <c r="N405" s="84"/>
      <c r="O405" s="84"/>
      <c r="P405" s="84"/>
      <c r="Q405" s="84"/>
      <c r="R405" s="84"/>
    </row>
    <row r="406" spans="1:18" ht="18.75" customHeight="1" x14ac:dyDescent="0.25">
      <c r="A406" s="128"/>
      <c r="B406" s="23" t="s">
        <v>650</v>
      </c>
      <c r="C406" s="23"/>
      <c r="D406" s="23"/>
      <c r="E406" s="23"/>
      <c r="F406" s="23"/>
      <c r="G406" s="146" t="s">
        <v>630</v>
      </c>
      <c r="H406" s="190">
        <f>ROUNDDOWN(H405/0.25,0)*0.25</f>
        <v>3</v>
      </c>
      <c r="I406" s="147" t="s">
        <v>2</v>
      </c>
      <c r="K406" s="84"/>
      <c r="L406" s="84"/>
      <c r="M406" s="84"/>
      <c r="N406" s="84"/>
      <c r="O406" s="84"/>
      <c r="P406" s="84"/>
      <c r="Q406" s="84"/>
      <c r="R406" s="84"/>
    </row>
    <row r="407" spans="1:18" ht="18.75" customHeight="1" x14ac:dyDescent="0.25">
      <c r="A407" s="128"/>
      <c r="B407" s="23" t="s">
        <v>464</v>
      </c>
      <c r="C407" s="23"/>
      <c r="D407" s="23"/>
      <c r="E407" s="23"/>
      <c r="F407" s="23"/>
      <c r="G407" s="146"/>
      <c r="H407" s="21"/>
      <c r="I407" s="147"/>
      <c r="K407" s="84"/>
      <c r="L407" s="84"/>
      <c r="M407" s="84"/>
      <c r="N407" s="84"/>
      <c r="O407" s="84"/>
      <c r="P407" s="84"/>
      <c r="Q407" s="84"/>
      <c r="R407" s="84"/>
    </row>
    <row r="408" spans="1:18" ht="18.75" customHeight="1" x14ac:dyDescent="0.25">
      <c r="A408" s="128"/>
      <c r="B408" s="148" t="s">
        <v>466</v>
      </c>
      <c r="C408" s="71" t="s">
        <v>502</v>
      </c>
      <c r="D408" s="21" t="s">
        <v>13</v>
      </c>
      <c r="E408" s="68" t="s">
        <v>465</v>
      </c>
      <c r="F408" s="23"/>
      <c r="G408" s="146"/>
      <c r="H408" s="21"/>
      <c r="I408" s="147"/>
      <c r="K408" s="84"/>
      <c r="L408" s="84"/>
      <c r="M408" s="84"/>
      <c r="N408" s="84"/>
      <c r="O408" s="84"/>
      <c r="P408" s="84"/>
      <c r="Q408" s="84"/>
      <c r="R408" s="84"/>
    </row>
    <row r="409" spans="1:18" ht="18.75" customHeight="1" x14ac:dyDescent="0.25">
      <c r="A409" s="128"/>
      <c r="B409" s="23"/>
      <c r="C409" s="12">
        <f>H403</f>
        <v>200</v>
      </c>
      <c r="D409" s="21" t="str">
        <f>IF(C409&gt;=E409,"≥","&lt;")</f>
        <v>≥</v>
      </c>
      <c r="E409" s="12">
        <f>2+D228*1000/30</f>
        <v>70.666666666666671</v>
      </c>
      <c r="F409" s="23"/>
      <c r="G409" s="149" t="s">
        <v>14</v>
      </c>
      <c r="H409" s="149" t="str">
        <f>IF(C409&gt;=E409,"[ OK ]","[ NOT OK ]")</f>
        <v>[ OK ]</v>
      </c>
      <c r="I409" s="147"/>
      <c r="K409" s="84"/>
      <c r="L409" s="84"/>
      <c r="M409" s="84"/>
      <c r="N409" s="84"/>
      <c r="O409" s="84"/>
      <c r="P409" s="84"/>
      <c r="Q409" s="84"/>
      <c r="R409" s="84"/>
    </row>
    <row r="410" spans="1:18" ht="18.75" customHeight="1" x14ac:dyDescent="0.25">
      <c r="A410" s="128"/>
      <c r="B410" s="23"/>
      <c r="C410" s="94"/>
      <c r="D410" s="21"/>
      <c r="E410" s="94"/>
      <c r="F410" s="23"/>
      <c r="G410" s="149"/>
      <c r="H410" s="149"/>
      <c r="I410" s="147"/>
      <c r="K410" s="84"/>
      <c r="L410" s="84"/>
      <c r="M410" s="84"/>
      <c r="N410" s="84"/>
      <c r="O410" s="84"/>
      <c r="P410" s="84"/>
      <c r="Q410" s="84"/>
      <c r="R410" s="84"/>
    </row>
    <row r="411" spans="1:18" ht="18.75" customHeight="1" x14ac:dyDescent="0.25">
      <c r="A411" s="128"/>
      <c r="B411" s="148" t="s">
        <v>467</v>
      </c>
      <c r="C411" s="12" t="s">
        <v>503</v>
      </c>
      <c r="D411" s="21" t="s">
        <v>13</v>
      </c>
      <c r="E411" s="12" t="s">
        <v>502</v>
      </c>
      <c r="F411" s="21" t="s">
        <v>13</v>
      </c>
      <c r="G411" s="12" t="s">
        <v>504</v>
      </c>
      <c r="H411" s="22"/>
      <c r="I411" s="156"/>
      <c r="K411" s="84"/>
      <c r="L411" s="84"/>
      <c r="M411" s="84"/>
      <c r="N411" s="84"/>
      <c r="O411" s="84"/>
      <c r="P411" s="84"/>
      <c r="Q411" s="84"/>
      <c r="R411" s="84"/>
    </row>
    <row r="412" spans="1:18" ht="18.75" customHeight="1" x14ac:dyDescent="0.25">
      <c r="A412" s="128"/>
      <c r="B412" s="23"/>
      <c r="C412" s="16">
        <f>16*H404</f>
        <v>320</v>
      </c>
      <c r="D412" s="21" t="str">
        <f>IF(C412&gt;=E412,"≥","&lt;")</f>
        <v>≥</v>
      </c>
      <c r="E412" s="12">
        <f>H403</f>
        <v>200</v>
      </c>
      <c r="F412" s="21" t="str">
        <f>IF(E412&gt;=G412,"≥","&lt;")</f>
        <v>≥</v>
      </c>
      <c r="G412" s="12">
        <f>C226*1000/2</f>
        <v>190</v>
      </c>
      <c r="H412" s="22"/>
      <c r="I412" s="156"/>
      <c r="K412" s="84"/>
      <c r="L412" s="84"/>
      <c r="M412" s="84"/>
      <c r="N412" s="84"/>
      <c r="O412" s="84"/>
      <c r="P412" s="84"/>
      <c r="Q412" s="84"/>
      <c r="R412" s="84"/>
    </row>
    <row r="413" spans="1:18" ht="18.75" customHeight="1" x14ac:dyDescent="0.25">
      <c r="A413" s="128"/>
      <c r="B413" s="23"/>
      <c r="C413" s="23"/>
      <c r="D413" s="82"/>
      <c r="E413" s="21"/>
      <c r="F413" s="70"/>
      <c r="G413" s="149" t="s">
        <v>14</v>
      </c>
      <c r="H413" s="149" t="str">
        <f>IF(C412&gt;=E412,IF(E412&gt;=G412,"[ OK ]","[ NOT OK ]"),"[ NOT OK ]")</f>
        <v>[ OK ]</v>
      </c>
      <c r="I413" s="147"/>
      <c r="K413" s="84"/>
      <c r="L413" s="84"/>
      <c r="M413" s="84"/>
      <c r="N413" s="84"/>
      <c r="O413" s="84"/>
      <c r="P413" s="84"/>
      <c r="Q413" s="84"/>
      <c r="R413" s="84"/>
    </row>
    <row r="414" spans="1:18" ht="18.75" customHeight="1" x14ac:dyDescent="0.25">
      <c r="A414" s="128"/>
      <c r="B414" s="23"/>
      <c r="C414" s="23"/>
      <c r="D414" s="23"/>
      <c r="E414" s="23"/>
      <c r="F414" s="23"/>
      <c r="G414" s="146"/>
      <c r="H414" s="173"/>
      <c r="I414" s="147"/>
      <c r="K414" s="84"/>
      <c r="L414" s="84"/>
      <c r="M414" s="84"/>
      <c r="N414" s="84"/>
      <c r="O414" s="84"/>
      <c r="P414" s="84"/>
      <c r="Q414" s="84"/>
      <c r="R414" s="84"/>
    </row>
    <row r="415" spans="1:18" ht="18.75" customHeight="1" x14ac:dyDescent="0.25">
      <c r="A415" s="128"/>
      <c r="B415" s="23" t="s">
        <v>468</v>
      </c>
      <c r="C415" s="23"/>
      <c r="D415" s="23"/>
      <c r="E415" s="23"/>
      <c r="F415" s="23"/>
      <c r="G415" s="146" t="s">
        <v>469</v>
      </c>
      <c r="H415" s="18">
        <f>1/12*H404*H403^3/10^12</f>
        <v>1.3333333333333332E-5</v>
      </c>
      <c r="I415" s="147" t="s">
        <v>395</v>
      </c>
      <c r="K415" s="84"/>
      <c r="L415" s="84"/>
      <c r="M415" s="84"/>
      <c r="N415" s="84"/>
      <c r="O415" s="84"/>
      <c r="P415" s="84"/>
      <c r="Q415" s="84"/>
      <c r="R415" s="84"/>
    </row>
    <row r="416" spans="1:18" ht="18.75" customHeight="1" x14ac:dyDescent="0.25">
      <c r="A416" s="128"/>
      <c r="B416" s="23" t="s">
        <v>452</v>
      </c>
      <c r="C416" s="23"/>
      <c r="D416" s="23"/>
      <c r="E416" s="23"/>
      <c r="F416" s="23"/>
      <c r="G416" s="146" t="s">
        <v>455</v>
      </c>
      <c r="H416" s="16">
        <f>2.5/(H406/D227)^2-2</f>
        <v>-0.82122222222222208</v>
      </c>
      <c r="I416" s="147"/>
      <c r="K416" s="84"/>
      <c r="L416" s="84"/>
      <c r="M416" s="84"/>
      <c r="N416" s="84"/>
      <c r="O416" s="84"/>
      <c r="P416" s="84"/>
      <c r="Q416" s="84"/>
      <c r="R416" s="84"/>
    </row>
    <row r="417" spans="1:18" ht="18.75" customHeight="1" x14ac:dyDescent="0.25">
      <c r="A417" s="128"/>
      <c r="B417" s="23"/>
      <c r="C417" s="23"/>
      <c r="D417" s="23"/>
      <c r="E417" s="23"/>
      <c r="F417" s="23"/>
      <c r="G417" s="146" t="s">
        <v>454</v>
      </c>
      <c r="H417" s="16">
        <v>0.5</v>
      </c>
      <c r="I417" s="147"/>
      <c r="K417" s="84"/>
      <c r="L417" s="84"/>
      <c r="M417" s="84"/>
      <c r="N417" s="84"/>
      <c r="O417" s="84"/>
      <c r="P417" s="84"/>
      <c r="Q417" s="84"/>
      <c r="R417" s="84"/>
    </row>
    <row r="418" spans="1:18" ht="18.75" customHeight="1" x14ac:dyDescent="0.25">
      <c r="A418" s="128"/>
      <c r="B418" s="23"/>
      <c r="C418" s="23"/>
      <c r="D418" s="23"/>
      <c r="E418" s="23"/>
      <c r="F418" s="23"/>
      <c r="G418" s="146" t="s">
        <v>453</v>
      </c>
      <c r="H418" s="16">
        <f>MAX(H416:H417)</f>
        <v>0.5</v>
      </c>
      <c r="I418" s="147"/>
      <c r="K418" s="84"/>
      <c r="L418" s="84"/>
      <c r="M418" s="84"/>
      <c r="N418" s="84"/>
      <c r="O418" s="84"/>
      <c r="P418" s="84"/>
      <c r="Q418" s="84"/>
      <c r="R418" s="84"/>
    </row>
    <row r="419" spans="1:18" ht="18.75" customHeight="1" x14ac:dyDescent="0.25">
      <c r="A419" s="128"/>
      <c r="B419" s="23" t="s">
        <v>458</v>
      </c>
      <c r="C419" s="23"/>
      <c r="D419" s="23"/>
      <c r="E419" s="23"/>
      <c r="F419" s="23"/>
      <c r="G419" s="146" t="s">
        <v>459</v>
      </c>
      <c r="H419" s="16">
        <f>0.31*H10/(H403/H404)^2</f>
        <v>620</v>
      </c>
      <c r="I419" s="147" t="s">
        <v>23</v>
      </c>
      <c r="K419" s="84"/>
      <c r="L419" s="84"/>
      <c r="M419" s="84"/>
      <c r="N419" s="84"/>
      <c r="O419" s="84"/>
      <c r="P419" s="84"/>
      <c r="Q419" s="84"/>
      <c r="R419" s="84"/>
    </row>
    <row r="420" spans="1:18" ht="18.75" customHeight="1" x14ac:dyDescent="0.25">
      <c r="A420" s="128"/>
      <c r="B420" s="23"/>
      <c r="C420" s="23"/>
      <c r="D420" s="23"/>
      <c r="E420" s="23"/>
      <c r="F420" s="23"/>
      <c r="G420" s="146" t="s">
        <v>470</v>
      </c>
      <c r="H420" s="16">
        <f>H6</f>
        <v>360</v>
      </c>
      <c r="I420" s="147" t="s">
        <v>23</v>
      </c>
      <c r="J420" s="99"/>
      <c r="K420" s="84"/>
      <c r="L420" s="84"/>
      <c r="M420" s="84"/>
      <c r="N420" s="84"/>
      <c r="O420" s="84"/>
      <c r="P420" s="84"/>
      <c r="Q420" s="84"/>
      <c r="R420" s="84"/>
    </row>
    <row r="421" spans="1:18" ht="18.75" customHeight="1" x14ac:dyDescent="0.25">
      <c r="A421" s="128"/>
      <c r="B421" s="23"/>
      <c r="C421" s="23"/>
      <c r="D421" s="23"/>
      <c r="E421" s="23"/>
      <c r="F421" s="23"/>
      <c r="G421" s="146" t="s">
        <v>471</v>
      </c>
      <c r="H421" s="16">
        <f>MIN(H419:H420)</f>
        <v>360</v>
      </c>
      <c r="I421" s="147" t="s">
        <v>23</v>
      </c>
      <c r="K421" s="84"/>
      <c r="L421" s="84"/>
      <c r="M421" s="84"/>
      <c r="N421" s="84"/>
      <c r="O421" s="84"/>
      <c r="P421" s="84"/>
      <c r="Q421" s="84"/>
      <c r="R421" s="84"/>
    </row>
    <row r="422" spans="1:18" ht="18.75" customHeight="1" x14ac:dyDescent="0.25">
      <c r="A422" s="128"/>
      <c r="B422" s="23" t="s">
        <v>472</v>
      </c>
      <c r="C422" s="23"/>
      <c r="D422" s="23"/>
      <c r="E422" s="23"/>
      <c r="F422" s="23"/>
      <c r="G422" s="146" t="s">
        <v>473</v>
      </c>
      <c r="H422" s="16">
        <f>MAX(H420/H421,1)</f>
        <v>1</v>
      </c>
      <c r="I422" s="147"/>
      <c r="K422" s="84"/>
      <c r="L422" s="84"/>
      <c r="M422" s="84"/>
      <c r="N422" s="84"/>
      <c r="O422" s="84"/>
      <c r="P422" s="84"/>
      <c r="Q422" s="84"/>
      <c r="R422" s="84"/>
    </row>
    <row r="423" spans="1:18" ht="18.75" customHeight="1" x14ac:dyDescent="0.25">
      <c r="A423" s="128"/>
      <c r="B423" s="23" t="s">
        <v>456</v>
      </c>
      <c r="C423" s="23"/>
      <c r="D423" s="23"/>
      <c r="E423" s="23"/>
      <c r="F423" s="23"/>
      <c r="G423" s="146" t="s">
        <v>457</v>
      </c>
      <c r="H423" s="95">
        <f>MIN(H406,D227)*C193^3*H418</f>
        <v>4.2188800000000007E-6</v>
      </c>
      <c r="I423" s="147" t="s">
        <v>395</v>
      </c>
      <c r="K423" s="84"/>
      <c r="L423" s="84"/>
      <c r="M423" s="84"/>
      <c r="N423" s="84"/>
      <c r="O423" s="84"/>
      <c r="P423" s="84"/>
      <c r="Q423" s="84"/>
      <c r="R423" s="84"/>
    </row>
    <row r="424" spans="1:18" ht="18.75" customHeight="1" x14ac:dyDescent="0.25">
      <c r="A424" s="128"/>
      <c r="B424" s="23" t="s">
        <v>474</v>
      </c>
      <c r="C424" s="23"/>
      <c r="D424" s="23"/>
      <c r="E424" s="23"/>
      <c r="F424" s="23"/>
      <c r="G424" s="146"/>
      <c r="H424" s="21"/>
      <c r="I424" s="147"/>
      <c r="K424" s="84"/>
      <c r="L424" s="84"/>
      <c r="M424" s="84"/>
      <c r="N424" s="84"/>
      <c r="O424" s="84"/>
      <c r="P424" s="84"/>
      <c r="Q424" s="84"/>
      <c r="R424" s="84"/>
    </row>
    <row r="425" spans="1:18" ht="18.75" customHeight="1" x14ac:dyDescent="0.25">
      <c r="A425" s="128"/>
      <c r="B425" s="23" t="s">
        <v>881</v>
      </c>
      <c r="C425" s="23"/>
      <c r="D425" s="23"/>
      <c r="E425" s="23"/>
      <c r="F425" s="23"/>
      <c r="G425" s="146" t="s">
        <v>476</v>
      </c>
      <c r="H425" s="95">
        <f>1/40*(D228^4)*(H422^(1.3))*((H6/H10)^1.5)</f>
        <v>3.4380932191323895E-5</v>
      </c>
      <c r="I425" s="147" t="s">
        <v>395</v>
      </c>
      <c r="K425" s="327"/>
      <c r="L425" s="84"/>
      <c r="M425" s="84"/>
      <c r="N425" s="84"/>
      <c r="O425" s="84"/>
      <c r="P425" s="84"/>
      <c r="Q425" s="84"/>
      <c r="R425" s="84"/>
    </row>
    <row r="426" spans="1:18" ht="18.75" customHeight="1" x14ac:dyDescent="0.25">
      <c r="A426" s="128"/>
      <c r="B426" s="23"/>
      <c r="C426" s="23"/>
      <c r="D426" s="23"/>
      <c r="E426" s="23"/>
      <c r="F426" s="23"/>
      <c r="G426" s="146"/>
      <c r="H426" s="21"/>
      <c r="I426" s="147"/>
      <c r="K426" s="84"/>
      <c r="L426" s="84"/>
      <c r="M426" s="84"/>
      <c r="N426" s="84"/>
      <c r="O426" s="84"/>
      <c r="P426" s="84"/>
      <c r="Q426" s="84"/>
      <c r="R426" s="84"/>
    </row>
    <row r="427" spans="1:18" ht="18.75" customHeight="1" x14ac:dyDescent="0.25">
      <c r="A427" s="128"/>
      <c r="B427" s="23" t="s">
        <v>477</v>
      </c>
      <c r="C427" s="23"/>
      <c r="D427" s="23"/>
      <c r="E427" s="23"/>
      <c r="F427" s="23"/>
      <c r="G427" s="146"/>
      <c r="H427" s="21"/>
      <c r="I427" s="147"/>
      <c r="R427" s="84"/>
    </row>
    <row r="428" spans="1:18" ht="18.75" customHeight="1" x14ac:dyDescent="0.25">
      <c r="A428" s="128"/>
      <c r="B428" s="23" t="s">
        <v>478</v>
      </c>
      <c r="C428" s="23"/>
      <c r="D428" s="23"/>
      <c r="E428" s="23"/>
      <c r="F428" s="23"/>
      <c r="G428" s="146"/>
      <c r="H428" s="21"/>
      <c r="I428" s="147"/>
      <c r="K428" s="327"/>
      <c r="L428" s="84"/>
      <c r="M428" s="84"/>
      <c r="N428" s="84"/>
      <c r="O428" s="84"/>
      <c r="P428" s="84"/>
      <c r="Q428" s="84"/>
      <c r="R428" s="84"/>
    </row>
    <row r="429" spans="1:18" ht="18.75" customHeight="1" x14ac:dyDescent="0.25">
      <c r="A429" s="128"/>
      <c r="B429" s="148" t="s">
        <v>466</v>
      </c>
      <c r="C429" s="23"/>
      <c r="D429" s="71" t="s">
        <v>479</v>
      </c>
      <c r="E429" s="21" t="s">
        <v>13</v>
      </c>
      <c r="F429" s="68" t="s">
        <v>882</v>
      </c>
      <c r="G429" s="146"/>
      <c r="H429" s="21"/>
      <c r="I429" s="147"/>
      <c r="K429" s="84"/>
      <c r="L429" s="84"/>
      <c r="M429" s="84"/>
      <c r="N429" s="84"/>
      <c r="O429" s="84"/>
      <c r="P429" s="84"/>
      <c r="Q429" s="84"/>
    </row>
    <row r="430" spans="1:18" ht="18.75" customHeight="1" x14ac:dyDescent="0.25">
      <c r="A430" s="128"/>
      <c r="B430" s="23"/>
      <c r="C430" s="23"/>
      <c r="D430" s="18">
        <f>H415</f>
        <v>1.3333333333333332E-5</v>
      </c>
      <c r="E430" s="21" t="str">
        <f>IF(D430&gt;=F430,"≥","&lt;")</f>
        <v>≥</v>
      </c>
      <c r="F430" s="18">
        <f>MIN(H423,H425)</f>
        <v>4.2188800000000007E-6</v>
      </c>
      <c r="G430" s="149" t="s">
        <v>14</v>
      </c>
      <c r="H430" s="149" t="str">
        <f>IF(D430&gt;=F430,"[ OK ]","[ NOT OK ]")</f>
        <v>[ OK ]</v>
      </c>
      <c r="I430" s="147"/>
      <c r="K430" s="84"/>
      <c r="L430" s="84"/>
      <c r="M430" s="84"/>
      <c r="N430" s="84"/>
      <c r="O430" s="84"/>
      <c r="P430" s="84"/>
      <c r="Q430" s="84"/>
      <c r="R430" s="84"/>
    </row>
    <row r="431" spans="1:18" ht="18.75" customHeight="1" x14ac:dyDescent="0.25">
      <c r="A431" s="128"/>
      <c r="B431" s="23"/>
      <c r="C431" s="23"/>
      <c r="D431" s="23"/>
      <c r="E431" s="23"/>
      <c r="F431" s="23"/>
      <c r="G431" s="146"/>
      <c r="H431" s="21"/>
      <c r="I431" s="147"/>
      <c r="K431" s="84"/>
      <c r="L431" s="84"/>
      <c r="M431" s="84"/>
      <c r="N431" s="84"/>
      <c r="O431" s="84"/>
      <c r="P431" s="84"/>
      <c r="Q431" s="84"/>
      <c r="R431" s="84"/>
    </row>
    <row r="432" spans="1:18" ht="18.75" customHeight="1" x14ac:dyDescent="0.25">
      <c r="A432" s="128"/>
      <c r="B432" s="23" t="s">
        <v>480</v>
      </c>
      <c r="C432" s="23"/>
      <c r="D432" s="23"/>
      <c r="E432" s="23"/>
      <c r="F432" s="23"/>
      <c r="G432" s="146" t="s">
        <v>481</v>
      </c>
      <c r="H432" s="16">
        <f>5+5/(H406/D227)^2</f>
        <v>7.3575555555555558</v>
      </c>
      <c r="I432" s="147"/>
      <c r="K432" s="84"/>
      <c r="L432" s="84"/>
      <c r="M432" s="84"/>
      <c r="N432" s="84"/>
      <c r="O432" s="84"/>
      <c r="P432" s="84"/>
      <c r="Q432" s="84"/>
      <c r="R432" s="84"/>
    </row>
    <row r="433" spans="1:19" ht="18.75" customHeight="1" x14ac:dyDescent="0.25">
      <c r="A433" s="128"/>
      <c r="B433" s="23" t="s">
        <v>485</v>
      </c>
      <c r="C433" s="23"/>
      <c r="D433" s="23"/>
      <c r="E433" s="23"/>
      <c r="F433" s="23"/>
      <c r="G433" s="146"/>
      <c r="H433" s="21"/>
      <c r="I433" s="147"/>
      <c r="K433" s="84"/>
      <c r="L433" s="84"/>
      <c r="M433" s="84"/>
      <c r="N433" s="84"/>
      <c r="O433" s="84"/>
      <c r="P433" s="84"/>
      <c r="Q433" s="84"/>
      <c r="R433" s="84"/>
    </row>
    <row r="434" spans="1:19" ht="18.75" customHeight="1" x14ac:dyDescent="0.25">
      <c r="A434" s="128"/>
      <c r="B434" s="123" t="s">
        <v>497</v>
      </c>
      <c r="C434" s="88"/>
      <c r="D434" s="88"/>
      <c r="E434" s="88"/>
      <c r="F434" s="88"/>
      <c r="G434" s="89" t="s">
        <v>482</v>
      </c>
      <c r="H434" s="16" t="str">
        <f>IF(D151/C151&lt;=1.12*SQRT(H10*H432/H6),1,"")</f>
        <v/>
      </c>
      <c r="I434" s="147"/>
      <c r="K434" s="84"/>
      <c r="L434" s="84"/>
      <c r="M434" s="84"/>
      <c r="N434" s="84"/>
      <c r="O434" s="84"/>
      <c r="P434" s="84"/>
      <c r="Q434" s="84"/>
      <c r="R434" s="84"/>
    </row>
    <row r="435" spans="1:19" s="77" customFormat="1" ht="18.75" customHeight="1" x14ac:dyDescent="0.25">
      <c r="A435" s="128"/>
      <c r="B435" s="123" t="s">
        <v>498</v>
      </c>
      <c r="C435" s="88"/>
      <c r="D435" s="88"/>
      <c r="E435" s="88"/>
      <c r="F435" s="88"/>
      <c r="G435" s="89" t="s">
        <v>483</v>
      </c>
      <c r="H435" s="16" t="str">
        <f>IF(1.12*SQRT(H10*H432/H6)&lt;D151/C151,IF(D151/C151&lt;=1.4*SQRT(H10*H432/H6),(1.12/(D151/C151))*SQRT(H10*H432/H6),""),"")</f>
        <v/>
      </c>
      <c r="I435" s="147"/>
      <c r="K435" s="84"/>
      <c r="L435" s="84"/>
      <c r="M435" s="84"/>
      <c r="N435" s="84"/>
      <c r="O435" s="84"/>
      <c r="P435" s="84"/>
      <c r="Q435" s="84"/>
      <c r="R435" s="84"/>
      <c r="S435" s="1"/>
    </row>
    <row r="436" spans="1:19" ht="18.75" customHeight="1" x14ac:dyDescent="0.25">
      <c r="A436" s="128"/>
      <c r="B436" s="123" t="s">
        <v>499</v>
      </c>
      <c r="C436" s="88"/>
      <c r="D436" s="88"/>
      <c r="E436" s="88"/>
      <c r="F436" s="88"/>
      <c r="G436" s="89" t="s">
        <v>484</v>
      </c>
      <c r="H436" s="16">
        <f>IF(D151/C151&gt;1.4*SQRT(H10*H432/H6),(1.57/(D151/C151)^2)*(H10*H432/H6),"")</f>
        <v>0.38713837424315956</v>
      </c>
      <c r="I436" s="147"/>
      <c r="K436" s="84"/>
      <c r="L436" s="84"/>
      <c r="M436" s="84"/>
      <c r="N436" s="84"/>
      <c r="O436" s="84"/>
      <c r="P436" s="84"/>
      <c r="Q436" s="84"/>
      <c r="R436" s="84"/>
    </row>
    <row r="437" spans="1:19" ht="18.75" customHeight="1" x14ac:dyDescent="0.25">
      <c r="A437" s="128"/>
      <c r="B437" s="23"/>
      <c r="C437" s="23"/>
      <c r="D437" s="23"/>
      <c r="E437" s="23"/>
      <c r="F437" s="23"/>
      <c r="G437" s="146" t="s">
        <v>482</v>
      </c>
      <c r="H437" s="16">
        <f>IF(MAX(H434:H436)&lt;=1,MAX(H434:H436),1)</f>
        <v>0.38713837424315956</v>
      </c>
      <c r="I437" s="147"/>
      <c r="K437" s="84"/>
      <c r="L437" s="84"/>
      <c r="M437" s="84"/>
      <c r="N437" s="84"/>
      <c r="O437" s="84"/>
      <c r="P437" s="84"/>
      <c r="Q437" s="84"/>
      <c r="R437" s="84"/>
    </row>
    <row r="438" spans="1:19" ht="18.75" customHeight="1" x14ac:dyDescent="0.25">
      <c r="A438" s="128"/>
      <c r="B438" s="23" t="s">
        <v>486</v>
      </c>
      <c r="C438" s="23"/>
      <c r="D438" s="23"/>
      <c r="E438" s="23"/>
      <c r="F438" s="23"/>
      <c r="G438" s="146" t="s">
        <v>487</v>
      </c>
      <c r="H438" s="16">
        <f>0.58*H6*D151*C151*10^3</f>
        <v>6882.0479999999998</v>
      </c>
      <c r="I438" s="147" t="s">
        <v>148</v>
      </c>
      <c r="K438" s="84"/>
      <c r="L438" s="84"/>
      <c r="M438" s="84"/>
      <c r="N438" s="84"/>
      <c r="O438" s="84"/>
      <c r="P438" s="84"/>
      <c r="Q438" s="84"/>
      <c r="R438" s="84"/>
      <c r="S438" s="77"/>
    </row>
    <row r="439" spans="1:19" ht="18.75" customHeight="1" x14ac:dyDescent="0.25">
      <c r="A439" s="128"/>
      <c r="B439" s="23" t="s">
        <v>491</v>
      </c>
      <c r="C439" s="23"/>
      <c r="D439" s="23"/>
      <c r="E439" s="23"/>
      <c r="F439" s="23"/>
      <c r="G439" s="146" t="s">
        <v>492</v>
      </c>
      <c r="H439" s="16">
        <f>H437*H438</f>
        <v>2664.3048741833877</v>
      </c>
      <c r="I439" s="171" t="s">
        <v>148</v>
      </c>
      <c r="K439" s="84"/>
      <c r="L439" s="84"/>
      <c r="M439" s="84"/>
      <c r="N439" s="84"/>
      <c r="O439" s="84"/>
      <c r="P439" s="84"/>
      <c r="Q439" s="84"/>
      <c r="R439" s="84"/>
    </row>
    <row r="440" spans="1:19" ht="18.75" customHeight="1" x14ac:dyDescent="0.25">
      <c r="A440" s="128"/>
      <c r="B440" s="23" t="s">
        <v>449</v>
      </c>
      <c r="C440" s="23"/>
      <c r="D440" s="23"/>
      <c r="E440" s="23"/>
      <c r="F440" s="23"/>
      <c r="G440" s="168" t="s">
        <v>507</v>
      </c>
      <c r="H440" s="12">
        <f>1</f>
        <v>1</v>
      </c>
      <c r="I440" s="147"/>
      <c r="K440" s="84"/>
      <c r="L440" s="84"/>
      <c r="M440" s="84"/>
      <c r="N440" s="84"/>
      <c r="O440" s="84"/>
      <c r="P440" s="84"/>
      <c r="Q440" s="84"/>
      <c r="R440" s="84"/>
    </row>
    <row r="441" spans="1:19" ht="18.75" customHeight="1" x14ac:dyDescent="0.25">
      <c r="A441" s="128"/>
      <c r="B441" s="23" t="s">
        <v>495</v>
      </c>
      <c r="C441" s="23"/>
      <c r="D441" s="23"/>
      <c r="E441" s="23"/>
      <c r="F441" s="23"/>
      <c r="G441" s="146"/>
      <c r="H441" s="21"/>
      <c r="I441" s="147"/>
      <c r="K441" s="84"/>
      <c r="L441" s="84"/>
      <c r="M441" s="84"/>
      <c r="N441" s="84"/>
      <c r="O441" s="84"/>
      <c r="P441" s="84"/>
      <c r="Q441" s="84"/>
      <c r="R441" s="84"/>
    </row>
    <row r="442" spans="1:19" ht="18.75" customHeight="1" x14ac:dyDescent="0.25">
      <c r="A442" s="128"/>
      <c r="B442" s="148" t="s">
        <v>19</v>
      </c>
      <c r="C442" s="23"/>
      <c r="D442" s="240" t="s">
        <v>566</v>
      </c>
      <c r="E442" s="21" t="s">
        <v>48</v>
      </c>
      <c r="F442" s="239" t="s">
        <v>567</v>
      </c>
      <c r="G442" s="146"/>
      <c r="H442" s="21"/>
      <c r="I442" s="147"/>
      <c r="K442" s="84"/>
      <c r="L442" s="84"/>
      <c r="M442" s="84"/>
      <c r="N442" s="84"/>
      <c r="O442" s="84"/>
      <c r="P442" s="84"/>
      <c r="Q442" s="84"/>
      <c r="R442" s="84"/>
    </row>
    <row r="443" spans="1:19" ht="18.75" customHeight="1" x14ac:dyDescent="0.25">
      <c r="A443" s="128"/>
      <c r="B443" s="23"/>
      <c r="C443" s="23"/>
      <c r="D443" s="238">
        <f>MAX('Process - Pembebanan'!Z137:Z157)</f>
        <v>2633.2775712471116</v>
      </c>
      <c r="E443" s="21" t="str">
        <f>IF(D396&lt;=F396,"",IF(D443&lt;=F443,"≤","&gt;"))</f>
        <v>≤</v>
      </c>
      <c r="F443" s="238">
        <f>H440*H439</f>
        <v>2664.3048741833877</v>
      </c>
      <c r="G443" s="149" t="s">
        <v>14</v>
      </c>
      <c r="H443" s="149" t="str">
        <f>IF(D443&lt;=F443,"[ OK ]","[ NOT OK ]")</f>
        <v>[ OK ]</v>
      </c>
      <c r="I443" s="147"/>
      <c r="K443" s="84"/>
      <c r="L443" s="84"/>
      <c r="M443" s="84"/>
      <c r="N443" s="84"/>
      <c r="O443" s="84"/>
      <c r="P443" s="84"/>
      <c r="Q443" s="84"/>
      <c r="R443" s="84"/>
    </row>
    <row r="444" spans="1:19" ht="18.75" customHeight="1" x14ac:dyDescent="0.25">
      <c r="A444" s="128"/>
      <c r="B444" s="23"/>
      <c r="C444" s="23"/>
      <c r="D444" s="70"/>
      <c r="E444" s="21"/>
      <c r="F444" s="70"/>
      <c r="G444" s="149"/>
      <c r="H444" s="149"/>
      <c r="I444" s="147"/>
      <c r="K444" s="84"/>
      <c r="L444" s="84"/>
      <c r="M444" s="84"/>
      <c r="N444" s="84"/>
      <c r="O444" s="84"/>
      <c r="P444" s="84"/>
      <c r="Q444" s="84"/>
      <c r="R444" s="84"/>
    </row>
    <row r="445" spans="1:19" ht="18.75" customHeight="1" x14ac:dyDescent="0.25">
      <c r="A445" s="133" t="s">
        <v>805</v>
      </c>
      <c r="B445" s="160" t="s">
        <v>651</v>
      </c>
      <c r="C445" s="153"/>
      <c r="D445" s="153"/>
      <c r="E445" s="153"/>
      <c r="F445" s="153"/>
      <c r="G445" s="154"/>
      <c r="H445" s="172"/>
      <c r="I445" s="155"/>
      <c r="K445" s="84"/>
      <c r="L445" s="84"/>
      <c r="M445" s="84"/>
      <c r="N445" s="84"/>
      <c r="O445" s="84"/>
      <c r="P445" s="84"/>
      <c r="Q445" s="84"/>
      <c r="R445" s="84"/>
    </row>
    <row r="446" spans="1:19" ht="18.75" customHeight="1" x14ac:dyDescent="0.25">
      <c r="A446" s="128"/>
      <c r="B446" s="23" t="s">
        <v>460</v>
      </c>
      <c r="C446" s="23"/>
      <c r="D446" s="23"/>
      <c r="E446" s="23"/>
      <c r="F446" s="23"/>
      <c r="G446" s="146" t="s">
        <v>462</v>
      </c>
      <c r="H446" s="187">
        <f>H51</f>
        <v>200</v>
      </c>
      <c r="I446" s="147" t="s">
        <v>9</v>
      </c>
      <c r="K446" s="84"/>
      <c r="L446" s="84"/>
      <c r="M446" s="84"/>
      <c r="N446" s="84"/>
      <c r="O446" s="84"/>
      <c r="P446" s="84"/>
      <c r="Q446" s="84"/>
      <c r="R446" s="84"/>
    </row>
    <row r="447" spans="1:19" ht="18.75" customHeight="1" x14ac:dyDescent="0.25">
      <c r="A447" s="128"/>
      <c r="B447" s="23" t="s">
        <v>461</v>
      </c>
      <c r="C447" s="23"/>
      <c r="D447" s="23"/>
      <c r="E447" s="23"/>
      <c r="F447" s="23"/>
      <c r="G447" s="146" t="s">
        <v>463</v>
      </c>
      <c r="H447" s="187">
        <f>H52</f>
        <v>20</v>
      </c>
      <c r="I447" s="147" t="s">
        <v>9</v>
      </c>
      <c r="K447" s="84"/>
      <c r="L447" s="84"/>
      <c r="M447" s="84"/>
      <c r="N447" s="84"/>
      <c r="O447" s="84"/>
      <c r="P447" s="84"/>
      <c r="Q447" s="84"/>
      <c r="R447" s="84"/>
    </row>
    <row r="448" spans="1:19" ht="18.75" customHeight="1" x14ac:dyDescent="0.25">
      <c r="A448" s="128"/>
      <c r="B448" s="23" t="s">
        <v>708</v>
      </c>
      <c r="C448" s="23"/>
      <c r="D448" s="23"/>
      <c r="E448" s="23"/>
      <c r="F448" s="23"/>
      <c r="G448" s="146" t="s">
        <v>709</v>
      </c>
      <c r="H448" s="186">
        <f>H23-2*H406</f>
        <v>44</v>
      </c>
      <c r="I448" s="147" t="s">
        <v>2</v>
      </c>
      <c r="K448" s="84"/>
      <c r="L448" s="84"/>
      <c r="M448" s="84"/>
      <c r="N448" s="84"/>
      <c r="O448" s="84"/>
      <c r="P448" s="84"/>
      <c r="Q448" s="84"/>
      <c r="R448" s="84"/>
    </row>
    <row r="449" spans="1:18" ht="18.75" customHeight="1" x14ac:dyDescent="0.25">
      <c r="A449" s="128"/>
      <c r="B449" s="23" t="s">
        <v>710</v>
      </c>
      <c r="C449" s="23"/>
      <c r="D449" s="23"/>
      <c r="E449" s="23"/>
      <c r="F449" s="23"/>
      <c r="G449" s="146" t="s">
        <v>147</v>
      </c>
      <c r="H449" s="187">
        <f>H31</f>
        <v>10</v>
      </c>
      <c r="I449" s="147"/>
      <c r="K449" s="84"/>
      <c r="L449" s="84"/>
      <c r="M449" s="84"/>
      <c r="N449" s="84"/>
      <c r="O449" s="84"/>
      <c r="P449" s="84"/>
      <c r="Q449" s="84"/>
      <c r="R449" s="84"/>
    </row>
    <row r="450" spans="1:18" ht="18.75" customHeight="1" x14ac:dyDescent="0.25">
      <c r="A450" s="128"/>
      <c r="B450" s="23" t="s">
        <v>650</v>
      </c>
      <c r="C450" s="23"/>
      <c r="D450" s="23"/>
      <c r="E450" s="23"/>
      <c r="F450" s="23"/>
      <c r="G450" s="146" t="s">
        <v>711</v>
      </c>
      <c r="H450" s="16">
        <f>H448/H449</f>
        <v>4.4000000000000004</v>
      </c>
      <c r="I450" s="147" t="s">
        <v>2</v>
      </c>
      <c r="K450" s="84"/>
      <c r="L450" s="84"/>
      <c r="M450" s="84"/>
      <c r="N450" s="84"/>
      <c r="O450" s="84"/>
      <c r="P450" s="84"/>
      <c r="Q450" s="84"/>
      <c r="R450" s="84"/>
    </row>
    <row r="451" spans="1:18" ht="18.75" customHeight="1" x14ac:dyDescent="0.25">
      <c r="A451" s="128"/>
      <c r="B451" s="23" t="s">
        <v>464</v>
      </c>
      <c r="C451" s="23"/>
      <c r="D451" s="23"/>
      <c r="E451" s="23"/>
      <c r="F451" s="23"/>
      <c r="G451" s="146"/>
      <c r="H451" s="21"/>
      <c r="I451" s="147"/>
      <c r="K451" s="75"/>
      <c r="L451" s="75"/>
      <c r="M451" s="75"/>
      <c r="N451" s="75"/>
      <c r="O451" s="75"/>
      <c r="P451" s="75"/>
      <c r="Q451" s="75"/>
      <c r="R451" s="84"/>
    </row>
    <row r="452" spans="1:18" ht="18.75" customHeight="1" x14ac:dyDescent="0.25">
      <c r="A452" s="128"/>
      <c r="B452" s="148" t="s">
        <v>466</v>
      </c>
      <c r="C452" s="71" t="s">
        <v>502</v>
      </c>
      <c r="D452" s="21" t="s">
        <v>13</v>
      </c>
      <c r="E452" s="68" t="s">
        <v>465</v>
      </c>
      <c r="F452" s="23"/>
      <c r="G452" s="146"/>
      <c r="H452" s="21"/>
      <c r="I452" s="147"/>
      <c r="K452" s="75"/>
      <c r="L452" s="75"/>
      <c r="M452" s="75"/>
      <c r="N452" s="75"/>
      <c r="O452" s="75"/>
      <c r="P452" s="75"/>
      <c r="Q452" s="75"/>
      <c r="R452" s="84"/>
    </row>
    <row r="453" spans="1:18" ht="18.75" customHeight="1" x14ac:dyDescent="0.25">
      <c r="A453" s="128"/>
      <c r="B453" s="23"/>
      <c r="C453" s="12">
        <f>H446</f>
        <v>200</v>
      </c>
      <c r="D453" s="21" t="str">
        <f>IF(C453&gt;=E453,"≥","&lt;")</f>
        <v>≥</v>
      </c>
      <c r="E453" s="12">
        <f>2+D228*1000/30</f>
        <v>70.666666666666671</v>
      </c>
      <c r="F453" s="23"/>
      <c r="G453" s="149" t="s">
        <v>14</v>
      </c>
      <c r="H453" s="149" t="str">
        <f>IF(C453&gt;=E453,"[ OK ]","[ NOT OK ]")</f>
        <v>[ OK ]</v>
      </c>
      <c r="I453" s="147"/>
      <c r="K453" s="75"/>
      <c r="L453" s="75"/>
      <c r="M453" s="75"/>
      <c r="N453" s="75"/>
      <c r="O453" s="75"/>
      <c r="P453" s="75"/>
      <c r="Q453" s="75"/>
      <c r="R453" s="75"/>
    </row>
    <row r="454" spans="1:18" ht="18.75" customHeight="1" x14ac:dyDescent="0.25">
      <c r="A454" s="128"/>
      <c r="B454" s="23"/>
      <c r="C454" s="94"/>
      <c r="D454" s="21"/>
      <c r="E454" s="94"/>
      <c r="F454" s="23"/>
      <c r="G454" s="149"/>
      <c r="H454" s="149"/>
      <c r="I454" s="147"/>
      <c r="K454" s="75"/>
      <c r="L454" s="75"/>
      <c r="M454" s="75"/>
      <c r="N454" s="75"/>
      <c r="O454" s="75"/>
      <c r="P454" s="75"/>
      <c r="Q454" s="75"/>
      <c r="R454" s="75"/>
    </row>
    <row r="455" spans="1:18" ht="18.75" customHeight="1" x14ac:dyDescent="0.25">
      <c r="A455" s="128"/>
      <c r="B455" s="148" t="s">
        <v>467</v>
      </c>
      <c r="C455" s="12" t="s">
        <v>503</v>
      </c>
      <c r="D455" s="21" t="s">
        <v>13</v>
      </c>
      <c r="E455" s="12" t="s">
        <v>502</v>
      </c>
      <c r="F455" s="21" t="s">
        <v>13</v>
      </c>
      <c r="G455" s="12" t="s">
        <v>504</v>
      </c>
      <c r="H455" s="22"/>
      <c r="I455" s="156"/>
      <c r="K455" s="75"/>
      <c r="L455" s="75"/>
      <c r="M455" s="75"/>
      <c r="N455" s="75"/>
      <c r="O455" s="75"/>
      <c r="P455" s="75"/>
      <c r="Q455" s="75"/>
      <c r="R455" s="75"/>
    </row>
    <row r="456" spans="1:18" ht="18.75" customHeight="1" x14ac:dyDescent="0.25">
      <c r="A456" s="128"/>
      <c r="B456" s="23"/>
      <c r="C456" s="16">
        <f>16*H447</f>
        <v>320</v>
      </c>
      <c r="D456" s="21" t="str">
        <f>IF(C456&gt;=E456,"≥","&lt;")</f>
        <v>≥</v>
      </c>
      <c r="E456" s="12">
        <f>H446</f>
        <v>200</v>
      </c>
      <c r="F456" s="21" t="str">
        <f>IF(E456&gt;=G456,"≥","&lt;")</f>
        <v>≥</v>
      </c>
      <c r="G456" s="12">
        <f>C226*1000/2</f>
        <v>190</v>
      </c>
      <c r="H456" s="22"/>
      <c r="I456" s="156"/>
      <c r="K456" s="75"/>
      <c r="L456" s="75"/>
      <c r="M456" s="75"/>
      <c r="N456" s="75"/>
      <c r="O456" s="75"/>
      <c r="P456" s="75"/>
      <c r="Q456" s="75"/>
      <c r="R456" s="75"/>
    </row>
    <row r="457" spans="1:18" ht="18.75" customHeight="1" x14ac:dyDescent="0.25">
      <c r="A457" s="128"/>
      <c r="B457" s="23"/>
      <c r="C457" s="23"/>
      <c r="D457" s="82"/>
      <c r="E457" s="21"/>
      <c r="F457" s="70"/>
      <c r="G457" s="149" t="s">
        <v>14</v>
      </c>
      <c r="H457" s="149" t="str">
        <f>IF(C456&gt;=E456,IF(E456&gt;=G456,"[ OK ]","[ NOT OK ]"),"[ NOT OK ]")</f>
        <v>[ OK ]</v>
      </c>
      <c r="I457" s="147"/>
      <c r="K457" s="75"/>
      <c r="L457" s="75"/>
      <c r="M457" s="75"/>
      <c r="N457" s="75"/>
      <c r="O457" s="75"/>
      <c r="P457" s="75"/>
      <c r="Q457" s="75"/>
      <c r="R457" s="75"/>
    </row>
    <row r="458" spans="1:18" ht="18.75" customHeight="1" x14ac:dyDescent="0.25">
      <c r="A458" s="128"/>
      <c r="B458" s="23"/>
      <c r="C458" s="23"/>
      <c r="D458" s="23"/>
      <c r="E458" s="23"/>
      <c r="F458" s="23"/>
      <c r="G458" s="146"/>
      <c r="H458" s="173"/>
      <c r="I458" s="147"/>
      <c r="K458" s="75"/>
      <c r="L458" s="75"/>
      <c r="M458" s="75"/>
      <c r="N458" s="75"/>
      <c r="O458" s="75"/>
      <c r="P458" s="75"/>
      <c r="Q458" s="75"/>
      <c r="R458" s="75"/>
    </row>
    <row r="459" spans="1:18" ht="18.75" customHeight="1" x14ac:dyDescent="0.25">
      <c r="A459" s="128"/>
      <c r="B459" s="23" t="s">
        <v>468</v>
      </c>
      <c r="C459" s="23"/>
      <c r="D459" s="23"/>
      <c r="E459" s="23"/>
      <c r="F459" s="23"/>
      <c r="G459" s="146" t="s">
        <v>469</v>
      </c>
      <c r="H459" s="18">
        <f>1/12*H447*H446^3/10^12</f>
        <v>1.3333333333333332E-5</v>
      </c>
      <c r="I459" s="147" t="s">
        <v>395</v>
      </c>
      <c r="K459" s="75"/>
      <c r="L459" s="75"/>
      <c r="M459" s="75"/>
      <c r="N459" s="75"/>
      <c r="O459" s="75"/>
      <c r="P459" s="75"/>
      <c r="Q459" s="75"/>
      <c r="R459" s="75"/>
    </row>
    <row r="460" spans="1:18" ht="18.75" customHeight="1" x14ac:dyDescent="0.25">
      <c r="A460" s="128"/>
      <c r="B460" s="23" t="s">
        <v>452</v>
      </c>
      <c r="C460" s="23"/>
      <c r="D460" s="23"/>
      <c r="E460" s="23"/>
      <c r="F460" s="23"/>
      <c r="G460" s="146" t="s">
        <v>455</v>
      </c>
      <c r="H460" s="16">
        <f>2.5/(H450/D228)^2-2</f>
        <v>-1.4520144628099172</v>
      </c>
      <c r="I460" s="147"/>
      <c r="K460" s="75"/>
      <c r="L460" s="75"/>
      <c r="M460" s="75"/>
      <c r="N460" s="75"/>
      <c r="O460" s="75"/>
      <c r="P460" s="75"/>
      <c r="Q460" s="75"/>
      <c r="R460" s="75"/>
    </row>
    <row r="461" spans="1:18" ht="18.75" customHeight="1" x14ac:dyDescent="0.25">
      <c r="A461" s="128"/>
      <c r="B461" s="23"/>
      <c r="C461" s="23"/>
      <c r="D461" s="23"/>
      <c r="E461" s="23"/>
      <c r="F461" s="23"/>
      <c r="G461" s="146" t="s">
        <v>454</v>
      </c>
      <c r="H461" s="16">
        <v>0.5</v>
      </c>
      <c r="I461" s="147"/>
      <c r="K461" s="75"/>
      <c r="L461" s="75"/>
      <c r="M461" s="75"/>
      <c r="N461" s="75"/>
      <c r="O461" s="75"/>
      <c r="P461" s="75"/>
      <c r="Q461" s="75"/>
      <c r="R461" s="75"/>
    </row>
    <row r="462" spans="1:18" ht="18.75" customHeight="1" x14ac:dyDescent="0.25">
      <c r="A462" s="128"/>
      <c r="B462" s="23"/>
      <c r="C462" s="23"/>
      <c r="D462" s="23"/>
      <c r="E462" s="23"/>
      <c r="F462" s="23"/>
      <c r="G462" s="146" t="s">
        <v>453</v>
      </c>
      <c r="H462" s="16">
        <f>MAX(H460:H461)</f>
        <v>0.5</v>
      </c>
      <c r="I462" s="147"/>
      <c r="K462" s="75"/>
      <c r="L462" s="75"/>
      <c r="M462" s="75"/>
      <c r="N462" s="75"/>
      <c r="O462" s="75"/>
      <c r="P462" s="75"/>
      <c r="Q462" s="75"/>
      <c r="R462" s="75"/>
    </row>
    <row r="463" spans="1:18" ht="18.75" customHeight="1" x14ac:dyDescent="0.25">
      <c r="A463" s="128"/>
      <c r="B463" s="23" t="s">
        <v>458</v>
      </c>
      <c r="C463" s="23"/>
      <c r="D463" s="23"/>
      <c r="E463" s="23"/>
      <c r="F463" s="23"/>
      <c r="G463" s="146" t="s">
        <v>459</v>
      </c>
      <c r="H463" s="16">
        <f>0.31*H10/(H446/H447)^2</f>
        <v>620</v>
      </c>
      <c r="I463" s="147" t="s">
        <v>23</v>
      </c>
      <c r="K463" s="75"/>
      <c r="L463" s="75"/>
      <c r="M463" s="75"/>
      <c r="N463" s="75"/>
      <c r="O463" s="75"/>
      <c r="P463" s="75"/>
      <c r="Q463" s="75"/>
      <c r="R463" s="75"/>
    </row>
    <row r="464" spans="1:18" ht="18.75" customHeight="1" x14ac:dyDescent="0.25">
      <c r="A464" s="128"/>
      <c r="B464" s="23"/>
      <c r="C464" s="23"/>
      <c r="D464" s="23"/>
      <c r="E464" s="23"/>
      <c r="F464" s="23"/>
      <c r="G464" s="146" t="s">
        <v>470</v>
      </c>
      <c r="H464" s="16">
        <f>H420</f>
        <v>360</v>
      </c>
      <c r="I464" s="147" t="s">
        <v>23</v>
      </c>
      <c r="J464" s="99"/>
      <c r="K464" s="75"/>
      <c r="L464" s="75"/>
      <c r="M464" s="75"/>
      <c r="N464" s="75"/>
      <c r="O464" s="75"/>
      <c r="P464" s="75"/>
      <c r="Q464" s="75"/>
      <c r="R464" s="75"/>
    </row>
    <row r="465" spans="1:18" ht="18.75" customHeight="1" x14ac:dyDescent="0.25">
      <c r="A465" s="128"/>
      <c r="B465" s="23"/>
      <c r="C465" s="23"/>
      <c r="D465" s="23"/>
      <c r="E465" s="23"/>
      <c r="F465" s="23"/>
      <c r="G465" s="146" t="s">
        <v>471</v>
      </c>
      <c r="H465" s="16">
        <f>MIN(H463:H464)</f>
        <v>360</v>
      </c>
      <c r="I465" s="147" t="s">
        <v>23</v>
      </c>
      <c r="K465" s="75"/>
      <c r="L465" s="75"/>
      <c r="M465" s="75"/>
      <c r="N465" s="75"/>
      <c r="O465" s="75"/>
      <c r="P465" s="75"/>
      <c r="Q465" s="75"/>
      <c r="R465" s="75"/>
    </row>
    <row r="466" spans="1:18" ht="18.75" customHeight="1" x14ac:dyDescent="0.25">
      <c r="A466" s="128"/>
      <c r="B466" s="23" t="s">
        <v>472</v>
      </c>
      <c r="C466" s="23"/>
      <c r="D466" s="23"/>
      <c r="E466" s="23"/>
      <c r="F466" s="23"/>
      <c r="G466" s="146" t="s">
        <v>473</v>
      </c>
      <c r="H466" s="16">
        <f>MAX(H464/H465,1)</f>
        <v>1</v>
      </c>
      <c r="I466" s="147"/>
      <c r="K466" s="75"/>
      <c r="L466" s="75"/>
      <c r="M466" s="75"/>
      <c r="N466" s="75"/>
      <c r="O466" s="75"/>
      <c r="P466" s="75"/>
      <c r="Q466" s="75"/>
      <c r="R466" s="75"/>
    </row>
    <row r="467" spans="1:18" ht="18.75" customHeight="1" x14ac:dyDescent="0.25">
      <c r="A467" s="128"/>
      <c r="B467" s="23" t="s">
        <v>456</v>
      </c>
      <c r="C467" s="23"/>
      <c r="D467" s="23"/>
      <c r="E467" s="23"/>
      <c r="F467" s="23"/>
      <c r="G467" s="146" t="s">
        <v>457</v>
      </c>
      <c r="H467" s="95">
        <f>MIN(H450,D227)*C193^3*H462</f>
        <v>4.2188800000000007E-6</v>
      </c>
      <c r="I467" s="147" t="s">
        <v>395</v>
      </c>
      <c r="K467" s="75"/>
      <c r="L467" s="75"/>
      <c r="M467" s="75"/>
      <c r="N467" s="75"/>
      <c r="O467" s="75"/>
      <c r="P467" s="75"/>
      <c r="Q467" s="75"/>
      <c r="R467" s="75"/>
    </row>
    <row r="468" spans="1:18" ht="18.75" customHeight="1" x14ac:dyDescent="0.25">
      <c r="A468" s="128"/>
      <c r="B468" s="23" t="s">
        <v>474</v>
      </c>
      <c r="C468" s="23"/>
      <c r="D468" s="23"/>
      <c r="E468" s="23"/>
      <c r="F468" s="23"/>
      <c r="G468" s="146"/>
      <c r="H468" s="21"/>
      <c r="I468" s="147"/>
      <c r="K468" s="84"/>
      <c r="L468" s="84"/>
      <c r="M468" s="84"/>
      <c r="N468" s="84"/>
      <c r="O468" s="84"/>
      <c r="P468" s="84"/>
      <c r="Q468" s="84"/>
      <c r="R468" s="75"/>
    </row>
    <row r="469" spans="1:18" ht="18.75" customHeight="1" x14ac:dyDescent="0.25">
      <c r="A469" s="128"/>
      <c r="B469" s="23" t="s">
        <v>475</v>
      </c>
      <c r="C469" s="23"/>
      <c r="D469" s="23"/>
      <c r="E469" s="23"/>
      <c r="F469" s="23"/>
      <c r="G469" s="146" t="s">
        <v>476</v>
      </c>
      <c r="H469" s="95">
        <f>1/40*D228^4*H466^(1.3)*(H6/H10)^1.5</f>
        <v>3.4380932191323895E-5</v>
      </c>
      <c r="I469" s="147" t="s">
        <v>395</v>
      </c>
      <c r="K469" s="84"/>
      <c r="L469" s="326"/>
      <c r="M469" s="84"/>
      <c r="N469" s="84"/>
      <c r="O469" s="84"/>
      <c r="P469" s="84"/>
      <c r="Q469" s="84"/>
      <c r="R469" s="75"/>
    </row>
    <row r="470" spans="1:18" ht="18.75" customHeight="1" x14ac:dyDescent="0.25">
      <c r="A470" s="128"/>
      <c r="B470" s="23"/>
      <c r="C470" s="23"/>
      <c r="D470" s="23"/>
      <c r="E470" s="23"/>
      <c r="F470" s="23"/>
      <c r="G470" s="146"/>
      <c r="H470" s="21"/>
      <c r="I470" s="147"/>
      <c r="K470" s="84"/>
      <c r="L470" s="84"/>
      <c r="M470" s="84"/>
      <c r="N470" s="84"/>
      <c r="O470" s="84"/>
      <c r="P470" s="84"/>
      <c r="Q470" s="84"/>
      <c r="R470" s="84"/>
    </row>
    <row r="471" spans="1:18" ht="18.75" customHeight="1" x14ac:dyDescent="0.25">
      <c r="A471" s="128"/>
      <c r="B471" s="23" t="s">
        <v>477</v>
      </c>
      <c r="C471" s="23"/>
      <c r="D471" s="23"/>
      <c r="E471" s="23"/>
      <c r="F471" s="23"/>
      <c r="G471" s="146"/>
      <c r="H471" s="21"/>
      <c r="I471" s="147"/>
      <c r="K471" s="84"/>
      <c r="L471" s="84"/>
      <c r="M471" s="84"/>
      <c r="N471" s="84"/>
      <c r="O471" s="84"/>
      <c r="P471" s="84"/>
      <c r="Q471" s="84"/>
      <c r="R471" s="84"/>
    </row>
    <row r="472" spans="1:18" ht="18.75" customHeight="1" x14ac:dyDescent="0.25">
      <c r="A472" s="128"/>
      <c r="B472" s="23" t="s">
        <v>478</v>
      </c>
      <c r="C472" s="23"/>
      <c r="D472" s="23"/>
      <c r="E472" s="23"/>
      <c r="F472" s="23"/>
      <c r="G472" s="146"/>
      <c r="H472" s="21"/>
      <c r="I472" s="147"/>
      <c r="K472" s="75"/>
      <c r="L472" s="75"/>
      <c r="M472" s="75"/>
      <c r="N472" s="75"/>
      <c r="O472" s="75"/>
      <c r="P472" s="75"/>
      <c r="Q472" s="75"/>
      <c r="R472" s="84"/>
    </row>
    <row r="473" spans="1:18" ht="18.75" customHeight="1" x14ac:dyDescent="0.25">
      <c r="A473" s="128"/>
      <c r="B473" s="148" t="s">
        <v>466</v>
      </c>
      <c r="C473" s="23"/>
      <c r="D473" s="71" t="s">
        <v>479</v>
      </c>
      <c r="E473" s="21" t="s">
        <v>13</v>
      </c>
      <c r="F473" s="68" t="s">
        <v>882</v>
      </c>
      <c r="G473" s="146"/>
      <c r="H473" s="21"/>
      <c r="I473" s="147"/>
      <c r="K473" s="84"/>
      <c r="L473" s="84"/>
      <c r="M473" s="84"/>
      <c r="N473" s="84"/>
      <c r="O473" s="84"/>
      <c r="P473" s="84"/>
      <c r="Q473" s="84"/>
      <c r="R473" s="84"/>
    </row>
    <row r="474" spans="1:18" ht="18.75" customHeight="1" x14ac:dyDescent="0.25">
      <c r="A474" s="128"/>
      <c r="B474" s="23"/>
      <c r="C474" s="23"/>
      <c r="D474" s="18">
        <f>H459</f>
        <v>1.3333333333333332E-5</v>
      </c>
      <c r="E474" s="21" t="str">
        <f>IF(D474&gt;=F474,"≥","&lt;")</f>
        <v>≥</v>
      </c>
      <c r="F474" s="18">
        <f>MIN(H467,H469)</f>
        <v>4.2188800000000007E-6</v>
      </c>
      <c r="G474" s="149" t="s">
        <v>14</v>
      </c>
      <c r="H474" s="149" t="str">
        <f>IF(D474&gt;=F474,"[ OK ]","[ NOT OK ]")</f>
        <v>[ OK ]</v>
      </c>
      <c r="I474" s="147"/>
      <c r="K474" s="84"/>
      <c r="L474" s="84"/>
      <c r="M474" s="84"/>
      <c r="N474" s="84"/>
      <c r="O474" s="84"/>
      <c r="P474" s="84"/>
      <c r="Q474" s="84"/>
      <c r="R474" s="75"/>
    </row>
    <row r="475" spans="1:18" ht="18.75" customHeight="1" x14ac:dyDescent="0.25">
      <c r="A475" s="128"/>
      <c r="B475" s="23"/>
      <c r="C475" s="23"/>
      <c r="D475" s="23"/>
      <c r="E475" s="23"/>
      <c r="F475" s="23"/>
      <c r="G475" s="146"/>
      <c r="H475" s="21"/>
      <c r="I475" s="147"/>
      <c r="K475" s="84"/>
      <c r="L475" s="84"/>
      <c r="M475" s="84"/>
      <c r="N475" s="84"/>
      <c r="O475" s="84"/>
      <c r="P475" s="84"/>
      <c r="Q475" s="84"/>
      <c r="R475" s="84"/>
    </row>
    <row r="476" spans="1:18" ht="18.75" customHeight="1" x14ac:dyDescent="0.25">
      <c r="A476" s="128"/>
      <c r="B476" s="23" t="s">
        <v>480</v>
      </c>
      <c r="C476" s="23"/>
      <c r="D476" s="23"/>
      <c r="E476" s="23"/>
      <c r="F476" s="23"/>
      <c r="G476" s="146" t="s">
        <v>481</v>
      </c>
      <c r="H476" s="16">
        <f>5+5/(H450/D228)^2</f>
        <v>6.0959710743801656</v>
      </c>
      <c r="I476" s="147"/>
      <c r="K476" s="84"/>
      <c r="L476" s="84"/>
      <c r="M476" s="84"/>
      <c r="N476" s="84"/>
      <c r="O476" s="84"/>
      <c r="P476" s="84"/>
      <c r="Q476" s="84"/>
      <c r="R476" s="84"/>
    </row>
    <row r="477" spans="1:18" ht="18.75" customHeight="1" x14ac:dyDescent="0.25">
      <c r="A477" s="128"/>
      <c r="B477" s="23" t="s">
        <v>485</v>
      </c>
      <c r="C477" s="23"/>
      <c r="D477" s="23"/>
      <c r="E477" s="23"/>
      <c r="F477" s="23"/>
      <c r="G477" s="146"/>
      <c r="H477" s="21"/>
      <c r="I477" s="147"/>
      <c r="K477" s="84"/>
      <c r="L477" s="84"/>
      <c r="M477" s="84"/>
      <c r="N477" s="84"/>
      <c r="O477" s="84"/>
      <c r="P477" s="84"/>
      <c r="Q477" s="84"/>
      <c r="R477" s="84"/>
    </row>
    <row r="478" spans="1:18" ht="18.75" customHeight="1" x14ac:dyDescent="0.25">
      <c r="A478" s="128"/>
      <c r="B478" s="123" t="s">
        <v>497</v>
      </c>
      <c r="C478" s="88"/>
      <c r="D478" s="88"/>
      <c r="E478" s="88"/>
      <c r="F478" s="88"/>
      <c r="G478" s="89" t="s">
        <v>482</v>
      </c>
      <c r="H478" s="16" t="str">
        <f>IF(D151/C151&lt;=1.12*SQRT(H10*H476/H6),1,"")</f>
        <v/>
      </c>
      <c r="I478" s="147"/>
      <c r="K478" s="84"/>
      <c r="L478" s="84"/>
      <c r="M478" s="84"/>
      <c r="N478" s="84"/>
      <c r="O478" s="84"/>
      <c r="P478" s="84"/>
      <c r="Q478" s="84"/>
      <c r="R478" s="84"/>
    </row>
    <row r="479" spans="1:18" ht="18.75" customHeight="1" x14ac:dyDescent="0.25">
      <c r="A479" s="128"/>
      <c r="B479" s="123" t="s">
        <v>498</v>
      </c>
      <c r="C479" s="88"/>
      <c r="D479" s="88"/>
      <c r="E479" s="88"/>
      <c r="F479" s="88"/>
      <c r="G479" s="89" t="s">
        <v>483</v>
      </c>
      <c r="H479" s="16" t="str">
        <f>IF(1.12*SQRT(H10*H476/H6)&lt;D151/C151,IF(D151/C151&lt;=1.4*SQRT(H10*H476/H6),(1.12/(D151/C151))*SQRT(H10*H476/H6),""),"")</f>
        <v/>
      </c>
      <c r="I479" s="147"/>
      <c r="K479" s="84"/>
      <c r="L479" s="84"/>
      <c r="M479" s="84"/>
      <c r="N479" s="84"/>
      <c r="O479" s="84"/>
      <c r="P479" s="84"/>
      <c r="Q479" s="84"/>
      <c r="R479" s="84"/>
    </row>
    <row r="480" spans="1:18" ht="18.75" customHeight="1" x14ac:dyDescent="0.25">
      <c r="A480" s="128"/>
      <c r="B480" s="123" t="s">
        <v>499</v>
      </c>
      <c r="C480" s="88"/>
      <c r="D480" s="88"/>
      <c r="E480" s="88"/>
      <c r="F480" s="88"/>
      <c r="G480" s="89" t="s">
        <v>484</v>
      </c>
      <c r="H480" s="16">
        <f>IF(D151/C151&gt;1.4*SQRT(H10*H476/H6),(1.57/(D151/C151)^2)*(H10*H476/H6),"")</f>
        <v>0.32075657646742234</v>
      </c>
      <c r="I480" s="147"/>
      <c r="K480" s="84"/>
      <c r="L480" s="84"/>
      <c r="M480" s="84"/>
      <c r="N480" s="84"/>
      <c r="O480" s="84"/>
      <c r="P480" s="84"/>
      <c r="Q480" s="84"/>
      <c r="R480" s="84"/>
    </row>
    <row r="481" spans="1:19" ht="18.75" customHeight="1" x14ac:dyDescent="0.25">
      <c r="A481" s="128"/>
      <c r="B481" s="23"/>
      <c r="C481" s="23"/>
      <c r="D481" s="23"/>
      <c r="E481" s="23"/>
      <c r="F481" s="23"/>
      <c r="G481" s="146" t="s">
        <v>482</v>
      </c>
      <c r="H481" s="16">
        <f>IF(MAX(H478:H480)&lt;=1,MAX(H478:H480),1)</f>
        <v>0.32075657646742234</v>
      </c>
      <c r="I481" s="147"/>
      <c r="K481" s="84"/>
      <c r="L481" s="84"/>
      <c r="M481" s="84"/>
      <c r="N481" s="84"/>
      <c r="O481" s="84"/>
      <c r="P481" s="84"/>
      <c r="Q481" s="84"/>
      <c r="R481" s="84"/>
    </row>
    <row r="482" spans="1:19" s="77" customFormat="1" ht="18.75" customHeight="1" x14ac:dyDescent="0.25">
      <c r="A482" s="128"/>
      <c r="B482" s="23" t="s">
        <v>486</v>
      </c>
      <c r="C482" s="23"/>
      <c r="D482" s="23"/>
      <c r="E482" s="23"/>
      <c r="F482" s="23"/>
      <c r="G482" s="146" t="s">
        <v>487</v>
      </c>
      <c r="H482" s="16">
        <f>0.58*H6*D151*C151*10^3</f>
        <v>6882.0479999999998</v>
      </c>
      <c r="I482" s="147" t="s">
        <v>148</v>
      </c>
      <c r="K482" s="84"/>
      <c r="L482" s="84"/>
      <c r="M482" s="84"/>
      <c r="N482" s="84"/>
      <c r="O482" s="84"/>
      <c r="P482" s="84"/>
      <c r="Q482" s="84"/>
      <c r="R482" s="84"/>
      <c r="S482" s="1"/>
    </row>
    <row r="483" spans="1:19" s="77" customFormat="1" ht="18.75" customHeight="1" x14ac:dyDescent="0.25">
      <c r="A483" s="128"/>
      <c r="B483" s="23" t="s">
        <v>490</v>
      </c>
      <c r="C483" s="23"/>
      <c r="D483" s="23"/>
      <c r="E483" s="23"/>
      <c r="F483" s="23"/>
      <c r="G483" s="146"/>
      <c r="H483" s="82"/>
      <c r="I483" s="147"/>
      <c r="K483" s="84"/>
      <c r="L483" s="84"/>
      <c r="M483" s="84"/>
      <c r="N483" s="84"/>
      <c r="O483" s="84"/>
      <c r="P483" s="84"/>
      <c r="Q483" s="84"/>
      <c r="R483" s="84"/>
      <c r="S483" s="1"/>
    </row>
    <row r="484" spans="1:19" ht="18.75" customHeight="1" x14ac:dyDescent="0.25">
      <c r="A484" s="128"/>
      <c r="B484" s="124" t="s">
        <v>500</v>
      </c>
      <c r="C484" s="88"/>
      <c r="D484" s="88"/>
      <c r="E484" s="88"/>
      <c r="F484" s="88"/>
      <c r="G484" s="98" t="s">
        <v>488</v>
      </c>
      <c r="H484" s="16">
        <f>IF(2*D228*C228/(D229*C229+D226*C226)&lt;=2.5,H482*(H481+0.87*(1-H481)/SQRT(1+(H450/D228)^2)),"")</f>
        <v>3931.8719839524379</v>
      </c>
      <c r="I484" s="171" t="s">
        <v>148</v>
      </c>
      <c r="K484" s="84"/>
      <c r="L484" s="84"/>
      <c r="M484" s="84"/>
      <c r="N484" s="84"/>
      <c r="O484" s="84"/>
      <c r="P484" s="84"/>
      <c r="Q484" s="84"/>
      <c r="R484" s="84"/>
    </row>
    <row r="485" spans="1:19" ht="18.75" customHeight="1" x14ac:dyDescent="0.25">
      <c r="A485" s="128"/>
      <c r="B485" s="123" t="s">
        <v>501</v>
      </c>
      <c r="C485" s="96"/>
      <c r="D485" s="96"/>
      <c r="E485" s="96"/>
      <c r="F485" s="96"/>
      <c r="G485" s="97" t="s">
        <v>489</v>
      </c>
      <c r="H485" s="16" t="str">
        <f>IF(2*D228*C228/(D229*C229+D226*C226)&gt;2.5,H482*(H481+0.87*(1-H481)/SQRT(1+(H450/D228)+(H450/D228)^2)),"")</f>
        <v/>
      </c>
      <c r="I485" s="171" t="s">
        <v>148</v>
      </c>
      <c r="R485" s="84"/>
      <c r="S485" s="77"/>
    </row>
    <row r="486" spans="1:19" ht="18.75" customHeight="1" x14ac:dyDescent="0.25">
      <c r="A486" s="128"/>
      <c r="B486" s="23" t="s">
        <v>493</v>
      </c>
      <c r="C486" s="23"/>
      <c r="D486" s="23"/>
      <c r="E486" s="23"/>
      <c r="F486" s="23"/>
      <c r="G486" s="146" t="s">
        <v>494</v>
      </c>
      <c r="H486" s="16">
        <f>MIN(H484:H485)</f>
        <v>3931.8719839524379</v>
      </c>
      <c r="I486" s="171" t="s">
        <v>148</v>
      </c>
      <c r="R486" s="84"/>
      <c r="S486" s="77"/>
    </row>
    <row r="487" spans="1:19" ht="18.75" customHeight="1" x14ac:dyDescent="0.25">
      <c r="A487" s="128"/>
      <c r="B487" s="23" t="s">
        <v>712</v>
      </c>
      <c r="C487" s="23"/>
      <c r="D487" s="23"/>
      <c r="E487" s="23"/>
      <c r="F487" s="23"/>
      <c r="G487" s="146" t="s">
        <v>713</v>
      </c>
      <c r="H487" s="16">
        <f>D396*(0.5*H23-H406)/(0.5*H23)</f>
        <v>2317.2842626974584</v>
      </c>
      <c r="I487" s="147" t="s">
        <v>148</v>
      </c>
    </row>
    <row r="488" spans="1:19" ht="18.75" customHeight="1" x14ac:dyDescent="0.25">
      <c r="A488" s="128"/>
      <c r="B488" s="23" t="s">
        <v>449</v>
      </c>
      <c r="C488" s="23"/>
      <c r="D488" s="23"/>
      <c r="E488" s="23"/>
      <c r="F488" s="23"/>
      <c r="G488" s="168" t="s">
        <v>507</v>
      </c>
      <c r="H488" s="12">
        <f>1</f>
        <v>1</v>
      </c>
      <c r="I488" s="147"/>
    </row>
    <row r="489" spans="1:19" ht="18.75" customHeight="1" x14ac:dyDescent="0.25">
      <c r="A489" s="128"/>
      <c r="B489" s="23" t="s">
        <v>495</v>
      </c>
      <c r="C489" s="23"/>
      <c r="D489" s="23"/>
      <c r="E489" s="23"/>
      <c r="F489" s="23"/>
      <c r="G489" s="146"/>
      <c r="H489" s="21"/>
      <c r="I489" s="147"/>
      <c r="K489" s="84"/>
      <c r="L489" s="84"/>
      <c r="M489" s="84"/>
      <c r="N489" s="84"/>
      <c r="O489" s="84"/>
      <c r="P489" s="84"/>
      <c r="Q489" s="84"/>
    </row>
    <row r="490" spans="1:19" ht="18.75" customHeight="1" x14ac:dyDescent="0.25">
      <c r="A490" s="128"/>
      <c r="B490" s="148" t="s">
        <v>19</v>
      </c>
      <c r="C490" s="23"/>
      <c r="D490" s="240" t="s">
        <v>714</v>
      </c>
      <c r="E490" s="21" t="s">
        <v>48</v>
      </c>
      <c r="F490" s="239" t="s">
        <v>567</v>
      </c>
      <c r="G490" s="146"/>
      <c r="H490" s="21"/>
      <c r="I490" s="147"/>
      <c r="K490" s="84"/>
      <c r="L490" s="84"/>
      <c r="M490" s="84"/>
      <c r="N490" s="84"/>
      <c r="O490" s="84"/>
      <c r="P490" s="84"/>
      <c r="Q490" s="84"/>
    </row>
    <row r="491" spans="1:19" ht="18.75" customHeight="1" x14ac:dyDescent="0.25">
      <c r="A491" s="128"/>
      <c r="B491" s="23"/>
      <c r="C491" s="23"/>
      <c r="D491" s="238">
        <f>H487</f>
        <v>2317.2842626974584</v>
      </c>
      <c r="E491" s="21" t="str">
        <f>IF(D443&lt;=F443,"",IF(D491&lt;=F491,"≤","&gt;"))</f>
        <v/>
      </c>
      <c r="F491" s="238">
        <f>H488*H486</f>
        <v>3931.8719839524379</v>
      </c>
      <c r="G491" s="149" t="s">
        <v>14</v>
      </c>
      <c r="H491" s="149" t="str">
        <f>IF(D491&lt;=F491,"[ OK ]","[ NOT OK ]")</f>
        <v>[ OK ]</v>
      </c>
      <c r="I491" s="147"/>
      <c r="K491" s="84"/>
      <c r="L491" s="84"/>
      <c r="M491" s="84"/>
      <c r="N491" s="84"/>
      <c r="O491" s="84"/>
      <c r="P491" s="84"/>
      <c r="Q491" s="84"/>
      <c r="R491" s="84"/>
    </row>
    <row r="492" spans="1:19" ht="18.75" customHeight="1" x14ac:dyDescent="0.25">
      <c r="A492" s="131"/>
      <c r="B492" s="153"/>
      <c r="C492" s="153"/>
      <c r="D492" s="101"/>
      <c r="E492" s="172"/>
      <c r="F492" s="101"/>
      <c r="G492" s="174"/>
      <c r="H492" s="174"/>
      <c r="I492" s="155"/>
      <c r="K492" s="84"/>
      <c r="L492" s="84"/>
      <c r="M492" s="84"/>
      <c r="N492" s="84"/>
      <c r="O492" s="84"/>
      <c r="P492" s="84"/>
      <c r="Q492" s="84"/>
      <c r="R492" s="84"/>
    </row>
    <row r="493" spans="1:19" ht="18.75" customHeight="1" x14ac:dyDescent="0.25">
      <c r="A493" s="131"/>
      <c r="B493" s="153"/>
      <c r="C493" s="153"/>
      <c r="D493" s="101"/>
      <c r="E493" s="172"/>
      <c r="F493" s="101"/>
      <c r="G493" s="174"/>
      <c r="H493" s="174"/>
      <c r="I493" s="155"/>
      <c r="K493" s="84"/>
      <c r="L493" s="84"/>
      <c r="M493" s="84"/>
      <c r="N493" s="84"/>
      <c r="O493" s="84"/>
      <c r="P493" s="84"/>
      <c r="Q493" s="84"/>
      <c r="R493" s="84"/>
    </row>
    <row r="494" spans="1:19" ht="18.75" customHeight="1" x14ac:dyDescent="0.25">
      <c r="A494" s="127" t="s">
        <v>807</v>
      </c>
      <c r="B494" s="142" t="s">
        <v>806</v>
      </c>
      <c r="C494" s="143"/>
      <c r="D494" s="143"/>
      <c r="E494" s="143"/>
      <c r="F494" s="143"/>
      <c r="G494" s="144"/>
      <c r="H494" s="143"/>
      <c r="I494" s="145"/>
      <c r="K494" s="84"/>
      <c r="L494" s="84"/>
      <c r="M494" s="84"/>
      <c r="N494" s="84"/>
      <c r="O494" s="84"/>
      <c r="P494" s="84"/>
      <c r="Q494" s="84"/>
      <c r="R494" s="84"/>
    </row>
    <row r="495" spans="1:19" ht="18.75" customHeight="1" x14ac:dyDescent="0.25">
      <c r="A495" s="128"/>
      <c r="B495" s="23" t="s">
        <v>511</v>
      </c>
      <c r="C495" s="23"/>
      <c r="D495" s="23"/>
      <c r="E495" s="23"/>
      <c r="F495" s="23"/>
      <c r="G495" s="146" t="s">
        <v>147</v>
      </c>
      <c r="H495" s="192">
        <f>H65</f>
        <v>3</v>
      </c>
      <c r="I495" s="147" t="s">
        <v>512</v>
      </c>
      <c r="K495" s="84"/>
      <c r="L495" s="84"/>
      <c r="M495" s="84"/>
      <c r="N495" s="84"/>
      <c r="O495" s="84"/>
      <c r="P495" s="84"/>
      <c r="Q495" s="84"/>
      <c r="R495" s="84"/>
    </row>
    <row r="496" spans="1:19" ht="18.75" customHeight="1" x14ac:dyDescent="0.25">
      <c r="A496" s="128"/>
      <c r="B496" s="23" t="s">
        <v>508</v>
      </c>
      <c r="C496" s="23"/>
      <c r="D496" s="23"/>
      <c r="E496" s="23"/>
      <c r="F496" s="23"/>
      <c r="G496" s="146" t="s">
        <v>463</v>
      </c>
      <c r="H496" s="187">
        <f>H67</f>
        <v>20</v>
      </c>
      <c r="I496" s="147" t="s">
        <v>9</v>
      </c>
      <c r="K496" s="84"/>
      <c r="L496" s="84"/>
      <c r="M496" s="84"/>
      <c r="N496" s="84"/>
      <c r="O496" s="84"/>
      <c r="P496" s="84"/>
      <c r="Q496" s="84"/>
      <c r="R496" s="84"/>
    </row>
    <row r="497" spans="1:18" ht="18.75" customHeight="1" x14ac:dyDescent="0.25">
      <c r="A497" s="128"/>
      <c r="B497" s="23" t="s">
        <v>826</v>
      </c>
      <c r="C497" s="23"/>
      <c r="D497" s="23"/>
      <c r="E497" s="23"/>
      <c r="F497" s="23"/>
      <c r="G497" s="146" t="s">
        <v>522</v>
      </c>
      <c r="H497" s="12">
        <f>H496*0.48*SQRT(H10/H6)</f>
        <v>226.27416997969522</v>
      </c>
      <c r="I497" s="147" t="s">
        <v>9</v>
      </c>
      <c r="R497" s="84"/>
    </row>
    <row r="498" spans="1:18" ht="18.75" customHeight="1" x14ac:dyDescent="0.25">
      <c r="A498" s="128"/>
      <c r="B498" s="23" t="s">
        <v>509</v>
      </c>
      <c r="C498" s="23"/>
      <c r="D498" s="23"/>
      <c r="E498" s="23"/>
      <c r="F498" s="23"/>
      <c r="G498" s="146" t="s">
        <v>462</v>
      </c>
      <c r="H498" s="193">
        <f>H66</f>
        <v>200</v>
      </c>
      <c r="I498" s="147" t="s">
        <v>9</v>
      </c>
      <c r="R498" s="84"/>
    </row>
    <row r="499" spans="1:18" ht="18.75" customHeight="1" x14ac:dyDescent="0.25">
      <c r="A499" s="128"/>
      <c r="B499" s="23" t="s">
        <v>825</v>
      </c>
      <c r="C499" s="23"/>
      <c r="D499" s="23"/>
      <c r="E499" s="23"/>
      <c r="F499" s="23"/>
      <c r="G499" s="146"/>
      <c r="H499" s="21"/>
      <c r="I499" s="147"/>
    </row>
    <row r="500" spans="1:18" ht="18.75" customHeight="1" x14ac:dyDescent="0.25">
      <c r="A500" s="128"/>
      <c r="B500" s="148" t="s">
        <v>19</v>
      </c>
      <c r="C500" s="23"/>
      <c r="D500" s="13" t="s">
        <v>502</v>
      </c>
      <c r="E500" s="21" t="s">
        <v>48</v>
      </c>
      <c r="F500" s="13" t="s">
        <v>827</v>
      </c>
      <c r="G500" s="146"/>
      <c r="H500" s="21"/>
      <c r="I500" s="147"/>
    </row>
    <row r="501" spans="1:18" ht="18.75" customHeight="1" x14ac:dyDescent="0.25">
      <c r="A501" s="128"/>
      <c r="B501" s="23"/>
      <c r="C501" s="23"/>
      <c r="D501" s="12">
        <f>H498</f>
        <v>200</v>
      </c>
      <c r="E501" s="21" t="str">
        <f>IF(D501&lt;=F501,"≤","&gt;")</f>
        <v>≤</v>
      </c>
      <c r="F501" s="12">
        <f>H497</f>
        <v>226.27416997969522</v>
      </c>
      <c r="G501" s="149" t="s">
        <v>14</v>
      </c>
      <c r="H501" s="149" t="str">
        <f>IF(D501&lt;=F501,"[ OK ]","[ NOT OK ]")</f>
        <v>[ OK ]</v>
      </c>
      <c r="I501" s="147"/>
    </row>
    <row r="502" spans="1:18" ht="18.75" customHeight="1" x14ac:dyDescent="0.25">
      <c r="A502" s="128"/>
      <c r="B502" s="23"/>
      <c r="C502" s="23"/>
      <c r="D502" s="70"/>
      <c r="E502" s="21"/>
      <c r="F502" s="70"/>
      <c r="G502" s="149"/>
      <c r="H502" s="149"/>
      <c r="I502" s="147"/>
    </row>
    <row r="503" spans="1:18" ht="18.75" customHeight="1" x14ac:dyDescent="0.25">
      <c r="A503" s="128"/>
      <c r="B503" s="23" t="s">
        <v>510</v>
      </c>
      <c r="C503" s="23"/>
      <c r="D503" s="23"/>
      <c r="E503" s="23"/>
      <c r="F503" s="23"/>
      <c r="G503" s="146" t="s">
        <v>523</v>
      </c>
      <c r="H503" s="13">
        <f>H498-6*C227*1000</f>
        <v>104</v>
      </c>
      <c r="I503" s="147" t="s">
        <v>9</v>
      </c>
    </row>
    <row r="504" spans="1:18" ht="18.75" customHeight="1" x14ac:dyDescent="0.25">
      <c r="A504" s="128"/>
      <c r="B504" s="23" t="s">
        <v>513</v>
      </c>
      <c r="C504" s="23"/>
      <c r="D504" s="23"/>
      <c r="E504" s="23"/>
      <c r="F504" s="23"/>
      <c r="G504" s="146" t="s">
        <v>524</v>
      </c>
      <c r="H504" s="13">
        <f>H495*H496*H503</f>
        <v>6240</v>
      </c>
      <c r="I504" s="147" t="s">
        <v>515</v>
      </c>
    </row>
    <row r="505" spans="1:18" ht="18.75" customHeight="1" x14ac:dyDescent="0.25">
      <c r="A505" s="128"/>
      <c r="B505" s="23" t="s">
        <v>516</v>
      </c>
      <c r="C505" s="23"/>
      <c r="D505" s="23"/>
      <c r="E505" s="23"/>
      <c r="F505" s="23"/>
      <c r="G505" s="146" t="s">
        <v>525</v>
      </c>
      <c r="H505" s="16">
        <f>1.4*H504*H6/1000</f>
        <v>3144.96</v>
      </c>
      <c r="I505" s="147" t="s">
        <v>148</v>
      </c>
    </row>
    <row r="506" spans="1:18" ht="18.75" customHeight="1" x14ac:dyDescent="0.25">
      <c r="A506" s="128"/>
      <c r="B506" s="23" t="s">
        <v>517</v>
      </c>
      <c r="C506" s="23"/>
      <c r="D506" s="23"/>
      <c r="E506" s="23"/>
      <c r="F506" s="23"/>
      <c r="G506" s="146" t="s">
        <v>526</v>
      </c>
      <c r="H506" s="16">
        <f>D396</f>
        <v>2633.2775712471116</v>
      </c>
      <c r="I506" s="147" t="s">
        <v>148</v>
      </c>
    </row>
    <row r="507" spans="1:18" ht="18.75" customHeight="1" x14ac:dyDescent="0.25">
      <c r="A507" s="128"/>
      <c r="B507" s="23" t="s">
        <v>518</v>
      </c>
      <c r="C507" s="23"/>
      <c r="D507" s="23"/>
      <c r="E507" s="23"/>
      <c r="F507" s="23"/>
      <c r="G507" s="168" t="s">
        <v>519</v>
      </c>
      <c r="H507" s="12">
        <v>1</v>
      </c>
      <c r="I507" s="147"/>
    </row>
    <row r="508" spans="1:18" ht="18.75" customHeight="1" x14ac:dyDescent="0.25">
      <c r="A508" s="128"/>
      <c r="B508" s="23" t="s">
        <v>495</v>
      </c>
      <c r="C508" s="23"/>
      <c r="D508" s="23"/>
      <c r="E508" s="23"/>
      <c r="F508" s="23"/>
      <c r="G508" s="146"/>
      <c r="H508" s="21"/>
      <c r="I508" s="147"/>
    </row>
    <row r="509" spans="1:18" ht="18.75" customHeight="1" x14ac:dyDescent="0.25">
      <c r="A509" s="128"/>
      <c r="B509" s="148" t="s">
        <v>19</v>
      </c>
      <c r="C509" s="23"/>
      <c r="D509" s="240" t="s">
        <v>901</v>
      </c>
      <c r="E509" s="21" t="s">
        <v>48</v>
      </c>
      <c r="F509" s="240" t="s">
        <v>902</v>
      </c>
      <c r="G509" s="146"/>
      <c r="H509" s="21"/>
      <c r="I509" s="147"/>
    </row>
    <row r="510" spans="1:18" ht="18.75" customHeight="1" x14ac:dyDescent="0.25">
      <c r="A510" s="128"/>
      <c r="B510" s="23"/>
      <c r="C510" s="23"/>
      <c r="D510" s="237">
        <f>H506</f>
        <v>2633.2775712471116</v>
      </c>
      <c r="E510" s="21" t="str">
        <f>IF(D510&lt;=F510,"≤","&gt;")</f>
        <v>≤</v>
      </c>
      <c r="F510" s="237">
        <f>H507*H505</f>
        <v>3144.96</v>
      </c>
      <c r="G510" s="149" t="s">
        <v>14</v>
      </c>
      <c r="H510" s="149" t="str">
        <f>IF(D510&lt;=F510,"[ OK ]","[ NOT OK ]")</f>
        <v>[ OK ]</v>
      </c>
      <c r="I510" s="147"/>
    </row>
    <row r="511" spans="1:18" ht="18.75" customHeight="1" x14ac:dyDescent="0.25">
      <c r="A511" s="128"/>
      <c r="B511" s="23"/>
      <c r="C511" s="23"/>
      <c r="D511" s="23"/>
      <c r="E511" s="23"/>
      <c r="F511" s="23"/>
      <c r="G511" s="146"/>
      <c r="H511" s="21"/>
      <c r="I511" s="147"/>
    </row>
    <row r="512" spans="1:18" ht="18.75" customHeight="1" x14ac:dyDescent="0.25">
      <c r="A512" s="128"/>
      <c r="B512" s="23" t="s">
        <v>527</v>
      </c>
      <c r="C512" s="23"/>
      <c r="D512" s="23"/>
      <c r="E512" s="23"/>
      <c r="F512" s="23"/>
      <c r="G512" s="146" t="s">
        <v>528</v>
      </c>
      <c r="H512" s="187">
        <f>H69</f>
        <v>400</v>
      </c>
      <c r="I512" s="147" t="s">
        <v>9</v>
      </c>
    </row>
    <row r="513" spans="1:19" ht="18.75" customHeight="1" x14ac:dyDescent="0.25">
      <c r="A513" s="128"/>
      <c r="B513" s="23" t="s">
        <v>529</v>
      </c>
      <c r="C513" s="23"/>
      <c r="D513" s="23"/>
      <c r="E513" s="23"/>
      <c r="F513" s="23"/>
      <c r="G513" s="146" t="s">
        <v>530</v>
      </c>
      <c r="H513" s="13">
        <v>2.1</v>
      </c>
      <c r="I513" s="147"/>
    </row>
    <row r="514" spans="1:19" ht="18.75" customHeight="1" x14ac:dyDescent="0.25">
      <c r="A514" s="128"/>
      <c r="B514" s="23" t="s">
        <v>531</v>
      </c>
      <c r="C514" s="23"/>
      <c r="D514" s="23"/>
      <c r="E514" s="23"/>
      <c r="F514" s="23"/>
      <c r="G514" s="146" t="s">
        <v>215</v>
      </c>
      <c r="H514" s="187">
        <f>H68</f>
        <v>150</v>
      </c>
      <c r="I514" s="147" t="s">
        <v>9</v>
      </c>
    </row>
    <row r="515" spans="1:19" ht="18.75" customHeight="1" x14ac:dyDescent="0.25">
      <c r="A515" s="128"/>
      <c r="B515" s="23" t="s">
        <v>532</v>
      </c>
      <c r="C515" s="23"/>
      <c r="D515" s="23"/>
      <c r="E515" s="23"/>
      <c r="F515" s="23"/>
      <c r="G515" s="146" t="s">
        <v>533</v>
      </c>
      <c r="H515" s="13">
        <f>2*12*C228*1000+H514</f>
        <v>534</v>
      </c>
      <c r="I515" s="147" t="s">
        <v>9</v>
      </c>
    </row>
    <row r="516" spans="1:19" ht="18.75" customHeight="1" x14ac:dyDescent="0.25">
      <c r="A516" s="128"/>
      <c r="B516" s="23" t="s">
        <v>534</v>
      </c>
      <c r="C516" s="23"/>
      <c r="D516" s="23"/>
      <c r="E516" s="23"/>
      <c r="F516" s="23"/>
      <c r="G516" s="146" t="s">
        <v>546</v>
      </c>
      <c r="H516" s="13">
        <f>H495*H496*H498+H515*C228*1000</f>
        <v>20544</v>
      </c>
      <c r="I516" s="147" t="s">
        <v>514</v>
      </c>
    </row>
    <row r="517" spans="1:19" ht="18.75" customHeight="1" x14ac:dyDescent="0.25">
      <c r="A517" s="128"/>
      <c r="B517" s="23" t="s">
        <v>535</v>
      </c>
      <c r="C517" s="23"/>
      <c r="D517" s="23"/>
      <c r="E517" s="23"/>
      <c r="F517" s="23"/>
      <c r="G517" s="146"/>
      <c r="H517" s="21"/>
      <c r="I517" s="147"/>
    </row>
    <row r="518" spans="1:19" ht="18.75" customHeight="1" x14ac:dyDescent="0.25">
      <c r="A518" s="128"/>
      <c r="B518" s="23"/>
      <c r="C518" s="23"/>
      <c r="D518" s="23"/>
      <c r="E518" s="23"/>
      <c r="F518" s="23"/>
      <c r="G518" s="146" t="s">
        <v>536</v>
      </c>
      <c r="H518" s="18">
        <f>1/12*H515*(C228*1000)^3+H495*1/12*H496*H498^3+H496*H498*(0.5*(H498+C228*1000))^2</f>
        <v>86838272</v>
      </c>
      <c r="I518" s="147" t="s">
        <v>537</v>
      </c>
    </row>
    <row r="519" spans="1:19" ht="18.75" customHeight="1" x14ac:dyDescent="0.25">
      <c r="A519" s="128"/>
      <c r="B519" s="23" t="s">
        <v>538</v>
      </c>
      <c r="C519" s="23"/>
      <c r="D519" s="23"/>
      <c r="E519" s="23"/>
      <c r="F519" s="23"/>
      <c r="G519" s="146" t="s">
        <v>545</v>
      </c>
      <c r="H519" s="12">
        <f>SQRT(H518/H516)</f>
        <v>65.01492759335234</v>
      </c>
      <c r="I519" s="147" t="s">
        <v>9</v>
      </c>
    </row>
    <row r="520" spans="1:19" ht="18.75" customHeight="1" x14ac:dyDescent="0.25">
      <c r="A520" s="128"/>
      <c r="B520" s="23" t="s">
        <v>682</v>
      </c>
      <c r="C520" s="23"/>
      <c r="D520" s="23"/>
      <c r="E520" s="23"/>
      <c r="F520" s="23"/>
      <c r="G520" s="146" t="s">
        <v>539</v>
      </c>
      <c r="H520" s="16">
        <f>(H513*H512/(H519*PI()))^2*H6/H10</f>
        <v>3.0444241995763552E-2</v>
      </c>
      <c r="I520" s="147"/>
    </row>
    <row r="521" spans="1:19" ht="18.75" customHeight="1" x14ac:dyDescent="0.25">
      <c r="A521" s="128"/>
      <c r="B521" s="23" t="s">
        <v>540</v>
      </c>
      <c r="C521" s="23"/>
      <c r="D521" s="23"/>
      <c r="E521" s="23"/>
      <c r="F521" s="23"/>
      <c r="G521" s="146"/>
      <c r="H521" s="21"/>
      <c r="I521" s="147"/>
    </row>
    <row r="522" spans="1:19" ht="18.75" customHeight="1" x14ac:dyDescent="0.25">
      <c r="A522" s="128"/>
      <c r="B522" s="123" t="s">
        <v>541</v>
      </c>
      <c r="C522" s="88"/>
      <c r="D522" s="88"/>
      <c r="E522" s="88"/>
      <c r="F522" s="88"/>
      <c r="G522" s="98" t="s">
        <v>543</v>
      </c>
      <c r="H522" s="12">
        <f>IF(H520&lt;=2.25,(0.66^H520)*H6*H516/1000,"")</f>
        <v>7302.8715019874644</v>
      </c>
      <c r="I522" s="147" t="s">
        <v>148</v>
      </c>
    </row>
    <row r="523" spans="1:19" s="75" customFormat="1" ht="18.75" customHeight="1" x14ac:dyDescent="0.25">
      <c r="A523" s="128"/>
      <c r="B523" s="123" t="s">
        <v>542</v>
      </c>
      <c r="C523" s="88"/>
      <c r="D523" s="88"/>
      <c r="E523" s="88"/>
      <c r="F523" s="88"/>
      <c r="G523" s="98" t="s">
        <v>544</v>
      </c>
      <c r="H523" s="12" t="str">
        <f>IF(H520&gt;2.25,1/H520*0.88*H6*H516/1000,"")</f>
        <v/>
      </c>
      <c r="I523" s="147" t="s">
        <v>148</v>
      </c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8.75" customHeight="1" x14ac:dyDescent="0.25">
      <c r="A524" s="128"/>
      <c r="B524" s="23"/>
      <c r="C524" s="23"/>
      <c r="D524" s="23"/>
      <c r="E524" s="23"/>
      <c r="F524" s="23"/>
      <c r="G524" s="146" t="s">
        <v>547</v>
      </c>
      <c r="H524" s="12">
        <f>MAX(H522:H523)</f>
        <v>7302.8715019874644</v>
      </c>
      <c r="I524" s="147" t="s">
        <v>148</v>
      </c>
    </row>
    <row r="525" spans="1:19" ht="18.75" customHeight="1" x14ac:dyDescent="0.25">
      <c r="A525" s="128"/>
      <c r="B525" s="23" t="s">
        <v>548</v>
      </c>
      <c r="C525" s="23"/>
      <c r="D525" s="23"/>
      <c r="E525" s="23"/>
      <c r="F525" s="23"/>
      <c r="G525" s="168" t="s">
        <v>549</v>
      </c>
      <c r="H525" s="12">
        <v>0.9</v>
      </c>
      <c r="I525" s="147"/>
    </row>
    <row r="526" spans="1:19" ht="18.75" customHeight="1" x14ac:dyDescent="0.25">
      <c r="A526" s="128"/>
      <c r="B526" s="23" t="s">
        <v>877</v>
      </c>
      <c r="C526" s="23"/>
      <c r="D526" s="23"/>
      <c r="E526" s="23"/>
      <c r="F526" s="23"/>
      <c r="G526" s="146"/>
      <c r="H526" s="21"/>
      <c r="I526" s="147"/>
      <c r="S526" s="75"/>
    </row>
    <row r="527" spans="1:19" ht="18.75" customHeight="1" x14ac:dyDescent="0.25">
      <c r="A527" s="128"/>
      <c r="B527" s="148" t="s">
        <v>19</v>
      </c>
      <c r="C527" s="23"/>
      <c r="D527" s="240" t="s">
        <v>566</v>
      </c>
      <c r="E527" s="21" t="s">
        <v>48</v>
      </c>
      <c r="F527" s="239" t="s">
        <v>900</v>
      </c>
      <c r="G527" s="146"/>
      <c r="H527" s="21"/>
      <c r="I527" s="147"/>
    </row>
    <row r="528" spans="1:19" ht="18.75" customHeight="1" x14ac:dyDescent="0.25">
      <c r="A528" s="128"/>
      <c r="B528" s="23"/>
      <c r="C528" s="23"/>
      <c r="D528" s="237">
        <f>D396</f>
        <v>2633.2775712471116</v>
      </c>
      <c r="E528" s="21" t="str">
        <f>IF(D528&lt;=F528,"≤","&gt;")</f>
        <v>≤</v>
      </c>
      <c r="F528" s="237">
        <f>H525*H524</f>
        <v>6572.5843517887179</v>
      </c>
      <c r="G528" s="149" t="s">
        <v>14</v>
      </c>
      <c r="H528" s="149" t="str">
        <f>IF(D528&lt;=F528,"[ OK ]","[ NOT OK ]")</f>
        <v>[ OK ]</v>
      </c>
      <c r="I528" s="147"/>
    </row>
    <row r="529" spans="1:19" ht="18.75" customHeight="1" x14ac:dyDescent="0.25">
      <c r="A529" s="128"/>
      <c r="B529" s="23"/>
      <c r="C529" s="23"/>
      <c r="D529" s="70"/>
      <c r="E529" s="21"/>
      <c r="F529" s="70"/>
      <c r="G529" s="149"/>
      <c r="H529" s="149"/>
      <c r="I529" s="147"/>
    </row>
    <row r="530" spans="1:19" ht="18.75" customHeight="1" x14ac:dyDescent="0.25">
      <c r="A530" s="128"/>
      <c r="B530" s="23"/>
      <c r="C530" s="23"/>
      <c r="D530" s="23"/>
      <c r="E530" s="23"/>
      <c r="F530" s="23"/>
      <c r="G530" s="146"/>
      <c r="H530" s="21"/>
      <c r="I530" s="147"/>
    </row>
    <row r="531" spans="1:19" ht="18.75" customHeight="1" x14ac:dyDescent="0.25">
      <c r="A531" s="126" t="s">
        <v>808</v>
      </c>
      <c r="B531" s="138" t="s">
        <v>809</v>
      </c>
      <c r="C531" s="139"/>
      <c r="D531" s="139"/>
      <c r="E531" s="139"/>
      <c r="F531" s="139"/>
      <c r="G531" s="140"/>
      <c r="H531" s="139"/>
      <c r="I531" s="141"/>
    </row>
    <row r="532" spans="1:19" ht="18.75" customHeight="1" x14ac:dyDescent="0.25">
      <c r="A532" s="128"/>
      <c r="B532" s="169" t="s">
        <v>554</v>
      </c>
      <c r="C532" s="23"/>
      <c r="D532" s="23"/>
      <c r="E532" s="23"/>
      <c r="F532" s="23"/>
      <c r="G532" s="146" t="s">
        <v>30</v>
      </c>
      <c r="H532" s="13">
        <f>H6</f>
        <v>360</v>
      </c>
      <c r="I532" s="147" t="s">
        <v>23</v>
      </c>
    </row>
    <row r="533" spans="1:19" ht="18.75" customHeight="1" x14ac:dyDescent="0.25">
      <c r="A533" s="132"/>
      <c r="B533" s="169" t="s">
        <v>422</v>
      </c>
      <c r="C533" s="169"/>
      <c r="D533" s="85"/>
      <c r="E533" s="170"/>
      <c r="F533" s="86"/>
      <c r="G533" s="168" t="s">
        <v>423</v>
      </c>
      <c r="H533" s="68">
        <v>1</v>
      </c>
      <c r="I533" s="163"/>
    </row>
    <row r="534" spans="1:19" ht="18.75" customHeight="1" x14ac:dyDescent="0.25">
      <c r="A534" s="128"/>
      <c r="B534" s="169" t="s">
        <v>551</v>
      </c>
      <c r="C534" s="23"/>
      <c r="D534" s="23"/>
      <c r="E534" s="23"/>
      <c r="F534" s="23"/>
      <c r="G534" s="146" t="s">
        <v>563</v>
      </c>
      <c r="H534" s="16">
        <f>MAX('Process - Pembebanan'!N111:N131)</f>
        <v>9870.7739999999994</v>
      </c>
      <c r="I534" s="147" t="s">
        <v>137</v>
      </c>
    </row>
    <row r="535" spans="1:19" ht="18.75" customHeight="1" x14ac:dyDescent="0.25">
      <c r="A535" s="128"/>
      <c r="B535" s="169" t="s">
        <v>552</v>
      </c>
      <c r="C535" s="23"/>
      <c r="D535" s="23"/>
      <c r="E535" s="23"/>
      <c r="F535" s="23"/>
      <c r="G535" s="146" t="s">
        <v>564</v>
      </c>
      <c r="H535" s="16">
        <f>MAX('Process - Pembebanan'!O111:O131)</f>
        <v>2942.734375</v>
      </c>
      <c r="I535" s="147" t="s">
        <v>137</v>
      </c>
    </row>
    <row r="536" spans="1:19" ht="18.75" customHeight="1" x14ac:dyDescent="0.25">
      <c r="A536" s="128"/>
      <c r="B536" s="169" t="s">
        <v>553</v>
      </c>
      <c r="C536" s="23"/>
      <c r="D536" s="23"/>
      <c r="E536" s="23"/>
      <c r="F536" s="23"/>
      <c r="G536" s="146" t="s">
        <v>565</v>
      </c>
      <c r="H536" s="16">
        <f>1.3*MAX('Process - Pembebanan'!P111:P131)</f>
        <v>14139.125</v>
      </c>
      <c r="I536" s="147" t="s">
        <v>137</v>
      </c>
    </row>
    <row r="537" spans="1:19" ht="18.75" customHeight="1" x14ac:dyDescent="0.25">
      <c r="A537" s="128"/>
      <c r="B537" s="169"/>
      <c r="C537" s="23"/>
      <c r="D537" s="23"/>
      <c r="E537" s="23"/>
      <c r="F537" s="23"/>
      <c r="G537" s="146"/>
      <c r="H537" s="21"/>
      <c r="I537" s="147"/>
    </row>
    <row r="538" spans="1:19" s="84" customFormat="1" ht="18.75" customHeight="1" x14ac:dyDescent="0.25">
      <c r="A538" s="128"/>
      <c r="B538" s="169" t="s">
        <v>555</v>
      </c>
      <c r="C538" s="23"/>
      <c r="D538" s="23"/>
      <c r="E538" s="23"/>
      <c r="F538" s="23"/>
      <c r="G538" s="146" t="s">
        <v>556</v>
      </c>
      <c r="H538" s="16">
        <f>H534*10^6/(H160*10^9)+H535*10^6/(H238*10^9)+H536*10^6/(H203*10^9)</f>
        <v>234.08638717564651</v>
      </c>
      <c r="I538" s="147" t="s">
        <v>23</v>
      </c>
      <c r="K538" s="1"/>
      <c r="L538" s="1"/>
      <c r="M538" s="1"/>
      <c r="N538" s="1"/>
      <c r="O538" s="1"/>
      <c r="P538" s="1"/>
      <c r="Q538" s="1"/>
      <c r="R538" s="1"/>
      <c r="S538" s="1"/>
    </row>
    <row r="539" spans="1:19" s="84" customFormat="1" ht="18.75" customHeight="1" x14ac:dyDescent="0.25">
      <c r="A539" s="128"/>
      <c r="B539" s="169" t="s">
        <v>557</v>
      </c>
      <c r="C539" s="23"/>
      <c r="D539" s="23"/>
      <c r="E539" s="23"/>
      <c r="F539" s="23"/>
      <c r="G539" s="146" t="s">
        <v>558</v>
      </c>
      <c r="H539" s="16">
        <f>H534*10^6/(H161*10^9)+H535*10^6/(H239*10^9)+H536*10^6/(H204*10^9)</f>
        <v>260.14549010429141</v>
      </c>
      <c r="I539" s="147" t="s">
        <v>23</v>
      </c>
      <c r="K539" s="1"/>
      <c r="L539" s="1"/>
      <c r="M539" s="1"/>
      <c r="N539" s="1"/>
      <c r="O539" s="1"/>
      <c r="P539" s="1"/>
      <c r="Q539" s="1"/>
      <c r="R539" s="1"/>
      <c r="S539" s="1"/>
    </row>
    <row r="540" spans="1:19" s="84" customFormat="1" ht="18.75" customHeight="1" x14ac:dyDescent="0.25">
      <c r="A540" s="128"/>
      <c r="B540" s="169" t="s">
        <v>559</v>
      </c>
      <c r="C540" s="23"/>
      <c r="D540" s="23"/>
      <c r="E540" s="23"/>
      <c r="F540" s="23"/>
      <c r="G540" s="146" t="s">
        <v>560</v>
      </c>
      <c r="H540" s="16">
        <f>MAX(H538:H539)</f>
        <v>260.14549010429141</v>
      </c>
      <c r="I540" s="147" t="s">
        <v>23</v>
      </c>
      <c r="K540" s="1"/>
      <c r="L540" s="1"/>
      <c r="M540" s="1"/>
      <c r="N540" s="1"/>
      <c r="O540" s="1"/>
      <c r="P540" s="1"/>
      <c r="Q540" s="1"/>
      <c r="R540" s="1"/>
      <c r="S540" s="1"/>
    </row>
    <row r="541" spans="1:19" s="84" customFormat="1" ht="18.75" customHeight="1" x14ac:dyDescent="0.25">
      <c r="A541" s="128"/>
      <c r="B541" s="169"/>
      <c r="C541" s="23"/>
      <c r="D541" s="23"/>
      <c r="E541" s="23"/>
      <c r="F541" s="23"/>
      <c r="G541" s="146"/>
      <c r="H541" s="21"/>
      <c r="I541" s="147"/>
      <c r="K541" s="1"/>
      <c r="L541" s="1"/>
      <c r="M541" s="1"/>
      <c r="N541" s="1"/>
      <c r="O541" s="1"/>
      <c r="P541" s="1"/>
      <c r="Q541" s="1"/>
      <c r="R541" s="1"/>
    </row>
    <row r="542" spans="1:19" s="84" customFormat="1" ht="18.75" customHeight="1" x14ac:dyDescent="0.25">
      <c r="A542" s="128"/>
      <c r="B542" s="23" t="s">
        <v>561</v>
      </c>
      <c r="C542" s="23"/>
      <c r="D542" s="23"/>
      <c r="E542" s="23"/>
      <c r="F542" s="23"/>
      <c r="G542" s="146"/>
      <c r="H542" s="21"/>
      <c r="I542" s="147"/>
      <c r="K542" s="1"/>
      <c r="L542" s="1"/>
      <c r="M542" s="1"/>
      <c r="N542" s="1"/>
      <c r="O542" s="1"/>
      <c r="P542" s="1"/>
      <c r="Q542" s="1"/>
      <c r="R542" s="1"/>
    </row>
    <row r="543" spans="1:19" s="84" customFormat="1" ht="18.75" customHeight="1" x14ac:dyDescent="0.25">
      <c r="A543" s="128"/>
      <c r="B543" s="148" t="s">
        <v>19</v>
      </c>
      <c r="C543" s="23"/>
      <c r="D543" s="240" t="s">
        <v>898</v>
      </c>
      <c r="E543" s="21" t="s">
        <v>48</v>
      </c>
      <c r="F543" s="239" t="s">
        <v>899</v>
      </c>
      <c r="G543" s="146"/>
      <c r="H543" s="21"/>
      <c r="I543" s="147"/>
      <c r="K543" s="1"/>
      <c r="L543" s="1"/>
      <c r="M543" s="1"/>
      <c r="N543" s="1"/>
      <c r="O543" s="1"/>
      <c r="P543" s="1"/>
      <c r="Q543" s="1"/>
      <c r="R543" s="1"/>
    </row>
    <row r="544" spans="1:19" s="84" customFormat="1" ht="18.75" customHeight="1" x14ac:dyDescent="0.25">
      <c r="A544" s="128"/>
      <c r="B544" s="23"/>
      <c r="C544" s="23"/>
      <c r="D544" s="237">
        <f>H540</f>
        <v>260.14549010429141</v>
      </c>
      <c r="E544" s="21" t="str">
        <f>IF(D544&lt;=F544,"≤","&gt;")</f>
        <v>≤</v>
      </c>
      <c r="F544" s="237">
        <f>0.95*H533*H532</f>
        <v>342</v>
      </c>
      <c r="G544" s="149" t="s">
        <v>14</v>
      </c>
      <c r="H544" s="149" t="str">
        <f>IF(D544&lt;=F544,"[ OK ]","[ NOT OK ]")</f>
        <v>[ OK ]</v>
      </c>
      <c r="I544" s="147"/>
      <c r="K544" s="1"/>
      <c r="L544" s="1"/>
      <c r="M544" s="1"/>
      <c r="N544" s="1"/>
      <c r="O544" s="1"/>
      <c r="P544" s="1"/>
      <c r="Q544" s="1"/>
      <c r="R544" s="1"/>
    </row>
    <row r="545" spans="1:18" s="84" customFormat="1" ht="18.75" customHeight="1" x14ac:dyDescent="0.25">
      <c r="A545" s="128"/>
      <c r="B545" s="23"/>
      <c r="C545" s="23"/>
      <c r="D545" s="70"/>
      <c r="E545" s="21"/>
      <c r="F545" s="70"/>
      <c r="G545" s="149"/>
      <c r="H545" s="149"/>
      <c r="I545" s="147"/>
      <c r="K545" s="1"/>
      <c r="L545" s="1"/>
      <c r="M545" s="1"/>
      <c r="N545" s="1"/>
      <c r="O545" s="1"/>
      <c r="P545" s="1"/>
      <c r="Q545" s="1"/>
      <c r="R545" s="1"/>
    </row>
    <row r="546" spans="1:18" s="84" customFormat="1" ht="18.75" customHeight="1" x14ac:dyDescent="0.25">
      <c r="A546" s="128"/>
      <c r="B546" s="169"/>
      <c r="C546" s="23"/>
      <c r="D546" s="23"/>
      <c r="E546" s="23"/>
      <c r="F546" s="23"/>
      <c r="G546" s="146"/>
      <c r="H546" s="21"/>
      <c r="I546" s="147"/>
      <c r="K546" s="1"/>
      <c r="L546" s="1"/>
      <c r="M546" s="1"/>
      <c r="N546" s="1"/>
      <c r="O546" s="1"/>
      <c r="P546" s="1"/>
      <c r="Q546" s="1"/>
      <c r="R546" s="1"/>
    </row>
    <row r="547" spans="1:18" s="84" customFormat="1" ht="18.75" customHeight="1" x14ac:dyDescent="0.25">
      <c r="A547" s="126" t="s">
        <v>811</v>
      </c>
      <c r="B547" s="138" t="s">
        <v>810</v>
      </c>
      <c r="C547" s="139"/>
      <c r="D547" s="139"/>
      <c r="E547" s="139"/>
      <c r="F547" s="139"/>
      <c r="G547" s="140"/>
      <c r="H547" s="139"/>
      <c r="I547" s="141"/>
      <c r="K547" s="1"/>
      <c r="L547" s="1"/>
      <c r="M547" s="1"/>
      <c r="N547" s="1"/>
      <c r="O547" s="1"/>
      <c r="P547" s="1"/>
      <c r="Q547" s="1"/>
      <c r="R547" s="1"/>
    </row>
    <row r="548" spans="1:18" s="84" customFormat="1" ht="18.75" customHeight="1" x14ac:dyDescent="0.25">
      <c r="A548" s="134"/>
      <c r="B548" s="169" t="s">
        <v>554</v>
      </c>
      <c r="C548" s="169"/>
      <c r="D548" s="169"/>
      <c r="E548" s="169"/>
      <c r="F548" s="169"/>
      <c r="G548" s="146" t="s">
        <v>30</v>
      </c>
      <c r="H548" s="73">
        <f>H532</f>
        <v>360</v>
      </c>
      <c r="I548" s="147" t="s">
        <v>23</v>
      </c>
      <c r="K548" s="1"/>
      <c r="L548" s="1"/>
      <c r="M548" s="1"/>
      <c r="N548" s="1"/>
      <c r="O548" s="1"/>
      <c r="P548" s="1"/>
      <c r="Q548" s="1"/>
      <c r="R548" s="1"/>
    </row>
    <row r="549" spans="1:18" s="84" customFormat="1" ht="18.75" customHeight="1" x14ac:dyDescent="0.25">
      <c r="A549" s="134"/>
      <c r="B549" s="169" t="s">
        <v>568</v>
      </c>
      <c r="C549" s="169"/>
      <c r="D549" s="169"/>
      <c r="E549" s="169"/>
      <c r="F549" s="169"/>
      <c r="G549" s="168" t="s">
        <v>571</v>
      </c>
      <c r="H549" s="87">
        <f>'Process - Pembebanan'!H15</f>
        <v>6562.5</v>
      </c>
      <c r="I549" s="175" t="s">
        <v>137</v>
      </c>
      <c r="K549" s="1"/>
      <c r="L549" s="1"/>
      <c r="M549" s="1"/>
      <c r="N549" s="1"/>
      <c r="O549" s="1"/>
      <c r="P549" s="1"/>
      <c r="Q549" s="1"/>
      <c r="R549" s="1"/>
    </row>
    <row r="550" spans="1:18" s="84" customFormat="1" ht="18.75" customHeight="1" x14ac:dyDescent="0.25">
      <c r="A550" s="134"/>
      <c r="B550" s="169" t="s">
        <v>569</v>
      </c>
      <c r="C550" s="169"/>
      <c r="D550" s="169"/>
      <c r="E550" s="169"/>
      <c r="F550" s="169"/>
      <c r="G550" s="168" t="s">
        <v>572</v>
      </c>
      <c r="H550" s="87">
        <f>'Process - Pembebanan'!H8</f>
        <v>2876.7599999999998</v>
      </c>
      <c r="I550" s="175" t="s">
        <v>137</v>
      </c>
      <c r="K550" s="1"/>
      <c r="L550" s="1"/>
      <c r="M550" s="1"/>
      <c r="N550" s="1"/>
      <c r="O550" s="1"/>
      <c r="P550" s="1"/>
      <c r="Q550" s="1"/>
      <c r="R550" s="1"/>
    </row>
    <row r="551" spans="1:18" s="84" customFormat="1" ht="18.75" customHeight="1" x14ac:dyDescent="0.25">
      <c r="A551" s="134"/>
      <c r="B551" s="169" t="s">
        <v>570</v>
      </c>
      <c r="C551" s="169"/>
      <c r="D551" s="169"/>
      <c r="E551" s="169"/>
      <c r="F551" s="169"/>
      <c r="G551" s="168" t="s">
        <v>573</v>
      </c>
      <c r="H551" s="87">
        <f>'Process - Pembebanan'!H18</f>
        <v>431.51399999999995</v>
      </c>
      <c r="I551" s="175" t="s">
        <v>137</v>
      </c>
      <c r="K551" s="1"/>
      <c r="L551" s="1"/>
      <c r="M551" s="1"/>
      <c r="N551" s="1"/>
      <c r="O551" s="1"/>
      <c r="P551" s="1"/>
      <c r="Q551" s="1"/>
      <c r="R551" s="1"/>
    </row>
    <row r="552" spans="1:18" s="84" customFormat="1" ht="18.75" customHeight="1" x14ac:dyDescent="0.25">
      <c r="A552" s="134"/>
      <c r="B552" s="169" t="s">
        <v>552</v>
      </c>
      <c r="C552" s="169"/>
      <c r="D552" s="169"/>
      <c r="E552" s="169"/>
      <c r="F552" s="169"/>
      <c r="G552" s="168" t="s">
        <v>574</v>
      </c>
      <c r="H552" s="87">
        <f>'Process - Pembebanan'!H25+'Process - Pembebanan'!H31</f>
        <v>2942.7343750000005</v>
      </c>
      <c r="I552" s="175" t="s">
        <v>137</v>
      </c>
      <c r="K552" s="1"/>
      <c r="L552" s="1"/>
      <c r="M552" s="1"/>
      <c r="N552" s="1"/>
      <c r="O552" s="1"/>
      <c r="P552" s="1"/>
      <c r="Q552" s="1"/>
      <c r="R552" s="1"/>
    </row>
    <row r="553" spans="1:18" s="84" customFormat="1" ht="18.75" customHeight="1" x14ac:dyDescent="0.25">
      <c r="A553" s="134"/>
      <c r="B553" s="169" t="s">
        <v>576</v>
      </c>
      <c r="C553" s="169"/>
      <c r="D553" s="169"/>
      <c r="E553" s="169"/>
      <c r="F553" s="169"/>
      <c r="G553" s="169"/>
      <c r="H553" s="170"/>
      <c r="I553" s="175"/>
      <c r="K553" s="1"/>
      <c r="L553" s="1"/>
      <c r="M553" s="1"/>
      <c r="N553" s="1"/>
      <c r="O553" s="1"/>
      <c r="P553" s="1"/>
      <c r="Q553" s="1"/>
      <c r="R553" s="1"/>
    </row>
    <row r="554" spans="1:18" s="84" customFormat="1" ht="18.75" customHeight="1" x14ac:dyDescent="0.25">
      <c r="A554" s="134"/>
      <c r="B554" s="169"/>
      <c r="C554" s="169"/>
      <c r="D554" s="169"/>
      <c r="E554" s="169"/>
      <c r="F554" s="169"/>
      <c r="G554" s="168" t="s">
        <v>575</v>
      </c>
      <c r="H554" s="87">
        <f>1.1*(H550+H551)+1.3*H549</f>
        <v>12170.3514</v>
      </c>
      <c r="I554" s="175" t="s">
        <v>137</v>
      </c>
      <c r="K554" s="1"/>
      <c r="L554" s="1"/>
      <c r="M554" s="1"/>
      <c r="N554" s="1"/>
      <c r="O554" s="1"/>
      <c r="P554" s="1"/>
      <c r="Q554" s="1"/>
      <c r="R554" s="1"/>
    </row>
    <row r="555" spans="1:18" s="84" customFormat="1" ht="18.75" customHeight="1" x14ac:dyDescent="0.25">
      <c r="A555" s="134"/>
      <c r="B555" s="169" t="s">
        <v>577</v>
      </c>
      <c r="C555" s="169"/>
      <c r="D555" s="169"/>
      <c r="E555" s="169"/>
      <c r="F555" s="169"/>
      <c r="G555" s="168"/>
      <c r="H555" s="170"/>
      <c r="I555" s="175"/>
      <c r="K555" s="1"/>
      <c r="L555" s="1"/>
      <c r="M555" s="1"/>
      <c r="N555" s="1"/>
      <c r="O555" s="1"/>
      <c r="P555" s="1"/>
      <c r="Q555" s="1"/>
      <c r="R555" s="1"/>
    </row>
    <row r="556" spans="1:18" s="84" customFormat="1" ht="18.75" customHeight="1" x14ac:dyDescent="0.25">
      <c r="A556" s="134"/>
      <c r="B556" s="169"/>
      <c r="C556" s="169"/>
      <c r="D556" s="169"/>
      <c r="E556" s="169"/>
      <c r="F556" s="169"/>
      <c r="G556" s="168" t="s">
        <v>578</v>
      </c>
      <c r="H556" s="87">
        <f>1.4*H552</f>
        <v>4119.828125</v>
      </c>
      <c r="I556" s="175" t="s">
        <v>137</v>
      </c>
      <c r="K556" s="1"/>
      <c r="L556" s="1"/>
      <c r="M556" s="1"/>
      <c r="N556" s="1"/>
      <c r="O556" s="1"/>
      <c r="P556" s="1"/>
      <c r="Q556" s="1"/>
      <c r="R556" s="1"/>
    </row>
    <row r="557" spans="1:18" s="84" customFormat="1" ht="18.75" customHeight="1" x14ac:dyDescent="0.25">
      <c r="A557" s="134"/>
      <c r="B557" s="169" t="s">
        <v>555</v>
      </c>
      <c r="C557" s="23"/>
      <c r="D557" s="23"/>
      <c r="E557" s="23"/>
      <c r="F557" s="23"/>
      <c r="G557" s="146" t="s">
        <v>695</v>
      </c>
      <c r="H557" s="100">
        <f>H554*10^6/(H160*10^9)</f>
        <v>201.17252691300075</v>
      </c>
      <c r="I557" s="147" t="s">
        <v>23</v>
      </c>
      <c r="K557" s="1"/>
      <c r="L557" s="1"/>
      <c r="M557" s="1"/>
      <c r="N557" s="1"/>
      <c r="O557" s="1"/>
      <c r="P557" s="1"/>
      <c r="Q557" s="1"/>
      <c r="R557" s="1"/>
    </row>
    <row r="558" spans="1:18" s="84" customFormat="1" ht="18.75" customHeight="1" x14ac:dyDescent="0.25">
      <c r="A558" s="134"/>
      <c r="B558" s="169" t="s">
        <v>557</v>
      </c>
      <c r="C558" s="23"/>
      <c r="D558" s="23"/>
      <c r="E558" s="23"/>
      <c r="F558" s="23"/>
      <c r="G558" s="146" t="s">
        <v>696</v>
      </c>
      <c r="H558" s="16">
        <f>H554*10^6/(H161*10^9)</f>
        <v>140.98548190605743</v>
      </c>
      <c r="I558" s="147" t="s">
        <v>23</v>
      </c>
      <c r="K558" s="1"/>
      <c r="L558" s="1"/>
      <c r="M558" s="1"/>
      <c r="N558" s="1"/>
      <c r="O558" s="1"/>
      <c r="P558" s="1"/>
      <c r="Q558" s="1"/>
      <c r="R558" s="1"/>
    </row>
    <row r="559" spans="1:18" s="84" customFormat="1" ht="18.75" customHeight="1" x14ac:dyDescent="0.25">
      <c r="A559" s="134"/>
      <c r="B559" s="169"/>
      <c r="C559" s="169"/>
      <c r="D559" s="169"/>
      <c r="E559" s="169"/>
      <c r="F559" s="169"/>
      <c r="G559" s="168"/>
      <c r="H559" s="85"/>
      <c r="I559" s="175"/>
      <c r="K559" s="1"/>
      <c r="L559" s="1"/>
      <c r="M559" s="1"/>
      <c r="N559" s="1"/>
      <c r="O559" s="1"/>
      <c r="P559" s="1"/>
      <c r="Q559" s="1"/>
      <c r="R559" s="1"/>
    </row>
    <row r="560" spans="1:18" s="84" customFormat="1" ht="18.75" customHeight="1" x14ac:dyDescent="0.25">
      <c r="A560" s="134"/>
      <c r="B560" s="243" t="s">
        <v>607</v>
      </c>
      <c r="C560" s="244"/>
      <c r="D560" s="244"/>
      <c r="E560" s="244"/>
      <c r="F560" s="244"/>
      <c r="G560" s="245"/>
      <c r="H560" s="246"/>
      <c r="I560" s="247"/>
      <c r="K560" s="1"/>
      <c r="L560" s="1"/>
      <c r="M560" s="1"/>
      <c r="N560" s="1"/>
      <c r="O560" s="1"/>
      <c r="P560" s="1"/>
      <c r="Q560" s="1"/>
      <c r="R560" s="1"/>
    </row>
    <row r="561" spans="1:19" s="84" customFormat="1" ht="18.75" customHeight="1" x14ac:dyDescent="0.25">
      <c r="A561" s="134"/>
      <c r="B561" s="169" t="s">
        <v>601</v>
      </c>
      <c r="C561" s="169"/>
      <c r="D561" s="169"/>
      <c r="E561" s="169"/>
      <c r="F561" s="169"/>
      <c r="G561" s="168" t="s">
        <v>630</v>
      </c>
      <c r="H561" s="68">
        <f>H450</f>
        <v>4.4000000000000004</v>
      </c>
      <c r="I561" s="175" t="s">
        <v>2</v>
      </c>
      <c r="K561" s="1"/>
      <c r="L561" s="1"/>
      <c r="M561" s="1"/>
      <c r="N561" s="1"/>
      <c r="O561" s="1"/>
      <c r="P561" s="1"/>
      <c r="Q561" s="1"/>
      <c r="R561" s="1"/>
    </row>
    <row r="562" spans="1:19" s="84" customFormat="1" ht="18.75" customHeight="1" x14ac:dyDescent="0.25">
      <c r="A562" s="134"/>
      <c r="B562" s="169" t="s">
        <v>584</v>
      </c>
      <c r="C562" s="169"/>
      <c r="D562" s="169"/>
      <c r="E562" s="169"/>
      <c r="F562" s="169"/>
      <c r="G562" s="168" t="s">
        <v>64</v>
      </c>
      <c r="H562" s="68">
        <f>H42/1000</f>
        <v>0.25</v>
      </c>
      <c r="I562" s="175" t="s">
        <v>2</v>
      </c>
      <c r="K562" s="1"/>
      <c r="L562" s="1"/>
      <c r="M562" s="1"/>
      <c r="N562" s="1"/>
      <c r="O562" s="1"/>
      <c r="P562" s="1"/>
      <c r="Q562" s="1"/>
      <c r="R562" s="1"/>
    </row>
    <row r="563" spans="1:19" s="84" customFormat="1" ht="18.75" customHeight="1" x14ac:dyDescent="0.25">
      <c r="A563" s="134"/>
      <c r="B563" s="169" t="s">
        <v>582</v>
      </c>
      <c r="C563" s="169"/>
      <c r="D563" s="169"/>
      <c r="E563" s="169"/>
      <c r="F563" s="169"/>
      <c r="G563" s="168" t="s">
        <v>591</v>
      </c>
      <c r="H563" s="78">
        <f>H30</f>
        <v>1.2</v>
      </c>
      <c r="I563" s="175" t="s">
        <v>2</v>
      </c>
      <c r="K563" s="1"/>
      <c r="L563" s="1"/>
      <c r="M563" s="1"/>
      <c r="N563" s="1"/>
      <c r="O563" s="1"/>
      <c r="P563" s="1"/>
      <c r="Q563" s="1"/>
      <c r="R563" s="1"/>
    </row>
    <row r="564" spans="1:19" s="84" customFormat="1" ht="18.75" customHeight="1" x14ac:dyDescent="0.25">
      <c r="A564" s="134"/>
      <c r="B564" s="169" t="s">
        <v>583</v>
      </c>
      <c r="C564" s="169"/>
      <c r="D564" s="169"/>
      <c r="E564" s="169"/>
      <c r="F564" s="169"/>
      <c r="G564" s="168" t="s">
        <v>592</v>
      </c>
      <c r="H564" s="68">
        <f>0.5*H563*H42/1000*H77</f>
        <v>3.5999999999999996</v>
      </c>
      <c r="I564" s="175" t="s">
        <v>585</v>
      </c>
      <c r="K564" s="1"/>
      <c r="L564" s="1"/>
      <c r="M564" s="1"/>
      <c r="N564" s="1"/>
      <c r="O564" s="1"/>
      <c r="P564" s="1"/>
      <c r="Q564" s="1"/>
      <c r="R564" s="1"/>
    </row>
    <row r="565" spans="1:19" s="84" customFormat="1" ht="18.75" customHeight="1" x14ac:dyDescent="0.25">
      <c r="A565" s="134"/>
      <c r="B565" s="169" t="s">
        <v>586</v>
      </c>
      <c r="C565" s="169"/>
      <c r="D565" s="169"/>
      <c r="E565" s="169"/>
      <c r="F565" s="169"/>
      <c r="G565" s="168" t="s">
        <v>593</v>
      </c>
      <c r="H565" s="78">
        <f>H82</f>
        <v>0.6</v>
      </c>
      <c r="I565" s="175" t="s">
        <v>585</v>
      </c>
      <c r="K565" s="1"/>
      <c r="L565" s="1"/>
      <c r="M565" s="1"/>
      <c r="N565" s="1"/>
      <c r="O565" s="1"/>
      <c r="P565" s="1"/>
      <c r="Q565" s="1"/>
      <c r="R565" s="1"/>
    </row>
    <row r="566" spans="1:19" ht="18.75" customHeight="1" x14ac:dyDescent="0.25">
      <c r="A566" s="134"/>
      <c r="B566" s="169" t="s">
        <v>587</v>
      </c>
      <c r="C566" s="169"/>
      <c r="D566" s="169"/>
      <c r="E566" s="169"/>
      <c r="F566" s="169"/>
      <c r="G566" s="168" t="s">
        <v>594</v>
      </c>
      <c r="H566" s="78">
        <f t="shared" ref="H566:H569" si="11">H83</f>
        <v>1.5</v>
      </c>
      <c r="I566" s="175" t="s">
        <v>585</v>
      </c>
      <c r="S566" s="84"/>
    </row>
    <row r="567" spans="1:19" s="84" customFormat="1" ht="18.75" customHeight="1" x14ac:dyDescent="0.25">
      <c r="A567" s="134"/>
      <c r="B567" s="169" t="s">
        <v>588</v>
      </c>
      <c r="C567" s="169"/>
      <c r="D567" s="169"/>
      <c r="E567" s="169"/>
      <c r="F567" s="169"/>
      <c r="G567" s="168" t="s">
        <v>595</v>
      </c>
      <c r="H567" s="78">
        <f t="shared" si="11"/>
        <v>0.5</v>
      </c>
      <c r="I567" s="175" t="s">
        <v>585</v>
      </c>
      <c r="K567" s="1"/>
      <c r="L567" s="1"/>
      <c r="M567" s="1"/>
      <c r="N567" s="1"/>
      <c r="O567" s="1"/>
      <c r="P567" s="1"/>
      <c r="Q567" s="1"/>
      <c r="R567" s="1"/>
    </row>
    <row r="568" spans="1:19" s="84" customFormat="1" ht="18.75" customHeight="1" x14ac:dyDescent="0.25">
      <c r="A568" s="134"/>
      <c r="B568" s="169" t="s">
        <v>589</v>
      </c>
      <c r="C568" s="169"/>
      <c r="D568" s="169"/>
      <c r="E568" s="169"/>
      <c r="F568" s="169"/>
      <c r="G568" s="168" t="s">
        <v>596</v>
      </c>
      <c r="H568" s="78">
        <f t="shared" si="11"/>
        <v>2</v>
      </c>
      <c r="I568" s="175" t="s">
        <v>585</v>
      </c>
      <c r="K568" s="1"/>
      <c r="L568" s="1"/>
      <c r="M568" s="1"/>
      <c r="N568" s="1"/>
      <c r="O568" s="1"/>
      <c r="P568" s="1"/>
      <c r="Q568" s="1"/>
      <c r="R568" s="1"/>
    </row>
    <row r="569" spans="1:19" s="84" customFormat="1" ht="18.75" customHeight="1" x14ac:dyDescent="0.25">
      <c r="A569" s="134"/>
      <c r="B569" s="169" t="s">
        <v>590</v>
      </c>
      <c r="C569" s="169"/>
      <c r="D569" s="169"/>
      <c r="E569" s="169"/>
      <c r="F569" s="169"/>
      <c r="G569" s="168" t="s">
        <v>597</v>
      </c>
      <c r="H569" s="78">
        <f t="shared" si="11"/>
        <v>13</v>
      </c>
      <c r="I569" s="175" t="s">
        <v>585</v>
      </c>
      <c r="K569" s="1"/>
      <c r="L569" s="1"/>
      <c r="M569" s="1"/>
      <c r="N569" s="1"/>
      <c r="O569" s="1"/>
      <c r="P569" s="1"/>
      <c r="Q569" s="1"/>
      <c r="R569" s="1"/>
      <c r="S569" s="1"/>
    </row>
    <row r="570" spans="1:19" s="84" customFormat="1" ht="18.75" customHeight="1" x14ac:dyDescent="0.25">
      <c r="A570" s="134"/>
      <c r="B570" s="169"/>
      <c r="C570" s="169"/>
      <c r="D570" s="169"/>
      <c r="E570" s="169"/>
      <c r="F570" s="169"/>
      <c r="G570" s="168"/>
      <c r="H570" s="170"/>
      <c r="I570" s="175"/>
      <c r="K570" s="1"/>
      <c r="L570" s="1"/>
      <c r="M570" s="1"/>
      <c r="N570" s="1"/>
      <c r="O570" s="1"/>
      <c r="P570" s="1"/>
      <c r="Q570" s="1"/>
      <c r="R570" s="1"/>
    </row>
    <row r="571" spans="1:19" s="84" customFormat="1" ht="18.75" customHeight="1" x14ac:dyDescent="0.25">
      <c r="A571" s="134"/>
      <c r="B571" s="169" t="s">
        <v>598</v>
      </c>
      <c r="C571" s="169"/>
      <c r="D571" s="169"/>
      <c r="E571" s="169"/>
      <c r="F571" s="169"/>
      <c r="G571" s="168" t="s">
        <v>599</v>
      </c>
      <c r="H571" s="71">
        <f>1.3*H564+1*(H565+H566+H567+H568)</f>
        <v>9.2799999999999994</v>
      </c>
      <c r="I571" s="175" t="s">
        <v>585</v>
      </c>
      <c r="K571" s="1"/>
      <c r="L571" s="1"/>
      <c r="M571" s="1"/>
      <c r="N571" s="1"/>
      <c r="O571" s="1"/>
      <c r="P571" s="1"/>
      <c r="Q571" s="1"/>
      <c r="R571" s="1"/>
    </row>
    <row r="572" spans="1:19" s="84" customFormat="1" ht="18.75" customHeight="1" x14ac:dyDescent="0.25">
      <c r="A572" s="134"/>
      <c r="B572" s="169" t="s">
        <v>581</v>
      </c>
      <c r="C572" s="169"/>
      <c r="D572" s="169"/>
      <c r="E572" s="169"/>
      <c r="F572" s="169"/>
      <c r="G572" s="168" t="s">
        <v>6</v>
      </c>
      <c r="H572" s="68">
        <f>H25</f>
        <v>2.1</v>
      </c>
      <c r="I572" s="175" t="s">
        <v>2</v>
      </c>
      <c r="K572" s="1"/>
      <c r="L572" s="1"/>
      <c r="M572" s="1"/>
      <c r="N572" s="1"/>
      <c r="O572" s="1"/>
      <c r="P572" s="1"/>
      <c r="Q572" s="1"/>
      <c r="R572" s="1"/>
    </row>
    <row r="573" spans="1:19" s="84" customFormat="1" ht="18.75" customHeight="1" x14ac:dyDescent="0.25">
      <c r="A573" s="134"/>
      <c r="B573" s="169" t="s">
        <v>580</v>
      </c>
      <c r="C573" s="169"/>
      <c r="D573" s="169"/>
      <c r="E573" s="169"/>
      <c r="F573" s="169"/>
      <c r="G573" s="168" t="s">
        <v>604</v>
      </c>
      <c r="H573" s="87">
        <f>H563/H572*H571</f>
        <v>5.3028571428571425</v>
      </c>
      <c r="I573" s="175" t="s">
        <v>585</v>
      </c>
      <c r="K573" s="1"/>
      <c r="L573" s="1"/>
      <c r="M573" s="1"/>
      <c r="N573" s="1"/>
      <c r="O573" s="1"/>
      <c r="P573" s="1"/>
      <c r="Q573" s="1"/>
      <c r="R573" s="1"/>
    </row>
    <row r="574" spans="1:19" s="84" customFormat="1" ht="18.75" customHeight="1" x14ac:dyDescent="0.25">
      <c r="A574" s="134"/>
      <c r="B574" s="169" t="s">
        <v>600</v>
      </c>
      <c r="C574" s="169"/>
      <c r="D574" s="169"/>
      <c r="E574" s="169"/>
      <c r="F574" s="169"/>
      <c r="G574" s="168" t="s">
        <v>691</v>
      </c>
      <c r="H574" s="87">
        <f>1/8*H573*H561^2</f>
        <v>12.832914285714287</v>
      </c>
      <c r="I574" s="175" t="s">
        <v>137</v>
      </c>
      <c r="K574" s="1"/>
      <c r="L574" s="1"/>
      <c r="M574" s="1"/>
      <c r="N574" s="1"/>
      <c r="O574" s="1"/>
      <c r="P574" s="1"/>
      <c r="Q574" s="1"/>
      <c r="R574" s="1"/>
    </row>
    <row r="575" spans="1:19" s="84" customFormat="1" ht="18.75" customHeight="1" x14ac:dyDescent="0.25">
      <c r="A575" s="134"/>
      <c r="B575" s="169" t="s">
        <v>579</v>
      </c>
      <c r="C575" s="169"/>
      <c r="D575" s="169"/>
      <c r="E575" s="169"/>
      <c r="F575" s="169"/>
      <c r="G575" s="168" t="s">
        <v>623</v>
      </c>
      <c r="H575" s="87">
        <f>H574/(1/6*D225*C225^2)/1000</f>
        <v>26.66117926394935</v>
      </c>
      <c r="I575" s="175" t="s">
        <v>23</v>
      </c>
      <c r="K575" s="1"/>
      <c r="L575" s="1"/>
      <c r="M575" s="1"/>
      <c r="N575" s="1"/>
      <c r="O575" s="1"/>
      <c r="P575" s="1"/>
      <c r="Q575" s="1"/>
      <c r="R575" s="1"/>
    </row>
    <row r="576" spans="1:19" s="84" customFormat="1" ht="18.75" customHeight="1" x14ac:dyDescent="0.25">
      <c r="A576" s="128"/>
      <c r="B576" s="23"/>
      <c r="C576" s="23"/>
      <c r="D576" s="23"/>
      <c r="E576" s="23"/>
      <c r="F576" s="23"/>
      <c r="G576" s="146"/>
      <c r="H576" s="21"/>
      <c r="I576" s="147"/>
      <c r="K576" s="1"/>
      <c r="L576" s="1"/>
      <c r="M576" s="1"/>
      <c r="N576" s="1"/>
      <c r="O576" s="1"/>
      <c r="P576" s="1"/>
      <c r="Q576" s="1"/>
      <c r="R576" s="1"/>
    </row>
    <row r="577" spans="1:19" s="84" customFormat="1" ht="18.75" customHeight="1" x14ac:dyDescent="0.25">
      <c r="A577" s="134"/>
      <c r="B577" s="169" t="s">
        <v>602</v>
      </c>
      <c r="C577" s="169"/>
      <c r="D577" s="169"/>
      <c r="E577" s="169"/>
      <c r="F577" s="169"/>
      <c r="G577" s="168" t="s">
        <v>605</v>
      </c>
      <c r="H577" s="16">
        <f>H563/H572*H569</f>
        <v>7.4285714285714279</v>
      </c>
      <c r="I577" s="175" t="s">
        <v>585</v>
      </c>
      <c r="K577" s="1"/>
      <c r="L577" s="1"/>
      <c r="M577" s="1"/>
      <c r="N577" s="1"/>
      <c r="O577" s="1"/>
      <c r="P577" s="1"/>
      <c r="Q577" s="1"/>
      <c r="R577" s="1"/>
    </row>
    <row r="578" spans="1:19" s="84" customFormat="1" ht="18.75" customHeight="1" x14ac:dyDescent="0.25">
      <c r="A578" s="134"/>
      <c r="B578" s="169" t="s">
        <v>600</v>
      </c>
      <c r="C578" s="169"/>
      <c r="D578" s="169"/>
      <c r="E578" s="169"/>
      <c r="F578" s="169"/>
      <c r="G578" s="168" t="s">
        <v>692</v>
      </c>
      <c r="H578" s="87">
        <f>1/8*H577*H561^2</f>
        <v>17.977142857142859</v>
      </c>
      <c r="I578" s="175" t="s">
        <v>137</v>
      </c>
      <c r="K578" s="1"/>
      <c r="L578" s="1"/>
      <c r="M578" s="1"/>
      <c r="N578" s="1"/>
      <c r="O578" s="1"/>
      <c r="P578" s="1"/>
      <c r="Q578" s="1"/>
      <c r="R578" s="1"/>
    </row>
    <row r="579" spans="1:19" s="84" customFormat="1" ht="18.75" customHeight="1" x14ac:dyDescent="0.25">
      <c r="A579" s="134"/>
      <c r="B579" s="169" t="s">
        <v>579</v>
      </c>
      <c r="C579" s="169"/>
      <c r="D579" s="169"/>
      <c r="E579" s="169"/>
      <c r="F579" s="169"/>
      <c r="G579" s="168" t="s">
        <v>622</v>
      </c>
      <c r="H579" s="87">
        <f>H578/(1/6*D225*C225^2)/1000</f>
        <v>37.348634744756637</v>
      </c>
      <c r="I579" s="175" t="s">
        <v>23</v>
      </c>
      <c r="K579" s="1"/>
      <c r="L579" s="1"/>
      <c r="M579" s="1"/>
      <c r="N579" s="1"/>
      <c r="O579" s="1"/>
      <c r="P579" s="1"/>
      <c r="Q579" s="1"/>
      <c r="R579" s="1"/>
    </row>
    <row r="580" spans="1:19" s="84" customFormat="1" ht="18.75" customHeight="1" x14ac:dyDescent="0.25">
      <c r="A580" s="134"/>
      <c r="B580" s="169"/>
      <c r="C580" s="169"/>
      <c r="D580" s="169"/>
      <c r="E580" s="169"/>
      <c r="F580" s="169"/>
      <c r="G580" s="168"/>
      <c r="H580" s="170"/>
      <c r="I580" s="175"/>
      <c r="K580" s="1"/>
      <c r="L580" s="1"/>
      <c r="M580" s="1"/>
      <c r="N580" s="1"/>
      <c r="O580" s="1"/>
      <c r="P580" s="1"/>
      <c r="Q580" s="1"/>
      <c r="R580" s="1"/>
    </row>
    <row r="581" spans="1:19" s="84" customFormat="1" ht="18.75" customHeight="1" x14ac:dyDescent="0.25">
      <c r="A581" s="134"/>
      <c r="B581" s="169" t="s">
        <v>603</v>
      </c>
      <c r="C581" s="169"/>
      <c r="D581" s="169"/>
      <c r="E581" s="169"/>
      <c r="F581" s="169"/>
      <c r="G581" s="168" t="s">
        <v>606</v>
      </c>
      <c r="H581" s="87">
        <f>H575+H579</f>
        <v>64.009814008705987</v>
      </c>
      <c r="I581" s="175" t="s">
        <v>23</v>
      </c>
      <c r="K581" s="1"/>
      <c r="L581" s="1"/>
      <c r="M581" s="1"/>
      <c r="N581" s="1"/>
      <c r="O581" s="1"/>
      <c r="P581" s="1"/>
      <c r="Q581" s="1"/>
      <c r="R581" s="1"/>
    </row>
    <row r="582" spans="1:19" s="84" customFormat="1" ht="18.75" customHeight="1" x14ac:dyDescent="0.25">
      <c r="A582" s="134"/>
      <c r="B582" s="169"/>
      <c r="C582" s="169"/>
      <c r="D582" s="169"/>
      <c r="E582" s="169"/>
      <c r="F582" s="169"/>
      <c r="G582" s="168"/>
      <c r="H582" s="170"/>
      <c r="I582" s="175"/>
      <c r="K582" s="1"/>
      <c r="L582" s="1"/>
      <c r="M582" s="1"/>
      <c r="N582" s="1"/>
      <c r="O582" s="1"/>
      <c r="P582" s="1"/>
      <c r="Q582" s="1"/>
      <c r="R582" s="1"/>
    </row>
    <row r="583" spans="1:19" s="84" customFormat="1" ht="18.75" customHeight="1" x14ac:dyDescent="0.25">
      <c r="A583" s="134"/>
      <c r="B583" s="243" t="s">
        <v>608</v>
      </c>
      <c r="C583" s="244"/>
      <c r="D583" s="244"/>
      <c r="E583" s="244"/>
      <c r="F583" s="244"/>
      <c r="G583" s="245"/>
      <c r="H583" s="246"/>
      <c r="I583" s="247"/>
      <c r="K583" s="1"/>
      <c r="L583" s="1"/>
      <c r="M583" s="1"/>
      <c r="N583" s="1"/>
      <c r="O583" s="1"/>
      <c r="P583" s="1"/>
      <c r="Q583" s="1"/>
      <c r="R583" s="1"/>
    </row>
    <row r="584" spans="1:19" s="84" customFormat="1" ht="18.75" customHeight="1" x14ac:dyDescent="0.25">
      <c r="A584" s="134"/>
      <c r="B584" s="169" t="s">
        <v>609</v>
      </c>
      <c r="C584" s="169"/>
      <c r="D584" s="169"/>
      <c r="E584" s="169"/>
      <c r="F584" s="169"/>
      <c r="G584" s="168" t="s">
        <v>615</v>
      </c>
      <c r="H584" s="87">
        <f>'Process - Pembebanan'!H14*0.5*'Process - Pembebanan'!H4</f>
        <v>525</v>
      </c>
      <c r="I584" s="175" t="s">
        <v>148</v>
      </c>
      <c r="K584" s="1"/>
      <c r="L584" s="1"/>
      <c r="M584" s="1"/>
      <c r="N584" s="1"/>
      <c r="O584" s="1"/>
      <c r="P584" s="1"/>
      <c r="Q584" s="1"/>
      <c r="R584" s="1"/>
    </row>
    <row r="585" spans="1:19" s="84" customFormat="1" ht="18.75" customHeight="1" x14ac:dyDescent="0.25">
      <c r="A585" s="134"/>
      <c r="B585" s="169" t="s">
        <v>610</v>
      </c>
      <c r="C585" s="169"/>
      <c r="D585" s="169"/>
      <c r="E585" s="169"/>
      <c r="F585" s="169"/>
      <c r="G585" s="168" t="s">
        <v>616</v>
      </c>
      <c r="H585" s="87">
        <f>'Process - Pembebanan'!H7*0.5*'Process - Pembebanan'!H4</f>
        <v>230.14079999999998</v>
      </c>
      <c r="I585" s="175" t="s">
        <v>148</v>
      </c>
      <c r="K585" s="1"/>
      <c r="L585" s="1"/>
      <c r="M585" s="1"/>
      <c r="N585" s="1"/>
      <c r="O585" s="1"/>
      <c r="P585" s="1"/>
      <c r="Q585" s="1"/>
      <c r="R585" s="1"/>
    </row>
    <row r="586" spans="1:19" s="84" customFormat="1" ht="18.75" customHeight="1" x14ac:dyDescent="0.25">
      <c r="A586" s="134"/>
      <c r="B586" s="169" t="s">
        <v>611</v>
      </c>
      <c r="C586" s="169"/>
      <c r="D586" s="169"/>
      <c r="E586" s="169"/>
      <c r="F586" s="169"/>
      <c r="G586" s="168" t="s">
        <v>617</v>
      </c>
      <c r="H586" s="87">
        <f>0.15*'Process - Pembebanan'!H7*0.5*'Process - Pembebanan'!H4</f>
        <v>34.521119999999996</v>
      </c>
      <c r="I586" s="175" t="s">
        <v>148</v>
      </c>
      <c r="K586" s="1"/>
      <c r="L586" s="1"/>
      <c r="M586" s="1"/>
      <c r="N586" s="1"/>
      <c r="O586" s="1"/>
      <c r="P586" s="1"/>
      <c r="Q586" s="1"/>
      <c r="R586" s="1"/>
    </row>
    <row r="587" spans="1:19" s="84" customFormat="1" ht="18.75" customHeight="1" x14ac:dyDescent="0.25">
      <c r="A587" s="134"/>
      <c r="B587" s="169" t="s">
        <v>612</v>
      </c>
      <c r="C587" s="169"/>
      <c r="D587" s="169"/>
      <c r="E587" s="169"/>
      <c r="F587" s="169"/>
      <c r="G587" s="168" t="s">
        <v>618</v>
      </c>
      <c r="H587" s="87">
        <f>'Process - Pembebanan'!H24*0.5*'Process - Pembebanan'!H4</f>
        <v>192.50000000000003</v>
      </c>
      <c r="I587" s="175" t="s">
        <v>148</v>
      </c>
      <c r="K587" s="1"/>
      <c r="L587" s="1"/>
      <c r="M587" s="1"/>
      <c r="N587" s="1"/>
      <c r="O587" s="1"/>
      <c r="P587" s="1"/>
      <c r="Q587" s="1"/>
      <c r="R587" s="1"/>
    </row>
    <row r="588" spans="1:19" s="84" customFormat="1" ht="18.75" customHeight="1" x14ac:dyDescent="0.25">
      <c r="A588" s="134"/>
      <c r="B588" s="169" t="s">
        <v>613</v>
      </c>
      <c r="C588" s="169"/>
      <c r="D588" s="169"/>
      <c r="E588" s="169"/>
      <c r="F588" s="169"/>
      <c r="G588" s="169"/>
      <c r="H588" s="170"/>
      <c r="I588" s="175"/>
      <c r="K588" s="1"/>
      <c r="L588" s="1"/>
      <c r="M588" s="1"/>
      <c r="N588" s="1"/>
      <c r="O588" s="1"/>
      <c r="P588" s="1"/>
      <c r="Q588" s="1"/>
      <c r="R588" s="1"/>
    </row>
    <row r="589" spans="1:19" s="84" customFormat="1" ht="18.75" customHeight="1" x14ac:dyDescent="0.25">
      <c r="A589" s="134"/>
      <c r="B589" s="169"/>
      <c r="C589" s="169"/>
      <c r="D589" s="169"/>
      <c r="E589" s="169"/>
      <c r="F589" s="169"/>
      <c r="G589" s="168" t="s">
        <v>619</v>
      </c>
      <c r="H589" s="87">
        <f>1.1*(H585+H586)+1.3*H584</f>
        <v>973.6281120000001</v>
      </c>
      <c r="I589" s="175" t="s">
        <v>148</v>
      </c>
      <c r="K589" s="1"/>
      <c r="L589" s="1"/>
      <c r="M589" s="1"/>
      <c r="N589" s="1"/>
      <c r="O589" s="1"/>
      <c r="P589" s="1"/>
      <c r="Q589" s="1"/>
      <c r="R589" s="1"/>
    </row>
    <row r="590" spans="1:19" s="75" customFormat="1" ht="18.75" customHeight="1" x14ac:dyDescent="0.25">
      <c r="A590" s="134"/>
      <c r="B590" s="169" t="s">
        <v>614</v>
      </c>
      <c r="C590" s="169"/>
      <c r="D590" s="169"/>
      <c r="E590" s="169"/>
      <c r="F590" s="169"/>
      <c r="G590" s="168"/>
      <c r="H590" s="170"/>
      <c r="I590" s="175"/>
      <c r="K590" s="1"/>
      <c r="L590" s="1"/>
      <c r="M590" s="1"/>
      <c r="N590" s="1"/>
      <c r="O590" s="1"/>
      <c r="P590" s="1"/>
      <c r="Q590" s="1"/>
      <c r="R590" s="1"/>
      <c r="S590" s="84"/>
    </row>
    <row r="591" spans="1:19" s="75" customFormat="1" ht="18.75" customHeight="1" x14ac:dyDescent="0.25">
      <c r="A591" s="134"/>
      <c r="B591" s="169"/>
      <c r="C591" s="169"/>
      <c r="D591" s="169"/>
      <c r="E591" s="169"/>
      <c r="F591" s="169"/>
      <c r="G591" s="168" t="s">
        <v>620</v>
      </c>
      <c r="H591" s="87">
        <f>1.4*H587</f>
        <v>269.5</v>
      </c>
      <c r="I591" s="175" t="s">
        <v>148</v>
      </c>
      <c r="K591" s="1"/>
      <c r="L591" s="1"/>
      <c r="M591" s="1"/>
      <c r="N591" s="1"/>
      <c r="O591" s="1"/>
      <c r="P591" s="1"/>
      <c r="Q591" s="1"/>
      <c r="R591" s="1"/>
      <c r="S591" s="84"/>
    </row>
    <row r="592" spans="1:19" s="75" customFormat="1" ht="18.75" customHeight="1" x14ac:dyDescent="0.25">
      <c r="A592" s="134"/>
      <c r="B592" s="169" t="s">
        <v>621</v>
      </c>
      <c r="C592" s="169"/>
      <c r="D592" s="169"/>
      <c r="E592" s="169"/>
      <c r="F592" s="169"/>
      <c r="G592" s="168" t="s">
        <v>629</v>
      </c>
      <c r="H592" s="87">
        <f>2*H589/H23</f>
        <v>38.945124480000004</v>
      </c>
      <c r="I592" s="175" t="s">
        <v>148</v>
      </c>
      <c r="K592" s="1"/>
      <c r="L592" s="1"/>
      <c r="M592" s="1"/>
      <c r="N592" s="1"/>
      <c r="O592" s="1"/>
      <c r="P592" s="1"/>
      <c r="Q592" s="1"/>
      <c r="R592" s="1"/>
      <c r="S592" s="84"/>
    </row>
    <row r="593" spans="1:19" s="75" customFormat="1" ht="18.75" customHeight="1" x14ac:dyDescent="0.25">
      <c r="A593" s="134"/>
      <c r="B593" s="169" t="s">
        <v>624</v>
      </c>
      <c r="C593" s="169"/>
      <c r="D593" s="169"/>
      <c r="E593" s="169"/>
      <c r="F593" s="169"/>
      <c r="G593" s="168" t="s">
        <v>626</v>
      </c>
      <c r="H593" s="78">
        <v>0</v>
      </c>
      <c r="I593" s="176" t="s">
        <v>625</v>
      </c>
      <c r="K593" s="1"/>
      <c r="L593" s="1"/>
      <c r="M593" s="1"/>
      <c r="N593" s="1"/>
      <c r="O593" s="1"/>
      <c r="P593" s="1"/>
      <c r="Q593" s="1"/>
      <c r="R593" s="1"/>
    </row>
    <row r="594" spans="1:19" s="75" customFormat="1" ht="18.75" customHeight="1" x14ac:dyDescent="0.25">
      <c r="A594" s="134"/>
      <c r="B594" s="169" t="s">
        <v>627</v>
      </c>
      <c r="C594" s="169"/>
      <c r="D594" s="169"/>
      <c r="E594" s="169"/>
      <c r="F594" s="169"/>
      <c r="G594" s="168" t="s">
        <v>628</v>
      </c>
      <c r="H594" s="71">
        <f>0.5*H592*TAN(RADIANS(H593))</f>
        <v>0</v>
      </c>
      <c r="I594" s="175" t="s">
        <v>148</v>
      </c>
      <c r="K594" s="1"/>
      <c r="L594" s="1"/>
      <c r="M594" s="1"/>
      <c r="N594" s="1"/>
      <c r="O594" s="1"/>
      <c r="P594" s="1"/>
      <c r="Q594" s="1"/>
      <c r="R594" s="1"/>
    </row>
    <row r="595" spans="1:19" s="75" customFormat="1" ht="18.75" customHeight="1" x14ac:dyDescent="0.25">
      <c r="A595" s="134"/>
      <c r="B595" s="169" t="s">
        <v>600</v>
      </c>
      <c r="C595" s="169"/>
      <c r="D595" s="169"/>
      <c r="E595" s="169"/>
      <c r="F595" s="169"/>
      <c r="G595" s="168" t="s">
        <v>693</v>
      </c>
      <c r="H595" s="87">
        <f>1/8*H594*H561^2</f>
        <v>0</v>
      </c>
      <c r="I595" s="175" t="s">
        <v>137</v>
      </c>
      <c r="K595" s="1"/>
      <c r="L595" s="1"/>
      <c r="M595" s="1"/>
      <c r="N595" s="1"/>
      <c r="O595" s="1"/>
      <c r="P595" s="1"/>
      <c r="Q595" s="1"/>
      <c r="R595" s="1"/>
    </row>
    <row r="596" spans="1:19" s="75" customFormat="1" ht="18.75" customHeight="1" x14ac:dyDescent="0.25">
      <c r="A596" s="134"/>
      <c r="B596" s="169" t="s">
        <v>579</v>
      </c>
      <c r="C596" s="169"/>
      <c r="D596" s="169"/>
      <c r="E596" s="169"/>
      <c r="F596" s="169"/>
      <c r="G596" s="168" t="s">
        <v>631</v>
      </c>
      <c r="H596" s="87">
        <f>H595/(1/6*D225*C225^2)/1000</f>
        <v>0</v>
      </c>
      <c r="I596" s="175" t="s">
        <v>23</v>
      </c>
      <c r="K596" s="1"/>
      <c r="L596" s="1"/>
      <c r="M596" s="1"/>
      <c r="N596" s="1"/>
      <c r="O596" s="1"/>
      <c r="P596" s="1"/>
      <c r="Q596" s="1"/>
      <c r="R596" s="1"/>
    </row>
    <row r="597" spans="1:19" s="75" customFormat="1" ht="18.75" customHeight="1" x14ac:dyDescent="0.25">
      <c r="A597" s="134"/>
      <c r="B597" s="169"/>
      <c r="C597" s="169"/>
      <c r="D597" s="169"/>
      <c r="E597" s="169"/>
      <c r="F597" s="169"/>
      <c r="G597" s="168"/>
      <c r="H597" s="170"/>
      <c r="I597" s="175"/>
      <c r="K597" s="1"/>
      <c r="L597" s="1"/>
      <c r="M597" s="1"/>
      <c r="N597" s="1"/>
      <c r="O597" s="1"/>
      <c r="P597" s="1"/>
      <c r="Q597" s="1"/>
      <c r="R597" s="1"/>
    </row>
    <row r="598" spans="1:19" s="75" customFormat="1" ht="18.75" customHeight="1" x14ac:dyDescent="0.25">
      <c r="A598" s="134"/>
      <c r="B598" s="169" t="s">
        <v>632</v>
      </c>
      <c r="C598" s="169"/>
      <c r="D598" s="169"/>
      <c r="E598" s="169"/>
      <c r="F598" s="169"/>
      <c r="G598" s="168" t="s">
        <v>641</v>
      </c>
      <c r="H598" s="68">
        <f>H561</f>
        <v>4.4000000000000004</v>
      </c>
      <c r="I598" s="175" t="s">
        <v>2</v>
      </c>
      <c r="K598" s="1"/>
      <c r="L598" s="1"/>
      <c r="M598" s="1"/>
      <c r="N598" s="1"/>
      <c r="O598" s="1"/>
      <c r="P598" s="1"/>
      <c r="Q598" s="1"/>
      <c r="R598" s="1"/>
    </row>
    <row r="599" spans="1:19" s="75" customFormat="1" ht="18.75" customHeight="1" x14ac:dyDescent="0.25">
      <c r="A599" s="134"/>
      <c r="B599" s="169" t="s">
        <v>633</v>
      </c>
      <c r="C599" s="169"/>
      <c r="D599" s="169"/>
      <c r="E599" s="169"/>
      <c r="F599" s="169"/>
      <c r="G599" s="168" t="s">
        <v>642</v>
      </c>
      <c r="H599" s="87">
        <f>H158</f>
        <v>1.2346994535519125</v>
      </c>
      <c r="I599" s="175" t="s">
        <v>2</v>
      </c>
      <c r="K599" s="1"/>
      <c r="L599" s="1"/>
      <c r="M599" s="1"/>
      <c r="N599" s="1"/>
      <c r="O599" s="1"/>
      <c r="P599" s="1"/>
      <c r="Q599" s="1"/>
      <c r="R599" s="1"/>
    </row>
    <row r="600" spans="1:19" s="75" customFormat="1" ht="18.75" customHeight="1" x14ac:dyDescent="0.25">
      <c r="A600" s="132"/>
      <c r="B600" s="151" t="s">
        <v>634</v>
      </c>
      <c r="C600" s="151"/>
      <c r="D600" s="151"/>
      <c r="E600" s="151"/>
      <c r="F600" s="151"/>
      <c r="G600" s="159" t="s">
        <v>643</v>
      </c>
      <c r="H600" s="104">
        <f>(H599-D148)</f>
        <v>1.2146994535519124</v>
      </c>
      <c r="I600" s="163"/>
      <c r="K600" s="1"/>
      <c r="L600" s="1"/>
      <c r="M600" s="1"/>
      <c r="N600" s="1"/>
      <c r="O600" s="1"/>
      <c r="P600" s="1"/>
      <c r="Q600" s="1"/>
      <c r="R600" s="1"/>
    </row>
    <row r="601" spans="1:19" s="75" customFormat="1" ht="18.75" customHeight="1" x14ac:dyDescent="0.25">
      <c r="A601" s="132"/>
      <c r="B601" s="151" t="s">
        <v>635</v>
      </c>
      <c r="C601" s="151"/>
      <c r="D601" s="151"/>
      <c r="E601" s="151"/>
      <c r="F601" s="151"/>
      <c r="G601" s="159" t="s">
        <v>644</v>
      </c>
      <c r="H601" s="78">
        <f>C152/SQRT(12*(1+1/3*H600/(C152*D152)))*1000</f>
        <v>148.47836369466563</v>
      </c>
      <c r="I601" s="163" t="s">
        <v>9</v>
      </c>
      <c r="K601" s="1"/>
      <c r="L601" s="1"/>
      <c r="M601" s="1"/>
      <c r="N601" s="1"/>
      <c r="O601" s="1"/>
      <c r="P601" s="1"/>
      <c r="Q601" s="1"/>
      <c r="R601" s="1"/>
    </row>
    <row r="602" spans="1:19" s="75" customFormat="1" ht="18.75" customHeight="1" x14ac:dyDescent="0.25">
      <c r="A602" s="132"/>
      <c r="B602" s="151" t="s">
        <v>636</v>
      </c>
      <c r="C602" s="151"/>
      <c r="D602" s="151"/>
      <c r="E602" s="151"/>
      <c r="F602" s="151"/>
      <c r="G602" s="159" t="s">
        <v>645</v>
      </c>
      <c r="H602" s="78">
        <f>1*H601*SQRT(H10/H6)/1000</f>
        <v>3.4996685942660188</v>
      </c>
      <c r="I602" s="163" t="s">
        <v>2</v>
      </c>
      <c r="K602" s="1"/>
      <c r="L602" s="1"/>
      <c r="M602" s="1"/>
      <c r="N602" s="1"/>
      <c r="O602" s="1"/>
      <c r="P602" s="1"/>
      <c r="Q602" s="1"/>
      <c r="R602" s="1"/>
    </row>
    <row r="603" spans="1:19" s="84" customFormat="1" ht="18.75" customHeight="1" x14ac:dyDescent="0.25">
      <c r="A603" s="132"/>
      <c r="B603" s="151" t="s">
        <v>638</v>
      </c>
      <c r="C603" s="151"/>
      <c r="D603" s="151"/>
      <c r="E603" s="151"/>
      <c r="F603" s="151"/>
      <c r="G603" s="159" t="s">
        <v>646</v>
      </c>
      <c r="H603" s="105">
        <v>1</v>
      </c>
      <c r="I603" s="163"/>
      <c r="K603" s="1"/>
      <c r="L603" s="1"/>
      <c r="M603" s="1"/>
      <c r="N603" s="1"/>
      <c r="O603" s="1"/>
      <c r="P603" s="1"/>
      <c r="Q603" s="1"/>
      <c r="R603" s="1"/>
      <c r="S603" s="75"/>
    </row>
    <row r="604" spans="1:19" s="75" customFormat="1" ht="18.75" customHeight="1" x14ac:dyDescent="0.25">
      <c r="A604" s="132"/>
      <c r="B604" s="151" t="s">
        <v>639</v>
      </c>
      <c r="C604" s="151"/>
      <c r="D604" s="151"/>
      <c r="E604" s="151"/>
      <c r="F604" s="151"/>
      <c r="G604" s="159" t="s">
        <v>647</v>
      </c>
      <c r="H604" s="105">
        <v>1</v>
      </c>
      <c r="I604" s="163"/>
      <c r="K604" s="1"/>
      <c r="L604" s="1"/>
      <c r="M604" s="1"/>
      <c r="N604" s="1"/>
      <c r="O604" s="1"/>
      <c r="P604" s="1"/>
      <c r="Q604" s="1"/>
      <c r="R604" s="1"/>
    </row>
    <row r="605" spans="1:19" s="75" customFormat="1" ht="18.75" customHeight="1" x14ac:dyDescent="0.25">
      <c r="A605" s="132"/>
      <c r="B605" s="151"/>
      <c r="C605" s="151"/>
      <c r="D605" s="151"/>
      <c r="E605" s="151"/>
      <c r="F605" s="151"/>
      <c r="G605" s="159"/>
      <c r="H605" s="177"/>
      <c r="I605" s="163"/>
      <c r="K605" s="1"/>
      <c r="L605" s="1"/>
      <c r="M605" s="1"/>
      <c r="N605" s="1"/>
      <c r="O605" s="1"/>
      <c r="P605" s="1"/>
      <c r="Q605" s="1"/>
      <c r="R605" s="1"/>
    </row>
    <row r="606" spans="1:19" s="75" customFormat="1" ht="18.75" customHeight="1" x14ac:dyDescent="0.25">
      <c r="A606" s="132"/>
      <c r="B606" s="151" t="s">
        <v>637</v>
      </c>
      <c r="C606" s="151"/>
      <c r="D606" s="151"/>
      <c r="E606" s="151"/>
      <c r="F606" s="151"/>
      <c r="G606" s="159" t="s">
        <v>694</v>
      </c>
      <c r="H606" s="79">
        <f>1.2*H602*SQRT(H603*H604/(H557/H6))</f>
        <v>5.617913927980914</v>
      </c>
      <c r="I606" s="163" t="s">
        <v>2</v>
      </c>
      <c r="K606" s="1"/>
      <c r="L606" s="1"/>
      <c r="M606" s="1"/>
      <c r="N606" s="1"/>
      <c r="O606" s="1"/>
      <c r="P606" s="1"/>
      <c r="Q606" s="1"/>
      <c r="R606" s="1"/>
      <c r="S606" s="84"/>
    </row>
    <row r="607" spans="1:19" s="75" customFormat="1" ht="18.75" customHeight="1" x14ac:dyDescent="0.25">
      <c r="A607" s="132"/>
      <c r="B607" s="151" t="s">
        <v>640</v>
      </c>
      <c r="C607" s="151"/>
      <c r="D607" s="151"/>
      <c r="E607" s="151"/>
      <c r="F607" s="151"/>
      <c r="G607" s="159" t="s">
        <v>652</v>
      </c>
      <c r="H607" s="78">
        <f>H603*H604*PI()^2*H10/(H598*1000/H601)^2</f>
        <v>2247.7641153635896</v>
      </c>
      <c r="I607" s="163" t="s">
        <v>23</v>
      </c>
      <c r="K607" s="1"/>
      <c r="L607" s="1"/>
      <c r="M607" s="1"/>
      <c r="N607" s="1"/>
      <c r="O607" s="1"/>
      <c r="P607" s="1"/>
      <c r="Q607" s="1"/>
      <c r="R607" s="1"/>
    </row>
    <row r="608" spans="1:19" s="75" customFormat="1" ht="18.75" customHeight="1" x14ac:dyDescent="0.25">
      <c r="A608" s="132"/>
      <c r="B608" s="151" t="s">
        <v>653</v>
      </c>
      <c r="C608" s="151"/>
      <c r="D608" s="151"/>
      <c r="E608" s="151"/>
      <c r="F608" s="151"/>
      <c r="G608" s="159"/>
      <c r="H608" s="162"/>
      <c r="I608" s="163"/>
      <c r="K608" s="1"/>
      <c r="L608" s="1"/>
      <c r="M608" s="1"/>
      <c r="N608" s="1"/>
      <c r="O608" s="1"/>
      <c r="P608" s="1"/>
      <c r="Q608" s="1"/>
      <c r="R608" s="1"/>
    </row>
    <row r="609" spans="1:19" s="75" customFormat="1" ht="18.75" customHeight="1" x14ac:dyDescent="0.25">
      <c r="A609" s="132"/>
      <c r="B609" s="102" t="s">
        <v>658</v>
      </c>
      <c r="C609" s="102"/>
      <c r="D609" s="102"/>
      <c r="E609" s="102"/>
      <c r="F609" s="102"/>
      <c r="G609" s="103" t="s">
        <v>656</v>
      </c>
      <c r="H609" s="78" t="str">
        <f>IF(H598&gt;H606,0.85/(1-H557/H607),"")</f>
        <v/>
      </c>
      <c r="I609" s="163"/>
      <c r="K609" s="1"/>
      <c r="L609" s="1"/>
      <c r="M609" s="1"/>
      <c r="N609" s="1"/>
      <c r="O609" s="1"/>
      <c r="P609" s="1"/>
      <c r="Q609" s="1"/>
      <c r="R609" s="1"/>
    </row>
    <row r="610" spans="1:19" s="84" customFormat="1" ht="18.75" customHeight="1" x14ac:dyDescent="0.25">
      <c r="A610" s="132"/>
      <c r="B610" s="102" t="s">
        <v>657</v>
      </c>
      <c r="C610" s="102"/>
      <c r="D610" s="102"/>
      <c r="E610" s="102"/>
      <c r="F610" s="102"/>
      <c r="G610" s="103" t="s">
        <v>655</v>
      </c>
      <c r="H610" s="78">
        <f>IF(H598&lt;=H606,1,"")</f>
        <v>1</v>
      </c>
      <c r="I610" s="163"/>
      <c r="K610" s="1"/>
      <c r="L610" s="1"/>
      <c r="M610" s="1"/>
      <c r="N610" s="1"/>
      <c r="O610" s="1"/>
      <c r="P610" s="1"/>
      <c r="Q610" s="1"/>
      <c r="R610" s="1"/>
      <c r="S610" s="75"/>
    </row>
    <row r="611" spans="1:19" s="84" customFormat="1" ht="18.75" customHeight="1" x14ac:dyDescent="0.25">
      <c r="A611" s="132"/>
      <c r="B611" s="151"/>
      <c r="C611" s="151"/>
      <c r="D611" s="151"/>
      <c r="E611" s="151"/>
      <c r="F611" s="151"/>
      <c r="G611" s="159" t="s">
        <v>654</v>
      </c>
      <c r="H611" s="106">
        <f>MAX(H609:H610)</f>
        <v>1</v>
      </c>
      <c r="I611" s="163"/>
      <c r="K611" s="1"/>
      <c r="L611" s="1"/>
      <c r="M611" s="1"/>
      <c r="N611" s="1"/>
      <c r="O611" s="1"/>
      <c r="P611" s="1"/>
      <c r="Q611" s="1"/>
      <c r="R611" s="1"/>
      <c r="S611" s="75"/>
    </row>
    <row r="612" spans="1:19" s="84" customFormat="1" ht="18.75" customHeight="1" x14ac:dyDescent="0.25">
      <c r="A612" s="132"/>
      <c r="B612" s="151" t="s">
        <v>659</v>
      </c>
      <c r="C612" s="151"/>
      <c r="D612" s="151"/>
      <c r="E612" s="151"/>
      <c r="F612" s="151"/>
      <c r="G612" s="159" t="s">
        <v>660</v>
      </c>
      <c r="H612" s="79">
        <f>H611*H581+H596</f>
        <v>64.009814008705987</v>
      </c>
      <c r="I612" s="163" t="s">
        <v>23</v>
      </c>
      <c r="K612" s="1"/>
      <c r="L612" s="1"/>
      <c r="M612" s="1"/>
      <c r="N612" s="1"/>
      <c r="O612" s="1"/>
      <c r="P612" s="1"/>
      <c r="Q612" s="1"/>
      <c r="R612" s="1"/>
      <c r="S612" s="75"/>
    </row>
    <row r="613" spans="1:19" s="84" customFormat="1" ht="18.75" customHeight="1" x14ac:dyDescent="0.25">
      <c r="A613" s="134"/>
      <c r="B613" s="169" t="s">
        <v>662</v>
      </c>
      <c r="C613" s="169"/>
      <c r="D613" s="169"/>
      <c r="E613" s="169"/>
      <c r="F613" s="169"/>
      <c r="G613" s="168" t="s">
        <v>673</v>
      </c>
      <c r="H613" s="71">
        <f>0.5*H6</f>
        <v>180</v>
      </c>
      <c r="I613" s="163" t="s">
        <v>23</v>
      </c>
      <c r="K613" s="1"/>
      <c r="L613" s="1"/>
      <c r="M613" s="1"/>
      <c r="N613" s="1"/>
      <c r="O613" s="1"/>
      <c r="P613" s="1"/>
      <c r="Q613" s="1"/>
      <c r="R613" s="1"/>
    </row>
    <row r="614" spans="1:19" s="75" customFormat="1" ht="18.75" customHeight="1" x14ac:dyDescent="0.25">
      <c r="A614" s="132"/>
      <c r="B614" s="151"/>
      <c r="C614" s="151"/>
      <c r="D614" s="151"/>
      <c r="E614" s="151"/>
      <c r="F614" s="151"/>
      <c r="G614" s="159"/>
      <c r="H614" s="162"/>
      <c r="I614" s="163"/>
      <c r="K614" s="1"/>
      <c r="L614" s="1"/>
      <c r="M614" s="1"/>
      <c r="N614" s="1"/>
      <c r="O614" s="1"/>
      <c r="P614" s="1"/>
      <c r="Q614" s="1"/>
      <c r="R614" s="1"/>
      <c r="S614" s="84"/>
    </row>
    <row r="615" spans="1:19" s="84" customFormat="1" ht="18.75" customHeight="1" x14ac:dyDescent="0.25">
      <c r="A615" s="132"/>
      <c r="B615" s="243" t="s">
        <v>680</v>
      </c>
      <c r="C615" s="244"/>
      <c r="D615" s="244"/>
      <c r="E615" s="244"/>
      <c r="F615" s="244"/>
      <c r="G615" s="245"/>
      <c r="H615" s="246"/>
      <c r="I615" s="247"/>
      <c r="K615" s="1"/>
      <c r="L615" s="1"/>
      <c r="M615" s="1"/>
      <c r="N615" s="1"/>
      <c r="O615" s="1"/>
      <c r="P615" s="1"/>
      <c r="Q615" s="1"/>
      <c r="R615" s="1"/>
    </row>
    <row r="616" spans="1:19" s="84" customFormat="1" ht="18.75" customHeight="1" x14ac:dyDescent="0.25">
      <c r="A616" s="132"/>
      <c r="B616" s="151" t="s">
        <v>683</v>
      </c>
      <c r="C616" s="151"/>
      <c r="D616" s="151"/>
      <c r="E616" s="151"/>
      <c r="F616" s="151"/>
      <c r="G616" s="159" t="s">
        <v>685</v>
      </c>
      <c r="H616" s="79">
        <f>C148/2/D148</f>
        <v>9.5</v>
      </c>
      <c r="I616" s="163"/>
      <c r="K616" s="1"/>
      <c r="L616" s="1"/>
      <c r="M616" s="1"/>
      <c r="N616" s="1"/>
      <c r="O616" s="1"/>
      <c r="P616" s="1"/>
      <c r="Q616" s="1"/>
      <c r="R616" s="1"/>
    </row>
    <row r="617" spans="1:19" s="84" customFormat="1" ht="18.75" customHeight="1" x14ac:dyDescent="0.25">
      <c r="A617" s="132"/>
      <c r="B617" s="151" t="s">
        <v>678</v>
      </c>
      <c r="C617" s="151"/>
      <c r="D617" s="151"/>
      <c r="E617" s="151"/>
      <c r="F617" s="151"/>
      <c r="G617" s="159" t="s">
        <v>686</v>
      </c>
      <c r="H617" s="79">
        <f>0.38*SQRT(H10/H6)</f>
        <v>8.9566858950296027</v>
      </c>
      <c r="I617" s="163"/>
      <c r="K617" s="1"/>
      <c r="L617" s="1"/>
      <c r="M617" s="1"/>
      <c r="N617" s="1"/>
      <c r="O617" s="1"/>
      <c r="P617" s="1"/>
      <c r="Q617" s="1"/>
      <c r="R617" s="1"/>
      <c r="S617" s="75"/>
    </row>
    <row r="618" spans="1:19" s="84" customFormat="1" ht="18.75" customHeight="1" x14ac:dyDescent="0.25">
      <c r="A618" s="132"/>
      <c r="B618" s="151" t="s">
        <v>789</v>
      </c>
      <c r="C618" s="151"/>
      <c r="D618" s="151"/>
      <c r="E618" s="151"/>
      <c r="F618" s="151"/>
      <c r="G618" s="159" t="s">
        <v>687</v>
      </c>
      <c r="H618" s="79">
        <f>0.56*SQRT(H10/H6)</f>
        <v>13.199326582148888</v>
      </c>
      <c r="I618" s="163"/>
      <c r="K618" s="1"/>
      <c r="L618" s="1"/>
      <c r="M618" s="1"/>
      <c r="N618" s="1"/>
      <c r="O618" s="1"/>
      <c r="P618" s="1"/>
      <c r="Q618" s="1"/>
      <c r="R618" s="1"/>
    </row>
    <row r="619" spans="1:19" s="84" customFormat="1" ht="18.75" customHeight="1" x14ac:dyDescent="0.25">
      <c r="A619" s="132"/>
      <c r="B619" s="169" t="s">
        <v>679</v>
      </c>
      <c r="C619" s="151"/>
      <c r="D619" s="151"/>
      <c r="E619" s="151"/>
      <c r="F619" s="151"/>
      <c r="G619" s="159"/>
      <c r="H619" s="162"/>
      <c r="I619" s="163"/>
      <c r="K619" s="1"/>
      <c r="L619" s="1"/>
      <c r="M619" s="1"/>
      <c r="N619" s="1"/>
      <c r="O619" s="1"/>
      <c r="P619" s="1"/>
      <c r="Q619" s="1"/>
      <c r="R619" s="1"/>
    </row>
    <row r="620" spans="1:19" s="84" customFormat="1" ht="18.75" customHeight="1" x14ac:dyDescent="0.25">
      <c r="A620" s="134"/>
      <c r="B620" s="107" t="s">
        <v>688</v>
      </c>
      <c r="C620" s="107"/>
      <c r="D620" s="107"/>
      <c r="E620" s="107"/>
      <c r="F620" s="107"/>
      <c r="G620" s="108" t="s">
        <v>669</v>
      </c>
      <c r="H620" s="68" t="str">
        <f>IF(H616&lt;=H617,H604*H533*H532,"")</f>
        <v/>
      </c>
      <c r="I620" s="163" t="s">
        <v>23</v>
      </c>
      <c r="K620" s="1"/>
      <c r="L620" s="1"/>
      <c r="M620" s="1"/>
      <c r="N620" s="1"/>
      <c r="O620" s="1"/>
      <c r="P620" s="1"/>
      <c r="Q620" s="1"/>
      <c r="R620" s="1"/>
    </row>
    <row r="621" spans="1:19" s="84" customFormat="1" ht="18.75" customHeight="1" x14ac:dyDescent="0.25">
      <c r="A621" s="134"/>
      <c r="B621" s="107" t="s">
        <v>689</v>
      </c>
      <c r="C621" s="107"/>
      <c r="D621" s="107"/>
      <c r="E621" s="107"/>
      <c r="F621" s="107"/>
      <c r="G621" s="108" t="s">
        <v>690</v>
      </c>
      <c r="H621" s="68">
        <f>IF(H616&gt;H617,H603*(1-(1-H613/(H533*H548))*(H616-H617)/(H618-H617))*H604*H533*H532,"")</f>
        <v>336.94913472366795</v>
      </c>
      <c r="I621" s="163" t="s">
        <v>23</v>
      </c>
      <c r="K621" s="1"/>
      <c r="L621" s="1"/>
      <c r="M621" s="1"/>
      <c r="N621" s="1"/>
      <c r="O621" s="1"/>
      <c r="P621" s="1"/>
      <c r="Q621" s="1"/>
      <c r="R621" s="1"/>
    </row>
    <row r="622" spans="1:19" s="84" customFormat="1" ht="18.75" customHeight="1" x14ac:dyDescent="0.25">
      <c r="A622" s="134"/>
      <c r="B622" s="169"/>
      <c r="C622" s="169"/>
      <c r="D622" s="169"/>
      <c r="E622" s="169"/>
      <c r="F622" s="169"/>
      <c r="G622" s="168" t="s">
        <v>672</v>
      </c>
      <c r="H622" s="68">
        <f>(H604*H533*H532)</f>
        <v>360</v>
      </c>
      <c r="I622" s="163" t="s">
        <v>23</v>
      </c>
      <c r="K622" s="1"/>
      <c r="L622" s="1"/>
      <c r="M622" s="1"/>
      <c r="N622" s="1"/>
      <c r="O622" s="1"/>
      <c r="P622" s="1"/>
      <c r="Q622" s="1"/>
      <c r="R622" s="1"/>
    </row>
    <row r="623" spans="1:19" s="84" customFormat="1" ht="18.75" customHeight="1" x14ac:dyDescent="0.25">
      <c r="A623" s="134"/>
      <c r="B623" s="169"/>
      <c r="C623" s="169"/>
      <c r="D623" s="169"/>
      <c r="E623" s="169"/>
      <c r="F623" s="169"/>
      <c r="G623" s="168" t="s">
        <v>677</v>
      </c>
      <c r="H623" s="68">
        <f>MIN(H620:H622)</f>
        <v>336.94913472366795</v>
      </c>
      <c r="I623" s="163" t="s">
        <v>23</v>
      </c>
      <c r="K623" s="1"/>
      <c r="L623" s="1"/>
      <c r="M623" s="1"/>
      <c r="N623" s="1"/>
      <c r="O623" s="1"/>
      <c r="P623" s="1"/>
      <c r="Q623" s="1"/>
      <c r="R623" s="1"/>
    </row>
    <row r="624" spans="1:19" s="84" customFormat="1" ht="18.75" customHeight="1" x14ac:dyDescent="0.25">
      <c r="A624" s="132"/>
      <c r="B624" s="151"/>
      <c r="C624" s="151"/>
      <c r="D624" s="151"/>
      <c r="E624" s="151"/>
      <c r="F624" s="151"/>
      <c r="G624" s="159"/>
      <c r="H624" s="162"/>
      <c r="I624" s="163"/>
      <c r="K624" s="1"/>
      <c r="L624" s="1"/>
      <c r="M624" s="1"/>
      <c r="N624" s="1"/>
      <c r="O624" s="1"/>
      <c r="P624" s="1"/>
      <c r="Q624" s="1"/>
      <c r="R624" s="1"/>
    </row>
    <row r="625" spans="1:19" s="84" customFormat="1" ht="18.75" customHeight="1" x14ac:dyDescent="0.25">
      <c r="A625" s="134"/>
      <c r="B625" s="243" t="s">
        <v>661</v>
      </c>
      <c r="C625" s="244"/>
      <c r="D625" s="244"/>
      <c r="E625" s="244"/>
      <c r="F625" s="244"/>
      <c r="G625" s="245"/>
      <c r="H625" s="246"/>
      <c r="I625" s="247"/>
      <c r="K625" s="1"/>
      <c r="L625" s="1"/>
      <c r="M625" s="1"/>
      <c r="N625" s="1"/>
      <c r="O625" s="1"/>
      <c r="P625" s="1"/>
      <c r="Q625" s="1"/>
      <c r="R625" s="1"/>
    </row>
    <row r="626" spans="1:19" s="84" customFormat="1" ht="18.75" customHeight="1" x14ac:dyDescent="0.25">
      <c r="A626" s="134"/>
      <c r="B626" s="169" t="s">
        <v>684</v>
      </c>
      <c r="C626" s="169"/>
      <c r="D626" s="169"/>
      <c r="E626" s="169"/>
      <c r="F626" s="169"/>
      <c r="G626" s="168" t="s">
        <v>674</v>
      </c>
      <c r="H626" s="87">
        <f>PI()*H601*SQRT(H10/H613)/1000</f>
        <v>15.548617886673167</v>
      </c>
      <c r="I626" s="175" t="s">
        <v>2</v>
      </c>
      <c r="K626" s="1"/>
      <c r="L626" s="1"/>
      <c r="M626" s="1"/>
      <c r="N626" s="1"/>
      <c r="O626" s="1"/>
      <c r="P626" s="1"/>
      <c r="Q626" s="1"/>
      <c r="R626" s="1"/>
    </row>
    <row r="627" spans="1:19" ht="18.75" customHeight="1" x14ac:dyDescent="0.25">
      <c r="A627" s="134"/>
      <c r="B627" s="169" t="s">
        <v>663</v>
      </c>
      <c r="C627" s="169"/>
      <c r="D627" s="169"/>
      <c r="E627" s="169"/>
      <c r="F627" s="169"/>
      <c r="G627" s="168" t="s">
        <v>675</v>
      </c>
      <c r="H627" s="87">
        <f>H602</f>
        <v>3.4996685942660188</v>
      </c>
      <c r="I627" s="175" t="s">
        <v>2</v>
      </c>
      <c r="S627" s="84"/>
    </row>
    <row r="628" spans="1:19" ht="18.75" customHeight="1" x14ac:dyDescent="0.25">
      <c r="A628" s="134"/>
      <c r="B628" s="169" t="s">
        <v>664</v>
      </c>
      <c r="C628" s="169"/>
      <c r="D628" s="169"/>
      <c r="E628" s="169"/>
      <c r="F628" s="169"/>
      <c r="G628" s="168" t="s">
        <v>676</v>
      </c>
      <c r="H628" s="68">
        <f>H598</f>
        <v>4.4000000000000004</v>
      </c>
      <c r="I628" s="175" t="s">
        <v>2</v>
      </c>
      <c r="S628" s="84"/>
    </row>
    <row r="629" spans="1:19" ht="18.75" customHeight="1" x14ac:dyDescent="0.25">
      <c r="A629" s="134"/>
      <c r="B629" s="169" t="s">
        <v>665</v>
      </c>
      <c r="C629" s="169"/>
      <c r="D629" s="169"/>
      <c r="E629" s="169"/>
      <c r="F629" s="169"/>
      <c r="G629" s="168"/>
      <c r="H629" s="170"/>
      <c r="I629" s="175"/>
      <c r="S629" s="84"/>
    </row>
    <row r="630" spans="1:19" ht="18.75" customHeight="1" x14ac:dyDescent="0.25">
      <c r="A630" s="134"/>
      <c r="B630" s="107" t="s">
        <v>666</v>
      </c>
      <c r="C630" s="107"/>
      <c r="D630" s="107"/>
      <c r="E630" s="107"/>
      <c r="F630" s="107"/>
      <c r="G630" s="108" t="s">
        <v>669</v>
      </c>
      <c r="H630" s="68" t="str">
        <f>IF(H628&lt;=H627,H604*H533*H532,"")</f>
        <v/>
      </c>
      <c r="I630" s="163" t="s">
        <v>23</v>
      </c>
    </row>
    <row r="631" spans="1:19" s="84" customFormat="1" ht="18.75" customHeight="1" x14ac:dyDescent="0.25">
      <c r="A631" s="134"/>
      <c r="B631" s="107" t="s">
        <v>667</v>
      </c>
      <c r="C631" s="107"/>
      <c r="D631" s="107"/>
      <c r="E631" s="107"/>
      <c r="F631" s="107"/>
      <c r="G631" s="108" t="s">
        <v>670</v>
      </c>
      <c r="H631" s="68">
        <f>IF(H628&gt;H627,IF(H628&lt;=H626,H603*(1-(1-H613/(H533*H548))*(H628-H627)/(H626-H627))*H604*H533*H532,""),"")</f>
        <v>346.54989334760984</v>
      </c>
      <c r="I631" s="163" t="s">
        <v>23</v>
      </c>
      <c r="K631" s="1"/>
      <c r="L631" s="1"/>
      <c r="M631" s="1"/>
      <c r="N631" s="1"/>
      <c r="O631" s="1"/>
      <c r="P631" s="1"/>
      <c r="Q631" s="1"/>
      <c r="R631" s="1"/>
      <c r="S631" s="1"/>
    </row>
    <row r="632" spans="1:19" s="84" customFormat="1" ht="18.75" customHeight="1" x14ac:dyDescent="0.25">
      <c r="A632" s="134"/>
      <c r="B632" s="107" t="s">
        <v>668</v>
      </c>
      <c r="C632" s="107"/>
      <c r="D632" s="107"/>
      <c r="E632" s="107"/>
      <c r="F632" s="107"/>
      <c r="G632" s="108" t="s">
        <v>671</v>
      </c>
      <c r="H632" s="68" t="str">
        <f>IF(H628&gt;H626,H607,"")</f>
        <v/>
      </c>
      <c r="I632" s="163" t="s">
        <v>23</v>
      </c>
      <c r="K632" s="1"/>
      <c r="L632" s="1"/>
      <c r="M632" s="1"/>
      <c r="N632" s="1"/>
      <c r="O632" s="1"/>
      <c r="P632" s="1"/>
      <c r="Q632" s="1"/>
      <c r="R632" s="1"/>
      <c r="S632" s="1"/>
    </row>
    <row r="633" spans="1:19" s="84" customFormat="1" ht="18.75" customHeight="1" x14ac:dyDescent="0.25">
      <c r="A633" s="134"/>
      <c r="B633" s="169"/>
      <c r="C633" s="169"/>
      <c r="D633" s="169"/>
      <c r="E633" s="169"/>
      <c r="F633" s="169"/>
      <c r="G633" s="168" t="s">
        <v>672</v>
      </c>
      <c r="H633" s="68">
        <f>H604*H533*H532</f>
        <v>360</v>
      </c>
      <c r="I633" s="163" t="s">
        <v>23</v>
      </c>
      <c r="K633" s="1"/>
      <c r="L633" s="1"/>
      <c r="M633" s="1"/>
      <c r="N633" s="1"/>
      <c r="O633" s="1"/>
      <c r="P633" s="1"/>
      <c r="Q633" s="1"/>
      <c r="R633" s="1"/>
      <c r="S633" s="1"/>
    </row>
    <row r="634" spans="1:19" s="84" customFormat="1" ht="18.75" customHeight="1" x14ac:dyDescent="0.25">
      <c r="A634" s="134"/>
      <c r="B634" s="169"/>
      <c r="C634" s="169"/>
      <c r="D634" s="169"/>
      <c r="E634" s="169"/>
      <c r="F634" s="169"/>
      <c r="G634" s="168" t="s">
        <v>677</v>
      </c>
      <c r="H634" s="68">
        <f>MIN(H630:H633)</f>
        <v>346.54989334760984</v>
      </c>
      <c r="I634" s="163" t="s">
        <v>23</v>
      </c>
      <c r="K634" s="1"/>
      <c r="L634" s="1"/>
      <c r="M634" s="1"/>
      <c r="N634" s="1"/>
      <c r="O634" s="1"/>
      <c r="P634" s="1"/>
      <c r="Q634" s="1"/>
      <c r="R634" s="1"/>
    </row>
    <row r="635" spans="1:19" s="84" customFormat="1" ht="18.75" customHeight="1" x14ac:dyDescent="0.25">
      <c r="A635" s="134"/>
      <c r="B635" s="169"/>
      <c r="C635" s="169"/>
      <c r="D635" s="169"/>
      <c r="E635" s="169"/>
      <c r="F635" s="169"/>
      <c r="G635" s="168"/>
      <c r="H635" s="170"/>
      <c r="I635" s="175"/>
      <c r="K635" s="1"/>
      <c r="L635" s="1"/>
      <c r="M635" s="1"/>
      <c r="N635" s="1"/>
      <c r="O635" s="1"/>
      <c r="P635" s="1"/>
      <c r="Q635" s="1"/>
      <c r="R635" s="1"/>
    </row>
    <row r="636" spans="1:19" s="84" customFormat="1" ht="18.75" customHeight="1" x14ac:dyDescent="0.25">
      <c r="A636" s="134"/>
      <c r="B636" s="243" t="s">
        <v>697</v>
      </c>
      <c r="C636" s="244"/>
      <c r="D636" s="244"/>
      <c r="E636" s="244"/>
      <c r="F636" s="244"/>
      <c r="G636" s="245"/>
      <c r="H636" s="246"/>
      <c r="I636" s="247"/>
      <c r="K636" s="1"/>
      <c r="L636" s="1"/>
      <c r="M636" s="1"/>
      <c r="N636" s="1"/>
      <c r="O636" s="1"/>
      <c r="P636" s="1"/>
      <c r="Q636" s="1"/>
      <c r="R636" s="1"/>
    </row>
    <row r="637" spans="1:19" s="84" customFormat="1" ht="18.75" customHeight="1" x14ac:dyDescent="0.25">
      <c r="A637" s="128"/>
      <c r="B637" s="23" t="s">
        <v>701</v>
      </c>
      <c r="C637" s="23"/>
      <c r="D637" s="23"/>
      <c r="E637" s="23"/>
      <c r="F637" s="23"/>
      <c r="G637" s="168" t="s">
        <v>699</v>
      </c>
      <c r="H637" s="12">
        <v>0.9</v>
      </c>
      <c r="I637" s="147"/>
      <c r="K637" s="1"/>
      <c r="L637" s="1"/>
      <c r="M637" s="1"/>
      <c r="N637" s="1"/>
      <c r="O637" s="1"/>
      <c r="P637" s="1"/>
      <c r="Q637" s="1"/>
      <c r="R637" s="1"/>
    </row>
    <row r="638" spans="1:19" s="84" customFormat="1" ht="18.75" customHeight="1" x14ac:dyDescent="0.25">
      <c r="A638" s="128"/>
      <c r="B638" s="23" t="s">
        <v>702</v>
      </c>
      <c r="C638" s="23"/>
      <c r="D638" s="23"/>
      <c r="E638" s="23"/>
      <c r="F638" s="23"/>
      <c r="G638" s="146"/>
      <c r="H638" s="21"/>
      <c r="I638" s="147"/>
      <c r="K638" s="1"/>
      <c r="L638" s="1"/>
      <c r="M638" s="1"/>
      <c r="N638" s="1"/>
      <c r="O638" s="1"/>
      <c r="P638" s="1"/>
      <c r="Q638" s="1"/>
      <c r="R638" s="1"/>
    </row>
    <row r="639" spans="1:19" ht="18.75" customHeight="1" x14ac:dyDescent="0.25">
      <c r="A639" s="128"/>
      <c r="B639" s="148" t="s">
        <v>19</v>
      </c>
      <c r="C639" s="23"/>
      <c r="D639" s="240" t="s">
        <v>896</v>
      </c>
      <c r="E639" s="21" t="s">
        <v>48</v>
      </c>
      <c r="F639" s="239" t="s">
        <v>897</v>
      </c>
      <c r="G639" s="146"/>
      <c r="H639" s="21"/>
      <c r="I639" s="147"/>
      <c r="S639" s="84"/>
    </row>
    <row r="640" spans="1:19" ht="18.75" customHeight="1" x14ac:dyDescent="0.25">
      <c r="A640" s="128"/>
      <c r="B640" s="23"/>
      <c r="C640" s="23"/>
      <c r="D640" s="237">
        <f>H557+H612</f>
        <v>265.18234092170673</v>
      </c>
      <c r="E640" s="21" t="str">
        <f>IF(D640&lt;=F640,"≤","&gt;")</f>
        <v>≤</v>
      </c>
      <c r="F640" s="237">
        <f>H637*H533*H548</f>
        <v>324</v>
      </c>
      <c r="G640" s="149" t="s">
        <v>14</v>
      </c>
      <c r="H640" s="149" t="str">
        <f>IF(D640&lt;=F640,"[ OK ]","[ NOT OK ]")</f>
        <v>[ OK ]</v>
      </c>
      <c r="I640" s="147"/>
      <c r="S640" s="84"/>
    </row>
    <row r="641" spans="1:19" ht="18.75" customHeight="1" x14ac:dyDescent="0.25">
      <c r="A641" s="134"/>
      <c r="B641" s="23" t="s">
        <v>703</v>
      </c>
      <c r="C641" s="23"/>
      <c r="D641" s="23"/>
      <c r="E641" s="23"/>
      <c r="F641" s="23"/>
      <c r="G641" s="146"/>
      <c r="H641" s="21"/>
      <c r="I641" s="175"/>
      <c r="S641" s="84"/>
    </row>
    <row r="642" spans="1:19" ht="18.75" customHeight="1" x14ac:dyDescent="0.25">
      <c r="A642" s="134"/>
      <c r="B642" s="148" t="s">
        <v>19</v>
      </c>
      <c r="C642" s="23"/>
      <c r="D642" s="240" t="s">
        <v>895</v>
      </c>
      <c r="E642" s="21" t="s">
        <v>48</v>
      </c>
      <c r="F642" s="239" t="s">
        <v>894</v>
      </c>
      <c r="G642" s="146"/>
      <c r="H642" s="21"/>
      <c r="I642" s="175"/>
    </row>
    <row r="643" spans="1:19" ht="18.75" customHeight="1" x14ac:dyDescent="0.25">
      <c r="A643" s="134"/>
      <c r="B643" s="23"/>
      <c r="C643" s="23"/>
      <c r="D643" s="237">
        <f>H557+1/3*H612</f>
        <v>222.50913158256941</v>
      </c>
      <c r="E643" s="21" t="str">
        <f>IF(D643&lt;=F643,"≤","&gt;")</f>
        <v>≤</v>
      </c>
      <c r="F643" s="237">
        <f>H637*H623</f>
        <v>303.25422125130115</v>
      </c>
      <c r="G643" s="149" t="s">
        <v>14</v>
      </c>
      <c r="H643" s="149" t="str">
        <f>IF(D643&lt;=F643,"[ OK ]","[ NOT OK ]")</f>
        <v>[ OK ]</v>
      </c>
      <c r="I643" s="175"/>
    </row>
    <row r="644" spans="1:19" ht="18.75" customHeight="1" x14ac:dyDescent="0.25">
      <c r="A644" s="134"/>
      <c r="B644" s="23" t="s">
        <v>704</v>
      </c>
      <c r="C644" s="23"/>
      <c r="D644" s="23"/>
      <c r="E644" s="23"/>
      <c r="F644" s="23"/>
      <c r="G644" s="146"/>
      <c r="H644" s="21"/>
      <c r="I644" s="175"/>
    </row>
    <row r="645" spans="1:19" ht="18.75" customHeight="1" x14ac:dyDescent="0.25">
      <c r="A645" s="134"/>
      <c r="B645" s="148" t="s">
        <v>19</v>
      </c>
      <c r="C645" s="23"/>
      <c r="D645" s="240" t="s">
        <v>893</v>
      </c>
      <c r="E645" s="21" t="s">
        <v>48</v>
      </c>
      <c r="F645" s="239" t="s">
        <v>894</v>
      </c>
      <c r="G645" s="146"/>
      <c r="H645" s="21"/>
      <c r="I645" s="175"/>
    </row>
    <row r="646" spans="1:19" ht="18.75" customHeight="1" x14ac:dyDescent="0.25">
      <c r="A646" s="134"/>
      <c r="B646" s="23"/>
      <c r="C646" s="23"/>
      <c r="D646" s="237">
        <f>H557+1/3*H581</f>
        <v>222.50913158256941</v>
      </c>
      <c r="E646" s="21" t="str">
        <f>IF(D646&lt;=F646,"≤","&gt;")</f>
        <v>≤</v>
      </c>
      <c r="F646" s="237">
        <f>H637*H634</f>
        <v>311.89490401284888</v>
      </c>
      <c r="G646" s="149" t="s">
        <v>14</v>
      </c>
      <c r="H646" s="149" t="str">
        <f>IF(D646&lt;=F646,"[ OK ]","[ NOT OK ]")</f>
        <v>[ OK ]</v>
      </c>
      <c r="I646" s="175"/>
    </row>
    <row r="647" spans="1:19" ht="18.75" customHeight="1" x14ac:dyDescent="0.25">
      <c r="A647" s="134"/>
      <c r="B647" s="23"/>
      <c r="C647" s="23"/>
      <c r="D647" s="70"/>
      <c r="E647" s="21"/>
      <c r="F647" s="70"/>
      <c r="G647" s="149"/>
      <c r="H647" s="149"/>
      <c r="I647" s="175"/>
    </row>
    <row r="648" spans="1:19" ht="18.75" customHeight="1" x14ac:dyDescent="0.25">
      <c r="A648" s="134"/>
      <c r="B648" s="169"/>
      <c r="C648" s="169"/>
      <c r="D648" s="169"/>
      <c r="E648" s="169"/>
      <c r="F648" s="169"/>
      <c r="G648" s="168"/>
      <c r="H648" s="170"/>
      <c r="I648" s="175"/>
    </row>
    <row r="649" spans="1:19" ht="18.75" customHeight="1" x14ac:dyDescent="0.25">
      <c r="A649" s="126" t="s">
        <v>813</v>
      </c>
      <c r="B649" s="138" t="s">
        <v>812</v>
      </c>
      <c r="C649" s="139"/>
      <c r="D649" s="139"/>
      <c r="E649" s="139"/>
      <c r="F649" s="139"/>
      <c r="G649" s="140"/>
      <c r="H649" s="139"/>
      <c r="I649" s="141"/>
    </row>
    <row r="650" spans="1:19" ht="18.75" customHeight="1" x14ac:dyDescent="0.25">
      <c r="A650" s="128"/>
      <c r="B650" s="23" t="s">
        <v>715</v>
      </c>
      <c r="C650" s="23"/>
      <c r="D650" s="23"/>
      <c r="E650" s="23"/>
      <c r="F650" s="23"/>
      <c r="G650" s="146" t="s">
        <v>746</v>
      </c>
      <c r="H650" s="12">
        <f>'Process - Pembebanan'!H8+'Process - Pembebanan'!H15+'Process - Pembebanan'!H18</f>
        <v>9870.7739999999994</v>
      </c>
      <c r="I650" s="147" t="s">
        <v>137</v>
      </c>
    </row>
    <row r="651" spans="1:19" ht="18.75" customHeight="1" x14ac:dyDescent="0.25">
      <c r="A651" s="128"/>
      <c r="B651" s="23" t="s">
        <v>716</v>
      </c>
      <c r="C651" s="23"/>
      <c r="D651" s="23"/>
      <c r="E651" s="23"/>
      <c r="F651" s="23"/>
      <c r="G651" s="146" t="s">
        <v>747</v>
      </c>
      <c r="H651" s="12">
        <f>'Process - Pembebanan'!H25+'Process - Pembebanan'!H31</f>
        <v>2942.7343750000005</v>
      </c>
      <c r="I651" s="147" t="s">
        <v>137</v>
      </c>
    </row>
    <row r="652" spans="1:19" ht="18.75" customHeight="1" x14ac:dyDescent="0.25">
      <c r="A652" s="128"/>
      <c r="B652" s="23" t="s">
        <v>717</v>
      </c>
      <c r="C652" s="23"/>
      <c r="D652" s="23"/>
      <c r="E652" s="23"/>
      <c r="F652" s="23"/>
      <c r="G652" s="146" t="s">
        <v>718</v>
      </c>
      <c r="H652" s="16">
        <f>0.75*'Process - Pembebanan'!H63</f>
        <v>5295.2250000000004</v>
      </c>
      <c r="I652" s="147" t="s">
        <v>137</v>
      </c>
    </row>
    <row r="653" spans="1:19" ht="18.75" customHeight="1" x14ac:dyDescent="0.25">
      <c r="A653" s="128"/>
      <c r="B653" s="23"/>
      <c r="C653" s="23"/>
      <c r="D653" s="23"/>
      <c r="E653" s="23"/>
      <c r="F653" s="23"/>
      <c r="G653" s="146"/>
      <c r="H653" s="21"/>
      <c r="I653" s="147"/>
    </row>
    <row r="654" spans="1:19" ht="18.75" customHeight="1" x14ac:dyDescent="0.25">
      <c r="A654" s="128"/>
      <c r="B654" s="23" t="s">
        <v>719</v>
      </c>
      <c r="C654" s="23"/>
      <c r="D654" s="23"/>
      <c r="E654" s="23"/>
      <c r="F654" s="23"/>
      <c r="G654" s="146" t="s">
        <v>720</v>
      </c>
      <c r="H654" s="18">
        <f>H159*10^12</f>
        <v>74695717420.76503</v>
      </c>
      <c r="I654" s="147" t="s">
        <v>723</v>
      </c>
    </row>
    <row r="655" spans="1:19" ht="18.75" customHeight="1" x14ac:dyDescent="0.25">
      <c r="A655" s="128"/>
      <c r="B655" s="23" t="s">
        <v>721</v>
      </c>
      <c r="C655" s="23"/>
      <c r="D655" s="23"/>
      <c r="E655" s="23"/>
      <c r="F655" s="23"/>
      <c r="G655" s="146" t="s">
        <v>731</v>
      </c>
      <c r="H655" s="12">
        <f>H157*1000</f>
        <v>865.30054644808752</v>
      </c>
      <c r="I655" s="147" t="s">
        <v>9</v>
      </c>
    </row>
    <row r="656" spans="1:19" ht="18.75" customHeight="1" x14ac:dyDescent="0.25">
      <c r="A656" s="128"/>
      <c r="B656" s="23" t="s">
        <v>722</v>
      </c>
      <c r="C656" s="23"/>
      <c r="D656" s="23"/>
      <c r="E656" s="23"/>
      <c r="F656" s="23"/>
      <c r="G656" s="146" t="s">
        <v>732</v>
      </c>
      <c r="H656" s="12">
        <f>H155*1000</f>
        <v>2100</v>
      </c>
      <c r="I656" s="147" t="s">
        <v>9</v>
      </c>
    </row>
    <row r="657" spans="1:9" ht="18.75" customHeight="1" x14ac:dyDescent="0.25">
      <c r="A657" s="128"/>
      <c r="B657" s="23" t="s">
        <v>16</v>
      </c>
      <c r="C657" s="23"/>
      <c r="D657" s="23"/>
      <c r="E657" s="23"/>
      <c r="F657" s="23"/>
      <c r="G657" s="146" t="s">
        <v>17</v>
      </c>
      <c r="H657" s="12">
        <f>D148*1000</f>
        <v>20</v>
      </c>
      <c r="I657" s="147" t="s">
        <v>9</v>
      </c>
    </row>
    <row r="658" spans="1:9" ht="18.75" customHeight="1" x14ac:dyDescent="0.25">
      <c r="A658" s="128"/>
      <c r="B658" s="23" t="s">
        <v>40</v>
      </c>
      <c r="C658" s="23"/>
      <c r="D658" s="23"/>
      <c r="E658" s="23"/>
      <c r="F658" s="23"/>
      <c r="G658" s="146" t="s">
        <v>41</v>
      </c>
      <c r="H658" s="12">
        <f>D152*1000</f>
        <v>20</v>
      </c>
      <c r="I658" s="147" t="s">
        <v>9</v>
      </c>
    </row>
    <row r="659" spans="1:9" ht="18.75" customHeight="1" x14ac:dyDescent="0.25">
      <c r="A659" s="128"/>
      <c r="B659" s="23"/>
      <c r="C659" s="23"/>
      <c r="D659" s="23"/>
      <c r="E659" s="23"/>
      <c r="F659" s="23"/>
      <c r="G659" s="146"/>
      <c r="H659" s="21"/>
      <c r="I659" s="147"/>
    </row>
    <row r="660" spans="1:9" ht="18.75" customHeight="1" x14ac:dyDescent="0.25">
      <c r="A660" s="128"/>
      <c r="B660" s="23" t="s">
        <v>724</v>
      </c>
      <c r="C660" s="23"/>
      <c r="D660" s="23"/>
      <c r="E660" s="23"/>
      <c r="F660" s="23"/>
      <c r="G660" s="146" t="s">
        <v>733</v>
      </c>
      <c r="H660" s="12">
        <f>H656-H655-H657</f>
        <v>1214.6994535519125</v>
      </c>
      <c r="I660" s="147" t="s">
        <v>9</v>
      </c>
    </row>
    <row r="661" spans="1:9" ht="18.75" customHeight="1" x14ac:dyDescent="0.25">
      <c r="A661" s="128"/>
      <c r="B661" s="23" t="s">
        <v>725</v>
      </c>
      <c r="C661" s="23"/>
      <c r="D661" s="23"/>
      <c r="E661" s="23"/>
      <c r="F661" s="23"/>
      <c r="G661" s="146" t="s">
        <v>734</v>
      </c>
      <c r="H661" s="12">
        <f>H655-H658</f>
        <v>845.30054644808752</v>
      </c>
      <c r="I661" s="147" t="s">
        <v>9</v>
      </c>
    </row>
    <row r="662" spans="1:9" ht="18.75" customHeight="1" x14ac:dyDescent="0.25">
      <c r="A662" s="128"/>
      <c r="B662" s="23"/>
      <c r="C662" s="23"/>
      <c r="D662" s="23"/>
      <c r="E662" s="23"/>
      <c r="F662" s="23"/>
      <c r="G662" s="146"/>
      <c r="H662" s="21"/>
      <c r="I662" s="147"/>
    </row>
    <row r="663" spans="1:9" ht="18.75" customHeight="1" x14ac:dyDescent="0.25">
      <c r="A663" s="128"/>
      <c r="B663" s="23" t="s">
        <v>726</v>
      </c>
      <c r="C663" s="23"/>
      <c r="D663" s="23"/>
      <c r="E663" s="23"/>
      <c r="F663" s="23"/>
      <c r="G663" s="146" t="s">
        <v>735</v>
      </c>
      <c r="H663" s="95">
        <f>H201*10^12</f>
        <v>173032859743.8103</v>
      </c>
      <c r="I663" s="147" t="s">
        <v>723</v>
      </c>
    </row>
    <row r="664" spans="1:9" ht="18.75" customHeight="1" x14ac:dyDescent="0.25">
      <c r="A664" s="128"/>
      <c r="B664" s="23" t="s">
        <v>727</v>
      </c>
      <c r="C664" s="23"/>
      <c r="D664" s="23"/>
      <c r="E664" s="23"/>
      <c r="F664" s="23"/>
      <c r="G664" s="146" t="s">
        <v>736</v>
      </c>
      <c r="H664" s="12">
        <f>H199*1000</f>
        <v>1479.6526898444597</v>
      </c>
      <c r="I664" s="147" t="s">
        <v>9</v>
      </c>
    </row>
    <row r="665" spans="1:9" ht="18.75" customHeight="1" x14ac:dyDescent="0.25">
      <c r="A665" s="128"/>
      <c r="B665" s="23" t="s">
        <v>728</v>
      </c>
      <c r="C665" s="23"/>
      <c r="D665" s="23"/>
      <c r="E665" s="23"/>
      <c r="F665" s="23"/>
      <c r="G665" s="146" t="s">
        <v>737</v>
      </c>
      <c r="H665" s="12">
        <f>H197*1000</f>
        <v>2350</v>
      </c>
      <c r="I665" s="147" t="s">
        <v>9</v>
      </c>
    </row>
    <row r="666" spans="1:9" ht="18.75" customHeight="1" x14ac:dyDescent="0.25">
      <c r="A666" s="128"/>
      <c r="B666" s="23" t="s">
        <v>62</v>
      </c>
      <c r="C666" s="23"/>
      <c r="D666" s="23"/>
      <c r="E666" s="23"/>
      <c r="F666" s="23"/>
      <c r="G666" s="146" t="s">
        <v>64</v>
      </c>
      <c r="H666" s="13">
        <f>H42</f>
        <v>250</v>
      </c>
      <c r="I666" s="147" t="s">
        <v>9</v>
      </c>
    </row>
    <row r="667" spans="1:9" ht="18.75" customHeight="1" x14ac:dyDescent="0.25">
      <c r="A667" s="128"/>
      <c r="B667" s="23"/>
      <c r="C667" s="23"/>
      <c r="D667" s="23"/>
      <c r="E667" s="23"/>
      <c r="F667" s="23"/>
      <c r="G667" s="146"/>
      <c r="H667" s="21"/>
      <c r="I667" s="147"/>
    </row>
    <row r="668" spans="1:9" ht="18.75" customHeight="1" x14ac:dyDescent="0.25">
      <c r="A668" s="128"/>
      <c r="B668" s="23" t="s">
        <v>724</v>
      </c>
      <c r="C668" s="23"/>
      <c r="D668" s="23"/>
      <c r="E668" s="23"/>
      <c r="F668" s="23"/>
      <c r="G668" s="146" t="s">
        <v>738</v>
      </c>
      <c r="H668" s="12">
        <f>H665-H664-H666-H657</f>
        <v>600.3473101555403</v>
      </c>
      <c r="I668" s="147" t="s">
        <v>9</v>
      </c>
    </row>
    <row r="669" spans="1:9" ht="18.75" customHeight="1" x14ac:dyDescent="0.25">
      <c r="A669" s="128"/>
      <c r="B669" s="23" t="s">
        <v>725</v>
      </c>
      <c r="C669" s="23"/>
      <c r="D669" s="23"/>
      <c r="E669" s="23"/>
      <c r="F669" s="23"/>
      <c r="G669" s="146" t="s">
        <v>739</v>
      </c>
      <c r="H669" s="12">
        <f>H664-H658</f>
        <v>1459.6526898444597</v>
      </c>
      <c r="I669" s="147" t="s">
        <v>9</v>
      </c>
    </row>
    <row r="670" spans="1:9" ht="18.75" customHeight="1" x14ac:dyDescent="0.25">
      <c r="A670" s="128"/>
      <c r="B670" s="23"/>
      <c r="C670" s="23"/>
      <c r="D670" s="23"/>
      <c r="E670" s="23"/>
      <c r="F670" s="23"/>
      <c r="G670" s="146"/>
      <c r="H670" s="21"/>
      <c r="I670" s="147"/>
    </row>
    <row r="671" spans="1:9" ht="18.75" customHeight="1" x14ac:dyDescent="0.25">
      <c r="A671" s="128"/>
      <c r="B671" s="23" t="s">
        <v>729</v>
      </c>
      <c r="C671" s="23"/>
      <c r="D671" s="23"/>
      <c r="E671" s="23"/>
      <c r="F671" s="23"/>
      <c r="G671" s="146" t="s">
        <v>740</v>
      </c>
      <c r="H671" s="95">
        <f>H236*10^12</f>
        <v>136944386521.73369</v>
      </c>
      <c r="I671" s="147" t="s">
        <v>723</v>
      </c>
    </row>
    <row r="672" spans="1:9" ht="18.75" customHeight="1" x14ac:dyDescent="0.25">
      <c r="A672" s="128"/>
      <c r="B672" s="23" t="s">
        <v>730</v>
      </c>
      <c r="C672" s="23"/>
      <c r="D672" s="23"/>
      <c r="E672" s="23"/>
      <c r="F672" s="23"/>
      <c r="G672" s="146" t="s">
        <v>741</v>
      </c>
      <c r="H672" s="12">
        <f>H234*1000</f>
        <v>1158.3597698460674</v>
      </c>
      <c r="I672" s="147" t="s">
        <v>9</v>
      </c>
    </row>
    <row r="673" spans="1:9" ht="18.75" customHeight="1" x14ac:dyDescent="0.25">
      <c r="A673" s="128"/>
      <c r="B673" s="23"/>
      <c r="C673" s="23"/>
      <c r="D673" s="23"/>
      <c r="E673" s="23"/>
      <c r="F673" s="23"/>
      <c r="G673" s="146"/>
      <c r="H673" s="21"/>
      <c r="I673" s="147"/>
    </row>
    <row r="674" spans="1:9" ht="18.75" customHeight="1" x14ac:dyDescent="0.25">
      <c r="A674" s="128"/>
      <c r="B674" s="23" t="s">
        <v>724</v>
      </c>
      <c r="C674" s="23"/>
      <c r="D674" s="23"/>
      <c r="E674" s="23"/>
      <c r="F674" s="23"/>
      <c r="G674" s="146" t="s">
        <v>742</v>
      </c>
      <c r="H674" s="12">
        <f>H665-H672-H666-H657</f>
        <v>921.64023015393263</v>
      </c>
      <c r="I674" s="147" t="s">
        <v>9</v>
      </c>
    </row>
    <row r="675" spans="1:9" ht="18.75" customHeight="1" x14ac:dyDescent="0.25">
      <c r="A675" s="128"/>
      <c r="B675" s="23" t="s">
        <v>725</v>
      </c>
      <c r="C675" s="23"/>
      <c r="D675" s="23"/>
      <c r="E675" s="23"/>
      <c r="F675" s="23"/>
      <c r="G675" s="146" t="s">
        <v>743</v>
      </c>
      <c r="H675" s="12">
        <f>H672-H658</f>
        <v>1138.3597698460674</v>
      </c>
      <c r="I675" s="147" t="s">
        <v>9</v>
      </c>
    </row>
    <row r="676" spans="1:9" ht="18.75" customHeight="1" x14ac:dyDescent="0.25">
      <c r="A676" s="128"/>
      <c r="B676" s="23"/>
      <c r="C676" s="23"/>
      <c r="D676" s="23"/>
      <c r="E676" s="23"/>
      <c r="F676" s="23"/>
      <c r="G676" s="146"/>
      <c r="H676" s="21"/>
      <c r="I676" s="147"/>
    </row>
    <row r="677" spans="1:9" ht="18.75" customHeight="1" x14ac:dyDescent="0.25">
      <c r="A677" s="128"/>
      <c r="B677" s="243" t="s">
        <v>744</v>
      </c>
      <c r="C677" s="248"/>
      <c r="D677" s="248"/>
      <c r="E677" s="248"/>
      <c r="F677" s="248"/>
      <c r="G677" s="249"/>
      <c r="H677" s="250"/>
      <c r="I677" s="251"/>
    </row>
    <row r="678" spans="1:9" ht="18.75" customHeight="1" x14ac:dyDescent="0.25">
      <c r="A678" s="128"/>
      <c r="B678" s="23" t="s">
        <v>745</v>
      </c>
      <c r="C678" s="23"/>
      <c r="D678" s="23"/>
      <c r="E678" s="23"/>
      <c r="F678" s="23"/>
      <c r="G678" s="146" t="s">
        <v>752</v>
      </c>
      <c r="H678" s="16">
        <f>H650*10^6*H660/H654</f>
        <v>160.51822243561799</v>
      </c>
      <c r="I678" s="147" t="s">
        <v>23</v>
      </c>
    </row>
    <row r="679" spans="1:9" ht="18.75" customHeight="1" x14ac:dyDescent="0.25">
      <c r="A679" s="128"/>
      <c r="B679" s="23" t="s">
        <v>748</v>
      </c>
      <c r="C679" s="23"/>
      <c r="D679" s="23"/>
      <c r="E679" s="23"/>
      <c r="F679" s="23"/>
      <c r="G679" s="146" t="s">
        <v>753</v>
      </c>
      <c r="H679" s="16">
        <f>H651*10^6*H674/H671</f>
        <v>19.80469923260754</v>
      </c>
      <c r="I679" s="147" t="s">
        <v>23</v>
      </c>
    </row>
    <row r="680" spans="1:9" ht="18.75" customHeight="1" x14ac:dyDescent="0.25">
      <c r="A680" s="128"/>
      <c r="B680" s="23" t="s">
        <v>749</v>
      </c>
      <c r="C680" s="23"/>
      <c r="D680" s="23"/>
      <c r="E680" s="23"/>
      <c r="F680" s="23"/>
      <c r="G680" s="146" t="s">
        <v>754</v>
      </c>
      <c r="H680" s="16">
        <f>H652*10^6*H668/H663</f>
        <v>18.372083141462895</v>
      </c>
      <c r="I680" s="147" t="s">
        <v>23</v>
      </c>
    </row>
    <row r="681" spans="1:9" ht="18.75" customHeight="1" x14ac:dyDescent="0.25">
      <c r="A681" s="128"/>
      <c r="B681" s="23"/>
      <c r="C681" s="23"/>
      <c r="D681" s="23"/>
      <c r="E681" s="23"/>
      <c r="F681" s="23"/>
      <c r="G681" s="146"/>
      <c r="H681" s="21"/>
      <c r="I681" s="147"/>
    </row>
    <row r="682" spans="1:9" ht="18.75" customHeight="1" x14ac:dyDescent="0.25">
      <c r="A682" s="128"/>
      <c r="B682" s="23" t="s">
        <v>750</v>
      </c>
      <c r="C682" s="23"/>
      <c r="D682" s="23"/>
      <c r="E682" s="23"/>
      <c r="F682" s="23"/>
      <c r="G682" s="146" t="s">
        <v>755</v>
      </c>
      <c r="H682" s="16">
        <f>H678+H679</f>
        <v>180.32292166822552</v>
      </c>
      <c r="I682" s="147" t="s">
        <v>23</v>
      </c>
    </row>
    <row r="683" spans="1:9" ht="18.75" customHeight="1" x14ac:dyDescent="0.25">
      <c r="A683" s="128"/>
      <c r="B683" s="23" t="s">
        <v>751</v>
      </c>
      <c r="C683" s="23"/>
      <c r="D683" s="23"/>
      <c r="E683" s="23"/>
      <c r="F683" s="23"/>
      <c r="G683" s="146" t="s">
        <v>756</v>
      </c>
      <c r="H683" s="16">
        <f>2*H680</f>
        <v>36.744166282925789</v>
      </c>
      <c r="I683" s="147" t="s">
        <v>23</v>
      </c>
    </row>
    <row r="684" spans="1:9" ht="18.75" customHeight="1" x14ac:dyDescent="0.25">
      <c r="A684" s="128"/>
      <c r="B684" s="23"/>
      <c r="C684" s="23"/>
      <c r="D684" s="23"/>
      <c r="E684" s="23"/>
      <c r="F684" s="23"/>
      <c r="G684" s="146"/>
      <c r="H684" s="21"/>
      <c r="I684" s="147"/>
    </row>
    <row r="685" spans="1:9" ht="18.75" customHeight="1" x14ac:dyDescent="0.25">
      <c r="A685" s="128"/>
      <c r="B685" s="23" t="s">
        <v>757</v>
      </c>
      <c r="C685" s="23"/>
      <c r="D685" s="23"/>
      <c r="E685" s="23"/>
      <c r="F685" s="23"/>
      <c r="G685" s="146"/>
      <c r="H685" s="21"/>
      <c r="I685" s="147"/>
    </row>
    <row r="686" spans="1:9" ht="18.75" customHeight="1" x14ac:dyDescent="0.25">
      <c r="A686" s="128"/>
      <c r="B686" s="148" t="s">
        <v>19</v>
      </c>
      <c r="C686" s="23"/>
      <c r="D686" s="240" t="s">
        <v>908</v>
      </c>
      <c r="E686" s="21" t="s">
        <v>48</v>
      </c>
      <c r="F686" s="239" t="s">
        <v>892</v>
      </c>
      <c r="G686" s="146"/>
      <c r="H686" s="21"/>
      <c r="I686" s="147"/>
    </row>
    <row r="687" spans="1:9" ht="18.75" customHeight="1" x14ac:dyDescent="0.25">
      <c r="A687" s="128"/>
      <c r="B687" s="23"/>
      <c r="C687" s="23"/>
      <c r="D687" s="237">
        <f>H683</f>
        <v>36.744166282925789</v>
      </c>
      <c r="E687" s="21" t="str">
        <f>IF(D687&lt;=F687,"≤","&gt;")</f>
        <v>≤</v>
      </c>
      <c r="F687" s="237">
        <f>H682</f>
        <v>180.32292166822552</v>
      </c>
      <c r="G687" s="149" t="s">
        <v>14</v>
      </c>
      <c r="H687" s="149" t="str">
        <f>IF(D687&lt;=F687,"[ OK ]","[ NOT OK ]")</f>
        <v>[ OK ]</v>
      </c>
      <c r="I687" s="147"/>
    </row>
    <row r="688" spans="1:9" ht="18.75" customHeight="1" x14ac:dyDescent="0.25">
      <c r="A688" s="128"/>
      <c r="B688" s="23"/>
      <c r="C688" s="23"/>
      <c r="D688" s="23"/>
      <c r="E688" s="23"/>
      <c r="F688" s="23"/>
      <c r="G688" s="146"/>
      <c r="H688" s="21"/>
      <c r="I688" s="147"/>
    </row>
    <row r="689" spans="1:19" ht="18.75" customHeight="1" x14ac:dyDescent="0.25">
      <c r="A689" s="128"/>
      <c r="B689" s="243" t="s">
        <v>759</v>
      </c>
      <c r="C689" s="248"/>
      <c r="D689" s="248"/>
      <c r="E689" s="248"/>
      <c r="F689" s="248"/>
      <c r="G689" s="249"/>
      <c r="H689" s="250"/>
      <c r="I689" s="251"/>
    </row>
    <row r="690" spans="1:19" ht="18.75" customHeight="1" x14ac:dyDescent="0.25">
      <c r="A690" s="128"/>
      <c r="B690" s="23" t="s">
        <v>745</v>
      </c>
      <c r="C690" s="23"/>
      <c r="D690" s="23"/>
      <c r="E690" s="23"/>
      <c r="F690" s="23"/>
      <c r="G690" s="146" t="s">
        <v>760</v>
      </c>
      <c r="H690" s="16">
        <f>H650*10^6*H661/H654</f>
        <v>111.70346767090624</v>
      </c>
      <c r="I690" s="147" t="s">
        <v>23</v>
      </c>
    </row>
    <row r="691" spans="1:19" ht="18.75" customHeight="1" x14ac:dyDescent="0.25">
      <c r="A691" s="128"/>
      <c r="B691" s="23" t="s">
        <v>748</v>
      </c>
      <c r="C691" s="23"/>
      <c r="D691" s="23"/>
      <c r="E691" s="23"/>
      <c r="F691" s="23"/>
      <c r="G691" s="146" t="s">
        <v>761</v>
      </c>
      <c r="H691" s="16">
        <f>H651*10^6*H675/H671</f>
        <v>24.461684855636406</v>
      </c>
      <c r="I691" s="147" t="s">
        <v>23</v>
      </c>
    </row>
    <row r="692" spans="1:19" ht="18.75" customHeight="1" x14ac:dyDescent="0.25">
      <c r="A692" s="128"/>
      <c r="B692" s="23" t="s">
        <v>749</v>
      </c>
      <c r="C692" s="23"/>
      <c r="D692" s="23"/>
      <c r="E692" s="23"/>
      <c r="F692" s="23"/>
      <c r="G692" s="146" t="s">
        <v>762</v>
      </c>
      <c r="H692" s="16">
        <f>H652*10^6*H669/H663</f>
        <v>44.668911015083168</v>
      </c>
      <c r="I692" s="147" t="s">
        <v>23</v>
      </c>
    </row>
    <row r="693" spans="1:19" ht="18.75" customHeight="1" x14ac:dyDescent="0.25">
      <c r="A693" s="128"/>
      <c r="B693" s="23"/>
      <c r="C693" s="23"/>
      <c r="D693" s="23"/>
      <c r="E693" s="23"/>
      <c r="F693" s="23"/>
      <c r="G693" s="146"/>
      <c r="H693" s="21"/>
      <c r="I693" s="147"/>
    </row>
    <row r="694" spans="1:19" ht="18.75" customHeight="1" x14ac:dyDescent="0.25">
      <c r="A694" s="128"/>
      <c r="B694" s="23" t="s">
        <v>750</v>
      </c>
      <c r="C694" s="23"/>
      <c r="D694" s="23"/>
      <c r="E694" s="23"/>
      <c r="F694" s="23"/>
      <c r="G694" s="146" t="s">
        <v>755</v>
      </c>
      <c r="H694" s="16">
        <f>H690+H691</f>
        <v>136.16515252654264</v>
      </c>
      <c r="I694" s="147" t="s">
        <v>23</v>
      </c>
    </row>
    <row r="695" spans="1:19" ht="18.75" customHeight="1" x14ac:dyDescent="0.25">
      <c r="A695" s="128"/>
      <c r="B695" s="23" t="s">
        <v>751</v>
      </c>
      <c r="C695" s="23"/>
      <c r="D695" s="23"/>
      <c r="E695" s="23"/>
      <c r="F695" s="23"/>
      <c r="G695" s="146" t="s">
        <v>756</v>
      </c>
      <c r="H695" s="16">
        <f>2*H692</f>
        <v>89.337822030166336</v>
      </c>
      <c r="I695" s="147" t="s">
        <v>23</v>
      </c>
    </row>
    <row r="696" spans="1:19" s="77" customFormat="1" ht="18.75" customHeight="1" x14ac:dyDescent="0.25">
      <c r="A696" s="128"/>
      <c r="B696" s="23"/>
      <c r="C696" s="23"/>
      <c r="D696" s="23"/>
      <c r="E696" s="23"/>
      <c r="F696" s="23"/>
      <c r="G696" s="146"/>
      <c r="H696" s="21"/>
      <c r="I696" s="147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8.75" customHeight="1" x14ac:dyDescent="0.25">
      <c r="A697" s="128"/>
      <c r="B697" s="23" t="s">
        <v>757</v>
      </c>
      <c r="C697" s="23"/>
      <c r="D697" s="23"/>
      <c r="E697" s="23"/>
      <c r="F697" s="23"/>
      <c r="G697" s="146"/>
      <c r="H697" s="21"/>
      <c r="I697" s="147"/>
    </row>
    <row r="698" spans="1:19" ht="18.75" customHeight="1" x14ac:dyDescent="0.25">
      <c r="A698" s="128"/>
      <c r="B698" s="148" t="s">
        <v>19</v>
      </c>
      <c r="C698" s="23"/>
      <c r="D698" s="240" t="s">
        <v>908</v>
      </c>
      <c r="E698" s="21" t="s">
        <v>48</v>
      </c>
      <c r="F698" s="239" t="s">
        <v>892</v>
      </c>
      <c r="G698" s="146"/>
      <c r="H698" s="21"/>
      <c r="I698" s="147"/>
    </row>
    <row r="699" spans="1:19" ht="18.75" customHeight="1" x14ac:dyDescent="0.25">
      <c r="A699" s="128"/>
      <c r="B699" s="23"/>
      <c r="C699" s="23"/>
      <c r="D699" s="237">
        <f>H695</f>
        <v>89.337822030166336</v>
      </c>
      <c r="E699" s="21" t="str">
        <f>IF(D699&lt;=F699,"≤","&gt;")</f>
        <v>≤</v>
      </c>
      <c r="F699" s="237">
        <f>H694</f>
        <v>136.16515252654264</v>
      </c>
      <c r="G699" s="149" t="s">
        <v>14</v>
      </c>
      <c r="H699" s="149" t="str">
        <f>IF(D699&lt;=F699,"[ OK ]","[ NOT OK ]")</f>
        <v>[ OK ]</v>
      </c>
      <c r="I699" s="147"/>
      <c r="K699" s="77"/>
      <c r="L699" s="77"/>
      <c r="M699" s="77"/>
      <c r="N699" s="77"/>
      <c r="O699" s="77"/>
      <c r="P699" s="77"/>
      <c r="Q699" s="77"/>
      <c r="R699" s="77"/>
      <c r="S699" s="77"/>
    </row>
    <row r="700" spans="1:19" ht="18.75" customHeight="1" x14ac:dyDescent="0.25">
      <c r="A700" s="131"/>
      <c r="B700" s="153"/>
      <c r="C700" s="153"/>
      <c r="D700" s="242"/>
      <c r="E700" s="172"/>
      <c r="F700" s="242"/>
      <c r="G700" s="174"/>
      <c r="H700" s="174"/>
      <c r="I700" s="155"/>
    </row>
    <row r="701" spans="1:19" ht="18.75" customHeight="1" x14ac:dyDescent="0.25">
      <c r="A701" s="128"/>
      <c r="B701" s="150" t="s">
        <v>763</v>
      </c>
      <c r="C701" s="149" t="s">
        <v>14</v>
      </c>
      <c r="D701" s="164" t="str">
        <f>IF(D687&lt;=F687,IF(D699&lt;=F699,"[OK - Detail analisa terhadap fatik tidak perlu dilakukan]","[Perlu adanya analisa lebih lanjut terhadap fatik]"),"[Perlu adanya analisa lebih lanjut terhadap fatik]")</f>
        <v>[OK - Detail analisa terhadap fatik tidak perlu dilakukan]</v>
      </c>
      <c r="E701" s="23"/>
      <c r="F701" s="23"/>
      <c r="G701" s="146"/>
      <c r="H701" s="21"/>
      <c r="I701" s="147"/>
    </row>
    <row r="702" spans="1:19" ht="18.75" customHeight="1" x14ac:dyDescent="0.25">
      <c r="A702" s="128"/>
      <c r="B702" s="23"/>
      <c r="C702" s="23"/>
      <c r="D702" s="23"/>
      <c r="E702" s="23"/>
      <c r="F702" s="23"/>
      <c r="G702" s="146"/>
      <c r="H702" s="21"/>
      <c r="I702" s="147"/>
    </row>
    <row r="703" spans="1:19" ht="18.75" customHeight="1" x14ac:dyDescent="0.25">
      <c r="A703" s="135"/>
      <c r="B703" s="96"/>
      <c r="C703" s="96"/>
      <c r="D703" s="96"/>
      <c r="E703" s="96"/>
      <c r="F703" s="96"/>
      <c r="G703" s="97"/>
      <c r="H703" s="178"/>
      <c r="I703" s="179"/>
    </row>
  </sheetData>
  <mergeCells count="25">
    <mergeCell ref="K1:R1"/>
    <mergeCell ref="B1:F1"/>
    <mergeCell ref="H267:I267"/>
    <mergeCell ref="H268:I268"/>
    <mergeCell ref="H185:H186"/>
    <mergeCell ref="I185:I186"/>
    <mergeCell ref="H220:H221"/>
    <mergeCell ref="I220:I221"/>
    <mergeCell ref="B220:B223"/>
    <mergeCell ref="C220:D220"/>
    <mergeCell ref="E220:E221"/>
    <mergeCell ref="F220:F221"/>
    <mergeCell ref="G220:G221"/>
    <mergeCell ref="G185:G186"/>
    <mergeCell ref="G144:G145"/>
    <mergeCell ref="H144:H145"/>
    <mergeCell ref="I144:I145"/>
    <mergeCell ref="B144:B147"/>
    <mergeCell ref="B185:B188"/>
    <mergeCell ref="C185:D185"/>
    <mergeCell ref="E185:E186"/>
    <mergeCell ref="F185:F186"/>
    <mergeCell ref="C144:D144"/>
    <mergeCell ref="E144:E145"/>
    <mergeCell ref="F144:F145"/>
  </mergeCells>
  <phoneticPr fontId="21" type="noConversion"/>
  <conditionalFormatting sqref="Q5">
    <cfRule type="expression" dxfId="31" priority="16">
      <formula>Q5="[ NOT OK ]"</formula>
    </cfRule>
    <cfRule type="expression" dxfId="30" priority="19">
      <formula>Q5="[ OK ]"</formula>
    </cfRule>
  </conditionalFormatting>
  <conditionalFormatting sqref="Q8">
    <cfRule type="expression" dxfId="29" priority="14">
      <formula>Q8="[ NOT OK ]"</formula>
    </cfRule>
    <cfRule type="expression" dxfId="28" priority="15">
      <formula>Q8="[ OK ]"</formula>
    </cfRule>
  </conditionalFormatting>
  <conditionalFormatting sqref="Q11">
    <cfRule type="expression" dxfId="27" priority="11">
      <formula>Q11="[ NOT OK ]"</formula>
    </cfRule>
    <cfRule type="expression" dxfId="26" priority="12">
      <formula>Q11="[ OK ]"</formula>
    </cfRule>
  </conditionalFormatting>
  <conditionalFormatting sqref="Q14">
    <cfRule type="expression" dxfId="25" priority="9">
      <formula>Q14="[ NOT OK ]"</formula>
    </cfRule>
    <cfRule type="expression" dxfId="24" priority="10">
      <formula>Q14="[ OK ]"</formula>
    </cfRule>
  </conditionalFormatting>
  <conditionalFormatting sqref="Q26 Q17">
    <cfRule type="expression" dxfId="23" priority="7">
      <formula>Q17="[ NOT OK ]"</formula>
    </cfRule>
    <cfRule type="expression" dxfId="22" priority="8">
      <formula>Q17="[ OK ]"</formula>
    </cfRule>
  </conditionalFormatting>
  <conditionalFormatting sqref="Q71 Q61 Q24">
    <cfRule type="expression" dxfId="21" priority="5">
      <formula>Q24="[ NOT OK ]"</formula>
    </cfRule>
    <cfRule type="expression" dxfId="20" priority="6">
      <formula>Q24="[ OK ]"</formula>
    </cfRule>
  </conditionalFormatting>
  <conditionalFormatting sqref="Q115 Q110 Q104 Q101 Q98 Q93 Q88 Q84 Q80 Q75 Q65 Q53 Q47 Q43 Q37 Q31">
    <cfRule type="expression" dxfId="19" priority="3">
      <formula>Q31="[ NOT OK ]"</formula>
    </cfRule>
    <cfRule type="expression" dxfId="18" priority="4">
      <formula>Q31="[ OK ]"</formula>
    </cfRule>
  </conditionalFormatting>
  <conditionalFormatting sqref="Q20">
    <cfRule type="expression" dxfId="17" priority="1">
      <formula>Q20="[ NOT OK ]"</formula>
    </cfRule>
    <cfRule type="expression" dxfId="16" priority="2">
      <formula>Q20="[ OK ]"</formula>
    </cfRule>
  </conditionalFormatting>
  <hyperlinks>
    <hyperlink ref="B92" r:id="rId1" xr:uid="{B2B9576A-D719-4E86-AC69-9AE0D7CFAA93}"/>
  </hyperlinks>
  <pageMargins left="0.7" right="0.7" top="0.75" bottom="0.75" header="0.3" footer="0.3"/>
  <pageSetup orientation="portrait" r:id="rId2"/>
  <ignoredErrors>
    <ignoredError sqref="C148:F152 I151 F189:F194 F224:F229 E299 E351 E412 E456 N5:N17 N80:N93 N53:N61 N37:N47 N31:N34 N98:N104 N110:N115 N66:N71 N65 N72:N75" formula="1"/>
    <ignoredError sqref="H235 H237 E112:H112" evalErro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9714-5328-4A6C-B277-27862272DBC8}">
  <sheetPr>
    <tabColor theme="8"/>
  </sheetPr>
  <dimension ref="A1:Z157"/>
  <sheetViews>
    <sheetView showGridLines="0" workbookViewId="0"/>
  </sheetViews>
  <sheetFormatPr defaultColWidth="9.140625" defaultRowHeight="18" customHeight="1" x14ac:dyDescent="0.25"/>
  <cols>
    <col min="1" max="1" width="6.7109375" style="46" customWidth="1"/>
    <col min="2" max="7" width="13.5703125" style="1" customWidth="1"/>
    <col min="8" max="8" width="15.7109375" style="1" customWidth="1"/>
    <col min="9" max="9" width="12.140625" style="1" customWidth="1"/>
    <col min="10" max="10" width="10" style="1" customWidth="1"/>
    <col min="11" max="11" width="9.140625" style="1"/>
    <col min="12" max="12" width="6.7109375" style="1" customWidth="1"/>
    <col min="13" max="26" width="12" style="1" customWidth="1"/>
    <col min="27" max="16384" width="9.140625" style="1"/>
  </cols>
  <sheetData>
    <row r="1" spans="1:9" ht="18.75" customHeight="1" x14ac:dyDescent="0.25">
      <c r="A1" s="26" t="s">
        <v>122</v>
      </c>
      <c r="B1" s="351" t="s">
        <v>123</v>
      </c>
      <c r="C1" s="351"/>
      <c r="D1" s="351"/>
      <c r="E1" s="351"/>
      <c r="F1" s="351"/>
      <c r="G1" s="26" t="s">
        <v>124</v>
      </c>
      <c r="H1" s="26" t="s">
        <v>125</v>
      </c>
      <c r="I1" s="27" t="s">
        <v>126</v>
      </c>
    </row>
    <row r="2" spans="1:9" ht="18" customHeight="1" x14ac:dyDescent="0.25">
      <c r="A2" s="24" t="s">
        <v>127</v>
      </c>
      <c r="B2" s="28" t="s">
        <v>128</v>
      </c>
      <c r="I2" s="29"/>
    </row>
    <row r="3" spans="1:9" ht="18" customHeight="1" x14ac:dyDescent="0.25">
      <c r="A3" s="24" t="s">
        <v>129</v>
      </c>
      <c r="B3" s="28" t="s">
        <v>968</v>
      </c>
      <c r="I3" s="29"/>
    </row>
    <row r="4" spans="1:9" ht="18" customHeight="1" x14ac:dyDescent="0.25">
      <c r="A4" s="24"/>
      <c r="B4" s="30" t="s">
        <v>130</v>
      </c>
      <c r="G4" s="2" t="s">
        <v>1</v>
      </c>
      <c r="H4" s="31">
        <f>'Input &amp; Process'!H23</f>
        <v>50</v>
      </c>
      <c r="I4" s="14" t="s">
        <v>2</v>
      </c>
    </row>
    <row r="5" spans="1:9" ht="18" customHeight="1" x14ac:dyDescent="0.25">
      <c r="A5" s="24"/>
      <c r="B5" s="30" t="s">
        <v>108</v>
      </c>
      <c r="G5" s="2" t="s">
        <v>96</v>
      </c>
      <c r="H5" s="58">
        <f>'Input &amp; Process'!H156</f>
        <v>0.11712</v>
      </c>
      <c r="I5" s="14" t="s">
        <v>97</v>
      </c>
    </row>
    <row r="6" spans="1:9" ht="18" customHeight="1" x14ac:dyDescent="0.25">
      <c r="A6" s="24"/>
      <c r="B6" s="30" t="s">
        <v>281</v>
      </c>
      <c r="G6" s="2" t="s">
        <v>284</v>
      </c>
      <c r="H6" s="31">
        <f>'Input &amp; Process'!H76</f>
        <v>78.599999999999994</v>
      </c>
      <c r="I6" s="14" t="s">
        <v>132</v>
      </c>
    </row>
    <row r="7" spans="1:9" ht="18" customHeight="1" x14ac:dyDescent="0.25">
      <c r="A7" s="24"/>
      <c r="B7" s="30" t="s">
        <v>283</v>
      </c>
      <c r="G7" s="2" t="s">
        <v>133</v>
      </c>
      <c r="H7" s="31">
        <f>H6*H5</f>
        <v>9.2056319999999996</v>
      </c>
      <c r="I7" s="14" t="s">
        <v>134</v>
      </c>
    </row>
    <row r="8" spans="1:9" ht="18" customHeight="1" x14ac:dyDescent="0.25">
      <c r="A8" s="24"/>
      <c r="B8" s="30" t="s">
        <v>135</v>
      </c>
      <c r="G8" s="2" t="s">
        <v>136</v>
      </c>
      <c r="H8" s="31">
        <f>1/8*H7*H4^2</f>
        <v>2876.7599999999998</v>
      </c>
      <c r="I8" s="14" t="s">
        <v>137</v>
      </c>
    </row>
    <row r="9" spans="1:9" ht="18" customHeight="1" x14ac:dyDescent="0.25">
      <c r="A9" s="24"/>
      <c r="B9" s="28"/>
      <c r="I9" s="29"/>
    </row>
    <row r="10" spans="1:9" ht="18" customHeight="1" x14ac:dyDescent="0.25">
      <c r="A10" s="24" t="s">
        <v>138</v>
      </c>
      <c r="B10" s="28" t="s">
        <v>139</v>
      </c>
      <c r="I10" s="29"/>
    </row>
    <row r="11" spans="1:9" ht="18" customHeight="1" x14ac:dyDescent="0.25">
      <c r="A11" s="24"/>
      <c r="B11" s="30" t="s">
        <v>140</v>
      </c>
      <c r="G11" s="2" t="s">
        <v>141</v>
      </c>
      <c r="H11" s="31">
        <f>'Input &amp; Process'!H42/1000</f>
        <v>0.25</v>
      </c>
      <c r="I11" s="14" t="s">
        <v>2</v>
      </c>
    </row>
    <row r="12" spans="1:9" ht="18" customHeight="1" x14ac:dyDescent="0.25">
      <c r="A12" s="24"/>
      <c r="B12" s="30" t="s">
        <v>142</v>
      </c>
      <c r="G12" s="2" t="s">
        <v>36</v>
      </c>
      <c r="H12" s="31">
        <f>'Input &amp; Process'!H28</f>
        <v>3.5</v>
      </c>
      <c r="I12" s="14" t="s">
        <v>2</v>
      </c>
    </row>
    <row r="13" spans="1:9" ht="18" customHeight="1" x14ac:dyDescent="0.25">
      <c r="A13" s="24"/>
      <c r="B13" s="30" t="s">
        <v>143</v>
      </c>
      <c r="G13" s="2" t="s">
        <v>131</v>
      </c>
      <c r="H13" s="31">
        <f>'Input &amp; Process'!H77</f>
        <v>24</v>
      </c>
      <c r="I13" s="14" t="s">
        <v>132</v>
      </c>
    </row>
    <row r="14" spans="1:9" ht="18" customHeight="1" x14ac:dyDescent="0.25">
      <c r="A14" s="24"/>
      <c r="B14" s="30" t="s">
        <v>144</v>
      </c>
      <c r="G14" s="2" t="s">
        <v>378</v>
      </c>
      <c r="H14" s="31">
        <f>H11*H12*H13</f>
        <v>21</v>
      </c>
      <c r="I14" s="14" t="s">
        <v>134</v>
      </c>
    </row>
    <row r="15" spans="1:9" ht="18" customHeight="1" x14ac:dyDescent="0.25">
      <c r="A15" s="24"/>
      <c r="B15" s="30" t="s">
        <v>135</v>
      </c>
      <c r="G15" s="2" t="s">
        <v>145</v>
      </c>
      <c r="H15" s="31">
        <f>1/8*H14*H4^2</f>
        <v>6562.5</v>
      </c>
      <c r="I15" s="14" t="s">
        <v>137</v>
      </c>
    </row>
    <row r="16" spans="1:9" ht="18" customHeight="1" x14ac:dyDescent="0.25">
      <c r="A16" s="24"/>
      <c r="B16" s="30"/>
      <c r="I16" s="29"/>
    </row>
    <row r="17" spans="1:9" ht="18" customHeight="1" x14ac:dyDescent="0.25">
      <c r="A17" s="24" t="s">
        <v>146</v>
      </c>
      <c r="B17" s="28" t="s">
        <v>286</v>
      </c>
      <c r="I17" s="29"/>
    </row>
    <row r="18" spans="1:9" ht="18" customHeight="1" x14ac:dyDescent="0.25">
      <c r="A18" s="24"/>
      <c r="B18" s="30" t="s">
        <v>285</v>
      </c>
      <c r="G18" s="2" t="s">
        <v>379</v>
      </c>
      <c r="H18" s="58">
        <f>0.15*H8</f>
        <v>431.51399999999995</v>
      </c>
      <c r="I18" s="14" t="s">
        <v>137</v>
      </c>
    </row>
    <row r="19" spans="1:9" ht="18" customHeight="1" x14ac:dyDescent="0.25">
      <c r="A19" s="24"/>
      <c r="B19" s="30"/>
      <c r="I19" s="29"/>
    </row>
    <row r="20" spans="1:9" ht="18" customHeight="1" x14ac:dyDescent="0.25">
      <c r="A20" s="24" t="s">
        <v>149</v>
      </c>
      <c r="B20" s="28" t="s">
        <v>150</v>
      </c>
      <c r="I20" s="29"/>
    </row>
    <row r="21" spans="1:9" ht="18" customHeight="1" x14ac:dyDescent="0.25">
      <c r="A21" s="24" t="s">
        <v>151</v>
      </c>
      <c r="B21" s="28" t="s">
        <v>152</v>
      </c>
      <c r="I21" s="29"/>
    </row>
    <row r="22" spans="1:9" ht="18" customHeight="1" x14ac:dyDescent="0.25">
      <c r="A22" s="24"/>
      <c r="B22" s="30" t="s">
        <v>153</v>
      </c>
      <c r="G22" s="2" t="s">
        <v>154</v>
      </c>
      <c r="H22" s="31">
        <f>'Input &amp; Process'!H44/1000</f>
        <v>0.1</v>
      </c>
      <c r="I22" s="14" t="s">
        <v>2</v>
      </c>
    </row>
    <row r="23" spans="1:9" ht="18" customHeight="1" x14ac:dyDescent="0.25">
      <c r="A23" s="24"/>
      <c r="B23" s="30" t="s">
        <v>155</v>
      </c>
      <c r="G23" s="2" t="s">
        <v>156</v>
      </c>
      <c r="H23" s="31">
        <f>'Input &amp; Process'!H78</f>
        <v>22</v>
      </c>
      <c r="I23" s="14" t="s">
        <v>132</v>
      </c>
    </row>
    <row r="24" spans="1:9" ht="18" customHeight="1" x14ac:dyDescent="0.25">
      <c r="A24" s="24"/>
      <c r="B24" s="30" t="s">
        <v>157</v>
      </c>
      <c r="G24" s="2" t="s">
        <v>158</v>
      </c>
      <c r="H24" s="31">
        <f>H22*H12*H23</f>
        <v>7.7000000000000011</v>
      </c>
      <c r="I24" s="14" t="s">
        <v>159</v>
      </c>
    </row>
    <row r="25" spans="1:9" ht="18" customHeight="1" x14ac:dyDescent="0.25">
      <c r="A25" s="24"/>
      <c r="B25" s="30" t="s">
        <v>160</v>
      </c>
      <c r="G25" s="2" t="s">
        <v>161</v>
      </c>
      <c r="H25" s="59">
        <f>1/8*H24*H4^2</f>
        <v>2406.2500000000005</v>
      </c>
      <c r="I25" s="14" t="s">
        <v>137</v>
      </c>
    </row>
    <row r="26" spans="1:9" ht="18" customHeight="1" x14ac:dyDescent="0.25">
      <c r="A26" s="24"/>
      <c r="B26" s="30"/>
      <c r="G26" s="2"/>
      <c r="H26" s="6"/>
      <c r="I26" s="34"/>
    </row>
    <row r="27" spans="1:9" ht="18" customHeight="1" x14ac:dyDescent="0.25">
      <c r="A27" s="24" t="s">
        <v>162</v>
      </c>
      <c r="B27" s="28" t="s">
        <v>163</v>
      </c>
      <c r="G27" s="2"/>
      <c r="H27" s="6"/>
      <c r="I27" s="34"/>
    </row>
    <row r="28" spans="1:9" ht="18" customHeight="1" x14ac:dyDescent="0.25">
      <c r="A28" s="24"/>
      <c r="B28" s="30" t="s">
        <v>164</v>
      </c>
      <c r="G28" s="2" t="s">
        <v>165</v>
      </c>
      <c r="H28" s="31">
        <f>'Input &amp; Process'!H45/1000</f>
        <v>0.05</v>
      </c>
      <c r="I28" s="14" t="s">
        <v>2</v>
      </c>
    </row>
    <row r="29" spans="1:9" ht="18" customHeight="1" x14ac:dyDescent="0.25">
      <c r="A29" s="24"/>
      <c r="B29" s="30" t="s">
        <v>53</v>
      </c>
      <c r="G29" s="2" t="s">
        <v>166</v>
      </c>
      <c r="H29" s="31">
        <f>'Input &amp; Process'!H79</f>
        <v>9.81</v>
      </c>
      <c r="I29" s="14" t="s">
        <v>132</v>
      </c>
    </row>
    <row r="30" spans="1:9" ht="18" customHeight="1" x14ac:dyDescent="0.25">
      <c r="A30" s="24"/>
      <c r="B30" s="30" t="s">
        <v>167</v>
      </c>
      <c r="G30" s="2" t="s">
        <v>168</v>
      </c>
      <c r="H30" s="31">
        <f>H28*H12*H29</f>
        <v>1.7167500000000002</v>
      </c>
      <c r="I30" s="14" t="s">
        <v>159</v>
      </c>
    </row>
    <row r="31" spans="1:9" ht="18" customHeight="1" x14ac:dyDescent="0.25">
      <c r="A31" s="24"/>
      <c r="B31" s="30" t="s">
        <v>160</v>
      </c>
      <c r="G31" s="2" t="s">
        <v>169</v>
      </c>
      <c r="H31" s="59">
        <f>1/8*H30*H4^2</f>
        <v>536.48437500000011</v>
      </c>
      <c r="I31" s="14" t="s">
        <v>137</v>
      </c>
    </row>
    <row r="32" spans="1:9" ht="18" customHeight="1" x14ac:dyDescent="0.25">
      <c r="A32" s="24"/>
      <c r="B32" s="30"/>
      <c r="I32" s="29"/>
    </row>
    <row r="33" spans="1:9" ht="18" customHeight="1" x14ac:dyDescent="0.25">
      <c r="A33" s="24" t="s">
        <v>170</v>
      </c>
      <c r="B33" s="28" t="s">
        <v>171</v>
      </c>
      <c r="I33" s="29"/>
    </row>
    <row r="34" spans="1:9" ht="18" customHeight="1" x14ac:dyDescent="0.25">
      <c r="A34" s="24"/>
      <c r="B34" s="28" t="s">
        <v>172</v>
      </c>
      <c r="I34" s="29"/>
    </row>
    <row r="35" spans="1:9" ht="18" customHeight="1" x14ac:dyDescent="0.25">
      <c r="A35" s="24"/>
      <c r="B35" s="30" t="s">
        <v>130</v>
      </c>
      <c r="G35" s="2" t="s">
        <v>1</v>
      </c>
      <c r="H35" s="31">
        <f>H4</f>
        <v>50</v>
      </c>
      <c r="I35" s="14" t="s">
        <v>2</v>
      </c>
    </row>
    <row r="36" spans="1:9" ht="18" customHeight="1" x14ac:dyDescent="0.25">
      <c r="A36" s="24"/>
      <c r="B36" s="30" t="s">
        <v>173</v>
      </c>
      <c r="G36" s="2" t="str">
        <f>IF(H35&gt;30,"BTR = 9 * (0,5 +15/L) =","BTR =")</f>
        <v>BTR = 9 * (0,5 +15/L) =</v>
      </c>
      <c r="H36" s="35">
        <f>IF(H35&gt;30,9*(0.5+15/H35),9)</f>
        <v>7.2</v>
      </c>
      <c r="I36" s="14" t="s">
        <v>159</v>
      </c>
    </row>
    <row r="37" spans="1:9" ht="18" customHeight="1" x14ac:dyDescent="0.25">
      <c r="A37" s="24"/>
      <c r="B37" s="30" t="s">
        <v>174</v>
      </c>
      <c r="G37" s="2" t="s">
        <v>175</v>
      </c>
      <c r="H37" s="35">
        <v>49</v>
      </c>
      <c r="I37" s="14" t="s">
        <v>134</v>
      </c>
    </row>
    <row r="38" spans="1:9" ht="18" customHeight="1" x14ac:dyDescent="0.25">
      <c r="A38" s="24"/>
      <c r="B38" s="30" t="s">
        <v>176</v>
      </c>
      <c r="G38" s="2"/>
      <c r="H38" s="36"/>
      <c r="I38" s="34"/>
    </row>
    <row r="39" spans="1:9" ht="18" customHeight="1" x14ac:dyDescent="0.25">
      <c r="A39" s="24"/>
      <c r="B39" s="37" t="s">
        <v>177</v>
      </c>
      <c r="G39" s="2" t="s">
        <v>178</v>
      </c>
      <c r="H39" s="57">
        <f>IF(H35&lt;=50,0.4,"-")</f>
        <v>0.4</v>
      </c>
      <c r="I39" s="34"/>
    </row>
    <row r="40" spans="1:9" ht="18" customHeight="1" x14ac:dyDescent="0.25">
      <c r="A40" s="24"/>
      <c r="B40" s="37" t="s">
        <v>179</v>
      </c>
      <c r="G40" s="2" t="s">
        <v>178</v>
      </c>
      <c r="H40" s="38" t="str">
        <f>IF(H35&gt;50,IF(H35&lt;90,(0.4-(H35-50)/40*0.1),"-"),"-")</f>
        <v>-</v>
      </c>
      <c r="I40" s="34"/>
    </row>
    <row r="41" spans="1:9" ht="18" customHeight="1" x14ac:dyDescent="0.25">
      <c r="A41" s="24"/>
      <c r="B41" s="37" t="s">
        <v>180</v>
      </c>
      <c r="G41" s="2" t="s">
        <v>178</v>
      </c>
      <c r="H41" s="57" t="str">
        <f>IF(H35&gt;90,0.3,"-")</f>
        <v>-</v>
      </c>
      <c r="I41" s="34"/>
    </row>
    <row r="42" spans="1:9" ht="18" customHeight="1" x14ac:dyDescent="0.25">
      <c r="A42" s="24"/>
      <c r="B42" s="30"/>
      <c r="G42" s="2" t="s">
        <v>181</v>
      </c>
      <c r="H42" s="38">
        <f>MAX(H39:H41)</f>
        <v>0.4</v>
      </c>
      <c r="I42" s="34"/>
    </row>
    <row r="43" spans="1:9" ht="18" customHeight="1" x14ac:dyDescent="0.25">
      <c r="A43" s="24"/>
      <c r="B43" s="30" t="s">
        <v>174</v>
      </c>
      <c r="G43" s="2" t="s">
        <v>182</v>
      </c>
      <c r="H43" s="35">
        <f>(1+H42)*H37</f>
        <v>68.599999999999994</v>
      </c>
      <c r="I43" s="14" t="s">
        <v>134</v>
      </c>
    </row>
    <row r="44" spans="1:9" ht="18" customHeight="1" x14ac:dyDescent="0.25">
      <c r="A44" s="24"/>
      <c r="B44" s="30" t="s">
        <v>183</v>
      </c>
      <c r="I44" s="29"/>
    </row>
    <row r="45" spans="1:9" ht="18" customHeight="1" x14ac:dyDescent="0.25">
      <c r="A45" s="24"/>
      <c r="B45" s="30"/>
      <c r="G45" s="2" t="s">
        <v>184</v>
      </c>
      <c r="H45" s="59">
        <f>(1/8*H36*H35+1/4*H43)*H35*H12</f>
        <v>10876.25</v>
      </c>
      <c r="I45" s="14" t="s">
        <v>137</v>
      </c>
    </row>
    <row r="46" spans="1:9" ht="18" customHeight="1" x14ac:dyDescent="0.25">
      <c r="A46" s="24"/>
      <c r="B46" s="30"/>
      <c r="I46" s="29"/>
    </row>
    <row r="47" spans="1:9" ht="18" customHeight="1" x14ac:dyDescent="0.25">
      <c r="A47" s="24"/>
      <c r="B47" s="28" t="s">
        <v>185</v>
      </c>
      <c r="I47" s="29"/>
    </row>
    <row r="48" spans="1:9" ht="18" customHeight="1" x14ac:dyDescent="0.25">
      <c r="A48" s="24"/>
      <c r="B48" s="28"/>
      <c r="G48" s="39"/>
      <c r="H48" s="3"/>
      <c r="I48" s="14"/>
    </row>
    <row r="49" spans="1:9" ht="18" customHeight="1" x14ac:dyDescent="0.25">
      <c r="A49" s="24"/>
      <c r="B49" s="28"/>
      <c r="G49" s="39"/>
      <c r="H49" s="3"/>
      <c r="I49" s="14"/>
    </row>
    <row r="50" spans="1:9" ht="18" customHeight="1" x14ac:dyDescent="0.25">
      <c r="A50" s="24"/>
      <c r="B50" s="28"/>
      <c r="G50" s="39"/>
      <c r="H50" s="3"/>
      <c r="I50" s="14"/>
    </row>
    <row r="51" spans="1:9" ht="18" customHeight="1" x14ac:dyDescent="0.25">
      <c r="A51" s="24"/>
      <c r="B51" s="28"/>
      <c r="G51" s="39"/>
      <c r="H51" s="3"/>
      <c r="I51" s="14"/>
    </row>
    <row r="52" spans="1:9" ht="18" customHeight="1" x14ac:dyDescent="0.25">
      <c r="A52" s="24"/>
      <c r="B52" s="28"/>
      <c r="G52" s="39"/>
      <c r="H52" s="3"/>
      <c r="I52" s="14"/>
    </row>
    <row r="53" spans="1:9" ht="18" customHeight="1" x14ac:dyDescent="0.25">
      <c r="A53" s="24"/>
      <c r="B53" s="28"/>
      <c r="G53" s="39"/>
      <c r="H53" s="3"/>
      <c r="I53" s="14"/>
    </row>
    <row r="54" spans="1:9" ht="18" customHeight="1" x14ac:dyDescent="0.25">
      <c r="A54" s="24"/>
      <c r="B54" s="28"/>
      <c r="G54" s="39"/>
      <c r="H54" s="3"/>
      <c r="I54" s="14"/>
    </row>
    <row r="55" spans="1:9" ht="18" customHeight="1" x14ac:dyDescent="0.25">
      <c r="A55" s="24"/>
      <c r="B55" s="28"/>
      <c r="G55" s="39"/>
      <c r="H55" s="3"/>
      <c r="I55" s="14"/>
    </row>
    <row r="56" spans="1:9" ht="18" customHeight="1" x14ac:dyDescent="0.25">
      <c r="A56" s="24"/>
      <c r="B56" s="28"/>
      <c r="G56" s="39"/>
      <c r="H56" s="3"/>
      <c r="I56" s="14"/>
    </row>
    <row r="57" spans="1:9" ht="18" customHeight="1" x14ac:dyDescent="0.25">
      <c r="A57" s="24"/>
      <c r="B57" s="28"/>
      <c r="G57" s="39"/>
      <c r="H57" s="3"/>
      <c r="I57" s="14"/>
    </row>
    <row r="58" spans="1:9" ht="18" customHeight="1" x14ac:dyDescent="0.25">
      <c r="A58" s="24"/>
      <c r="B58" s="28"/>
      <c r="G58" s="39"/>
      <c r="H58" s="3"/>
      <c r="I58" s="14"/>
    </row>
    <row r="59" spans="1:9" ht="18" customHeight="1" x14ac:dyDescent="0.25">
      <c r="A59" s="24"/>
      <c r="B59" s="28"/>
      <c r="G59" s="39"/>
      <c r="H59" s="3"/>
      <c r="I59" s="14"/>
    </row>
    <row r="60" spans="1:9" ht="18" customHeight="1" x14ac:dyDescent="0.25">
      <c r="A60" s="24"/>
      <c r="B60" s="28"/>
      <c r="G60" s="39"/>
      <c r="H60" s="3"/>
      <c r="I60" s="14"/>
    </row>
    <row r="61" spans="1:9" ht="18" customHeight="1" x14ac:dyDescent="0.25">
      <c r="A61" s="24"/>
      <c r="B61" s="40" t="s">
        <v>186</v>
      </c>
      <c r="G61" s="39" t="s">
        <v>187</v>
      </c>
      <c r="H61" s="60">
        <f>50+225+225</f>
        <v>500</v>
      </c>
      <c r="I61" s="14" t="s">
        <v>148</v>
      </c>
    </row>
    <row r="62" spans="1:9" ht="18" customHeight="1" x14ac:dyDescent="0.25">
      <c r="A62" s="24"/>
      <c r="B62" s="40" t="s">
        <v>176</v>
      </c>
      <c r="G62" s="2" t="s">
        <v>178</v>
      </c>
      <c r="H62" s="61">
        <v>0.3</v>
      </c>
      <c r="I62" s="14"/>
    </row>
    <row r="63" spans="1:9" ht="18" customHeight="1" x14ac:dyDescent="0.25">
      <c r="A63" s="24"/>
      <c r="B63" s="30" t="s">
        <v>183</v>
      </c>
      <c r="G63" s="2" t="s">
        <v>188</v>
      </c>
      <c r="H63" s="59">
        <f>'Input &amp; Process'!H89</f>
        <v>7060.3</v>
      </c>
      <c r="I63" s="14" t="s">
        <v>137</v>
      </c>
    </row>
    <row r="64" spans="1:9" ht="18" customHeight="1" x14ac:dyDescent="0.25">
      <c r="A64" s="24"/>
      <c r="B64" s="30"/>
      <c r="I64" s="29"/>
    </row>
    <row r="65" spans="1:10" ht="18" customHeight="1" x14ac:dyDescent="0.25">
      <c r="A65" s="24"/>
      <c r="B65" s="28" t="s">
        <v>189</v>
      </c>
      <c r="I65" s="29"/>
    </row>
    <row r="66" spans="1:10" ht="18" customHeight="1" x14ac:dyDescent="0.25">
      <c r="A66" s="24"/>
      <c r="B66" s="30"/>
      <c r="G66" s="2"/>
      <c r="H66" s="3"/>
      <c r="I66" s="14"/>
    </row>
    <row r="67" spans="1:10" ht="18" customHeight="1" x14ac:dyDescent="0.25">
      <c r="A67" s="24"/>
      <c r="B67" s="30"/>
      <c r="G67" s="2"/>
      <c r="H67" s="3"/>
      <c r="I67" s="14"/>
    </row>
    <row r="68" spans="1:10" ht="18" customHeight="1" x14ac:dyDescent="0.25">
      <c r="A68" s="24"/>
      <c r="B68" s="30"/>
      <c r="G68" s="2"/>
      <c r="H68" s="3"/>
      <c r="I68" s="14"/>
    </row>
    <row r="69" spans="1:10" ht="18" customHeight="1" x14ac:dyDescent="0.25">
      <c r="A69" s="24"/>
      <c r="B69" s="30"/>
      <c r="G69" s="2"/>
      <c r="H69" s="3"/>
      <c r="I69" s="14"/>
    </row>
    <row r="70" spans="1:10" ht="18" customHeight="1" x14ac:dyDescent="0.25">
      <c r="A70" s="24"/>
      <c r="B70" s="30"/>
      <c r="G70" s="2"/>
      <c r="H70" s="3"/>
      <c r="I70" s="14"/>
    </row>
    <row r="71" spans="1:10" ht="18" customHeight="1" x14ac:dyDescent="0.25">
      <c r="A71" s="24"/>
      <c r="B71" s="41" t="s">
        <v>190</v>
      </c>
      <c r="C71"/>
      <c r="D71"/>
      <c r="E71"/>
      <c r="F71"/>
      <c r="G71" s="42" t="s">
        <v>6</v>
      </c>
      <c r="H71" s="62">
        <v>1.8</v>
      </c>
      <c r="I71" s="14" t="s">
        <v>2</v>
      </c>
    </row>
    <row r="72" spans="1:10" ht="18" customHeight="1" x14ac:dyDescent="0.35">
      <c r="A72" s="24"/>
      <c r="B72" s="40" t="s">
        <v>191</v>
      </c>
      <c r="C72"/>
      <c r="D72"/>
      <c r="E72"/>
      <c r="F72"/>
      <c r="G72" s="42" t="s">
        <v>192</v>
      </c>
      <c r="H72" s="63">
        <f>0.25*H61</f>
        <v>125</v>
      </c>
      <c r="I72" s="14" t="s">
        <v>148</v>
      </c>
    </row>
    <row r="73" spans="1:10" ht="18" customHeight="1" x14ac:dyDescent="0.35">
      <c r="A73" s="24"/>
      <c r="B73" s="40" t="s">
        <v>193</v>
      </c>
      <c r="C73"/>
      <c r="D73"/>
      <c r="E73"/>
      <c r="F73"/>
      <c r="G73" s="42" t="s">
        <v>194</v>
      </c>
      <c r="H73" s="63">
        <f>5/100*(H62+9*H36*H35*2)</f>
        <v>324.01500000000004</v>
      </c>
      <c r="I73" s="14" t="s">
        <v>148</v>
      </c>
    </row>
    <row r="74" spans="1:10" ht="18" customHeight="1" x14ac:dyDescent="0.25">
      <c r="A74" s="24"/>
      <c r="B74" s="40" t="s">
        <v>195</v>
      </c>
      <c r="C74"/>
      <c r="D74"/>
      <c r="E74"/>
      <c r="F74"/>
      <c r="G74" s="42" t="s">
        <v>196</v>
      </c>
      <c r="H74" s="63">
        <f>MAX(H72:H73)</f>
        <v>324.01500000000004</v>
      </c>
      <c r="I74" s="14" t="s">
        <v>148</v>
      </c>
    </row>
    <row r="75" spans="1:10" ht="18.75" customHeight="1" x14ac:dyDescent="0.25">
      <c r="A75" s="43"/>
      <c r="B75" s="30" t="s">
        <v>197</v>
      </c>
      <c r="G75" s="2" t="s">
        <v>198</v>
      </c>
      <c r="H75" s="259">
        <f>'Input &amp; Process'!H22*'Input &amp; Process'!H28+2*('Input &amp; Process'!H30+0.5*'Input &amp; Process'!H24)</f>
        <v>18.2</v>
      </c>
      <c r="I75" s="14" t="s">
        <v>2</v>
      </c>
      <c r="J75" s="4"/>
    </row>
    <row r="76" spans="1:10" ht="18.75" customHeight="1" x14ac:dyDescent="0.25">
      <c r="A76" s="43"/>
      <c r="B76" s="30" t="s">
        <v>199</v>
      </c>
      <c r="G76" s="2" t="s">
        <v>36</v>
      </c>
      <c r="H76" s="259">
        <f>H12</f>
        <v>3.5</v>
      </c>
      <c r="I76" s="14" t="s">
        <v>2</v>
      </c>
      <c r="J76" s="4"/>
    </row>
    <row r="77" spans="1:10" ht="18" customHeight="1" x14ac:dyDescent="0.25">
      <c r="A77" s="24"/>
      <c r="B77" s="40" t="s">
        <v>200</v>
      </c>
      <c r="C77"/>
      <c r="D77"/>
      <c r="E77"/>
      <c r="F77"/>
      <c r="G77" s="42" t="s">
        <v>147</v>
      </c>
      <c r="H77" s="260">
        <f>'Input &amp; Process'!H22</f>
        <v>4</v>
      </c>
      <c r="I77" s="14"/>
    </row>
    <row r="78" spans="1:10" ht="18" customHeight="1" x14ac:dyDescent="0.25">
      <c r="A78" s="24"/>
      <c r="B78" s="40" t="s">
        <v>201</v>
      </c>
      <c r="C78"/>
      <c r="D78"/>
      <c r="E78"/>
      <c r="F78"/>
      <c r="G78" s="42" t="s">
        <v>202</v>
      </c>
      <c r="H78" s="64">
        <f>H74/H77</f>
        <v>81.003750000000011</v>
      </c>
      <c r="I78" s="14" t="s">
        <v>148</v>
      </c>
    </row>
    <row r="79" spans="1:10" ht="18" customHeight="1" x14ac:dyDescent="0.25">
      <c r="A79" s="24"/>
      <c r="B79" s="30" t="s">
        <v>203</v>
      </c>
      <c r="G79" s="42" t="s">
        <v>204</v>
      </c>
      <c r="H79" s="64">
        <f>H71+H22+'Input &amp; Process'!H235</f>
        <v>3.0916402301539332</v>
      </c>
      <c r="I79" s="14" t="s">
        <v>2</v>
      </c>
    </row>
    <row r="80" spans="1:10" ht="18" customHeight="1" x14ac:dyDescent="0.25">
      <c r="A80" s="24"/>
      <c r="B80" s="30" t="s">
        <v>205</v>
      </c>
      <c r="G80" s="2" t="s">
        <v>206</v>
      </c>
      <c r="H80" s="63">
        <f>H78*H79</f>
        <v>250.4344522933317</v>
      </c>
      <c r="I80" s="14" t="s">
        <v>137</v>
      </c>
    </row>
    <row r="81" spans="1:9" ht="18" customHeight="1" x14ac:dyDescent="0.25">
      <c r="A81" s="24"/>
      <c r="B81" s="30" t="s">
        <v>207</v>
      </c>
      <c r="G81" s="2" t="s">
        <v>208</v>
      </c>
      <c r="H81" s="59">
        <f>0.5*H80</f>
        <v>125.21722614666585</v>
      </c>
      <c r="I81" s="14" t="s">
        <v>137</v>
      </c>
    </row>
    <row r="82" spans="1:9" ht="18" customHeight="1" x14ac:dyDescent="0.25">
      <c r="A82" s="24"/>
      <c r="B82" s="30"/>
      <c r="I82" s="29"/>
    </row>
    <row r="83" spans="1:9" ht="18" customHeight="1" x14ac:dyDescent="0.25">
      <c r="A83" s="24"/>
      <c r="B83" s="30"/>
      <c r="I83" s="29"/>
    </row>
    <row r="84" spans="1:9" ht="18" customHeight="1" x14ac:dyDescent="0.25">
      <c r="A84" s="24" t="s">
        <v>209</v>
      </c>
      <c r="B84" s="28" t="s">
        <v>210</v>
      </c>
      <c r="I84" s="29"/>
    </row>
    <row r="85" spans="1:9" ht="18" customHeight="1" x14ac:dyDescent="0.25">
      <c r="A85" s="24"/>
      <c r="B85" s="28" t="s">
        <v>211</v>
      </c>
      <c r="I85" s="29"/>
    </row>
    <row r="86" spans="1:9" ht="18" customHeight="1" x14ac:dyDescent="0.25">
      <c r="A86" s="24"/>
      <c r="B86" s="32" t="s">
        <v>212</v>
      </c>
      <c r="G86" s="2" t="s">
        <v>213</v>
      </c>
      <c r="H86" s="60">
        <v>1.8</v>
      </c>
      <c r="I86" s="14" t="s">
        <v>2</v>
      </c>
    </row>
    <row r="87" spans="1:9" ht="18" customHeight="1" x14ac:dyDescent="0.25">
      <c r="A87" s="24"/>
      <c r="B87" s="32" t="s">
        <v>214</v>
      </c>
      <c r="G87" s="2" t="s">
        <v>215</v>
      </c>
      <c r="H87" s="60">
        <v>1.75</v>
      </c>
      <c r="I87" s="14" t="s">
        <v>2</v>
      </c>
    </row>
    <row r="88" spans="1:9" ht="18" customHeight="1" x14ac:dyDescent="0.25">
      <c r="A88" s="24"/>
      <c r="B88" s="32" t="s">
        <v>216</v>
      </c>
      <c r="G88" s="2" t="s">
        <v>217</v>
      </c>
      <c r="H88" s="60">
        <v>1.46</v>
      </c>
      <c r="I88" s="14" t="s">
        <v>134</v>
      </c>
    </row>
    <row r="89" spans="1:9" ht="18" customHeight="1" x14ac:dyDescent="0.25">
      <c r="A89" s="24"/>
      <c r="B89" s="32" t="s">
        <v>218</v>
      </c>
      <c r="G89" s="2" t="s">
        <v>219</v>
      </c>
      <c r="H89" s="58">
        <f>0.5*H86/H87*H88</f>
        <v>0.75085714285714289</v>
      </c>
      <c r="I89" s="14" t="s">
        <v>134</v>
      </c>
    </row>
    <row r="90" spans="1:9" ht="18" customHeight="1" x14ac:dyDescent="0.25">
      <c r="A90" s="24"/>
      <c r="B90" s="30" t="s">
        <v>220</v>
      </c>
      <c r="G90" s="2" t="s">
        <v>221</v>
      </c>
      <c r="H90" s="58">
        <f>1/8*H89*H35^2</f>
        <v>234.64285714285717</v>
      </c>
      <c r="I90" s="14" t="s">
        <v>137</v>
      </c>
    </row>
    <row r="91" spans="1:9" ht="18" customHeight="1" x14ac:dyDescent="0.25">
      <c r="A91" s="24"/>
      <c r="B91" s="30"/>
      <c r="I91" s="29"/>
    </row>
    <row r="92" spans="1:9" ht="18" customHeight="1" x14ac:dyDescent="0.25">
      <c r="A92" s="24"/>
      <c r="B92" s="28" t="s">
        <v>222</v>
      </c>
      <c r="I92" s="29"/>
    </row>
    <row r="93" spans="1:9" ht="18" customHeight="1" x14ac:dyDescent="0.25">
      <c r="A93" s="24"/>
      <c r="B93" s="32" t="s">
        <v>223</v>
      </c>
      <c r="G93" s="2" t="s">
        <v>6</v>
      </c>
      <c r="H93" s="59">
        <f>('Input &amp; Process'!H42+'Input &amp; Process'!H43)/1000+'Input &amp; Process'!H25+'Input &amp; Process'!H27</f>
        <v>3.95</v>
      </c>
      <c r="I93" s="14" t="s">
        <v>2</v>
      </c>
    </row>
    <row r="94" spans="1:9" ht="18" customHeight="1" x14ac:dyDescent="0.25">
      <c r="A94" s="24"/>
      <c r="B94" s="30" t="s">
        <v>280</v>
      </c>
      <c r="G94" s="2" t="s">
        <v>36</v>
      </c>
      <c r="H94" s="44">
        <f>H76</f>
        <v>3.5</v>
      </c>
      <c r="I94" s="14" t="s">
        <v>2</v>
      </c>
    </row>
    <row r="95" spans="1:9" ht="18" customHeight="1" x14ac:dyDescent="0.25">
      <c r="A95" s="24"/>
      <c r="B95" s="30" t="s">
        <v>224</v>
      </c>
      <c r="G95" s="2" t="s">
        <v>225</v>
      </c>
      <c r="H95" s="59">
        <f>'Input &amp; Process'!H234</f>
        <v>1.1583597698460673</v>
      </c>
      <c r="I95" s="14" t="s">
        <v>2</v>
      </c>
    </row>
    <row r="96" spans="1:9" ht="18" customHeight="1" x14ac:dyDescent="0.25">
      <c r="A96" s="24"/>
      <c r="B96" s="30" t="s">
        <v>226</v>
      </c>
      <c r="G96" s="2" t="s">
        <v>227</v>
      </c>
      <c r="H96" s="265">
        <v>19.3</v>
      </c>
      <c r="I96" s="14" t="s">
        <v>228</v>
      </c>
    </row>
    <row r="97" spans="1:26" ht="18" customHeight="1" x14ac:dyDescent="0.25">
      <c r="A97" s="24"/>
      <c r="B97" s="30" t="s">
        <v>229</v>
      </c>
      <c r="G97" s="2" t="s">
        <v>230</v>
      </c>
      <c r="H97" s="265">
        <v>126</v>
      </c>
      <c r="I97" s="14" t="s">
        <v>228</v>
      </c>
    </row>
    <row r="98" spans="1:26" ht="18" customHeight="1" x14ac:dyDescent="0.25">
      <c r="A98" s="24"/>
      <c r="B98" s="30" t="s">
        <v>231</v>
      </c>
      <c r="G98" s="2" t="s">
        <v>232</v>
      </c>
      <c r="H98" s="265">
        <v>90</v>
      </c>
      <c r="I98" s="14" t="s">
        <v>228</v>
      </c>
    </row>
    <row r="99" spans="1:26" ht="18" customHeight="1" x14ac:dyDescent="0.25">
      <c r="A99" s="24"/>
      <c r="B99" s="30" t="s">
        <v>233</v>
      </c>
      <c r="G99" s="2" t="s">
        <v>234</v>
      </c>
      <c r="H99" s="265">
        <v>19</v>
      </c>
      <c r="I99" s="14" t="s">
        <v>2</v>
      </c>
    </row>
    <row r="100" spans="1:26" ht="18" customHeight="1" x14ac:dyDescent="0.25">
      <c r="A100" s="24"/>
      <c r="B100" s="30" t="s">
        <v>235</v>
      </c>
      <c r="G100" s="2" t="s">
        <v>236</v>
      </c>
      <c r="H100" s="45">
        <v>2500</v>
      </c>
      <c r="I100" s="14" t="s">
        <v>9</v>
      </c>
      <c r="Q100" s="8"/>
    </row>
    <row r="101" spans="1:26" ht="18" customHeight="1" x14ac:dyDescent="0.25">
      <c r="A101" s="24"/>
      <c r="B101" s="30" t="s">
        <v>237</v>
      </c>
      <c r="G101" s="2" t="s">
        <v>238</v>
      </c>
      <c r="H101" s="33">
        <f>2.5*H96*(H97/H98)*LN(H99/(H100/1000))</f>
        <v>137.00141410459386</v>
      </c>
      <c r="I101" s="14" t="s">
        <v>228</v>
      </c>
      <c r="Q101" s="8"/>
    </row>
    <row r="102" spans="1:26" ht="18" customHeight="1" x14ac:dyDescent="0.25">
      <c r="A102" s="24"/>
      <c r="B102" s="30" t="s">
        <v>239</v>
      </c>
      <c r="G102" s="2" t="s">
        <v>240</v>
      </c>
      <c r="H102" s="45">
        <v>2.3999999999999998E-3</v>
      </c>
      <c r="I102" s="14" t="s">
        <v>241</v>
      </c>
    </row>
    <row r="103" spans="1:26" ht="18" customHeight="1" x14ac:dyDescent="0.25">
      <c r="A103" s="24"/>
      <c r="B103" s="30" t="s">
        <v>242</v>
      </c>
      <c r="G103" s="2" t="s">
        <v>243</v>
      </c>
      <c r="H103" s="65">
        <f>H102*(H101/H98)^2</f>
        <v>5.5612999901210091E-3</v>
      </c>
      <c r="I103" s="14" t="s">
        <v>241</v>
      </c>
    </row>
    <row r="104" spans="1:26" ht="18" customHeight="1" x14ac:dyDescent="0.25">
      <c r="A104" s="24"/>
      <c r="B104" s="30" t="s">
        <v>244</v>
      </c>
      <c r="G104" s="2" t="s">
        <v>245</v>
      </c>
      <c r="H104" s="58">
        <f>H103/1000*10^6*H93</f>
        <v>21.967134960977987</v>
      </c>
      <c r="I104" s="14" t="s">
        <v>134</v>
      </c>
      <c r="M104" s="9"/>
    </row>
    <row r="105" spans="1:26" ht="18" customHeight="1" x14ac:dyDescent="0.25">
      <c r="A105" s="24"/>
      <c r="B105" s="30" t="s">
        <v>246</v>
      </c>
      <c r="G105" s="2" t="s">
        <v>247</v>
      </c>
      <c r="H105" s="58">
        <f>1/8*H104/H94*H4^2</f>
        <v>1961.351335801606</v>
      </c>
      <c r="I105" s="14" t="s">
        <v>137</v>
      </c>
    </row>
    <row r="106" spans="1:26" ht="18" customHeight="1" x14ac:dyDescent="0.25">
      <c r="A106" s="24"/>
      <c r="B106" s="30"/>
      <c r="I106" s="29"/>
    </row>
    <row r="107" spans="1:26" ht="18" customHeight="1" x14ac:dyDescent="0.25">
      <c r="A107" s="24"/>
      <c r="B107" s="30"/>
      <c r="I107" s="29"/>
    </row>
    <row r="108" spans="1:26" ht="18" customHeight="1" x14ac:dyDescent="0.25">
      <c r="A108" s="24" t="s">
        <v>248</v>
      </c>
      <c r="B108" s="28" t="s">
        <v>249</v>
      </c>
      <c r="I108" s="29"/>
      <c r="L108" s="46" t="s">
        <v>250</v>
      </c>
      <c r="M108" s="47" t="s">
        <v>251</v>
      </c>
    </row>
    <row r="109" spans="1:26" ht="18" customHeight="1" x14ac:dyDescent="0.25">
      <c r="A109" s="24"/>
      <c r="B109" s="30" t="s">
        <v>252</v>
      </c>
      <c r="G109" s="2" t="s">
        <v>253</v>
      </c>
      <c r="H109" s="58">
        <f>H8+H15+H18</f>
        <v>9870.7739999999994</v>
      </c>
      <c r="I109" s="14" t="s">
        <v>137</v>
      </c>
      <c r="M109" s="352"/>
      <c r="N109" s="48" t="s">
        <v>254</v>
      </c>
      <c r="O109" s="48" t="s">
        <v>255</v>
      </c>
      <c r="P109" s="48" t="s">
        <v>256</v>
      </c>
      <c r="Q109" s="48" t="s">
        <v>257</v>
      </c>
      <c r="R109" s="48" t="s">
        <v>258</v>
      </c>
      <c r="S109" s="48" t="s">
        <v>259</v>
      </c>
      <c r="T109" s="48" t="s">
        <v>260</v>
      </c>
      <c r="U109" s="48" t="s">
        <v>261</v>
      </c>
      <c r="V109" s="48" t="s">
        <v>262</v>
      </c>
      <c r="W109" s="48" t="s">
        <v>263</v>
      </c>
      <c r="X109" s="48" t="s">
        <v>264</v>
      </c>
      <c r="Y109" s="48" t="s">
        <v>265</v>
      </c>
      <c r="Z109" s="48" t="s">
        <v>266</v>
      </c>
    </row>
    <row r="110" spans="1:26" ht="18" customHeight="1" x14ac:dyDescent="0.25">
      <c r="A110" s="24"/>
      <c r="B110" s="30" t="s">
        <v>268</v>
      </c>
      <c r="G110" s="2" t="s">
        <v>269</v>
      </c>
      <c r="H110" s="58">
        <f>H25+H31</f>
        <v>2942.7343750000005</v>
      </c>
      <c r="I110" s="14" t="s">
        <v>137</v>
      </c>
      <c r="M110" s="353"/>
      <c r="N110" s="49">
        <f>H7+H14+8*H18/H4^2</f>
        <v>31.5864768</v>
      </c>
      <c r="O110" s="49">
        <f>H24+H30</f>
        <v>9.4167500000000004</v>
      </c>
      <c r="P110" s="49">
        <f>H36*H12</f>
        <v>25.2</v>
      </c>
      <c r="Q110" s="50">
        <f>8/H35*H81</f>
        <v>20.034756183466538</v>
      </c>
      <c r="R110" s="49">
        <f>H89</f>
        <v>0.75085714285714289</v>
      </c>
      <c r="S110" s="49">
        <f>H104/H76</f>
        <v>6.2763242745651393</v>
      </c>
      <c r="T110" s="51" t="s">
        <v>267</v>
      </c>
      <c r="U110" s="51" t="s">
        <v>267</v>
      </c>
      <c r="V110" s="51" t="s">
        <v>267</v>
      </c>
      <c r="W110" s="51" t="s">
        <v>267</v>
      </c>
      <c r="X110" s="51" t="s">
        <v>267</v>
      </c>
      <c r="Y110" s="51" t="s">
        <v>267</v>
      </c>
      <c r="Z110" s="51" t="s">
        <v>267</v>
      </c>
    </row>
    <row r="111" spans="1:26" ht="18" customHeight="1" x14ac:dyDescent="0.25">
      <c r="A111" s="24"/>
      <c r="B111" s="30" t="s">
        <v>270</v>
      </c>
      <c r="G111" s="2" t="s">
        <v>271</v>
      </c>
      <c r="H111" s="58">
        <f>MAX(H45,H63)</f>
        <v>10876.25</v>
      </c>
      <c r="I111" s="14" t="s">
        <v>137</v>
      </c>
      <c r="M111" s="52">
        <v>0</v>
      </c>
      <c r="N111" s="10">
        <f t="shared" ref="N111:N131" si="0">0.5*$N$110*($H$4*M111-M111^2)</f>
        <v>0</v>
      </c>
      <c r="O111" s="10">
        <f t="shared" ref="O111:O131" si="1">0.5*$O$110*($H$4*M111-M111^2)</f>
        <v>0</v>
      </c>
      <c r="P111" s="10">
        <f t="shared" ref="P111:P131" si="2">0.5*$P$110*($H$4*M111-M111^2)+0.5*$H$43*$H$12*M111</f>
        <v>0</v>
      </c>
      <c r="Q111" s="10">
        <f t="shared" ref="Q111:Q131" si="3">M111/$H$4*$H$81</f>
        <v>0</v>
      </c>
      <c r="R111" s="10">
        <f t="shared" ref="R111:R131" si="4">0.5*$R$110*($H$4*M111-M111^2)</f>
        <v>0</v>
      </c>
      <c r="S111" s="10">
        <f t="shared" ref="S111:S131" si="5">0.5*$S$110*($H$4*M111-M111^2)</f>
        <v>0</v>
      </c>
      <c r="T111" s="10">
        <f>SUM(N111:R111)+0.3*S111</f>
        <v>0</v>
      </c>
      <c r="U111" s="10">
        <f>1.3*N111+2*O111+1.8*(P111+Q111)</f>
        <v>0</v>
      </c>
      <c r="V111" s="10">
        <f>1.3*N111+2*O111+1.4*(P111+Q111)</f>
        <v>0</v>
      </c>
      <c r="W111" s="10">
        <f>1.3*N111+2*O111+1.4*S111</f>
        <v>0</v>
      </c>
      <c r="X111" s="10">
        <f>1.3*N111+2*O111</f>
        <v>0</v>
      </c>
      <c r="Y111" s="10">
        <f>1.3*N111+2*O111+0.4*S111+1*R111</f>
        <v>0</v>
      </c>
      <c r="Z111" s="10">
        <f t="shared" ref="Z111:Z131" si="6">MAX(U111:Y111)</f>
        <v>0</v>
      </c>
    </row>
    <row r="112" spans="1:26" ht="18" customHeight="1" x14ac:dyDescent="0.25">
      <c r="A112" s="24"/>
      <c r="B112" s="30" t="s">
        <v>272</v>
      </c>
      <c r="G112" s="2" t="s">
        <v>273</v>
      </c>
      <c r="H112" s="58">
        <f>H81</f>
        <v>125.21722614666585</v>
      </c>
      <c r="I112" s="14" t="s">
        <v>137</v>
      </c>
      <c r="L112" s="3">
        <v>1</v>
      </c>
      <c r="M112" s="52">
        <f>L112/40*$H$4</f>
        <v>1.25</v>
      </c>
      <c r="N112" s="10">
        <f t="shared" si="0"/>
        <v>962.40046499999994</v>
      </c>
      <c r="O112" s="10">
        <f t="shared" si="1"/>
        <v>286.91660156250003</v>
      </c>
      <c r="P112" s="10">
        <f t="shared" si="2"/>
        <v>917.875</v>
      </c>
      <c r="Q112" s="10">
        <f t="shared" si="3"/>
        <v>3.1304306536666466</v>
      </c>
      <c r="R112" s="10">
        <f t="shared" si="4"/>
        <v>22.877678571428572</v>
      </c>
      <c r="S112" s="10">
        <f t="shared" si="5"/>
        <v>191.23175524065658</v>
      </c>
      <c r="T112" s="10">
        <f t="shared" ref="T112:T131" si="7">SUM(N112:R112)+0.3*S112</f>
        <v>2250.5697023597927</v>
      </c>
      <c r="U112" s="10">
        <f>1.3*N112+2*O112+1.8*(P112+Q112)</f>
        <v>3482.7635828016</v>
      </c>
      <c r="V112" s="10">
        <f>1.3*N112+2*O112+1.4*(P112+Q112)</f>
        <v>3114.361410540133</v>
      </c>
      <c r="W112" s="10">
        <f>1.3*N112+2*O112+1.4*S112</f>
        <v>2092.6782649619195</v>
      </c>
      <c r="X112" s="10">
        <f>1.3*N112+2*O112</f>
        <v>1824.9538076250001</v>
      </c>
      <c r="Y112" s="10">
        <f>1.3*N112+2*O112+0.4*S112+1*R112</f>
        <v>1924.3241882926914</v>
      </c>
      <c r="Z112" s="10">
        <f t="shared" si="6"/>
        <v>3482.7635828016</v>
      </c>
    </row>
    <row r="113" spans="1:26" ht="18" customHeight="1" x14ac:dyDescent="0.25">
      <c r="A113" s="24"/>
      <c r="B113" s="30" t="s">
        <v>274</v>
      </c>
      <c r="G113" s="2" t="s">
        <v>275</v>
      </c>
      <c r="H113" s="58">
        <f>H90</f>
        <v>234.64285714285717</v>
      </c>
      <c r="I113" s="14" t="s">
        <v>137</v>
      </c>
      <c r="L113" s="3">
        <v>2</v>
      </c>
      <c r="M113" s="52">
        <f t="shared" ref="M113:M131" si="8">L113/40*$H$4</f>
        <v>2.5</v>
      </c>
      <c r="N113" s="10">
        <f t="shared" si="0"/>
        <v>1875.44706</v>
      </c>
      <c r="O113" s="10">
        <f t="shared" si="1"/>
        <v>559.11953125000002</v>
      </c>
      <c r="P113" s="10">
        <f t="shared" si="2"/>
        <v>1796.375</v>
      </c>
      <c r="Q113" s="10">
        <f t="shared" si="3"/>
        <v>6.2608613073332933</v>
      </c>
      <c r="R113" s="10">
        <f t="shared" si="4"/>
        <v>44.582142857142856</v>
      </c>
      <c r="S113" s="10">
        <f t="shared" si="5"/>
        <v>372.65675380230516</v>
      </c>
      <c r="T113" s="10">
        <f t="shared" si="7"/>
        <v>4393.5816215551677</v>
      </c>
      <c r="U113" s="10">
        <f t="shared" ref="U113:U131" si="9">1.3*N113+2*O113+1.8*(P113+Q113)</f>
        <v>6801.0647908532001</v>
      </c>
      <c r="V113" s="10">
        <f t="shared" ref="V113:V131" si="10">1.3*N113+2*O113+1.4*(P113+Q113)</f>
        <v>6080.0104463302669</v>
      </c>
      <c r="W113" s="10">
        <f t="shared" ref="W113:W131" si="11">1.3*N113+2*O113+1.4*S113</f>
        <v>4078.0396958232272</v>
      </c>
      <c r="X113" s="10">
        <f t="shared" ref="X113:X131" si="12">1.3*N113+2*O113</f>
        <v>3556.3202405000002</v>
      </c>
      <c r="Y113" s="10">
        <f t="shared" ref="Y113:Y131" si="13">1.3*N113+2*O113+0.4*S113+1*R113</f>
        <v>3749.9650848780652</v>
      </c>
      <c r="Z113" s="10">
        <f t="shared" si="6"/>
        <v>6801.0647908532001</v>
      </c>
    </row>
    <row r="114" spans="1:26" ht="18" customHeight="1" x14ac:dyDescent="0.25">
      <c r="A114" s="24"/>
      <c r="B114" s="30" t="s">
        <v>244</v>
      </c>
      <c r="G114" s="2" t="s">
        <v>276</v>
      </c>
      <c r="H114" s="58">
        <f>H105</f>
        <v>1961.351335801606</v>
      </c>
      <c r="I114" s="14" t="s">
        <v>137</v>
      </c>
      <c r="L114" s="3">
        <v>3</v>
      </c>
      <c r="M114" s="52">
        <f t="shared" si="8"/>
        <v>3.75</v>
      </c>
      <c r="N114" s="10">
        <f t="shared" si="0"/>
        <v>2739.1397849999998</v>
      </c>
      <c r="O114" s="10">
        <f t="shared" si="1"/>
        <v>816.60878906250002</v>
      </c>
      <c r="P114" s="10">
        <f t="shared" si="2"/>
        <v>2635.5</v>
      </c>
      <c r="Q114" s="10">
        <f t="shared" si="3"/>
        <v>9.3912919609999381</v>
      </c>
      <c r="R114" s="10">
        <f t="shared" si="4"/>
        <v>65.113392857142856</v>
      </c>
      <c r="S114" s="10">
        <f t="shared" si="5"/>
        <v>544.27499568494568</v>
      </c>
      <c r="T114" s="10">
        <f t="shared" si="7"/>
        <v>6429.0357575861262</v>
      </c>
      <c r="U114" s="10">
        <f t="shared" si="9"/>
        <v>9954.9036241548001</v>
      </c>
      <c r="V114" s="10">
        <f t="shared" si="10"/>
        <v>8896.9471073704008</v>
      </c>
      <c r="W114" s="10">
        <f t="shared" si="11"/>
        <v>5956.0842925839243</v>
      </c>
      <c r="X114" s="10">
        <f t="shared" si="12"/>
        <v>5194.0992986250003</v>
      </c>
      <c r="Y114" s="10">
        <f t="shared" si="13"/>
        <v>5476.9226897561211</v>
      </c>
      <c r="Z114" s="10">
        <f t="shared" si="6"/>
        <v>9954.9036241548001</v>
      </c>
    </row>
    <row r="115" spans="1:26" ht="18" customHeight="1" x14ac:dyDescent="0.25">
      <c r="A115" s="24"/>
      <c r="B115" s="30"/>
      <c r="H115" s="84"/>
      <c r="I115" s="29"/>
      <c r="L115" s="3">
        <v>4</v>
      </c>
      <c r="M115" s="52">
        <f t="shared" si="8"/>
        <v>5</v>
      </c>
      <c r="N115" s="10">
        <f t="shared" si="0"/>
        <v>3553.4786399999998</v>
      </c>
      <c r="O115" s="10">
        <f t="shared" si="1"/>
        <v>1059.3843750000001</v>
      </c>
      <c r="P115" s="10">
        <f t="shared" si="2"/>
        <v>3435.25</v>
      </c>
      <c r="Q115" s="10">
        <f t="shared" si="3"/>
        <v>12.521722614666587</v>
      </c>
      <c r="R115" s="10">
        <f t="shared" si="4"/>
        <v>84.471428571428575</v>
      </c>
      <c r="S115" s="10">
        <f t="shared" si="5"/>
        <v>706.08648088857819</v>
      </c>
      <c r="T115" s="10">
        <f t="shared" si="7"/>
        <v>8356.9321104526698</v>
      </c>
      <c r="U115" s="10">
        <f t="shared" si="9"/>
        <v>12944.2800827064</v>
      </c>
      <c r="V115" s="10">
        <f t="shared" si="10"/>
        <v>11565.171393660534</v>
      </c>
      <c r="W115" s="10">
        <f t="shared" si="11"/>
        <v>7726.8120552440096</v>
      </c>
      <c r="X115" s="10">
        <f t="shared" si="12"/>
        <v>6738.2909820000004</v>
      </c>
      <c r="Y115" s="10">
        <f t="shared" si="13"/>
        <v>7105.1970029268605</v>
      </c>
      <c r="Z115" s="10">
        <f t="shared" si="6"/>
        <v>12944.2800827064</v>
      </c>
    </row>
    <row r="116" spans="1:26" ht="18" customHeight="1" x14ac:dyDescent="0.25">
      <c r="A116" s="24"/>
      <c r="B116" s="30" t="s">
        <v>277</v>
      </c>
      <c r="G116" s="2" t="s">
        <v>288</v>
      </c>
      <c r="H116" s="58">
        <f>H109+H110+H111+H112+H113+0.3*H114</f>
        <v>24638.023859030003</v>
      </c>
      <c r="I116" s="14" t="s">
        <v>137</v>
      </c>
      <c r="L116" s="3">
        <v>5</v>
      </c>
      <c r="M116" s="52">
        <f t="shared" si="8"/>
        <v>6.25</v>
      </c>
      <c r="N116" s="10">
        <f t="shared" si="0"/>
        <v>4318.4636250000003</v>
      </c>
      <c r="O116" s="10">
        <f t="shared" si="1"/>
        <v>1287.4462890625</v>
      </c>
      <c r="P116" s="10">
        <f t="shared" si="2"/>
        <v>4195.625</v>
      </c>
      <c r="Q116" s="10">
        <f t="shared" si="3"/>
        <v>15.652153268333231</v>
      </c>
      <c r="R116" s="10">
        <f t="shared" si="4"/>
        <v>102.65625</v>
      </c>
      <c r="S116" s="10">
        <f t="shared" si="5"/>
        <v>858.09120941320259</v>
      </c>
      <c r="T116" s="10">
        <f t="shared" si="7"/>
        <v>10177.270680154794</v>
      </c>
      <c r="U116" s="10">
        <f t="shared" si="9"/>
        <v>15769.194166508001</v>
      </c>
      <c r="V116" s="10">
        <f t="shared" si="10"/>
        <v>14084.683305200668</v>
      </c>
      <c r="W116" s="10">
        <f t="shared" si="11"/>
        <v>9390.2229838034837</v>
      </c>
      <c r="X116" s="10">
        <f t="shared" si="12"/>
        <v>8188.8952906250006</v>
      </c>
      <c r="Y116" s="10">
        <f t="shared" si="13"/>
        <v>8634.7880243902819</v>
      </c>
      <c r="Z116" s="10">
        <f t="shared" si="6"/>
        <v>15769.194166508001</v>
      </c>
    </row>
    <row r="117" spans="1:26" ht="18" customHeight="1" x14ac:dyDescent="0.25">
      <c r="A117" s="24"/>
      <c r="B117" s="261" t="s">
        <v>290</v>
      </c>
      <c r="C117" s="77"/>
      <c r="D117" s="77"/>
      <c r="E117" s="77"/>
      <c r="F117" s="77"/>
      <c r="G117" s="262" t="s">
        <v>289</v>
      </c>
      <c r="H117" s="264">
        <f>H109+H110+1.3*(H111+H112)</f>
        <v>27115.415768990664</v>
      </c>
      <c r="I117" s="263" t="s">
        <v>137</v>
      </c>
      <c r="L117" s="3">
        <v>6</v>
      </c>
      <c r="M117" s="52">
        <f t="shared" si="8"/>
        <v>7.5</v>
      </c>
      <c r="N117" s="10">
        <f t="shared" si="0"/>
        <v>5034.0947399999995</v>
      </c>
      <c r="O117" s="10">
        <f t="shared" si="1"/>
        <v>1500.7945312500001</v>
      </c>
      <c r="P117" s="10">
        <f t="shared" si="2"/>
        <v>4916.625</v>
      </c>
      <c r="Q117" s="10">
        <f t="shared" si="3"/>
        <v>18.782583921999876</v>
      </c>
      <c r="R117" s="10">
        <f t="shared" si="4"/>
        <v>119.66785714285714</v>
      </c>
      <c r="S117" s="10">
        <f t="shared" si="5"/>
        <v>1000.2891812588191</v>
      </c>
      <c r="T117" s="10">
        <f t="shared" si="7"/>
        <v>11890.051466692503</v>
      </c>
      <c r="U117" s="10">
        <f t="shared" si="9"/>
        <v>18429.6458755596</v>
      </c>
      <c r="V117" s="10">
        <f t="shared" si="10"/>
        <v>16455.482841990801</v>
      </c>
      <c r="W117" s="10">
        <f t="shared" si="11"/>
        <v>10946.317078262346</v>
      </c>
      <c r="X117" s="10">
        <f t="shared" si="12"/>
        <v>9545.9122244999999</v>
      </c>
      <c r="Y117" s="10">
        <f t="shared" si="13"/>
        <v>10065.695754146383</v>
      </c>
      <c r="Z117" s="10">
        <f t="shared" si="6"/>
        <v>18429.6458755596</v>
      </c>
    </row>
    <row r="118" spans="1:26" ht="18" customHeight="1" x14ac:dyDescent="0.25">
      <c r="A118" s="24"/>
      <c r="B118" s="30"/>
      <c r="I118" s="29"/>
      <c r="L118" s="3">
        <v>7</v>
      </c>
      <c r="M118" s="52">
        <f t="shared" si="8"/>
        <v>8.75</v>
      </c>
      <c r="N118" s="10">
        <f t="shared" si="0"/>
        <v>5700.3719849999998</v>
      </c>
      <c r="O118" s="10">
        <f t="shared" si="1"/>
        <v>1699.4291015625001</v>
      </c>
      <c r="P118" s="10">
        <f t="shared" si="2"/>
        <v>5598.25</v>
      </c>
      <c r="Q118" s="10">
        <f t="shared" si="3"/>
        <v>21.913014575666523</v>
      </c>
      <c r="R118" s="10">
        <f t="shared" si="4"/>
        <v>135.50624999999999</v>
      </c>
      <c r="S118" s="10">
        <f t="shared" si="5"/>
        <v>1132.6803964254275</v>
      </c>
      <c r="T118" s="10">
        <f t="shared" si="7"/>
        <v>13495.274470065795</v>
      </c>
      <c r="U118" s="10">
        <f t="shared" si="9"/>
        <v>20925.635209861201</v>
      </c>
      <c r="V118" s="10">
        <f t="shared" si="10"/>
        <v>18677.570004030931</v>
      </c>
      <c r="W118" s="10">
        <f t="shared" si="11"/>
        <v>12395.0943386206</v>
      </c>
      <c r="X118" s="10">
        <f t="shared" si="12"/>
        <v>10809.341783625001</v>
      </c>
      <c r="Y118" s="10">
        <f t="shared" si="13"/>
        <v>11397.920192195172</v>
      </c>
      <c r="Z118" s="10">
        <f t="shared" si="6"/>
        <v>20925.635209861201</v>
      </c>
    </row>
    <row r="119" spans="1:26" ht="18" customHeight="1" x14ac:dyDescent="0.25">
      <c r="A119" s="24"/>
      <c r="B119" s="30"/>
      <c r="I119" s="29"/>
      <c r="L119" s="3">
        <v>8</v>
      </c>
      <c r="M119" s="52">
        <f t="shared" si="8"/>
        <v>10</v>
      </c>
      <c r="N119" s="10">
        <f t="shared" si="0"/>
        <v>6317.2953600000001</v>
      </c>
      <c r="O119" s="10">
        <f t="shared" si="1"/>
        <v>1883.3500000000001</v>
      </c>
      <c r="P119" s="10">
        <f t="shared" si="2"/>
        <v>6240.5</v>
      </c>
      <c r="Q119" s="10">
        <f t="shared" si="3"/>
        <v>25.043445229333173</v>
      </c>
      <c r="R119" s="10">
        <f t="shared" si="4"/>
        <v>150.17142857142858</v>
      </c>
      <c r="S119" s="10">
        <f t="shared" si="5"/>
        <v>1255.2648549130279</v>
      </c>
      <c r="T119" s="10">
        <f t="shared" si="7"/>
        <v>14992.93969027467</v>
      </c>
      <c r="U119" s="10">
        <f t="shared" si="9"/>
        <v>23257.162169412801</v>
      </c>
      <c r="V119" s="10">
        <f t="shared" si="10"/>
        <v>20750.944791321068</v>
      </c>
      <c r="W119" s="10">
        <f t="shared" si="11"/>
        <v>13736.554764878239</v>
      </c>
      <c r="X119" s="10">
        <f t="shared" si="12"/>
        <v>11979.183968000001</v>
      </c>
      <c r="Y119" s="10">
        <f t="shared" si="13"/>
        <v>12631.461338536641</v>
      </c>
      <c r="Z119" s="10">
        <f t="shared" si="6"/>
        <v>23257.162169412801</v>
      </c>
    </row>
    <row r="120" spans="1:26" ht="18" customHeight="1" x14ac:dyDescent="0.25">
      <c r="A120" s="24" t="s">
        <v>250</v>
      </c>
      <c r="B120" s="28" t="s">
        <v>870</v>
      </c>
      <c r="I120" s="156"/>
      <c r="L120" s="3">
        <v>9</v>
      </c>
      <c r="M120" s="52">
        <f t="shared" si="8"/>
        <v>11.25</v>
      </c>
      <c r="N120" s="10">
        <f t="shared" si="0"/>
        <v>6884.8648649999996</v>
      </c>
      <c r="O120" s="10">
        <f t="shared" si="1"/>
        <v>2052.5572265625001</v>
      </c>
      <c r="P120" s="10">
        <f t="shared" si="2"/>
        <v>6843.375</v>
      </c>
      <c r="Q120" s="10">
        <f t="shared" si="3"/>
        <v>28.173875882999816</v>
      </c>
      <c r="R120" s="10">
        <f t="shared" si="4"/>
        <v>163.66339285714287</v>
      </c>
      <c r="S120" s="10">
        <f t="shared" si="5"/>
        <v>1368.0425567216203</v>
      </c>
      <c r="T120" s="10">
        <f t="shared" si="7"/>
        <v>16383.047127319127</v>
      </c>
      <c r="U120" s="10">
        <f t="shared" si="9"/>
        <v>25424.2267542144</v>
      </c>
      <c r="V120" s="10">
        <f t="shared" si="10"/>
        <v>22675.6072038612</v>
      </c>
      <c r="W120" s="10">
        <f t="shared" si="11"/>
        <v>14970.69835703527</v>
      </c>
      <c r="X120" s="10">
        <f t="shared" si="12"/>
        <v>13055.438777625001</v>
      </c>
      <c r="Y120" s="10">
        <f t="shared" si="13"/>
        <v>13766.319193170792</v>
      </c>
      <c r="Z120" s="10">
        <f t="shared" si="6"/>
        <v>25424.2267542144</v>
      </c>
    </row>
    <row r="121" spans="1:26" ht="18" customHeight="1" x14ac:dyDescent="0.25">
      <c r="A121" s="24"/>
      <c r="B121" s="198" t="s">
        <v>834</v>
      </c>
      <c r="C121" s="75"/>
      <c r="D121" s="75"/>
      <c r="E121" s="75"/>
      <c r="F121" s="75"/>
      <c r="G121" s="75"/>
      <c r="H121" s="75"/>
      <c r="I121" s="161"/>
      <c r="L121" s="3">
        <v>10</v>
      </c>
      <c r="M121" s="52">
        <f t="shared" si="8"/>
        <v>12.5</v>
      </c>
      <c r="N121" s="10">
        <f t="shared" si="0"/>
        <v>7403.0805</v>
      </c>
      <c r="O121" s="10">
        <f t="shared" si="1"/>
        <v>2207.05078125</v>
      </c>
      <c r="P121" s="10">
        <f t="shared" si="2"/>
        <v>7406.875</v>
      </c>
      <c r="Q121" s="10">
        <f t="shared" si="3"/>
        <v>31.304306536666463</v>
      </c>
      <c r="R121" s="10">
        <f t="shared" si="4"/>
        <v>175.98214285714286</v>
      </c>
      <c r="S121" s="10">
        <f t="shared" si="5"/>
        <v>1471.0135018512046</v>
      </c>
      <c r="T121" s="10">
        <f t="shared" si="7"/>
        <v>17665.596781199169</v>
      </c>
      <c r="U121" s="10">
        <f t="shared" si="9"/>
        <v>27426.828964266002</v>
      </c>
      <c r="V121" s="10">
        <f t="shared" si="10"/>
        <v>24451.557241651331</v>
      </c>
      <c r="W121" s="10">
        <f t="shared" si="11"/>
        <v>16097.525115091687</v>
      </c>
      <c r="X121" s="10">
        <f t="shared" si="12"/>
        <v>14038.106212500001</v>
      </c>
      <c r="Y121" s="10">
        <f t="shared" si="13"/>
        <v>14802.493756097625</v>
      </c>
      <c r="Z121" s="10">
        <f t="shared" si="6"/>
        <v>27426.828964266002</v>
      </c>
    </row>
    <row r="122" spans="1:26" ht="18" customHeight="1" x14ac:dyDescent="0.25">
      <c r="A122" s="24"/>
      <c r="B122" s="75" t="s">
        <v>856</v>
      </c>
      <c r="C122" s="75"/>
      <c r="D122" s="75"/>
      <c r="E122" s="75"/>
      <c r="F122" s="75"/>
      <c r="G122" s="194" t="s">
        <v>839</v>
      </c>
      <c r="H122" s="199">
        <f>0.5*'Process - Pembebanan'!H61</f>
        <v>250</v>
      </c>
      <c r="I122" s="161" t="s">
        <v>148</v>
      </c>
      <c r="L122" s="3">
        <v>11</v>
      </c>
      <c r="M122" s="52">
        <f t="shared" si="8"/>
        <v>13.750000000000002</v>
      </c>
      <c r="N122" s="10">
        <f t="shared" si="0"/>
        <v>7871.9422650000006</v>
      </c>
      <c r="O122" s="10">
        <f t="shared" si="1"/>
        <v>2346.8306640625005</v>
      </c>
      <c r="P122" s="10">
        <f t="shared" si="2"/>
        <v>7931.0000000000009</v>
      </c>
      <c r="Q122" s="10">
        <f t="shared" si="3"/>
        <v>34.434737190333109</v>
      </c>
      <c r="R122" s="10">
        <f t="shared" si="4"/>
        <v>187.12767857142859</v>
      </c>
      <c r="S122" s="10">
        <f t="shared" si="5"/>
        <v>1564.177690301781</v>
      </c>
      <c r="T122" s="10">
        <f t="shared" si="7"/>
        <v>18840.588651914797</v>
      </c>
      <c r="U122" s="10">
        <f t="shared" si="9"/>
        <v>29264.968799567603</v>
      </c>
      <c r="V122" s="10">
        <f t="shared" si="10"/>
        <v>26078.794904691469</v>
      </c>
      <c r="W122" s="10">
        <f t="shared" si="11"/>
        <v>17117.035039047496</v>
      </c>
      <c r="X122" s="10">
        <f t="shared" si="12"/>
        <v>14927.186272625002</v>
      </c>
      <c r="Y122" s="10">
        <f t="shared" si="13"/>
        <v>15739.985027317143</v>
      </c>
      <c r="Z122" s="10">
        <f t="shared" si="6"/>
        <v>29264.968799567603</v>
      </c>
    </row>
    <row r="123" spans="1:26" ht="18" customHeight="1" x14ac:dyDescent="0.25">
      <c r="A123" s="24"/>
      <c r="B123" s="75" t="s">
        <v>857</v>
      </c>
      <c r="C123" s="75"/>
      <c r="D123" s="75"/>
      <c r="E123" s="75"/>
      <c r="F123" s="75"/>
      <c r="G123" s="75"/>
      <c r="H123" s="75"/>
      <c r="I123" s="161"/>
      <c r="L123" s="3">
        <v>12</v>
      </c>
      <c r="M123" s="52">
        <f t="shared" si="8"/>
        <v>15</v>
      </c>
      <c r="N123" s="10">
        <f t="shared" si="0"/>
        <v>8291.4501600000003</v>
      </c>
      <c r="O123" s="10">
        <f t="shared" si="1"/>
        <v>2471.8968749999999</v>
      </c>
      <c r="P123" s="10">
        <f t="shared" si="2"/>
        <v>8415.75</v>
      </c>
      <c r="Q123" s="10">
        <f t="shared" si="3"/>
        <v>37.565167843999753</v>
      </c>
      <c r="R123" s="10">
        <f t="shared" si="4"/>
        <v>197.10000000000002</v>
      </c>
      <c r="S123" s="10">
        <f t="shared" si="5"/>
        <v>1647.5351220733492</v>
      </c>
      <c r="T123" s="10">
        <f t="shared" si="7"/>
        <v>19908.022739466003</v>
      </c>
      <c r="U123" s="10">
        <f t="shared" si="9"/>
        <v>30938.6462601192</v>
      </c>
      <c r="V123" s="10">
        <f t="shared" si="10"/>
        <v>27557.320192981599</v>
      </c>
      <c r="W123" s="10">
        <f t="shared" si="11"/>
        <v>18029.228128902691</v>
      </c>
      <c r="X123" s="10">
        <f t="shared" si="12"/>
        <v>15722.678958</v>
      </c>
      <c r="Y123" s="10">
        <f t="shared" si="13"/>
        <v>16578.793006829339</v>
      </c>
      <c r="Z123" s="10">
        <f t="shared" si="6"/>
        <v>30938.6462601192</v>
      </c>
    </row>
    <row r="124" spans="1:26" ht="18" customHeight="1" x14ac:dyDescent="0.25">
      <c r="A124" s="24"/>
      <c r="B124" s="196" t="s">
        <v>858</v>
      </c>
      <c r="C124" s="75"/>
      <c r="D124" s="197" t="s">
        <v>859</v>
      </c>
      <c r="E124" s="75"/>
      <c r="F124" s="75"/>
      <c r="G124" s="194" t="s">
        <v>844</v>
      </c>
      <c r="H124" s="79">
        <f>IF('Input &amp; Process'!H28/2&gt;=1.75,H122*('Input &amp; Process'!H28-1.75),"")</f>
        <v>437.5</v>
      </c>
      <c r="I124" s="161" t="s">
        <v>137</v>
      </c>
      <c r="L124" s="3">
        <v>13</v>
      </c>
      <c r="M124" s="52">
        <f t="shared" si="8"/>
        <v>16.25</v>
      </c>
      <c r="N124" s="10">
        <f t="shared" si="0"/>
        <v>8661.6041850000001</v>
      </c>
      <c r="O124" s="10">
        <f t="shared" si="1"/>
        <v>2582.2494140624999</v>
      </c>
      <c r="P124" s="10">
        <f t="shared" si="2"/>
        <v>8861.125</v>
      </c>
      <c r="Q124" s="10">
        <f t="shared" si="3"/>
        <v>40.695598497666403</v>
      </c>
      <c r="R124" s="10">
        <f t="shared" si="4"/>
        <v>205.89910714285716</v>
      </c>
      <c r="S124" s="10">
        <f t="shared" si="5"/>
        <v>1721.0857971659093</v>
      </c>
      <c r="T124" s="10">
        <f t="shared" si="7"/>
        <v>20867.899043852798</v>
      </c>
      <c r="U124" s="10">
        <f t="shared" si="9"/>
        <v>32447.861345920799</v>
      </c>
      <c r="V124" s="10">
        <f t="shared" si="10"/>
        <v>28887.133106521731</v>
      </c>
      <c r="W124" s="10">
        <f t="shared" si="11"/>
        <v>18834.104384657272</v>
      </c>
      <c r="X124" s="10">
        <f t="shared" si="12"/>
        <v>16424.584268625</v>
      </c>
      <c r="Y124" s="10">
        <f t="shared" si="13"/>
        <v>17318.91769463422</v>
      </c>
      <c r="Z124" s="10">
        <f t="shared" si="6"/>
        <v>32447.861345920799</v>
      </c>
    </row>
    <row r="125" spans="1:26" ht="18" customHeight="1" x14ac:dyDescent="0.25">
      <c r="A125" s="24"/>
      <c r="B125" s="196" t="s">
        <v>860</v>
      </c>
      <c r="C125" s="75"/>
      <c r="D125" s="197" t="s">
        <v>861</v>
      </c>
      <c r="E125" s="75"/>
      <c r="F125" s="75"/>
      <c r="G125" s="194" t="s">
        <v>845</v>
      </c>
      <c r="H125" s="79" t="str">
        <f>IF('Input &amp; Process'!H28/2&lt;1.75,H122*('Input &amp; Process'!H28/2),"")</f>
        <v/>
      </c>
      <c r="I125" s="161" t="s">
        <v>137</v>
      </c>
      <c r="L125" s="3">
        <v>14</v>
      </c>
      <c r="M125" s="52">
        <f t="shared" si="8"/>
        <v>17.5</v>
      </c>
      <c r="N125" s="10">
        <f t="shared" si="0"/>
        <v>8982.4043399999991</v>
      </c>
      <c r="O125" s="10">
        <f t="shared" si="1"/>
        <v>2677.8882812500001</v>
      </c>
      <c r="P125" s="10">
        <f t="shared" si="2"/>
        <v>9267.125</v>
      </c>
      <c r="Q125" s="10">
        <f t="shared" si="3"/>
        <v>43.826029151333046</v>
      </c>
      <c r="R125" s="10">
        <f t="shared" si="4"/>
        <v>213.52500000000001</v>
      </c>
      <c r="S125" s="10">
        <f t="shared" si="5"/>
        <v>1784.8297155794614</v>
      </c>
      <c r="T125" s="10">
        <f t="shared" si="7"/>
        <v>21720.217565075171</v>
      </c>
      <c r="U125" s="10">
        <f t="shared" si="9"/>
        <v>33792.614056972394</v>
      </c>
      <c r="V125" s="10">
        <f t="shared" si="10"/>
        <v>30068.233645311862</v>
      </c>
      <c r="W125" s="10">
        <f t="shared" si="11"/>
        <v>19531.663806311244</v>
      </c>
      <c r="X125" s="10">
        <f t="shared" si="12"/>
        <v>17032.902204499998</v>
      </c>
      <c r="Y125" s="10">
        <f t="shared" si="13"/>
        <v>17960.359090731785</v>
      </c>
      <c r="Z125" s="10">
        <f t="shared" si="6"/>
        <v>33792.614056972394</v>
      </c>
    </row>
    <row r="126" spans="1:26" ht="18" customHeight="1" x14ac:dyDescent="0.25">
      <c r="A126" s="24"/>
      <c r="B126" s="75"/>
      <c r="C126" s="75"/>
      <c r="D126" s="75"/>
      <c r="E126" s="75"/>
      <c r="F126" s="75"/>
      <c r="G126" s="194" t="s">
        <v>862</v>
      </c>
      <c r="H126" s="79">
        <f>MAX(H124:H125)</f>
        <v>437.5</v>
      </c>
      <c r="I126" s="161" t="s">
        <v>137</v>
      </c>
      <c r="L126" s="3">
        <v>15</v>
      </c>
      <c r="M126" s="52">
        <f t="shared" si="8"/>
        <v>18.75</v>
      </c>
      <c r="N126" s="10">
        <f t="shared" si="0"/>
        <v>9253.8506249999991</v>
      </c>
      <c r="O126" s="10">
        <f t="shared" si="1"/>
        <v>2758.8134765625</v>
      </c>
      <c r="P126" s="10">
        <f t="shared" si="2"/>
        <v>9633.75</v>
      </c>
      <c r="Q126" s="10">
        <f t="shared" si="3"/>
        <v>46.956459804999696</v>
      </c>
      <c r="R126" s="10">
        <f t="shared" si="4"/>
        <v>219.97767857142858</v>
      </c>
      <c r="S126" s="10">
        <f t="shared" si="5"/>
        <v>1838.7668773140056</v>
      </c>
      <c r="T126" s="10">
        <f t="shared" si="7"/>
        <v>22464.978303133128</v>
      </c>
      <c r="U126" s="10">
        <f t="shared" si="9"/>
        <v>34972.904393274002</v>
      </c>
      <c r="V126" s="10">
        <f t="shared" si="10"/>
        <v>31100.621809352</v>
      </c>
      <c r="W126" s="10">
        <f t="shared" si="11"/>
        <v>20121.906393864607</v>
      </c>
      <c r="X126" s="10">
        <f t="shared" si="12"/>
        <v>17547.632765625</v>
      </c>
      <c r="Y126" s="10">
        <f t="shared" si="13"/>
        <v>18503.117195122031</v>
      </c>
      <c r="Z126" s="10">
        <f t="shared" si="6"/>
        <v>34972.904393274002</v>
      </c>
    </row>
    <row r="127" spans="1:26" ht="18" customHeight="1" x14ac:dyDescent="0.25">
      <c r="A127" s="24"/>
      <c r="B127" s="198" t="s">
        <v>835</v>
      </c>
      <c r="C127" s="75"/>
      <c r="D127" s="75"/>
      <c r="E127" s="75"/>
      <c r="F127" s="75"/>
      <c r="G127" s="75"/>
      <c r="H127" s="75"/>
      <c r="I127" s="161"/>
      <c r="L127" s="3">
        <v>16</v>
      </c>
      <c r="M127" s="52">
        <f t="shared" si="8"/>
        <v>20</v>
      </c>
      <c r="N127" s="10">
        <f t="shared" si="0"/>
        <v>9475.9430400000001</v>
      </c>
      <c r="O127" s="10">
        <f t="shared" si="1"/>
        <v>2825.0250000000001</v>
      </c>
      <c r="P127" s="10">
        <f t="shared" si="2"/>
        <v>9961</v>
      </c>
      <c r="Q127" s="10">
        <f t="shared" si="3"/>
        <v>50.086890458666346</v>
      </c>
      <c r="R127" s="10">
        <f t="shared" si="4"/>
        <v>225.25714285714287</v>
      </c>
      <c r="S127" s="10">
        <f t="shared" si="5"/>
        <v>1882.8972823695417</v>
      </c>
      <c r="T127" s="10">
        <f t="shared" si="7"/>
        <v>23102.181258026674</v>
      </c>
      <c r="U127" s="10">
        <f t="shared" si="9"/>
        <v>35988.732354825595</v>
      </c>
      <c r="V127" s="10">
        <f t="shared" si="10"/>
        <v>31984.29759864213</v>
      </c>
      <c r="W127" s="10">
        <f t="shared" si="11"/>
        <v>20604.832147317356</v>
      </c>
      <c r="X127" s="10">
        <f t="shared" si="12"/>
        <v>17968.775952</v>
      </c>
      <c r="Y127" s="10">
        <f t="shared" si="13"/>
        <v>18947.192007804959</v>
      </c>
      <c r="Z127" s="10">
        <f t="shared" si="6"/>
        <v>35988.732354825595</v>
      </c>
    </row>
    <row r="128" spans="1:26" ht="18" customHeight="1" x14ac:dyDescent="0.25">
      <c r="A128" s="24"/>
      <c r="B128" s="75" t="s">
        <v>840</v>
      </c>
      <c r="C128" s="75"/>
      <c r="D128" s="75"/>
      <c r="E128" s="75"/>
      <c r="F128" s="75"/>
      <c r="G128" s="194" t="s">
        <v>846</v>
      </c>
      <c r="H128" s="78">
        <f>'Input &amp; Process'!H197+'Input &amp; Process'!H27</f>
        <v>3.95</v>
      </c>
      <c r="I128" s="161" t="s">
        <v>2</v>
      </c>
      <c r="L128" s="3">
        <v>17</v>
      </c>
      <c r="M128" s="52">
        <f t="shared" si="8"/>
        <v>21.25</v>
      </c>
      <c r="N128" s="10">
        <f t="shared" si="0"/>
        <v>9648.6815850000003</v>
      </c>
      <c r="O128" s="10">
        <f t="shared" si="1"/>
        <v>2876.5228515624999</v>
      </c>
      <c r="P128" s="10">
        <f t="shared" si="2"/>
        <v>10248.875</v>
      </c>
      <c r="Q128" s="10">
        <f t="shared" si="3"/>
        <v>53.217321112332982</v>
      </c>
      <c r="R128" s="10">
        <f t="shared" si="4"/>
        <v>229.36339285714286</v>
      </c>
      <c r="S128" s="10">
        <f t="shared" si="5"/>
        <v>1917.2209307460698</v>
      </c>
      <c r="T128" s="10">
        <f t="shared" si="7"/>
        <v>23631.826429755798</v>
      </c>
      <c r="U128" s="10">
        <f t="shared" si="9"/>
        <v>36840.097941627202</v>
      </c>
      <c r="V128" s="10">
        <f t="shared" si="10"/>
        <v>32719.261013182266</v>
      </c>
      <c r="W128" s="10">
        <f t="shared" si="11"/>
        <v>20980.441066669497</v>
      </c>
      <c r="X128" s="10">
        <f t="shared" si="12"/>
        <v>18296.331763624999</v>
      </c>
      <c r="Y128" s="10">
        <f t="shared" si="13"/>
        <v>19292.583528780571</v>
      </c>
      <c r="Z128" s="10">
        <f t="shared" si="6"/>
        <v>36840.097941627202</v>
      </c>
    </row>
    <row r="129" spans="1:26" ht="18" customHeight="1" x14ac:dyDescent="0.25">
      <c r="A129" s="24"/>
      <c r="B129" s="75" t="s">
        <v>841</v>
      </c>
      <c r="C129" s="75"/>
      <c r="D129" s="75"/>
      <c r="E129" s="75"/>
      <c r="F129" s="75"/>
      <c r="G129" s="194" t="s">
        <v>847</v>
      </c>
      <c r="H129" s="79">
        <f>0.5*H128-'Input &amp; Process'!H199</f>
        <v>0.49534731015554034</v>
      </c>
      <c r="I129" s="161" t="s">
        <v>2</v>
      </c>
      <c r="L129" s="3">
        <v>18</v>
      </c>
      <c r="M129" s="52">
        <f t="shared" si="8"/>
        <v>22.5</v>
      </c>
      <c r="N129" s="10">
        <f t="shared" si="0"/>
        <v>9772.0662599999996</v>
      </c>
      <c r="O129" s="10">
        <f t="shared" si="1"/>
        <v>2913.3070312499999</v>
      </c>
      <c r="P129" s="10">
        <f t="shared" si="2"/>
        <v>10497.375</v>
      </c>
      <c r="Q129" s="10">
        <f t="shared" si="3"/>
        <v>56.347751765999632</v>
      </c>
      <c r="R129" s="10">
        <f t="shared" si="4"/>
        <v>232.29642857142858</v>
      </c>
      <c r="S129" s="10">
        <f t="shared" si="5"/>
        <v>1941.7378224435899</v>
      </c>
      <c r="T129" s="10">
        <f t="shared" si="7"/>
        <v>24053.913818320503</v>
      </c>
      <c r="U129" s="10">
        <f t="shared" si="9"/>
        <v>37527.001153678793</v>
      </c>
      <c r="V129" s="10">
        <f t="shared" si="10"/>
        <v>33305.512052972394</v>
      </c>
      <c r="W129" s="10">
        <f t="shared" si="11"/>
        <v>21248.733151921024</v>
      </c>
      <c r="X129" s="10">
        <f t="shared" si="12"/>
        <v>18530.300200499998</v>
      </c>
      <c r="Y129" s="10">
        <f t="shared" si="13"/>
        <v>19539.291758048865</v>
      </c>
      <c r="Z129" s="10">
        <f t="shared" si="6"/>
        <v>37527.001153678793</v>
      </c>
    </row>
    <row r="130" spans="1:26" ht="18" customHeight="1" x14ac:dyDescent="0.25">
      <c r="A130" s="24"/>
      <c r="B130" s="75" t="s">
        <v>842</v>
      </c>
      <c r="C130" s="75"/>
      <c r="D130" s="75"/>
      <c r="E130" s="75"/>
      <c r="F130" s="75"/>
      <c r="G130" s="194" t="s">
        <v>848</v>
      </c>
      <c r="H130" s="79">
        <f>'Process - Pembebanan'!H104*'Input &amp; Process'!H23</f>
        <v>1098.3567480488994</v>
      </c>
      <c r="I130" s="161" t="s">
        <v>148</v>
      </c>
      <c r="L130" s="3">
        <v>19</v>
      </c>
      <c r="M130" s="52">
        <f t="shared" si="8"/>
        <v>23.75</v>
      </c>
      <c r="N130" s="10">
        <f t="shared" si="0"/>
        <v>9846.0970649999999</v>
      </c>
      <c r="O130" s="10">
        <f t="shared" si="1"/>
        <v>2935.3775390625001</v>
      </c>
      <c r="P130" s="10">
        <f t="shared" si="2"/>
        <v>10706.5</v>
      </c>
      <c r="Q130" s="10">
        <f t="shared" si="3"/>
        <v>59.478182419666275</v>
      </c>
      <c r="R130" s="10">
        <f t="shared" si="4"/>
        <v>234.05625000000001</v>
      </c>
      <c r="S130" s="10">
        <f t="shared" si="5"/>
        <v>1956.4479574621021</v>
      </c>
      <c r="T130" s="10">
        <f t="shared" si="7"/>
        <v>24368.443423720797</v>
      </c>
      <c r="U130" s="10">
        <f t="shared" si="9"/>
        <v>38049.441990980398</v>
      </c>
      <c r="V130" s="10">
        <f t="shared" si="10"/>
        <v>33743.050718012528</v>
      </c>
      <c r="W130" s="10">
        <f t="shared" si="11"/>
        <v>21409.708403071942</v>
      </c>
      <c r="X130" s="10">
        <f t="shared" si="12"/>
        <v>18670.681262624999</v>
      </c>
      <c r="Y130" s="10">
        <f t="shared" si="13"/>
        <v>19687.316695609843</v>
      </c>
      <c r="Z130" s="10">
        <f t="shared" si="6"/>
        <v>38049.441990980398</v>
      </c>
    </row>
    <row r="131" spans="1:26" ht="18" customHeight="1" x14ac:dyDescent="0.25">
      <c r="A131" s="24"/>
      <c r="B131" s="75" t="s">
        <v>843</v>
      </c>
      <c r="D131" s="75"/>
      <c r="E131" s="75"/>
      <c r="F131" s="75"/>
      <c r="G131" s="194" t="s">
        <v>849</v>
      </c>
      <c r="H131" s="79">
        <f>H130*H129</f>
        <v>544.06806073720884</v>
      </c>
      <c r="I131" s="161" t="s">
        <v>137</v>
      </c>
      <c r="L131" s="3">
        <v>20</v>
      </c>
      <c r="M131" s="52">
        <f t="shared" si="8"/>
        <v>25</v>
      </c>
      <c r="N131" s="10">
        <f t="shared" si="0"/>
        <v>9870.7739999999994</v>
      </c>
      <c r="O131" s="10">
        <f t="shared" si="1"/>
        <v>2942.734375</v>
      </c>
      <c r="P131" s="10">
        <f t="shared" si="2"/>
        <v>10876.25</v>
      </c>
      <c r="Q131" s="10">
        <f t="shared" si="3"/>
        <v>62.608613073332926</v>
      </c>
      <c r="R131" s="10">
        <f t="shared" si="4"/>
        <v>234.64285714285717</v>
      </c>
      <c r="S131" s="10">
        <f t="shared" si="5"/>
        <v>1961.351335801606</v>
      </c>
      <c r="T131" s="10">
        <f t="shared" si="7"/>
        <v>24575.415245956672</v>
      </c>
      <c r="U131" s="10">
        <f t="shared" si="9"/>
        <v>38407.420453532002</v>
      </c>
      <c r="V131" s="10">
        <f t="shared" si="10"/>
        <v>34031.877008302661</v>
      </c>
      <c r="W131" s="10">
        <f t="shared" si="11"/>
        <v>21463.366820122246</v>
      </c>
      <c r="X131" s="10">
        <f t="shared" si="12"/>
        <v>18717.47495</v>
      </c>
      <c r="Y131" s="10">
        <f t="shared" si="13"/>
        <v>19736.658341463502</v>
      </c>
      <c r="Z131" s="10">
        <f t="shared" si="6"/>
        <v>38407.420453532002</v>
      </c>
    </row>
    <row r="132" spans="1:26" ht="18" customHeight="1" x14ac:dyDescent="0.25">
      <c r="A132" s="24"/>
      <c r="B132" s="198" t="s">
        <v>836</v>
      </c>
      <c r="I132" s="156"/>
    </row>
    <row r="133" spans="1:26" ht="18" customHeight="1" x14ac:dyDescent="0.25">
      <c r="A133" s="24"/>
      <c r="B133" s="1" t="s">
        <v>850</v>
      </c>
      <c r="G133" s="2" t="s">
        <v>854</v>
      </c>
      <c r="H133" s="16">
        <f>'Input &amp; Process'!H200+1.8</f>
        <v>2.6703473101555404</v>
      </c>
      <c r="I133" s="156" t="s">
        <v>2</v>
      </c>
    </row>
    <row r="134" spans="1:26" ht="18" customHeight="1" x14ac:dyDescent="0.25">
      <c r="A134" s="24"/>
      <c r="B134" s="75" t="s">
        <v>851</v>
      </c>
      <c r="C134" s="75"/>
      <c r="D134" s="75"/>
      <c r="E134" s="75"/>
      <c r="F134" s="75"/>
      <c r="G134" s="194" t="s">
        <v>852</v>
      </c>
      <c r="H134" s="79">
        <f>'Process - Pembebanan'!H88*'Input &amp; Process'!H23</f>
        <v>73</v>
      </c>
      <c r="I134" s="161" t="s">
        <v>148</v>
      </c>
      <c r="L134" s="46" t="s">
        <v>278</v>
      </c>
      <c r="M134" s="47" t="s">
        <v>279</v>
      </c>
    </row>
    <row r="135" spans="1:26" ht="18" customHeight="1" x14ac:dyDescent="0.25">
      <c r="A135" s="24"/>
      <c r="B135" s="75" t="s">
        <v>853</v>
      </c>
      <c r="C135" s="75"/>
      <c r="D135" s="75"/>
      <c r="E135" s="75"/>
      <c r="F135" s="75"/>
      <c r="G135" s="194" t="s">
        <v>855</v>
      </c>
      <c r="H135" s="79">
        <f>H134*H133</f>
        <v>194.93535364135445</v>
      </c>
      <c r="I135" s="161" t="s">
        <v>137</v>
      </c>
      <c r="M135" s="352"/>
      <c r="N135" s="48" t="s">
        <v>254</v>
      </c>
      <c r="O135" s="48" t="s">
        <v>255</v>
      </c>
      <c r="P135" s="48" t="s">
        <v>256</v>
      </c>
      <c r="Q135" s="48" t="s">
        <v>257</v>
      </c>
      <c r="R135" s="48" t="s">
        <v>258</v>
      </c>
      <c r="S135" s="48" t="s">
        <v>259</v>
      </c>
      <c r="T135" s="48" t="s">
        <v>260</v>
      </c>
      <c r="U135" s="48" t="s">
        <v>261</v>
      </c>
      <c r="V135" s="48" t="s">
        <v>262</v>
      </c>
      <c r="W135" s="48" t="s">
        <v>263</v>
      </c>
      <c r="X135" s="48" t="s">
        <v>264</v>
      </c>
      <c r="Y135" s="48" t="s">
        <v>265</v>
      </c>
      <c r="Z135" s="48" t="s">
        <v>266</v>
      </c>
    </row>
    <row r="136" spans="1:26" ht="18" customHeight="1" x14ac:dyDescent="0.25">
      <c r="A136" s="24"/>
      <c r="B136" s="75"/>
      <c r="C136" s="75"/>
      <c r="D136" s="75"/>
      <c r="E136" s="75"/>
      <c r="F136" s="75"/>
      <c r="G136" s="75"/>
      <c r="H136" s="75"/>
      <c r="I136" s="161"/>
      <c r="M136" s="353"/>
      <c r="N136" s="49">
        <f t="shared" ref="N136:S136" si="14">N110</f>
        <v>31.5864768</v>
      </c>
      <c r="O136" s="49">
        <f t="shared" si="14"/>
        <v>9.4167500000000004</v>
      </c>
      <c r="P136" s="49">
        <f t="shared" si="14"/>
        <v>25.2</v>
      </c>
      <c r="Q136" s="49">
        <f t="shared" si="14"/>
        <v>20.034756183466538</v>
      </c>
      <c r="R136" s="49">
        <f t="shared" si="14"/>
        <v>0.75085714285714289</v>
      </c>
      <c r="S136" s="49">
        <f t="shared" si="14"/>
        <v>6.2763242745651393</v>
      </c>
      <c r="T136" s="51" t="s">
        <v>148</v>
      </c>
      <c r="U136" s="51" t="s">
        <v>148</v>
      </c>
      <c r="V136" s="51" t="s">
        <v>148</v>
      </c>
      <c r="W136" s="51" t="s">
        <v>148</v>
      </c>
      <c r="X136" s="51" t="s">
        <v>148</v>
      </c>
      <c r="Y136" s="51" t="s">
        <v>148</v>
      </c>
      <c r="Z136" s="51" t="s">
        <v>148</v>
      </c>
    </row>
    <row r="137" spans="1:26" ht="18" customHeight="1" x14ac:dyDescent="0.25">
      <c r="A137" s="24"/>
      <c r="B137" s="198" t="s">
        <v>863</v>
      </c>
      <c r="C137" s="75"/>
      <c r="D137" s="75"/>
      <c r="E137" s="75"/>
      <c r="F137" s="75"/>
      <c r="G137" s="75"/>
      <c r="H137" s="75"/>
      <c r="I137" s="161"/>
      <c r="M137" s="52">
        <f t="shared" ref="M137:M146" si="15">M111</f>
        <v>0</v>
      </c>
      <c r="N137" s="10">
        <f>$N$136*($M$157-M137)</f>
        <v>789.66192000000001</v>
      </c>
      <c r="O137" s="10">
        <f>$O$136*($M$157-M137)</f>
        <v>235.41875000000002</v>
      </c>
      <c r="P137" s="10">
        <f>$P$136*($M$157-M137)</f>
        <v>630</v>
      </c>
      <c r="Q137" s="10">
        <v>1.0442084706175125</v>
      </c>
      <c r="R137" s="10">
        <f>$R$136*($M$157-M137)</f>
        <v>18.771428571428572</v>
      </c>
      <c r="S137" s="10">
        <f>$S$136*($M$157-M137)</f>
        <v>156.90810686412848</v>
      </c>
      <c r="T137" s="10">
        <f>SUM(N137:R137)+0.3*S137</f>
        <v>1721.9687391012847</v>
      </c>
      <c r="U137" s="10">
        <f>1.3*N137+2*O137+1.8*(P137+Q137)</f>
        <v>2633.2775712471116</v>
      </c>
      <c r="V137" s="10">
        <f>1.3*N137+2*O137+1.4*(P137+Q137)</f>
        <v>2380.8598878588646</v>
      </c>
      <c r="W137" s="10">
        <f>1.3*N137+2*O137+1.4*S137</f>
        <v>1717.0693456097799</v>
      </c>
      <c r="X137" s="10">
        <f>1.3*N137+2*O137</f>
        <v>1497.3979960000001</v>
      </c>
      <c r="Y137" s="10">
        <f>1.3*O137+2*N137+0.4*S137+1*R137</f>
        <v>1966.9028863170799</v>
      </c>
      <c r="Z137" s="10">
        <f t="shared" ref="Z137:Z157" si="16">MAX(U137:Y137)</f>
        <v>2633.2775712471116</v>
      </c>
    </row>
    <row r="138" spans="1:26" ht="18" customHeight="1" x14ac:dyDescent="0.25">
      <c r="A138" s="24"/>
      <c r="B138" s="197" t="s">
        <v>864</v>
      </c>
      <c r="C138" s="75"/>
      <c r="D138" s="75"/>
      <c r="E138" s="75"/>
      <c r="F138" s="75"/>
      <c r="G138" s="194" t="s">
        <v>867</v>
      </c>
      <c r="H138" s="79">
        <f>1.8*H126</f>
        <v>787.5</v>
      </c>
      <c r="I138" s="161" t="s">
        <v>137</v>
      </c>
      <c r="M138" s="52">
        <f t="shared" si="15"/>
        <v>1.25</v>
      </c>
      <c r="N138" s="10">
        <f>$N$136*($M$157-M138)</f>
        <v>750.17882399999996</v>
      </c>
      <c r="O138" s="10">
        <f>$O$136*($M$157-M138)</f>
        <v>223.64781250000001</v>
      </c>
      <c r="P138" s="10">
        <f>$P$136*($M$157-M138)</f>
        <v>598.5</v>
      </c>
      <c r="Q138" s="10">
        <f t="shared" ref="Q138:Q157" si="17">Q137</f>
        <v>1.0442084706175125</v>
      </c>
      <c r="R138" s="10">
        <f>$R$136*($M$157-M138)</f>
        <v>17.832857142857144</v>
      </c>
      <c r="S138" s="10">
        <f>$S$136*($M$157-M138)</f>
        <v>149.06270152092205</v>
      </c>
      <c r="T138" s="10">
        <f t="shared" ref="T138:T157" si="18">SUM(N138:R138)+0.3*S138</f>
        <v>1635.9225125697512</v>
      </c>
      <c r="U138" s="10">
        <f t="shared" ref="U138:U157" si="19">1.3*N138+2*O138+1.8*(P138+Q138)</f>
        <v>2501.7076714471114</v>
      </c>
      <c r="V138" s="10">
        <f t="shared" ref="V138:V157" si="20">1.3*N138+2*O138+1.4*(P138+Q138)</f>
        <v>2261.8899880588642</v>
      </c>
      <c r="W138" s="10">
        <f t="shared" ref="W138:W157" si="21">1.3*N138+2*O138+1.4*S138</f>
        <v>1631.2158783292907</v>
      </c>
      <c r="X138" s="10">
        <f t="shared" ref="X138:X157" si="22">1.3*N138+2*O138</f>
        <v>1422.5280961999999</v>
      </c>
      <c r="Y138" s="10">
        <f t="shared" ref="Y138:Y157" si="23">1.3*O138+2*N138+0.4*S138+1*R138</f>
        <v>1868.557742001226</v>
      </c>
      <c r="Z138" s="10">
        <f t="shared" si="16"/>
        <v>2501.7076714471114</v>
      </c>
    </row>
    <row r="139" spans="1:26" ht="18" customHeight="1" x14ac:dyDescent="0.25">
      <c r="A139" s="24"/>
      <c r="B139" s="197" t="s">
        <v>865</v>
      </c>
      <c r="C139" s="75"/>
      <c r="D139" s="75"/>
      <c r="E139" s="75"/>
      <c r="F139" s="75"/>
      <c r="G139" s="194" t="s">
        <v>868</v>
      </c>
      <c r="H139" s="79">
        <f>1.4*H131</f>
        <v>761.69528503209233</v>
      </c>
      <c r="I139" s="161" t="s">
        <v>137</v>
      </c>
      <c r="M139" s="52">
        <f t="shared" si="15"/>
        <v>2.5</v>
      </c>
      <c r="N139" s="10">
        <f>$N$136*($M$157-M139)</f>
        <v>710.69572800000003</v>
      </c>
      <c r="O139" s="10">
        <f>$O$136*($M$157-M139)</f>
        <v>211.87687500000001</v>
      </c>
      <c r="P139" s="10">
        <f>$P$136*($M$157-M139)</f>
        <v>567</v>
      </c>
      <c r="Q139" s="10">
        <f t="shared" si="17"/>
        <v>1.0442084706175125</v>
      </c>
      <c r="R139" s="10">
        <f>$R$136*($M$157-M139)</f>
        <v>16.894285714285715</v>
      </c>
      <c r="S139" s="10">
        <f>$S$136*($M$157-M139)</f>
        <v>141.21729617771564</v>
      </c>
      <c r="T139" s="10">
        <f t="shared" si="18"/>
        <v>1549.876286038218</v>
      </c>
      <c r="U139" s="10">
        <f t="shared" si="19"/>
        <v>2370.1377716471115</v>
      </c>
      <c r="V139" s="10">
        <f t="shared" si="20"/>
        <v>2142.9200882588648</v>
      </c>
      <c r="W139" s="10">
        <f t="shared" si="21"/>
        <v>1545.3624110488022</v>
      </c>
      <c r="X139" s="10">
        <f t="shared" si="22"/>
        <v>1347.6581964000002</v>
      </c>
      <c r="Y139" s="10">
        <f t="shared" si="23"/>
        <v>1770.212597685372</v>
      </c>
      <c r="Z139" s="10">
        <f t="shared" si="16"/>
        <v>2370.1377716471115</v>
      </c>
    </row>
    <row r="140" spans="1:26" ht="18" customHeight="1" x14ac:dyDescent="0.25">
      <c r="A140" s="24"/>
      <c r="B140" s="197" t="s">
        <v>866</v>
      </c>
      <c r="C140" s="75"/>
      <c r="D140" s="75"/>
      <c r="E140" s="75"/>
      <c r="F140" s="75"/>
      <c r="G140" s="194" t="s">
        <v>869</v>
      </c>
      <c r="H140" s="79">
        <f>1*H135+0.4*H131</f>
        <v>412.56257793623797</v>
      </c>
      <c r="I140" s="161" t="s">
        <v>137</v>
      </c>
      <c r="M140" s="52">
        <f t="shared" si="15"/>
        <v>3.75</v>
      </c>
      <c r="N140" s="10">
        <f>$N$136*($M$157-M140)</f>
        <v>671.21263199999999</v>
      </c>
      <c r="O140" s="10">
        <f>$O$136*($M$157-M140)</f>
        <v>200.10593750000001</v>
      </c>
      <c r="P140" s="10">
        <f>$P$136*($M$157-M140)</f>
        <v>535.5</v>
      </c>
      <c r="Q140" s="10">
        <f t="shared" si="17"/>
        <v>1.0442084706175125</v>
      </c>
      <c r="R140" s="10">
        <f>$R$136*($M$157-M140)</f>
        <v>15.955714285714286</v>
      </c>
      <c r="S140" s="10">
        <f>$S$136*($M$157-M140)</f>
        <v>133.3718908345092</v>
      </c>
      <c r="T140" s="10">
        <f t="shared" si="18"/>
        <v>1463.8300595066846</v>
      </c>
      <c r="U140" s="10">
        <f t="shared" si="19"/>
        <v>2238.5678718471117</v>
      </c>
      <c r="V140" s="10">
        <f t="shared" si="20"/>
        <v>2023.9501884588644</v>
      </c>
      <c r="W140" s="10">
        <f t="shared" si="21"/>
        <v>1459.5089437683127</v>
      </c>
      <c r="X140" s="10">
        <f t="shared" si="22"/>
        <v>1272.7882966</v>
      </c>
      <c r="Y140" s="10">
        <f t="shared" si="23"/>
        <v>1671.867453369518</v>
      </c>
      <c r="Z140" s="10">
        <f t="shared" si="16"/>
        <v>2238.5678718471117</v>
      </c>
    </row>
    <row r="141" spans="1:26" ht="18" customHeight="1" x14ac:dyDescent="0.25">
      <c r="A141" s="24"/>
      <c r="B141" s="75"/>
      <c r="C141" s="75"/>
      <c r="D141" s="75"/>
      <c r="E141" s="75"/>
      <c r="F141" s="75"/>
      <c r="G141" s="194" t="s">
        <v>425</v>
      </c>
      <c r="H141" s="79">
        <f>MAX(H138:H140)</f>
        <v>787.5</v>
      </c>
      <c r="I141" s="161" t="s">
        <v>137</v>
      </c>
      <c r="M141" s="52">
        <f t="shared" si="15"/>
        <v>5</v>
      </c>
      <c r="N141" s="10">
        <f>$N$136*($M$157-M141)</f>
        <v>631.72953600000005</v>
      </c>
      <c r="O141" s="10">
        <f>$O$136*($M$157-M141)</f>
        <v>188.33500000000001</v>
      </c>
      <c r="P141" s="10">
        <f>$P$136*($M$157-M141)</f>
        <v>504</v>
      </c>
      <c r="Q141" s="10">
        <f t="shared" si="17"/>
        <v>1.0442084706175125</v>
      </c>
      <c r="R141" s="10">
        <f>$R$136*($M$157-M141)</f>
        <v>15.017142857142858</v>
      </c>
      <c r="S141" s="10">
        <f>$S$136*($M$157-M141)</f>
        <v>125.52648549130279</v>
      </c>
      <c r="T141" s="10">
        <f t="shared" si="18"/>
        <v>1377.7838329751514</v>
      </c>
      <c r="U141" s="10">
        <f t="shared" si="19"/>
        <v>2106.9979720471119</v>
      </c>
      <c r="V141" s="10">
        <f t="shared" si="20"/>
        <v>1904.9802886588645</v>
      </c>
      <c r="W141" s="10">
        <f t="shared" si="21"/>
        <v>1373.6554764878242</v>
      </c>
      <c r="X141" s="10">
        <f t="shared" si="22"/>
        <v>1197.9183968000002</v>
      </c>
      <c r="Y141" s="10">
        <f t="shared" si="23"/>
        <v>1573.5223090536642</v>
      </c>
      <c r="Z141" s="10">
        <f t="shared" si="16"/>
        <v>2106.9979720471119</v>
      </c>
    </row>
    <row r="142" spans="1:26" ht="18" customHeight="1" x14ac:dyDescent="0.25">
      <c r="A142" s="53"/>
      <c r="B142" s="54"/>
      <c r="C142" s="55"/>
      <c r="D142" s="55"/>
      <c r="E142" s="55"/>
      <c r="F142" s="55"/>
      <c r="G142" s="55"/>
      <c r="H142" s="55"/>
      <c r="I142" s="56"/>
      <c r="M142" s="52">
        <f t="shared" si="15"/>
        <v>6.25</v>
      </c>
      <c r="N142" s="10">
        <f t="shared" ref="N142:N157" si="24">$N$136*($M$157-M142)</f>
        <v>592.24644000000001</v>
      </c>
      <c r="O142" s="10">
        <f t="shared" ref="O142:O157" si="25">$O$136*($M$157-M142)</f>
        <v>176.56406250000001</v>
      </c>
      <c r="P142" s="10">
        <f t="shared" ref="P142:P157" si="26">$P$136*($M$157-M142)</f>
        <v>472.5</v>
      </c>
      <c r="Q142" s="10">
        <f t="shared" si="17"/>
        <v>1.0442084706175125</v>
      </c>
      <c r="R142" s="10">
        <f t="shared" ref="R142:R157" si="27">$R$136*($M$157-M142)</f>
        <v>14.078571428571429</v>
      </c>
      <c r="S142" s="10">
        <f t="shared" ref="S142:S157" si="28">$S$136*($M$157-M142)</f>
        <v>117.68108014809636</v>
      </c>
      <c r="T142" s="10">
        <f t="shared" si="18"/>
        <v>1291.737606443618</v>
      </c>
      <c r="U142" s="10">
        <f t="shared" si="19"/>
        <v>1975.4280722471115</v>
      </c>
      <c r="V142" s="10">
        <f t="shared" si="20"/>
        <v>1786.0103888588644</v>
      </c>
      <c r="W142" s="10">
        <f t="shared" si="21"/>
        <v>1287.8020092073348</v>
      </c>
      <c r="X142" s="10">
        <f t="shared" si="22"/>
        <v>1123.048497</v>
      </c>
      <c r="Y142" s="10">
        <f t="shared" si="23"/>
        <v>1475.17716473781</v>
      </c>
      <c r="Z142" s="10">
        <f t="shared" si="16"/>
        <v>1975.4280722471115</v>
      </c>
    </row>
    <row r="143" spans="1:26" ht="18" customHeight="1" x14ac:dyDescent="0.25">
      <c r="M143" s="52">
        <f t="shared" si="15"/>
        <v>7.5</v>
      </c>
      <c r="N143" s="10">
        <f t="shared" si="24"/>
        <v>552.76334399999996</v>
      </c>
      <c r="O143" s="10">
        <f t="shared" si="25"/>
        <v>164.793125</v>
      </c>
      <c r="P143" s="10">
        <f t="shared" si="26"/>
        <v>441</v>
      </c>
      <c r="Q143" s="10">
        <f t="shared" si="17"/>
        <v>1.0442084706175125</v>
      </c>
      <c r="R143" s="10">
        <f t="shared" si="27"/>
        <v>13.14</v>
      </c>
      <c r="S143" s="10">
        <f t="shared" si="28"/>
        <v>109.83567480488993</v>
      </c>
      <c r="T143" s="10">
        <f t="shared" si="18"/>
        <v>1205.6913799120848</v>
      </c>
      <c r="U143" s="10">
        <f t="shared" si="19"/>
        <v>1843.8581724471114</v>
      </c>
      <c r="V143" s="10">
        <f t="shared" si="20"/>
        <v>1667.0404890588643</v>
      </c>
      <c r="W143" s="10">
        <f t="shared" si="21"/>
        <v>1201.9485419268458</v>
      </c>
      <c r="X143" s="10">
        <f t="shared" si="22"/>
        <v>1048.1785972</v>
      </c>
      <c r="Y143" s="10">
        <f t="shared" si="23"/>
        <v>1376.832020421956</v>
      </c>
      <c r="Z143" s="10">
        <f t="shared" si="16"/>
        <v>1843.8581724471114</v>
      </c>
    </row>
    <row r="144" spans="1:26" ht="18" customHeight="1" x14ac:dyDescent="0.25">
      <c r="M144" s="52">
        <f t="shared" si="15"/>
        <v>8.75</v>
      </c>
      <c r="N144" s="10">
        <f t="shared" si="24"/>
        <v>513.28024800000003</v>
      </c>
      <c r="O144" s="10">
        <f t="shared" si="25"/>
        <v>153.0221875</v>
      </c>
      <c r="P144" s="10">
        <f t="shared" si="26"/>
        <v>409.5</v>
      </c>
      <c r="Q144" s="10">
        <f t="shared" si="17"/>
        <v>1.0442084706175125</v>
      </c>
      <c r="R144" s="10">
        <f t="shared" si="27"/>
        <v>12.201428571428572</v>
      </c>
      <c r="S144" s="10">
        <f t="shared" si="28"/>
        <v>101.99026946168351</v>
      </c>
      <c r="T144" s="10">
        <f t="shared" si="18"/>
        <v>1119.6451533805512</v>
      </c>
      <c r="U144" s="10">
        <f t="shared" si="19"/>
        <v>1712.2882726471116</v>
      </c>
      <c r="V144" s="10">
        <f t="shared" si="20"/>
        <v>1548.0705892588644</v>
      </c>
      <c r="W144" s="10">
        <f t="shared" si="21"/>
        <v>1116.0950746463568</v>
      </c>
      <c r="X144" s="10">
        <f t="shared" si="22"/>
        <v>973.30869740000003</v>
      </c>
      <c r="Y144" s="10">
        <f t="shared" si="23"/>
        <v>1278.486876106102</v>
      </c>
      <c r="Z144" s="10">
        <f t="shared" si="16"/>
        <v>1712.2882726471116</v>
      </c>
    </row>
    <row r="145" spans="13:26" ht="18" customHeight="1" x14ac:dyDescent="0.25">
      <c r="M145" s="52">
        <f t="shared" si="15"/>
        <v>10</v>
      </c>
      <c r="N145" s="10">
        <f t="shared" si="24"/>
        <v>473.79715199999998</v>
      </c>
      <c r="O145" s="10">
        <f t="shared" si="25"/>
        <v>141.25125</v>
      </c>
      <c r="P145" s="10">
        <f t="shared" si="26"/>
        <v>378</v>
      </c>
      <c r="Q145" s="10">
        <f t="shared" si="17"/>
        <v>1.0442084706175125</v>
      </c>
      <c r="R145" s="10">
        <f t="shared" si="27"/>
        <v>11.262857142857143</v>
      </c>
      <c r="S145" s="10">
        <f t="shared" si="28"/>
        <v>94.144864118477088</v>
      </c>
      <c r="T145" s="10">
        <f t="shared" si="18"/>
        <v>1033.5989268490177</v>
      </c>
      <c r="U145" s="10">
        <f t="shared" si="19"/>
        <v>1580.7183728471116</v>
      </c>
      <c r="V145" s="10">
        <f t="shared" si="20"/>
        <v>1429.1006894588645</v>
      </c>
      <c r="W145" s="10">
        <f t="shared" si="21"/>
        <v>1030.241607365868</v>
      </c>
      <c r="X145" s="10">
        <f t="shared" si="22"/>
        <v>898.43879760000004</v>
      </c>
      <c r="Y145" s="10">
        <f t="shared" si="23"/>
        <v>1180.1417317902481</v>
      </c>
      <c r="Z145" s="10">
        <f t="shared" si="16"/>
        <v>1580.7183728471116</v>
      </c>
    </row>
    <row r="146" spans="13:26" ht="18" customHeight="1" x14ac:dyDescent="0.25">
      <c r="M146" s="52">
        <f t="shared" si="15"/>
        <v>11.25</v>
      </c>
      <c r="N146" s="10">
        <f t="shared" si="24"/>
        <v>434.31405599999999</v>
      </c>
      <c r="O146" s="10">
        <f t="shared" si="25"/>
        <v>129.4803125</v>
      </c>
      <c r="P146" s="10">
        <f t="shared" si="26"/>
        <v>346.5</v>
      </c>
      <c r="Q146" s="10">
        <f t="shared" si="17"/>
        <v>1.0442084706175125</v>
      </c>
      <c r="R146" s="10">
        <f t="shared" si="27"/>
        <v>10.324285714285715</v>
      </c>
      <c r="S146" s="10">
        <f t="shared" si="28"/>
        <v>86.299458775270665</v>
      </c>
      <c r="T146" s="10">
        <f t="shared" si="18"/>
        <v>947.55270031748444</v>
      </c>
      <c r="U146" s="10">
        <f t="shared" si="19"/>
        <v>1449.1484730471116</v>
      </c>
      <c r="V146" s="10">
        <f t="shared" si="20"/>
        <v>1310.1307896588646</v>
      </c>
      <c r="W146" s="10">
        <f t="shared" si="21"/>
        <v>944.38814008537895</v>
      </c>
      <c r="X146" s="10">
        <f t="shared" si="22"/>
        <v>823.56889780000006</v>
      </c>
      <c r="Y146" s="10">
        <f t="shared" si="23"/>
        <v>1081.7965874743938</v>
      </c>
      <c r="Z146" s="10">
        <f t="shared" si="16"/>
        <v>1449.1484730471116</v>
      </c>
    </row>
    <row r="147" spans="13:26" ht="18" customHeight="1" x14ac:dyDescent="0.25">
      <c r="M147" s="52">
        <f t="shared" ref="M147:M157" si="29">M121</f>
        <v>12.5</v>
      </c>
      <c r="N147" s="10">
        <f t="shared" si="24"/>
        <v>394.83096</v>
      </c>
      <c r="O147" s="10">
        <f t="shared" si="25"/>
        <v>117.70937500000001</v>
      </c>
      <c r="P147" s="10">
        <f t="shared" si="26"/>
        <v>315</v>
      </c>
      <c r="Q147" s="10">
        <f t="shared" si="17"/>
        <v>1.0442084706175125</v>
      </c>
      <c r="R147" s="10">
        <f t="shared" si="27"/>
        <v>9.3857142857142861</v>
      </c>
      <c r="S147" s="10">
        <f t="shared" si="28"/>
        <v>78.454053432064242</v>
      </c>
      <c r="T147" s="10">
        <f t="shared" si="18"/>
        <v>861.50647378595102</v>
      </c>
      <c r="U147" s="10">
        <f t="shared" si="19"/>
        <v>1317.5785732471115</v>
      </c>
      <c r="V147" s="10">
        <f t="shared" si="20"/>
        <v>1191.1608898588645</v>
      </c>
      <c r="W147" s="10">
        <f t="shared" si="21"/>
        <v>858.53467280488996</v>
      </c>
      <c r="X147" s="10">
        <f t="shared" si="22"/>
        <v>748.69899800000007</v>
      </c>
      <c r="Y147" s="10">
        <f t="shared" si="23"/>
        <v>983.45144315853997</v>
      </c>
      <c r="Z147" s="10">
        <f t="shared" si="16"/>
        <v>1317.5785732471115</v>
      </c>
    </row>
    <row r="148" spans="13:26" ht="18" customHeight="1" x14ac:dyDescent="0.25">
      <c r="M148" s="52">
        <f t="shared" si="29"/>
        <v>13.750000000000002</v>
      </c>
      <c r="N148" s="10">
        <f t="shared" si="24"/>
        <v>355.34786399999996</v>
      </c>
      <c r="O148" s="10">
        <f t="shared" si="25"/>
        <v>105.93843749999999</v>
      </c>
      <c r="P148" s="10">
        <f t="shared" si="26"/>
        <v>283.49999999999994</v>
      </c>
      <c r="Q148" s="10">
        <f t="shared" si="17"/>
        <v>1.0442084706175125</v>
      </c>
      <c r="R148" s="10">
        <f t="shared" si="27"/>
        <v>8.4471428571428557</v>
      </c>
      <c r="S148" s="10">
        <f t="shared" si="28"/>
        <v>70.608648088857805</v>
      </c>
      <c r="T148" s="10">
        <f t="shared" si="18"/>
        <v>775.46024725441748</v>
      </c>
      <c r="U148" s="10">
        <f t="shared" si="19"/>
        <v>1186.0086734471113</v>
      </c>
      <c r="V148" s="10">
        <f t="shared" si="20"/>
        <v>1072.1909900588644</v>
      </c>
      <c r="W148" s="10">
        <f t="shared" si="21"/>
        <v>772.68120552440075</v>
      </c>
      <c r="X148" s="10">
        <f t="shared" si="22"/>
        <v>673.82909819999986</v>
      </c>
      <c r="Y148" s="10">
        <f t="shared" si="23"/>
        <v>885.10629884268587</v>
      </c>
      <c r="Z148" s="10">
        <f t="shared" si="16"/>
        <v>1186.0086734471113</v>
      </c>
    </row>
    <row r="149" spans="13:26" ht="18" customHeight="1" x14ac:dyDescent="0.25">
      <c r="M149" s="52">
        <f t="shared" si="29"/>
        <v>15</v>
      </c>
      <c r="N149" s="10">
        <f t="shared" si="24"/>
        <v>315.86476800000003</v>
      </c>
      <c r="O149" s="10">
        <f t="shared" si="25"/>
        <v>94.167500000000004</v>
      </c>
      <c r="P149" s="10">
        <f t="shared" si="26"/>
        <v>252</v>
      </c>
      <c r="Q149" s="10">
        <f t="shared" si="17"/>
        <v>1.0442084706175125</v>
      </c>
      <c r="R149" s="10">
        <f t="shared" si="27"/>
        <v>7.5085714285714289</v>
      </c>
      <c r="S149" s="10">
        <f t="shared" si="28"/>
        <v>62.763242745651397</v>
      </c>
      <c r="T149" s="10">
        <f t="shared" si="18"/>
        <v>689.4140207228844</v>
      </c>
      <c r="U149" s="10">
        <f t="shared" si="19"/>
        <v>1054.4387736471117</v>
      </c>
      <c r="V149" s="10">
        <f t="shared" si="20"/>
        <v>953.22109025886459</v>
      </c>
      <c r="W149" s="10">
        <f t="shared" si="21"/>
        <v>686.82773824391211</v>
      </c>
      <c r="X149" s="10">
        <f t="shared" si="22"/>
        <v>598.9591984000001</v>
      </c>
      <c r="Y149" s="10">
        <f t="shared" si="23"/>
        <v>786.76115452683212</v>
      </c>
      <c r="Z149" s="10">
        <f t="shared" si="16"/>
        <v>1054.4387736471117</v>
      </c>
    </row>
    <row r="150" spans="13:26" ht="18" customHeight="1" x14ac:dyDescent="0.25">
      <c r="M150" s="52">
        <f t="shared" si="29"/>
        <v>16.25</v>
      </c>
      <c r="N150" s="10">
        <f t="shared" si="24"/>
        <v>276.38167199999998</v>
      </c>
      <c r="O150" s="10">
        <f t="shared" si="25"/>
        <v>82.396562500000002</v>
      </c>
      <c r="P150" s="10">
        <f t="shared" si="26"/>
        <v>220.5</v>
      </c>
      <c r="Q150" s="10">
        <f t="shared" si="17"/>
        <v>1.0442084706175125</v>
      </c>
      <c r="R150" s="10">
        <f t="shared" si="27"/>
        <v>6.57</v>
      </c>
      <c r="S150" s="10">
        <f t="shared" si="28"/>
        <v>54.917837402444967</v>
      </c>
      <c r="T150" s="10">
        <f t="shared" si="18"/>
        <v>603.36779419135109</v>
      </c>
      <c r="U150" s="10">
        <f t="shared" si="19"/>
        <v>922.86887384711156</v>
      </c>
      <c r="V150" s="10">
        <f t="shared" si="20"/>
        <v>834.25119045886458</v>
      </c>
      <c r="W150" s="10">
        <f t="shared" si="21"/>
        <v>600.9742709634229</v>
      </c>
      <c r="X150" s="10">
        <f t="shared" si="22"/>
        <v>524.08929860000001</v>
      </c>
      <c r="Y150" s="10">
        <f t="shared" si="23"/>
        <v>688.41601021097802</v>
      </c>
      <c r="Z150" s="10">
        <f t="shared" si="16"/>
        <v>922.86887384711156</v>
      </c>
    </row>
    <row r="151" spans="13:26" ht="18" customHeight="1" x14ac:dyDescent="0.25">
      <c r="M151" s="52">
        <f t="shared" si="29"/>
        <v>17.5</v>
      </c>
      <c r="N151" s="10">
        <f t="shared" si="24"/>
        <v>236.89857599999999</v>
      </c>
      <c r="O151" s="10">
        <f t="shared" si="25"/>
        <v>70.625624999999999</v>
      </c>
      <c r="P151" s="10">
        <f t="shared" si="26"/>
        <v>189</v>
      </c>
      <c r="Q151" s="10">
        <f t="shared" si="17"/>
        <v>1.0442084706175125</v>
      </c>
      <c r="R151" s="10">
        <f t="shared" si="27"/>
        <v>5.6314285714285717</v>
      </c>
      <c r="S151" s="10">
        <f t="shared" si="28"/>
        <v>47.072432059238544</v>
      </c>
      <c r="T151" s="10">
        <f t="shared" si="18"/>
        <v>517.32156765981756</v>
      </c>
      <c r="U151" s="10">
        <f t="shared" si="19"/>
        <v>791.29897404711164</v>
      </c>
      <c r="V151" s="10">
        <f t="shared" si="20"/>
        <v>715.28129065886446</v>
      </c>
      <c r="W151" s="10">
        <f t="shared" si="21"/>
        <v>515.12080368293402</v>
      </c>
      <c r="X151" s="10">
        <f t="shared" si="22"/>
        <v>449.21939880000002</v>
      </c>
      <c r="Y151" s="10">
        <f t="shared" si="23"/>
        <v>590.07086589512403</v>
      </c>
      <c r="Z151" s="10">
        <f t="shared" si="16"/>
        <v>791.29897404711164</v>
      </c>
    </row>
    <row r="152" spans="13:26" ht="18" customHeight="1" x14ac:dyDescent="0.25">
      <c r="M152" s="52">
        <f t="shared" si="29"/>
        <v>18.75</v>
      </c>
      <c r="N152" s="10">
        <f t="shared" si="24"/>
        <v>197.41548</v>
      </c>
      <c r="O152" s="10">
        <f t="shared" si="25"/>
        <v>58.854687500000004</v>
      </c>
      <c r="P152" s="10">
        <f t="shared" si="26"/>
        <v>157.5</v>
      </c>
      <c r="Q152" s="10">
        <f t="shared" si="17"/>
        <v>1.0442084706175125</v>
      </c>
      <c r="R152" s="10">
        <f t="shared" si="27"/>
        <v>4.6928571428571431</v>
      </c>
      <c r="S152" s="10">
        <f t="shared" si="28"/>
        <v>39.227026716032121</v>
      </c>
      <c r="T152" s="10">
        <f t="shared" si="18"/>
        <v>431.27534112828425</v>
      </c>
      <c r="U152" s="10">
        <f t="shared" si="19"/>
        <v>659.72907424711161</v>
      </c>
      <c r="V152" s="10">
        <f t="shared" si="20"/>
        <v>596.31139085886457</v>
      </c>
      <c r="W152" s="10">
        <f t="shared" si="21"/>
        <v>429.26733640244498</v>
      </c>
      <c r="X152" s="10">
        <f t="shared" si="22"/>
        <v>374.34949900000004</v>
      </c>
      <c r="Y152" s="10">
        <f t="shared" si="23"/>
        <v>491.72572157926999</v>
      </c>
      <c r="Z152" s="10">
        <f t="shared" si="16"/>
        <v>659.72907424711161</v>
      </c>
    </row>
    <row r="153" spans="13:26" ht="18" customHeight="1" x14ac:dyDescent="0.25">
      <c r="M153" s="52">
        <f t="shared" si="29"/>
        <v>20</v>
      </c>
      <c r="N153" s="10">
        <f t="shared" si="24"/>
        <v>157.93238400000001</v>
      </c>
      <c r="O153" s="10">
        <f t="shared" si="25"/>
        <v>47.083750000000002</v>
      </c>
      <c r="P153" s="10">
        <f t="shared" si="26"/>
        <v>126</v>
      </c>
      <c r="Q153" s="10">
        <f t="shared" si="17"/>
        <v>1.0442084706175125</v>
      </c>
      <c r="R153" s="10">
        <f t="shared" si="27"/>
        <v>3.7542857142857144</v>
      </c>
      <c r="S153" s="10">
        <f t="shared" si="28"/>
        <v>31.381621372825698</v>
      </c>
      <c r="T153" s="10">
        <f t="shared" si="18"/>
        <v>345.22911459675089</v>
      </c>
      <c r="U153" s="10">
        <f t="shared" si="19"/>
        <v>528.15917444711158</v>
      </c>
      <c r="V153" s="10">
        <f t="shared" si="20"/>
        <v>477.34149105886456</v>
      </c>
      <c r="W153" s="10">
        <f t="shared" si="21"/>
        <v>343.41386912195605</v>
      </c>
      <c r="X153" s="10">
        <f t="shared" si="22"/>
        <v>299.47959920000005</v>
      </c>
      <c r="Y153" s="10">
        <f t="shared" si="23"/>
        <v>393.38057726341606</v>
      </c>
      <c r="Z153" s="10">
        <f t="shared" si="16"/>
        <v>528.15917444711158</v>
      </c>
    </row>
    <row r="154" spans="13:26" ht="18" customHeight="1" x14ac:dyDescent="0.25">
      <c r="M154" s="52">
        <f t="shared" si="29"/>
        <v>21.25</v>
      </c>
      <c r="N154" s="10">
        <f t="shared" si="24"/>
        <v>118.449288</v>
      </c>
      <c r="O154" s="10">
        <f t="shared" si="25"/>
        <v>35.3128125</v>
      </c>
      <c r="P154" s="10">
        <f t="shared" si="26"/>
        <v>94.5</v>
      </c>
      <c r="Q154" s="10">
        <f t="shared" si="17"/>
        <v>1.0442084706175125</v>
      </c>
      <c r="R154" s="10">
        <f t="shared" si="27"/>
        <v>2.8157142857142858</v>
      </c>
      <c r="S154" s="10">
        <f t="shared" si="28"/>
        <v>23.536216029619272</v>
      </c>
      <c r="T154" s="10">
        <f t="shared" si="18"/>
        <v>259.18288806521758</v>
      </c>
      <c r="U154" s="10">
        <f t="shared" si="19"/>
        <v>396.58927464711155</v>
      </c>
      <c r="V154" s="10">
        <f t="shared" si="20"/>
        <v>358.37159125886456</v>
      </c>
      <c r="W154" s="10">
        <f t="shared" si="21"/>
        <v>257.56040184146701</v>
      </c>
      <c r="X154" s="10">
        <f t="shared" si="22"/>
        <v>224.60969940000001</v>
      </c>
      <c r="Y154" s="10">
        <f t="shared" si="23"/>
        <v>295.03543294756201</v>
      </c>
      <c r="Z154" s="10">
        <f t="shared" si="16"/>
        <v>396.58927464711155</v>
      </c>
    </row>
    <row r="155" spans="13:26" ht="18" customHeight="1" x14ac:dyDescent="0.25">
      <c r="M155" s="52">
        <f t="shared" si="29"/>
        <v>22.5</v>
      </c>
      <c r="N155" s="10">
        <f t="shared" si="24"/>
        <v>78.966192000000007</v>
      </c>
      <c r="O155" s="10">
        <f t="shared" si="25"/>
        <v>23.541875000000001</v>
      </c>
      <c r="P155" s="10">
        <f t="shared" si="26"/>
        <v>63</v>
      </c>
      <c r="Q155" s="10">
        <f t="shared" si="17"/>
        <v>1.0442084706175125</v>
      </c>
      <c r="R155" s="10">
        <f t="shared" si="27"/>
        <v>1.8771428571428572</v>
      </c>
      <c r="S155" s="10">
        <f t="shared" si="28"/>
        <v>15.690810686412849</v>
      </c>
      <c r="T155" s="10">
        <f t="shared" si="18"/>
        <v>173.13666153368425</v>
      </c>
      <c r="U155" s="10">
        <f t="shared" si="19"/>
        <v>265.01937484711158</v>
      </c>
      <c r="V155" s="10">
        <f t="shared" si="20"/>
        <v>239.40169145886455</v>
      </c>
      <c r="W155" s="10">
        <f t="shared" si="21"/>
        <v>171.70693456097803</v>
      </c>
      <c r="X155" s="10">
        <f t="shared" si="22"/>
        <v>149.73979960000003</v>
      </c>
      <c r="Y155" s="10">
        <f t="shared" si="23"/>
        <v>196.69028863170803</v>
      </c>
      <c r="Z155" s="10">
        <f t="shared" si="16"/>
        <v>265.01937484711158</v>
      </c>
    </row>
    <row r="156" spans="13:26" ht="18" customHeight="1" x14ac:dyDescent="0.25">
      <c r="M156" s="52">
        <f t="shared" si="29"/>
        <v>23.75</v>
      </c>
      <c r="N156" s="10">
        <f t="shared" si="24"/>
        <v>39.483096000000003</v>
      </c>
      <c r="O156" s="10">
        <f t="shared" si="25"/>
        <v>11.7709375</v>
      </c>
      <c r="P156" s="10">
        <f t="shared" si="26"/>
        <v>31.5</v>
      </c>
      <c r="Q156" s="10">
        <f t="shared" si="17"/>
        <v>1.0442084706175125</v>
      </c>
      <c r="R156" s="10">
        <f t="shared" si="27"/>
        <v>0.93857142857142861</v>
      </c>
      <c r="S156" s="10">
        <f t="shared" si="28"/>
        <v>7.8454053432064246</v>
      </c>
      <c r="T156" s="10">
        <f t="shared" si="18"/>
        <v>87.090435002150869</v>
      </c>
      <c r="U156" s="10">
        <f t="shared" si="19"/>
        <v>133.44947504711155</v>
      </c>
      <c r="V156" s="10">
        <f t="shared" si="20"/>
        <v>120.43179165886453</v>
      </c>
      <c r="W156" s="10">
        <f t="shared" si="21"/>
        <v>85.853467280489014</v>
      </c>
      <c r="X156" s="10">
        <f t="shared" si="22"/>
        <v>74.869899800000013</v>
      </c>
      <c r="Y156" s="10">
        <f t="shared" si="23"/>
        <v>98.345144315854014</v>
      </c>
      <c r="Z156" s="10">
        <f t="shared" si="16"/>
        <v>133.44947504711155</v>
      </c>
    </row>
    <row r="157" spans="13:26" ht="18" customHeight="1" x14ac:dyDescent="0.25">
      <c r="M157" s="52">
        <f t="shared" si="29"/>
        <v>25</v>
      </c>
      <c r="N157" s="10">
        <f t="shared" si="24"/>
        <v>0</v>
      </c>
      <c r="O157" s="10">
        <f t="shared" si="25"/>
        <v>0</v>
      </c>
      <c r="P157" s="10">
        <f t="shared" si="26"/>
        <v>0</v>
      </c>
      <c r="Q157" s="10">
        <f t="shared" si="17"/>
        <v>1.0442084706175125</v>
      </c>
      <c r="R157" s="10">
        <f t="shared" si="27"/>
        <v>0</v>
      </c>
      <c r="S157" s="10">
        <f t="shared" si="28"/>
        <v>0</v>
      </c>
      <c r="T157" s="10">
        <f t="shared" si="18"/>
        <v>1.0442084706175125</v>
      </c>
      <c r="U157" s="10">
        <f t="shared" si="19"/>
        <v>1.8795752471115226</v>
      </c>
      <c r="V157" s="10">
        <f t="shared" si="20"/>
        <v>1.4618918588645176</v>
      </c>
      <c r="W157" s="10">
        <f t="shared" si="21"/>
        <v>0</v>
      </c>
      <c r="X157" s="10">
        <f t="shared" si="22"/>
        <v>0</v>
      </c>
      <c r="Y157" s="10">
        <f t="shared" si="23"/>
        <v>0</v>
      </c>
      <c r="Z157" s="10">
        <f t="shared" si="16"/>
        <v>1.8795752471115226</v>
      </c>
    </row>
  </sheetData>
  <mergeCells count="3">
    <mergeCell ref="B1:F1"/>
    <mergeCell ref="M109:M110"/>
    <mergeCell ref="M135:M1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4CF6-0926-48B8-B060-96981638C706}">
  <sheetPr>
    <tabColor rgb="FF7030A0"/>
  </sheetPr>
  <dimension ref="A1:N1023"/>
  <sheetViews>
    <sheetView showGridLines="0" view="pageLayout" zoomScaleNormal="100" workbookViewId="0">
      <selection sqref="A1:I1"/>
    </sheetView>
  </sheetViews>
  <sheetFormatPr defaultRowHeight="18.75" customHeight="1" x14ac:dyDescent="0.25"/>
  <cols>
    <col min="1" max="1" width="4.42578125" style="268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355" t="s">
        <v>912</v>
      </c>
      <c r="B1" s="355"/>
      <c r="C1" s="355"/>
      <c r="D1" s="355"/>
      <c r="E1" s="355"/>
      <c r="F1" s="355"/>
      <c r="G1" s="355"/>
      <c r="H1" s="355"/>
      <c r="I1" s="355"/>
      <c r="J1" s="266"/>
      <c r="K1" s="266"/>
      <c r="L1" s="266"/>
      <c r="M1" s="266"/>
      <c r="N1" s="266"/>
    </row>
    <row r="2" spans="1:14" ht="18.75" customHeight="1" x14ac:dyDescent="0.25">
      <c r="A2" s="46"/>
      <c r="D2" s="46"/>
      <c r="E2" s="46"/>
      <c r="F2" s="46"/>
      <c r="G2" s="46"/>
      <c r="H2" s="46"/>
      <c r="I2" s="46"/>
      <c r="J2" s="266"/>
      <c r="K2" s="266"/>
      <c r="L2" s="266"/>
      <c r="M2" s="266"/>
      <c r="N2" s="266"/>
    </row>
    <row r="3" spans="1:14" ht="56.25" customHeight="1" x14ac:dyDescent="0.25">
      <c r="A3" s="356"/>
      <c r="B3" s="356"/>
      <c r="C3" s="356"/>
      <c r="D3" s="267" t="s">
        <v>913</v>
      </c>
      <c r="F3" s="357" t="s">
        <v>921</v>
      </c>
      <c r="G3" s="358"/>
      <c r="H3" s="358"/>
      <c r="I3" s="359"/>
      <c r="J3" s="266"/>
      <c r="K3" s="266"/>
      <c r="L3" s="266"/>
      <c r="M3" s="266"/>
      <c r="N3" s="266"/>
    </row>
    <row r="4" spans="1:14" ht="18.75" customHeight="1" x14ac:dyDescent="0.25">
      <c r="A4" s="356"/>
      <c r="B4" s="356"/>
      <c r="C4" s="356"/>
      <c r="D4" s="267" t="s">
        <v>914</v>
      </c>
      <c r="F4" s="360" t="s">
        <v>915</v>
      </c>
      <c r="G4" s="361"/>
      <c r="H4" s="361"/>
      <c r="I4" s="362"/>
      <c r="J4" s="266"/>
      <c r="K4" s="266"/>
      <c r="L4" s="266"/>
      <c r="M4" s="266"/>
      <c r="N4" s="266"/>
    </row>
    <row r="5" spans="1:14" ht="18.75" customHeight="1" x14ac:dyDescent="0.25">
      <c r="A5" s="356"/>
      <c r="B5" s="356"/>
      <c r="C5" s="356"/>
      <c r="D5" s="267" t="s">
        <v>916</v>
      </c>
      <c r="F5" s="363" t="s">
        <v>917</v>
      </c>
      <c r="G5" s="361"/>
      <c r="H5" s="361"/>
      <c r="I5" s="362"/>
      <c r="J5" s="266"/>
      <c r="K5" s="266"/>
      <c r="L5" s="266"/>
      <c r="M5" s="266"/>
      <c r="N5" s="266"/>
    </row>
    <row r="6" spans="1:14" ht="18.75" customHeight="1" x14ac:dyDescent="0.25">
      <c r="A6" s="356"/>
      <c r="B6" s="356"/>
      <c r="C6" s="356"/>
      <c r="D6" s="267" t="s">
        <v>918</v>
      </c>
      <c r="F6" s="364" t="s">
        <v>919</v>
      </c>
      <c r="G6" s="361"/>
      <c r="H6" s="361"/>
      <c r="I6" s="362"/>
      <c r="J6" s="266"/>
      <c r="K6" s="266"/>
      <c r="L6" s="266"/>
      <c r="M6" s="266"/>
      <c r="N6" s="266"/>
    </row>
    <row r="8" spans="1:14" ht="18.75" customHeight="1" x14ac:dyDescent="0.25">
      <c r="A8" s="273" t="s">
        <v>764</v>
      </c>
      <c r="B8" s="138" t="s">
        <v>765</v>
      </c>
      <c r="C8" s="139"/>
      <c r="D8" s="139"/>
      <c r="E8" s="139"/>
      <c r="F8" s="139"/>
      <c r="G8" s="140"/>
      <c r="H8" s="139"/>
      <c r="I8" s="269"/>
    </row>
    <row r="9" spans="1:14" ht="18.75" customHeight="1" x14ac:dyDescent="0.25">
      <c r="A9" s="274" t="s">
        <v>766</v>
      </c>
      <c r="B9" s="142" t="s">
        <v>767</v>
      </c>
      <c r="C9" s="143"/>
      <c r="D9" s="143"/>
      <c r="E9" s="143"/>
      <c r="F9" s="143"/>
      <c r="G9" s="144"/>
      <c r="H9" s="143"/>
      <c r="I9" s="270"/>
    </row>
    <row r="10" spans="1:14" ht="18.75" customHeight="1" x14ac:dyDescent="0.25">
      <c r="A10" s="149"/>
      <c r="B10" s="23" t="s">
        <v>22</v>
      </c>
      <c r="C10" s="23"/>
      <c r="D10" s="23"/>
      <c r="E10" s="23"/>
      <c r="F10" s="23"/>
      <c r="G10" s="146" t="s">
        <v>24</v>
      </c>
      <c r="H10" s="78">
        <f>'Input &amp; Process'!H4</f>
        <v>30</v>
      </c>
      <c r="I10" s="22" t="s">
        <v>23</v>
      </c>
    </row>
    <row r="11" spans="1:14" ht="18.75" customHeight="1" x14ac:dyDescent="0.25">
      <c r="A11" s="149"/>
      <c r="B11" s="23" t="s">
        <v>25</v>
      </c>
      <c r="C11" s="23"/>
      <c r="D11" s="23"/>
      <c r="E11" s="23"/>
      <c r="F11" s="23"/>
      <c r="G11" s="279" t="s">
        <v>26</v>
      </c>
      <c r="H11" s="275">
        <f>'Input &amp; Process'!H5</f>
        <v>52</v>
      </c>
      <c r="I11" s="22"/>
    </row>
    <row r="12" spans="1:14" ht="18.75" customHeight="1" x14ac:dyDescent="0.25">
      <c r="A12" s="149"/>
      <c r="B12" s="23" t="s">
        <v>27</v>
      </c>
      <c r="C12" s="23"/>
      <c r="D12" s="23"/>
      <c r="E12" s="23"/>
      <c r="F12" s="23"/>
      <c r="G12" s="146" t="s">
        <v>30</v>
      </c>
      <c r="H12" s="199">
        <f>'Input &amp; Process'!H6</f>
        <v>360</v>
      </c>
      <c r="I12" s="22" t="s">
        <v>23</v>
      </c>
    </row>
    <row r="13" spans="1:14" ht="18.75" customHeight="1" x14ac:dyDescent="0.25">
      <c r="A13" s="149"/>
      <c r="B13" s="23" t="s">
        <v>28</v>
      </c>
      <c r="C13" s="23"/>
      <c r="D13" s="23"/>
      <c r="E13" s="23"/>
      <c r="F13" s="23"/>
      <c r="G13" s="146" t="s">
        <v>31</v>
      </c>
      <c r="H13" s="276">
        <f>'Input &amp; Process'!H7</f>
        <v>520</v>
      </c>
      <c r="I13" s="22" t="s">
        <v>23</v>
      </c>
    </row>
    <row r="14" spans="1:14" ht="18.75" customHeight="1" x14ac:dyDescent="0.25">
      <c r="A14" s="149"/>
      <c r="B14" s="23" t="s">
        <v>359</v>
      </c>
      <c r="C14" s="23"/>
      <c r="D14" s="23"/>
      <c r="E14" s="23"/>
      <c r="F14" s="23"/>
      <c r="G14" s="279" t="s">
        <v>360</v>
      </c>
      <c r="H14" s="277">
        <f>'Input &amp; Process'!H8</f>
        <v>420</v>
      </c>
      <c r="I14" s="22"/>
    </row>
    <row r="15" spans="1:14" ht="18.75" customHeight="1" x14ac:dyDescent="0.25">
      <c r="A15" s="149"/>
      <c r="B15" s="23" t="s">
        <v>361</v>
      </c>
      <c r="C15" s="23"/>
      <c r="D15" s="23"/>
      <c r="E15" s="23"/>
      <c r="F15" s="23"/>
      <c r="G15" s="146" t="s">
        <v>30</v>
      </c>
      <c r="H15" s="199">
        <f>'Input &amp; Process'!H9</f>
        <v>400</v>
      </c>
      <c r="I15" s="22" t="s">
        <v>23</v>
      </c>
    </row>
    <row r="16" spans="1:14" ht="18.75" customHeight="1" x14ac:dyDescent="0.25">
      <c r="A16" s="149"/>
      <c r="B16" s="23" t="s">
        <v>29</v>
      </c>
      <c r="C16" s="23"/>
      <c r="D16" s="23"/>
      <c r="E16" s="23"/>
      <c r="F16" s="23"/>
      <c r="G16" s="146" t="s">
        <v>32</v>
      </c>
      <c r="H16" s="278">
        <f>'Input &amp; Process'!H10</f>
        <v>200000</v>
      </c>
      <c r="I16" s="22" t="s">
        <v>23</v>
      </c>
    </row>
    <row r="17" spans="1:9" ht="18.75" customHeight="1" x14ac:dyDescent="0.25">
      <c r="A17" s="149"/>
      <c r="B17" s="23"/>
      <c r="C17" s="23"/>
      <c r="D17" s="23"/>
      <c r="E17" s="23"/>
      <c r="F17" s="23"/>
      <c r="G17" s="146"/>
      <c r="H17" s="21"/>
      <c r="I17" s="22"/>
    </row>
    <row r="18" spans="1:9" ht="18.75" customHeight="1" x14ac:dyDescent="0.25">
      <c r="A18" s="274" t="s">
        <v>769</v>
      </c>
      <c r="B18" s="142" t="s">
        <v>768</v>
      </c>
      <c r="C18" s="143"/>
      <c r="D18" s="143"/>
      <c r="E18" s="143"/>
      <c r="F18" s="143"/>
      <c r="G18" s="144"/>
      <c r="H18" s="143"/>
      <c r="I18" s="270"/>
    </row>
    <row r="19" spans="1:9" ht="18.75" customHeight="1" x14ac:dyDescent="0.25">
      <c r="A19" s="311"/>
      <c r="B19" s="181"/>
      <c r="C19" s="182"/>
      <c r="D19" s="182"/>
      <c r="E19" s="182"/>
      <c r="F19" s="182"/>
      <c r="G19" s="183"/>
      <c r="H19" s="182"/>
      <c r="I19" s="271"/>
    </row>
    <row r="20" spans="1:9" ht="18.75" customHeight="1" x14ac:dyDescent="0.25">
      <c r="A20" s="311"/>
      <c r="B20" s="181"/>
      <c r="C20" s="182"/>
      <c r="D20" s="182"/>
      <c r="E20" s="182"/>
      <c r="F20" s="182"/>
      <c r="G20" s="183"/>
      <c r="H20" s="182"/>
      <c r="I20" s="271"/>
    </row>
    <row r="21" spans="1:9" ht="18.75" customHeight="1" x14ac:dyDescent="0.25">
      <c r="A21" s="311"/>
      <c r="B21" s="181"/>
      <c r="C21" s="182"/>
      <c r="D21" s="182"/>
      <c r="E21" s="182"/>
      <c r="F21" s="182"/>
      <c r="G21" s="183"/>
      <c r="H21" s="182"/>
      <c r="I21" s="271"/>
    </row>
    <row r="22" spans="1:9" ht="18.75" customHeight="1" x14ac:dyDescent="0.25">
      <c r="A22" s="311"/>
      <c r="B22" s="181"/>
      <c r="C22" s="182"/>
      <c r="D22" s="182"/>
      <c r="E22" s="182"/>
      <c r="F22" s="182"/>
      <c r="G22" s="183"/>
      <c r="H22" s="182"/>
      <c r="I22" s="271"/>
    </row>
    <row r="23" spans="1:9" ht="18.75" customHeight="1" x14ac:dyDescent="0.25">
      <c r="A23" s="311"/>
      <c r="B23" s="181"/>
      <c r="C23" s="182"/>
      <c r="D23" s="182"/>
      <c r="E23" s="182"/>
      <c r="F23" s="182"/>
      <c r="G23" s="183"/>
      <c r="H23" s="182"/>
      <c r="I23" s="271"/>
    </row>
    <row r="24" spans="1:9" ht="18.75" customHeight="1" x14ac:dyDescent="0.25">
      <c r="A24" s="311"/>
      <c r="B24" s="181"/>
      <c r="C24" s="182"/>
      <c r="D24" s="182"/>
      <c r="E24" s="182"/>
      <c r="F24" s="182"/>
      <c r="G24" s="183"/>
      <c r="H24" s="182"/>
      <c r="I24" s="271"/>
    </row>
    <row r="25" spans="1:9" ht="18.75" customHeight="1" x14ac:dyDescent="0.25">
      <c r="A25" s="311"/>
      <c r="B25" s="181"/>
      <c r="C25" s="182"/>
      <c r="D25" s="182"/>
      <c r="E25" s="182"/>
      <c r="F25" s="182"/>
      <c r="G25" s="183"/>
      <c r="H25" s="182"/>
      <c r="I25" s="271"/>
    </row>
    <row r="26" spans="1:9" ht="18.75" customHeight="1" x14ac:dyDescent="0.25">
      <c r="A26" s="311"/>
      <c r="B26" s="181"/>
      <c r="C26" s="182"/>
      <c r="D26" s="182"/>
      <c r="E26" s="182"/>
      <c r="F26" s="182"/>
      <c r="G26" s="183"/>
      <c r="H26" s="182"/>
      <c r="I26" s="271"/>
    </row>
    <row r="27" spans="1:9" ht="18.75" customHeight="1" x14ac:dyDescent="0.25">
      <c r="A27" s="311"/>
      <c r="B27" s="181"/>
      <c r="C27" s="182"/>
      <c r="D27" s="182"/>
      <c r="E27" s="182"/>
      <c r="F27" s="182"/>
      <c r="G27" s="183"/>
      <c r="H27" s="182"/>
      <c r="I27" s="271"/>
    </row>
    <row r="28" spans="1:9" ht="18.75" customHeight="1" x14ac:dyDescent="0.25">
      <c r="A28" s="311"/>
      <c r="B28" s="181" t="s">
        <v>910</v>
      </c>
      <c r="C28" s="182"/>
      <c r="D28" s="182"/>
      <c r="E28" s="182"/>
      <c r="F28" s="182"/>
      <c r="G28" s="146" t="s">
        <v>147</v>
      </c>
      <c r="H28" s="280">
        <f>'Input &amp; Process'!H22</f>
        <v>4</v>
      </c>
      <c r="I28" s="22" t="s">
        <v>911</v>
      </c>
    </row>
    <row r="29" spans="1:9" ht="18.75" customHeight="1" x14ac:dyDescent="0.25">
      <c r="A29" s="149"/>
      <c r="B29" s="23" t="s">
        <v>0</v>
      </c>
      <c r="C29" s="23"/>
      <c r="D29" s="23"/>
      <c r="E29" s="23"/>
      <c r="F29" s="23"/>
      <c r="G29" s="146" t="s">
        <v>1</v>
      </c>
      <c r="H29" s="78">
        <f>'Input &amp; Process'!H23</f>
        <v>50</v>
      </c>
      <c r="I29" s="22" t="s">
        <v>2</v>
      </c>
    </row>
    <row r="30" spans="1:9" ht="18.75" customHeight="1" x14ac:dyDescent="0.25">
      <c r="A30" s="149"/>
      <c r="B30" s="23" t="s">
        <v>3</v>
      </c>
      <c r="C30" s="23"/>
      <c r="D30" s="23"/>
      <c r="E30" s="23"/>
      <c r="F30" s="23"/>
      <c r="G30" s="146" t="s">
        <v>4</v>
      </c>
      <c r="H30" s="78">
        <f>'Input &amp; Process'!H24</f>
        <v>1.8</v>
      </c>
      <c r="I30" s="22" t="s">
        <v>2</v>
      </c>
    </row>
    <row r="31" spans="1:9" ht="18.75" customHeight="1" x14ac:dyDescent="0.25">
      <c r="A31" s="149"/>
      <c r="B31" s="153" t="s">
        <v>5</v>
      </c>
      <c r="C31" s="153"/>
      <c r="D31" s="153"/>
      <c r="E31" s="153"/>
      <c r="F31" s="153"/>
      <c r="G31" s="154" t="s">
        <v>6</v>
      </c>
      <c r="H31" s="78">
        <f>'Input &amp; Process'!H25</f>
        <v>2.1</v>
      </c>
      <c r="I31" s="285" t="s">
        <v>2</v>
      </c>
    </row>
    <row r="32" spans="1:9" ht="18.75" customHeight="1" x14ac:dyDescent="0.25">
      <c r="A32" s="149"/>
      <c r="B32" s="153" t="s">
        <v>837</v>
      </c>
      <c r="C32" s="153"/>
      <c r="D32" s="153"/>
      <c r="E32" s="153"/>
      <c r="F32" s="153"/>
      <c r="G32" s="154" t="s">
        <v>838</v>
      </c>
      <c r="H32" s="78">
        <f>'Input &amp; Process'!H27</f>
        <v>1.6</v>
      </c>
      <c r="I32" s="285" t="s">
        <v>2</v>
      </c>
    </row>
    <row r="33" spans="1:9" ht="18.75" customHeight="1" x14ac:dyDescent="0.25">
      <c r="A33" s="149"/>
      <c r="B33" s="153" t="s">
        <v>35</v>
      </c>
      <c r="C33" s="153"/>
      <c r="D33" s="153"/>
      <c r="E33" s="153"/>
      <c r="F33" s="153"/>
      <c r="G33" s="154" t="s">
        <v>36</v>
      </c>
      <c r="H33" s="78">
        <f>'Input &amp; Process'!H28</f>
        <v>3.5</v>
      </c>
      <c r="I33" s="285" t="s">
        <v>2</v>
      </c>
    </row>
    <row r="34" spans="1:9" ht="18.75" customHeight="1" x14ac:dyDescent="0.25">
      <c r="A34" s="149"/>
      <c r="B34" s="169" t="s">
        <v>582</v>
      </c>
      <c r="C34" s="169"/>
      <c r="D34" s="169"/>
      <c r="E34" s="169"/>
      <c r="F34" s="169"/>
      <c r="G34" s="168" t="s">
        <v>591</v>
      </c>
      <c r="H34" s="78">
        <f>'Input &amp; Process'!H30</f>
        <v>1.2</v>
      </c>
      <c r="I34" s="272" t="s">
        <v>2</v>
      </c>
    </row>
    <row r="35" spans="1:9" ht="18.75" customHeight="1" x14ac:dyDescent="0.25">
      <c r="A35" s="149"/>
      <c r="B35" s="23" t="s">
        <v>710</v>
      </c>
      <c r="C35" s="23"/>
      <c r="D35" s="23"/>
      <c r="E35" s="23"/>
      <c r="F35" s="23"/>
      <c r="G35" s="146" t="s">
        <v>147</v>
      </c>
      <c r="H35" s="280">
        <f>'Input &amp; Process'!H31</f>
        <v>10</v>
      </c>
      <c r="I35" s="22"/>
    </row>
    <row r="36" spans="1:9" ht="18.75" customHeight="1" x14ac:dyDescent="0.25">
      <c r="A36" s="149"/>
      <c r="B36" s="23"/>
      <c r="C36" s="23"/>
      <c r="D36" s="23"/>
      <c r="E36" s="23"/>
      <c r="F36" s="23"/>
      <c r="G36" s="146"/>
      <c r="H36" s="21"/>
      <c r="I36" s="22"/>
    </row>
    <row r="37" spans="1:9" ht="18.75" customHeight="1" x14ac:dyDescent="0.25">
      <c r="A37" s="149"/>
      <c r="B37" s="23"/>
      <c r="C37" s="23"/>
      <c r="D37" s="23"/>
      <c r="E37" s="23"/>
      <c r="F37" s="23"/>
      <c r="G37" s="146"/>
      <c r="H37" s="21"/>
      <c r="I37" s="22"/>
    </row>
    <row r="38" spans="1:9" ht="18.75" customHeight="1" x14ac:dyDescent="0.25">
      <c r="A38" s="149"/>
      <c r="B38" s="23"/>
      <c r="C38" s="23"/>
      <c r="D38" s="23"/>
      <c r="E38" s="23"/>
      <c r="F38" s="23"/>
      <c r="G38" s="146"/>
      <c r="H38" s="21"/>
      <c r="I38" s="22"/>
    </row>
    <row r="39" spans="1:9" ht="18.75" customHeight="1" x14ac:dyDescent="0.25">
      <c r="A39" s="149"/>
      <c r="B39" s="23"/>
      <c r="C39" s="23"/>
      <c r="D39" s="23"/>
      <c r="E39" s="23"/>
      <c r="F39" s="23"/>
      <c r="G39" s="146"/>
      <c r="H39" s="21"/>
      <c r="I39" s="22"/>
    </row>
    <row r="40" spans="1:9" ht="18.75" customHeight="1" x14ac:dyDescent="0.25">
      <c r="A40" s="149"/>
      <c r="B40" s="23"/>
      <c r="C40" s="23"/>
      <c r="D40" s="23"/>
      <c r="E40" s="23"/>
      <c r="F40" s="23"/>
      <c r="G40" s="146"/>
      <c r="H40" s="21"/>
      <c r="I40" s="22"/>
    </row>
    <row r="41" spans="1:9" ht="18.75" customHeight="1" x14ac:dyDescent="0.25">
      <c r="A41" s="149"/>
      <c r="B41" s="23"/>
      <c r="C41" s="23"/>
      <c r="D41" s="23"/>
      <c r="E41" s="23"/>
      <c r="F41" s="23"/>
      <c r="G41" s="146"/>
      <c r="H41" s="21"/>
      <c r="I41" s="22"/>
    </row>
    <row r="42" spans="1:9" ht="18.75" customHeight="1" x14ac:dyDescent="0.25">
      <c r="A42" s="149"/>
      <c r="B42" s="23"/>
      <c r="C42" s="23"/>
      <c r="D42" s="23"/>
      <c r="E42" s="23"/>
      <c r="F42" s="23"/>
      <c r="G42" s="146"/>
      <c r="H42" s="21"/>
      <c r="I42" s="22"/>
    </row>
    <row r="43" spans="1:9" ht="18.75" customHeight="1" x14ac:dyDescent="0.25">
      <c r="A43" s="149"/>
      <c r="B43" s="23"/>
      <c r="C43" s="23"/>
      <c r="D43" s="23"/>
      <c r="E43" s="23"/>
      <c r="F43" s="23"/>
      <c r="G43" s="146"/>
      <c r="H43" s="21"/>
      <c r="I43" s="22"/>
    </row>
    <row r="44" spans="1:9" ht="18.75" customHeight="1" x14ac:dyDescent="0.25">
      <c r="A44" s="149"/>
      <c r="B44" s="23"/>
      <c r="C44" s="23"/>
      <c r="D44" s="23"/>
      <c r="E44" s="23"/>
      <c r="F44" s="23"/>
      <c r="G44" s="146"/>
      <c r="H44" s="21"/>
      <c r="I44" s="22"/>
    </row>
    <row r="45" spans="1:9" ht="18.75" customHeight="1" x14ac:dyDescent="0.25">
      <c r="A45" s="149"/>
      <c r="B45" s="23"/>
      <c r="C45" s="23"/>
      <c r="D45" s="23"/>
      <c r="E45" s="23"/>
      <c r="F45" s="23"/>
      <c r="G45" s="146"/>
      <c r="H45" s="21"/>
      <c r="I45" s="22"/>
    </row>
    <row r="46" spans="1:9" ht="18.75" customHeight="1" x14ac:dyDescent="0.25">
      <c r="A46" s="149"/>
      <c r="B46" s="23" t="s">
        <v>62</v>
      </c>
      <c r="C46" s="23"/>
      <c r="D46" s="23"/>
      <c r="E46" s="23"/>
      <c r="F46" s="23"/>
      <c r="G46" s="146" t="s">
        <v>64</v>
      </c>
      <c r="H46" s="199">
        <f>'Input &amp; Process'!H42</f>
        <v>250</v>
      </c>
      <c r="I46" s="22" t="s">
        <v>9</v>
      </c>
    </row>
    <row r="47" spans="1:9" ht="18.75" customHeight="1" x14ac:dyDescent="0.25">
      <c r="A47" s="149"/>
      <c r="B47" s="23" t="s">
        <v>815</v>
      </c>
      <c r="C47" s="23"/>
      <c r="D47" s="23"/>
      <c r="E47" s="23"/>
      <c r="F47" s="23"/>
      <c r="G47" s="146" t="s">
        <v>816</v>
      </c>
      <c r="H47" s="78">
        <f>'Input &amp; Process'!H43</f>
        <v>0</v>
      </c>
      <c r="I47" s="22" t="s">
        <v>2</v>
      </c>
    </row>
    <row r="48" spans="1:9" ht="18.75" customHeight="1" x14ac:dyDescent="0.25">
      <c r="A48" s="149"/>
      <c r="B48" s="23" t="s">
        <v>63</v>
      </c>
      <c r="C48" s="23"/>
      <c r="D48" s="23"/>
      <c r="E48" s="23"/>
      <c r="F48" s="23"/>
      <c r="G48" s="146" t="s">
        <v>824</v>
      </c>
      <c r="H48" s="199">
        <f>'Input &amp; Process'!H44</f>
        <v>100</v>
      </c>
      <c r="I48" s="22" t="s">
        <v>9</v>
      </c>
    </row>
    <row r="49" spans="1:9" ht="18.75" customHeight="1" x14ac:dyDescent="0.25">
      <c r="A49" s="149"/>
      <c r="B49" s="23" t="s">
        <v>164</v>
      </c>
      <c r="C49" s="23"/>
      <c r="D49" s="23"/>
      <c r="E49" s="23"/>
      <c r="F49" s="23"/>
      <c r="G49" s="146" t="s">
        <v>287</v>
      </c>
      <c r="H49" s="199">
        <f>'Input &amp; Process'!H45</f>
        <v>50</v>
      </c>
      <c r="I49" s="22" t="s">
        <v>9</v>
      </c>
    </row>
    <row r="50" spans="1:9" ht="18.75" customHeight="1" x14ac:dyDescent="0.25">
      <c r="A50" s="149"/>
      <c r="B50" s="23"/>
      <c r="C50" s="23"/>
      <c r="D50" s="23"/>
      <c r="E50" s="23"/>
      <c r="F50" s="23"/>
      <c r="G50" s="146"/>
      <c r="H50" s="189"/>
      <c r="I50" s="22"/>
    </row>
    <row r="51" spans="1:9" ht="18.75" customHeight="1" x14ac:dyDescent="0.25">
      <c r="A51" s="149"/>
      <c r="B51" s="23" t="s">
        <v>7</v>
      </c>
      <c r="C51" s="23"/>
      <c r="D51" s="23"/>
      <c r="E51" s="23"/>
      <c r="F51" s="23"/>
      <c r="G51" s="146" t="s">
        <v>8</v>
      </c>
      <c r="H51" s="199">
        <f>'Input &amp; Process'!H47</f>
        <v>380</v>
      </c>
      <c r="I51" s="22" t="s">
        <v>9</v>
      </c>
    </row>
    <row r="52" spans="1:9" ht="18.75" customHeight="1" x14ac:dyDescent="0.25">
      <c r="A52" s="149"/>
      <c r="B52" s="23" t="s">
        <v>16</v>
      </c>
      <c r="C52" s="23"/>
      <c r="D52" s="23"/>
      <c r="E52" s="23"/>
      <c r="F52" s="23"/>
      <c r="G52" s="146" t="s">
        <v>17</v>
      </c>
      <c r="H52" s="199">
        <f>'Input &amp; Process'!H48</f>
        <v>20</v>
      </c>
      <c r="I52" s="22" t="s">
        <v>9</v>
      </c>
    </row>
    <row r="53" spans="1:9" ht="18.75" customHeight="1" x14ac:dyDescent="0.25">
      <c r="A53" s="149"/>
      <c r="B53" s="23" t="s">
        <v>40</v>
      </c>
      <c r="C53" s="23"/>
      <c r="D53" s="23"/>
      <c r="E53" s="23"/>
      <c r="F53" s="23"/>
      <c r="G53" s="146" t="s">
        <v>41</v>
      </c>
      <c r="H53" s="199">
        <f>'Input &amp; Process'!H49</f>
        <v>20</v>
      </c>
      <c r="I53" s="22" t="s">
        <v>9</v>
      </c>
    </row>
    <row r="54" spans="1:9" ht="18.75" customHeight="1" x14ac:dyDescent="0.25">
      <c r="A54" s="149"/>
      <c r="B54" s="23" t="s">
        <v>10</v>
      </c>
      <c r="C54" s="23"/>
      <c r="D54" s="23"/>
      <c r="E54" s="23"/>
      <c r="F54" s="23"/>
      <c r="G54" s="146" t="s">
        <v>11</v>
      </c>
      <c r="H54" s="199">
        <f>'Input &amp; Process'!H50</f>
        <v>16</v>
      </c>
      <c r="I54" s="22" t="s">
        <v>9</v>
      </c>
    </row>
    <row r="55" spans="1:9" ht="18.75" customHeight="1" x14ac:dyDescent="0.25">
      <c r="A55" s="149"/>
      <c r="B55" s="23" t="s">
        <v>460</v>
      </c>
      <c r="C55" s="23"/>
      <c r="D55" s="23"/>
      <c r="E55" s="23"/>
      <c r="F55" s="23"/>
      <c r="G55" s="146" t="s">
        <v>462</v>
      </c>
      <c r="H55" s="280">
        <f>'Input &amp; Process'!H51</f>
        <v>200</v>
      </c>
      <c r="I55" s="22" t="s">
        <v>9</v>
      </c>
    </row>
    <row r="56" spans="1:9" ht="18.75" customHeight="1" x14ac:dyDescent="0.25">
      <c r="A56" s="149"/>
      <c r="B56" s="23" t="s">
        <v>461</v>
      </c>
      <c r="C56" s="23"/>
      <c r="D56" s="23"/>
      <c r="E56" s="23"/>
      <c r="F56" s="23"/>
      <c r="G56" s="146" t="s">
        <v>463</v>
      </c>
      <c r="H56" s="280">
        <f>'Input &amp; Process'!H52</f>
        <v>20</v>
      </c>
      <c r="I56" s="22" t="s">
        <v>9</v>
      </c>
    </row>
    <row r="57" spans="1:9" ht="18.75" customHeight="1" x14ac:dyDescent="0.25">
      <c r="A57" s="149"/>
      <c r="B57" s="23"/>
      <c r="C57" s="23"/>
      <c r="D57" s="23"/>
      <c r="E57" s="23"/>
      <c r="F57" s="23"/>
      <c r="G57" s="146"/>
      <c r="H57" s="185"/>
      <c r="I57" s="22"/>
    </row>
    <row r="58" spans="1:9" ht="18.75" customHeight="1" x14ac:dyDescent="0.25">
      <c r="A58" s="149"/>
      <c r="B58" s="23"/>
      <c r="C58" s="23"/>
      <c r="D58" s="23"/>
      <c r="E58" s="23"/>
      <c r="F58" s="23"/>
      <c r="G58" s="146"/>
      <c r="H58" s="162"/>
      <c r="I58" s="22"/>
    </row>
    <row r="59" spans="1:9" ht="18.75" customHeight="1" x14ac:dyDescent="0.25">
      <c r="A59" s="149"/>
      <c r="B59" s="23"/>
      <c r="C59" s="23"/>
      <c r="D59" s="23"/>
      <c r="E59" s="23"/>
      <c r="F59" s="23"/>
      <c r="G59" s="146"/>
      <c r="H59" s="162"/>
      <c r="I59" s="22"/>
    </row>
    <row r="60" spans="1:9" ht="18.75" customHeight="1" x14ac:dyDescent="0.25">
      <c r="A60" s="149"/>
      <c r="B60" s="23"/>
      <c r="C60" s="23"/>
      <c r="D60" s="23"/>
      <c r="E60" s="23"/>
      <c r="F60" s="23"/>
      <c r="G60" s="146"/>
      <c r="H60" s="162"/>
      <c r="I60" s="22"/>
    </row>
    <row r="61" spans="1:9" ht="18.75" customHeight="1" x14ac:dyDescent="0.25">
      <c r="A61" s="149"/>
      <c r="B61" s="23"/>
      <c r="C61" s="23"/>
      <c r="D61" s="23"/>
      <c r="E61" s="23"/>
      <c r="F61" s="23"/>
      <c r="G61" s="146"/>
      <c r="H61" s="162"/>
      <c r="I61" s="22"/>
    </row>
    <row r="62" spans="1:9" ht="18.75" customHeight="1" x14ac:dyDescent="0.25">
      <c r="A62" s="149"/>
      <c r="B62" s="23"/>
      <c r="C62" s="23"/>
      <c r="D62" s="23"/>
      <c r="E62" s="23"/>
      <c r="F62" s="23"/>
      <c r="G62" s="146"/>
      <c r="H62" s="162"/>
      <c r="I62" s="22"/>
    </row>
    <row r="63" spans="1:9" ht="18.75" customHeight="1" x14ac:dyDescent="0.25">
      <c r="A63" s="149"/>
      <c r="B63" s="23"/>
      <c r="C63" s="23"/>
      <c r="D63" s="23"/>
      <c r="E63" s="23"/>
      <c r="F63" s="23"/>
      <c r="G63" s="146"/>
      <c r="H63" s="162"/>
      <c r="I63" s="22"/>
    </row>
    <row r="64" spans="1:9" ht="18.75" customHeight="1" x14ac:dyDescent="0.25">
      <c r="A64" s="149"/>
      <c r="B64" s="23"/>
      <c r="C64" s="23"/>
      <c r="D64" s="23"/>
      <c r="E64" s="23"/>
      <c r="F64" s="23"/>
      <c r="G64" s="146"/>
      <c r="H64" s="162"/>
      <c r="I64" s="22"/>
    </row>
    <row r="65" spans="1:9" ht="18.75" customHeight="1" x14ac:dyDescent="0.25">
      <c r="A65" s="149"/>
      <c r="B65" s="23"/>
      <c r="C65" s="23"/>
      <c r="D65" s="23"/>
      <c r="E65" s="23"/>
      <c r="F65" s="23"/>
      <c r="G65" s="146"/>
      <c r="H65" s="162"/>
      <c r="I65" s="22"/>
    </row>
    <row r="66" spans="1:9" ht="18.75" customHeight="1" x14ac:dyDescent="0.25">
      <c r="A66" s="149"/>
      <c r="B66" s="23"/>
      <c r="C66" s="23"/>
      <c r="D66" s="23"/>
      <c r="E66" s="23"/>
      <c r="F66" s="23"/>
      <c r="G66" s="146"/>
      <c r="H66" s="162"/>
      <c r="I66" s="22"/>
    </row>
    <row r="67" spans="1:9" ht="18.75" customHeight="1" x14ac:dyDescent="0.25">
      <c r="A67" s="149"/>
      <c r="B67" s="23"/>
      <c r="C67" s="23"/>
      <c r="D67" s="23"/>
      <c r="E67" s="23"/>
      <c r="F67" s="23"/>
      <c r="G67" s="146"/>
      <c r="H67" s="162"/>
      <c r="I67" s="22"/>
    </row>
    <row r="68" spans="1:9" ht="18.75" customHeight="1" x14ac:dyDescent="0.25">
      <c r="A68" s="149"/>
      <c r="B68" s="23" t="s">
        <v>511</v>
      </c>
      <c r="C68" s="23"/>
      <c r="D68" s="23"/>
      <c r="E68" s="23"/>
      <c r="F68" s="23"/>
      <c r="G68" s="146" t="s">
        <v>147</v>
      </c>
      <c r="H68" s="199">
        <f>'Input &amp; Process'!H65</f>
        <v>3</v>
      </c>
      <c r="I68" s="22" t="s">
        <v>512</v>
      </c>
    </row>
    <row r="69" spans="1:9" ht="18.75" customHeight="1" x14ac:dyDescent="0.25">
      <c r="A69" s="149"/>
      <c r="B69" s="23" t="s">
        <v>830</v>
      </c>
      <c r="C69" s="23"/>
      <c r="D69" s="23"/>
      <c r="E69" s="23"/>
      <c r="F69" s="23"/>
      <c r="G69" s="146" t="s">
        <v>462</v>
      </c>
      <c r="H69" s="280">
        <f>'Input &amp; Process'!H66</f>
        <v>200</v>
      </c>
      <c r="I69" s="22" t="s">
        <v>9</v>
      </c>
    </row>
    <row r="70" spans="1:9" ht="18.75" customHeight="1" x14ac:dyDescent="0.25">
      <c r="A70" s="149"/>
      <c r="B70" s="23" t="s">
        <v>831</v>
      </c>
      <c r="C70" s="23"/>
      <c r="D70" s="23"/>
      <c r="E70" s="23"/>
      <c r="F70" s="23"/>
      <c r="G70" s="146" t="s">
        <v>463</v>
      </c>
      <c r="H70" s="280">
        <f>'Input &amp; Process'!H67</f>
        <v>20</v>
      </c>
      <c r="I70" s="22" t="s">
        <v>9</v>
      </c>
    </row>
    <row r="71" spans="1:9" ht="18.75" customHeight="1" x14ac:dyDescent="0.25">
      <c r="A71" s="149"/>
      <c r="B71" s="23" t="s">
        <v>832</v>
      </c>
      <c r="C71" s="23"/>
      <c r="D71" s="23"/>
      <c r="E71" s="23"/>
      <c r="F71" s="23"/>
      <c r="G71" s="146" t="s">
        <v>215</v>
      </c>
      <c r="H71" s="280">
        <f>'Input &amp; Process'!H68</f>
        <v>150</v>
      </c>
      <c r="I71" s="22" t="s">
        <v>9</v>
      </c>
    </row>
    <row r="72" spans="1:9" ht="18.75" customHeight="1" x14ac:dyDescent="0.25">
      <c r="A72" s="149"/>
      <c r="B72" s="23" t="s">
        <v>833</v>
      </c>
      <c r="C72" s="23"/>
      <c r="D72" s="23"/>
      <c r="E72" s="23"/>
      <c r="F72" s="23"/>
      <c r="G72" s="146" t="s">
        <v>528</v>
      </c>
      <c r="H72" s="280">
        <f>'Input &amp; Process'!H69</f>
        <v>400</v>
      </c>
      <c r="I72" s="22" t="s">
        <v>9</v>
      </c>
    </row>
    <row r="73" spans="1:9" ht="18.75" customHeight="1" x14ac:dyDescent="0.25">
      <c r="A73" s="149"/>
      <c r="B73" s="23" t="s">
        <v>358</v>
      </c>
      <c r="C73" s="23"/>
      <c r="D73" s="23"/>
      <c r="E73" s="23"/>
      <c r="F73" s="281" t="s">
        <v>356</v>
      </c>
      <c r="G73" s="282">
        <f>'Input &amp; Process'!G71</f>
        <v>25</v>
      </c>
      <c r="H73" s="283">
        <f>'Input &amp; Process'!H71</f>
        <v>150</v>
      </c>
      <c r="I73" s="22"/>
    </row>
    <row r="74" spans="1:9" ht="18.75" customHeight="1" x14ac:dyDescent="0.25">
      <c r="A74" s="149"/>
      <c r="B74" s="23" t="s">
        <v>357</v>
      </c>
      <c r="C74" s="23"/>
      <c r="D74" s="23"/>
      <c r="E74" s="23"/>
      <c r="F74" s="281" t="s">
        <v>356</v>
      </c>
      <c r="G74" s="282">
        <f>'Input &amp; Process'!G72</f>
        <v>25</v>
      </c>
      <c r="H74" s="283">
        <f>'Input &amp; Process'!H72</f>
        <v>150</v>
      </c>
      <c r="I74" s="22"/>
    </row>
    <row r="75" spans="1:9" ht="18.75" customHeight="1" x14ac:dyDescent="0.25">
      <c r="A75" s="149"/>
      <c r="B75" s="23" t="s">
        <v>362</v>
      </c>
      <c r="C75" s="23"/>
      <c r="D75" s="23"/>
      <c r="E75" s="23"/>
      <c r="F75" s="23"/>
      <c r="G75" s="146" t="s">
        <v>363</v>
      </c>
      <c r="H75" s="284">
        <f>'Input &amp; Process'!H73</f>
        <v>20</v>
      </c>
      <c r="I75" s="22" t="s">
        <v>9</v>
      </c>
    </row>
    <row r="76" spans="1:9" ht="18.75" customHeight="1" x14ac:dyDescent="0.25">
      <c r="A76" s="149"/>
      <c r="B76" s="23"/>
      <c r="C76" s="23"/>
      <c r="D76" s="23"/>
      <c r="E76" s="23"/>
      <c r="F76" s="23"/>
      <c r="G76" s="146"/>
      <c r="H76" s="21"/>
      <c r="I76" s="22"/>
    </row>
    <row r="77" spans="1:9" ht="18.75" customHeight="1" x14ac:dyDescent="0.25">
      <c r="A77" s="274" t="s">
        <v>770</v>
      </c>
      <c r="B77" s="142" t="s">
        <v>771</v>
      </c>
      <c r="C77" s="143"/>
      <c r="D77" s="143"/>
      <c r="E77" s="143"/>
      <c r="F77" s="143"/>
      <c r="G77" s="144"/>
      <c r="H77" s="143"/>
      <c r="I77" s="270"/>
    </row>
    <row r="78" spans="1:9" ht="18.75" customHeight="1" x14ac:dyDescent="0.25">
      <c r="A78" s="149"/>
      <c r="B78" s="23" t="s">
        <v>50</v>
      </c>
      <c r="C78" s="23"/>
      <c r="D78" s="23"/>
      <c r="E78" s="23"/>
      <c r="F78" s="23"/>
      <c r="G78" s="146" t="s">
        <v>54</v>
      </c>
      <c r="H78" s="78">
        <f>'Input &amp; Process'!H76</f>
        <v>78.599999999999994</v>
      </c>
      <c r="I78" s="22" t="s">
        <v>58</v>
      </c>
    </row>
    <row r="79" spans="1:9" ht="18.75" customHeight="1" x14ac:dyDescent="0.25">
      <c r="A79" s="149"/>
      <c r="B79" s="23" t="s">
        <v>51</v>
      </c>
      <c r="C79" s="23"/>
      <c r="D79" s="23"/>
      <c r="E79" s="23"/>
      <c r="F79" s="23"/>
      <c r="G79" s="146" t="s">
        <v>55</v>
      </c>
      <c r="H79" s="78">
        <f>'Input &amp; Process'!H77</f>
        <v>24</v>
      </c>
      <c r="I79" s="22" t="s">
        <v>58</v>
      </c>
    </row>
    <row r="80" spans="1:9" ht="18.75" customHeight="1" x14ac:dyDescent="0.25">
      <c r="A80" s="149"/>
      <c r="B80" s="23" t="s">
        <v>52</v>
      </c>
      <c r="C80" s="23"/>
      <c r="D80" s="23"/>
      <c r="E80" s="23"/>
      <c r="F80" s="23"/>
      <c r="G80" s="146" t="s">
        <v>56</v>
      </c>
      <c r="H80" s="78">
        <f>'Input &amp; Process'!H78</f>
        <v>22</v>
      </c>
      <c r="I80" s="22" t="s">
        <v>58</v>
      </c>
    </row>
    <row r="81" spans="1:9" ht="18.75" customHeight="1" x14ac:dyDescent="0.25">
      <c r="A81" s="149"/>
      <c r="B81" s="23" t="s">
        <v>53</v>
      </c>
      <c r="C81" s="23"/>
      <c r="D81" s="23"/>
      <c r="E81" s="23"/>
      <c r="F81" s="23"/>
      <c r="G81" s="146" t="s">
        <v>57</v>
      </c>
      <c r="H81" s="78">
        <f>'Input &amp; Process'!H79</f>
        <v>9.81</v>
      </c>
      <c r="I81" s="22" t="s">
        <v>58</v>
      </c>
    </row>
    <row r="82" spans="1:9" ht="18.75" customHeight="1" x14ac:dyDescent="0.25">
      <c r="A82" s="149"/>
      <c r="B82" s="23"/>
      <c r="C82" s="23"/>
      <c r="D82" s="23"/>
      <c r="E82" s="23"/>
      <c r="F82" s="23"/>
      <c r="G82" s="146"/>
      <c r="H82" s="21"/>
      <c r="I82" s="22"/>
    </row>
    <row r="83" spans="1:9" ht="18.75" customHeight="1" x14ac:dyDescent="0.25">
      <c r="A83" s="274" t="s">
        <v>828</v>
      </c>
      <c r="B83" s="142" t="s">
        <v>829</v>
      </c>
      <c r="C83" s="143"/>
      <c r="D83" s="143"/>
      <c r="E83" s="143"/>
      <c r="F83" s="143"/>
      <c r="G83" s="144"/>
      <c r="H83" s="143"/>
      <c r="I83" s="270"/>
    </row>
    <row r="84" spans="1:9" ht="18.75" customHeight="1" x14ac:dyDescent="0.25">
      <c r="A84" s="149"/>
      <c r="B84" s="169" t="s">
        <v>586</v>
      </c>
      <c r="C84" s="169"/>
      <c r="D84" s="169"/>
      <c r="E84" s="169"/>
      <c r="F84" s="169"/>
      <c r="G84" s="168" t="s">
        <v>593</v>
      </c>
      <c r="H84" s="78">
        <f>'Input &amp; Process'!H82</f>
        <v>0.6</v>
      </c>
      <c r="I84" s="272" t="s">
        <v>585</v>
      </c>
    </row>
    <row r="85" spans="1:9" ht="18.75" customHeight="1" x14ac:dyDescent="0.25">
      <c r="A85" s="149"/>
      <c r="B85" s="169" t="s">
        <v>587</v>
      </c>
      <c r="C85" s="169"/>
      <c r="D85" s="169"/>
      <c r="E85" s="169"/>
      <c r="F85" s="169"/>
      <c r="G85" s="168" t="s">
        <v>594</v>
      </c>
      <c r="H85" s="78">
        <f>'Input &amp; Process'!H83</f>
        <v>1.5</v>
      </c>
      <c r="I85" s="272" t="s">
        <v>585</v>
      </c>
    </row>
    <row r="86" spans="1:9" ht="18.75" customHeight="1" x14ac:dyDescent="0.25">
      <c r="A86" s="149"/>
      <c r="B86" s="169" t="s">
        <v>588</v>
      </c>
      <c r="C86" s="169"/>
      <c r="D86" s="169"/>
      <c r="E86" s="169"/>
      <c r="F86" s="169"/>
      <c r="G86" s="168" t="s">
        <v>595</v>
      </c>
      <c r="H86" s="78">
        <f>'Input &amp; Process'!H84</f>
        <v>0.5</v>
      </c>
      <c r="I86" s="272" t="s">
        <v>585</v>
      </c>
    </row>
    <row r="87" spans="1:9" ht="18.75" customHeight="1" x14ac:dyDescent="0.25">
      <c r="A87" s="149"/>
      <c r="B87" s="169" t="s">
        <v>589</v>
      </c>
      <c r="C87" s="169"/>
      <c r="D87" s="169"/>
      <c r="E87" s="169"/>
      <c r="F87" s="169"/>
      <c r="G87" s="168" t="s">
        <v>596</v>
      </c>
      <c r="H87" s="78">
        <f>'Input &amp; Process'!H85</f>
        <v>2</v>
      </c>
      <c r="I87" s="272" t="s">
        <v>585</v>
      </c>
    </row>
    <row r="88" spans="1:9" ht="18.75" customHeight="1" x14ac:dyDescent="0.25">
      <c r="A88" s="149"/>
      <c r="B88" s="169" t="s">
        <v>590</v>
      </c>
      <c r="C88" s="169"/>
      <c r="D88" s="169"/>
      <c r="E88" s="169"/>
      <c r="F88" s="169"/>
      <c r="G88" s="168" t="s">
        <v>597</v>
      </c>
      <c r="H88" s="78">
        <f>'Input &amp; Process'!H86</f>
        <v>13</v>
      </c>
      <c r="I88" s="272" t="s">
        <v>585</v>
      </c>
    </row>
    <row r="89" spans="1:9" ht="18.75" customHeight="1" x14ac:dyDescent="0.25">
      <c r="A89" s="149"/>
      <c r="B89" s="23"/>
      <c r="C89" s="23"/>
      <c r="D89" s="23"/>
      <c r="E89" s="23"/>
      <c r="F89" s="23"/>
      <c r="G89" s="146"/>
      <c r="H89" s="21"/>
      <c r="I89" s="22"/>
    </row>
    <row r="90" spans="1:9" ht="18.75" customHeight="1" x14ac:dyDescent="0.25">
      <c r="A90" s="274" t="s">
        <v>885</v>
      </c>
      <c r="B90" s="142" t="s">
        <v>886</v>
      </c>
      <c r="C90" s="143"/>
      <c r="D90" s="143"/>
      <c r="E90" s="143"/>
      <c r="F90" s="143"/>
      <c r="G90" s="144"/>
      <c r="H90" s="143"/>
      <c r="I90" s="270"/>
    </row>
    <row r="91" spans="1:9" ht="18.75" customHeight="1" x14ac:dyDescent="0.25">
      <c r="A91" s="149"/>
      <c r="B91" s="169" t="s">
        <v>888</v>
      </c>
      <c r="C91" s="169"/>
      <c r="D91" s="169"/>
      <c r="E91" s="169"/>
      <c r="F91" s="169"/>
      <c r="G91" s="23"/>
      <c r="H91" s="23"/>
      <c r="I91" s="23"/>
    </row>
    <row r="92" spans="1:9" ht="18.75" customHeight="1" x14ac:dyDescent="0.25">
      <c r="A92" s="149"/>
      <c r="B92" s="169" t="s">
        <v>887</v>
      </c>
      <c r="C92" s="169"/>
      <c r="D92" s="169"/>
      <c r="E92" s="169"/>
      <c r="F92" s="169"/>
      <c r="G92" s="168" t="s">
        <v>889</v>
      </c>
      <c r="H92" s="78">
        <f>'Input &amp; Process'!H89</f>
        <v>7060.3</v>
      </c>
      <c r="I92" s="272" t="s">
        <v>585</v>
      </c>
    </row>
    <row r="93" spans="1:9" ht="18.75" customHeight="1" x14ac:dyDescent="0.25">
      <c r="A93" s="149"/>
      <c r="B93" s="233"/>
      <c r="C93" s="23"/>
      <c r="D93" s="23"/>
      <c r="E93" s="23"/>
      <c r="F93" s="23"/>
      <c r="G93" s="146"/>
      <c r="H93" s="21"/>
      <c r="I93" s="22"/>
    </row>
    <row r="95" spans="1:9" ht="18.75" customHeight="1" x14ac:dyDescent="0.25">
      <c r="A95" s="273" t="s">
        <v>772</v>
      </c>
      <c r="B95" s="138" t="s">
        <v>873</v>
      </c>
      <c r="C95" s="139"/>
      <c r="D95" s="139"/>
      <c r="E95" s="139"/>
      <c r="F95" s="139"/>
      <c r="G95" s="140"/>
      <c r="H95" s="139"/>
      <c r="I95" s="269"/>
    </row>
    <row r="96" spans="1:9" ht="18.75" customHeight="1" x14ac:dyDescent="0.25">
      <c r="A96" s="308" t="s">
        <v>774</v>
      </c>
      <c r="B96" s="309" t="s">
        <v>873</v>
      </c>
      <c r="C96" s="143"/>
      <c r="D96" s="143"/>
      <c r="E96" s="143"/>
      <c r="F96" s="143"/>
      <c r="G96" s="144"/>
      <c r="H96" s="143"/>
      <c r="I96" s="270"/>
    </row>
    <row r="97" spans="2:9" ht="18.75" customHeight="1" x14ac:dyDescent="0.25">
      <c r="B97" s="22" t="s">
        <v>49</v>
      </c>
      <c r="C97" s="23"/>
      <c r="D97" s="23"/>
      <c r="E97" s="23"/>
      <c r="F97" s="23"/>
      <c r="G97" s="146"/>
      <c r="H97" s="21"/>
      <c r="I97" s="23"/>
    </row>
    <row r="98" spans="2:9" ht="18.75" customHeight="1" x14ac:dyDescent="0.25">
      <c r="B98" s="25" t="s">
        <v>19</v>
      </c>
      <c r="C98" s="23"/>
      <c r="D98" s="13" t="s">
        <v>344</v>
      </c>
      <c r="E98" s="21" t="s">
        <v>13</v>
      </c>
      <c r="F98" s="13" t="s">
        <v>12</v>
      </c>
      <c r="G98" s="146"/>
      <c r="H98" s="21"/>
      <c r="I98" s="23"/>
    </row>
    <row r="99" spans="2:9" ht="18.75" customHeight="1" x14ac:dyDescent="0.25">
      <c r="B99" s="22"/>
      <c r="C99" s="23"/>
      <c r="D99" s="13">
        <f>'Input &amp; Process'!M5</f>
        <v>16</v>
      </c>
      <c r="E99" s="21" t="str">
        <f>IF(D99&gt;=F99,"≥","&lt;")</f>
        <v>≥</v>
      </c>
      <c r="F99" s="13">
        <f>'Input &amp; Process'!O5</f>
        <v>13.733333333333333</v>
      </c>
      <c r="G99" s="149" t="s">
        <v>14</v>
      </c>
      <c r="H99" s="149" t="str">
        <f>IF(D99&gt;=F99,"[ OK ]","[ NOT OK ]")</f>
        <v>[ OK ]</v>
      </c>
      <c r="I99" s="23"/>
    </row>
    <row r="100" spans="2:9" ht="18.75" customHeight="1" x14ac:dyDescent="0.25">
      <c r="B100" s="22" t="s">
        <v>18</v>
      </c>
      <c r="C100" s="23"/>
      <c r="D100" s="23"/>
      <c r="E100" s="23"/>
      <c r="F100" s="23"/>
      <c r="G100" s="146"/>
      <c r="H100" s="21"/>
      <c r="I100" s="23"/>
    </row>
    <row r="101" spans="2:9" ht="18.75" customHeight="1" x14ac:dyDescent="0.25">
      <c r="B101" s="25" t="s">
        <v>19</v>
      </c>
      <c r="C101" s="23"/>
      <c r="D101" s="13" t="s">
        <v>21</v>
      </c>
      <c r="E101" s="21" t="s">
        <v>13</v>
      </c>
      <c r="F101" s="13" t="s">
        <v>20</v>
      </c>
      <c r="G101" s="146"/>
      <c r="H101" s="21"/>
      <c r="I101" s="23"/>
    </row>
    <row r="102" spans="2:9" ht="18.75" customHeight="1" x14ac:dyDescent="0.25">
      <c r="B102" s="22"/>
      <c r="C102" s="23"/>
      <c r="D102" s="13">
        <f>'Input &amp; Process'!M8</f>
        <v>20</v>
      </c>
      <c r="E102" s="21" t="str">
        <f>IF(D102&gt;=F102,"≥","&lt;")</f>
        <v>≥</v>
      </c>
      <c r="F102" s="13">
        <f>'Input &amp; Process'!O8</f>
        <v>17.600000000000001</v>
      </c>
      <c r="G102" s="149" t="s">
        <v>14</v>
      </c>
      <c r="H102" s="149" t="str">
        <f>IF(D102&gt;=F102,"[ OK ]","[ NOT OK ]")</f>
        <v>[ OK ]</v>
      </c>
      <c r="I102" s="23"/>
    </row>
    <row r="103" spans="2:9" ht="18.75" customHeight="1" x14ac:dyDescent="0.25">
      <c r="B103" s="22" t="s">
        <v>43</v>
      </c>
      <c r="C103" s="23"/>
      <c r="D103" s="23"/>
      <c r="E103" s="23"/>
      <c r="F103" s="23"/>
      <c r="G103" s="146"/>
      <c r="H103" s="21"/>
      <c r="I103" s="23"/>
    </row>
    <row r="104" spans="2:9" ht="18.75" customHeight="1" x14ac:dyDescent="0.25">
      <c r="B104" s="25" t="s">
        <v>19</v>
      </c>
      <c r="C104" s="23"/>
      <c r="D104" s="13" t="s">
        <v>44</v>
      </c>
      <c r="E104" s="21" t="s">
        <v>13</v>
      </c>
      <c r="F104" s="13" t="s">
        <v>15</v>
      </c>
      <c r="G104" s="146"/>
      <c r="H104" s="21"/>
      <c r="I104" s="23"/>
    </row>
    <row r="105" spans="2:9" ht="18.75" customHeight="1" x14ac:dyDescent="0.25">
      <c r="B105" s="22"/>
      <c r="C105" s="23"/>
      <c r="D105" s="13">
        <f>'Input &amp; Process'!M11</f>
        <v>380</v>
      </c>
      <c r="E105" s="21" t="str">
        <f>IF(D105&gt;=F105,"≥","&lt;")</f>
        <v>≥</v>
      </c>
      <c r="F105" s="13">
        <f>'Input &amp; Process'!O11</f>
        <v>343.33333333333331</v>
      </c>
      <c r="G105" s="149" t="s">
        <v>14</v>
      </c>
      <c r="H105" s="149" t="str">
        <f>IF(D105&gt;=F105,"[ OK ]","[ NOT OK ]")</f>
        <v>[ OK ]</v>
      </c>
      <c r="I105" s="23"/>
    </row>
    <row r="106" spans="2:9" ht="18.75" customHeight="1" x14ac:dyDescent="0.25">
      <c r="B106" s="22" t="s">
        <v>47</v>
      </c>
      <c r="C106" s="23"/>
      <c r="D106" s="23"/>
      <c r="E106" s="23"/>
      <c r="F106" s="23"/>
      <c r="G106" s="146"/>
      <c r="H106" s="21"/>
      <c r="I106" s="23"/>
    </row>
    <row r="107" spans="2:9" ht="18.75" customHeight="1" x14ac:dyDescent="0.25">
      <c r="B107" s="25" t="s">
        <v>19</v>
      </c>
      <c r="C107" s="23"/>
      <c r="D107" s="13" t="s">
        <v>343</v>
      </c>
      <c r="E107" s="21" t="s">
        <v>48</v>
      </c>
      <c r="F107" s="12">
        <v>12</v>
      </c>
      <c r="G107" s="146"/>
      <c r="H107" s="21"/>
      <c r="I107" s="151"/>
    </row>
    <row r="108" spans="2:9" ht="18.75" customHeight="1" x14ac:dyDescent="0.25">
      <c r="B108" s="22"/>
      <c r="C108" s="23"/>
      <c r="D108" s="13">
        <f>'Input &amp; Process'!M14</f>
        <v>9.5</v>
      </c>
      <c r="E108" s="21" t="str">
        <f>IF(D108&lt;=F108,"≤","&gt;")</f>
        <v>≤</v>
      </c>
      <c r="F108" s="13">
        <f>'Input &amp; Process'!O14</f>
        <v>12</v>
      </c>
      <c r="G108" s="149" t="s">
        <v>14</v>
      </c>
      <c r="H108" s="149" t="str">
        <f>IF(D108&lt;=F108,"[ OK ]","[ NOT OK ]")</f>
        <v>[ OK ]</v>
      </c>
      <c r="I108" s="151"/>
    </row>
    <row r="109" spans="2:9" ht="18.75" customHeight="1" x14ac:dyDescent="0.25">
      <c r="B109" s="22"/>
      <c r="C109" s="23"/>
      <c r="D109" s="21"/>
      <c r="E109" s="21"/>
      <c r="F109" s="21"/>
      <c r="G109" s="149"/>
      <c r="H109" s="149"/>
      <c r="I109" s="151"/>
    </row>
    <row r="110" spans="2:9" ht="18.75" customHeight="1" x14ac:dyDescent="0.25">
      <c r="B110" s="22" t="s">
        <v>345</v>
      </c>
      <c r="C110" s="23"/>
      <c r="D110" s="23"/>
      <c r="E110" s="23"/>
      <c r="F110" s="23"/>
      <c r="G110" s="146"/>
      <c r="H110" s="21"/>
      <c r="I110" s="151"/>
    </row>
    <row r="111" spans="2:9" ht="18.75" customHeight="1" x14ac:dyDescent="0.25">
      <c r="B111" s="25" t="s">
        <v>19</v>
      </c>
      <c r="C111" s="23"/>
      <c r="D111" s="13" t="s">
        <v>346</v>
      </c>
      <c r="E111" s="21" t="s">
        <v>48</v>
      </c>
      <c r="F111" s="12" t="s">
        <v>347</v>
      </c>
      <c r="G111" s="146"/>
      <c r="H111" s="21"/>
      <c r="I111" s="151"/>
    </row>
    <row r="112" spans="2:9" ht="18.75" customHeight="1" x14ac:dyDescent="0.25">
      <c r="B112" s="22"/>
      <c r="C112" s="23"/>
      <c r="D112" s="13">
        <f>'Input &amp; Process'!M17</f>
        <v>1800</v>
      </c>
      <c r="E112" s="21" t="str">
        <f>IF(D112&lt;=F112,"≤","&gt;")</f>
        <v>≤</v>
      </c>
      <c r="F112" s="13">
        <f>'Input &amp; Process'!O17</f>
        <v>10000</v>
      </c>
      <c r="G112" s="149" t="s">
        <v>14</v>
      </c>
      <c r="H112" s="149" t="str">
        <f>IF(D112&lt;=F112,"[ OK ]","[ NOT OK ]")</f>
        <v>[ OK ]</v>
      </c>
      <c r="I112" s="151"/>
    </row>
    <row r="113" spans="1:10" ht="18.75" customHeight="1" x14ac:dyDescent="0.25">
      <c r="A113" s="1"/>
      <c r="B113" s="23" t="s">
        <v>345</v>
      </c>
      <c r="C113" s="23"/>
      <c r="D113" s="23"/>
      <c r="E113" s="23"/>
      <c r="F113" s="23"/>
      <c r="G113" s="146"/>
      <c r="H113" s="21"/>
      <c r="I113" s="22"/>
      <c r="J113" s="151"/>
    </row>
    <row r="114" spans="1:10" ht="37.5" customHeight="1" x14ac:dyDescent="0.25">
      <c r="A114" s="1"/>
      <c r="B114" s="22" t="s">
        <v>19</v>
      </c>
      <c r="C114" s="23"/>
      <c r="D114" s="329" t="s">
        <v>952</v>
      </c>
      <c r="E114" s="21" t="s">
        <v>48</v>
      </c>
      <c r="F114" s="12">
        <v>2.5</v>
      </c>
      <c r="G114" s="146"/>
      <c r="H114" s="21"/>
      <c r="I114" s="22"/>
      <c r="J114" s="151"/>
    </row>
    <row r="115" spans="1:10" ht="18.75" customHeight="1" x14ac:dyDescent="0.25">
      <c r="A115" s="1"/>
      <c r="B115" s="23"/>
      <c r="C115" s="23"/>
      <c r="D115" s="12">
        <f>'Input &amp; Process'!M20</f>
        <v>1.511926605504587</v>
      </c>
      <c r="E115" s="21" t="str">
        <f>IF(D115&lt;=F115,"≤","&gt;")</f>
        <v>≤</v>
      </c>
      <c r="F115" s="12">
        <v>2.5</v>
      </c>
      <c r="G115" s="149" t="s">
        <v>14</v>
      </c>
      <c r="H115" s="149" t="str">
        <f>IF(D115&lt;=F115,"[ OK ]","[ NOT OK ]")</f>
        <v>[ OK ]</v>
      </c>
      <c r="I115" s="22"/>
      <c r="J115" s="151"/>
    </row>
    <row r="116" spans="1:10" ht="18.75" customHeight="1" x14ac:dyDescent="0.25">
      <c r="A116" s="1"/>
      <c r="B116" s="149"/>
      <c r="C116" s="166"/>
      <c r="D116" s="151"/>
      <c r="E116" s="151"/>
      <c r="F116" s="151"/>
      <c r="G116" s="151"/>
      <c r="H116" s="151"/>
      <c r="I116" s="151"/>
      <c r="J116" s="151"/>
    </row>
    <row r="117" spans="1:10" ht="18.75" customHeight="1" x14ac:dyDescent="0.25">
      <c r="B117" s="22" t="s">
        <v>291</v>
      </c>
      <c r="C117" s="23"/>
      <c r="D117" s="23"/>
      <c r="E117" s="23"/>
      <c r="F117" s="23"/>
      <c r="G117" s="146"/>
      <c r="H117" s="21"/>
      <c r="I117" s="151"/>
    </row>
    <row r="118" spans="1:10" ht="18.75" customHeight="1" x14ac:dyDescent="0.25">
      <c r="B118" s="25" t="s">
        <v>19</v>
      </c>
      <c r="C118" s="23"/>
      <c r="D118" s="13" t="s">
        <v>294</v>
      </c>
      <c r="E118" s="21" t="s">
        <v>13</v>
      </c>
      <c r="F118" s="12">
        <v>0.1</v>
      </c>
      <c r="G118" s="146"/>
      <c r="H118" s="21"/>
      <c r="I118" s="151"/>
    </row>
    <row r="119" spans="1:10" ht="18.75" customHeight="1" x14ac:dyDescent="0.25">
      <c r="B119" s="22"/>
      <c r="C119" s="23"/>
      <c r="D119" s="12">
        <f>'Input &amp; Process'!M24</f>
        <v>0.21111761704692139</v>
      </c>
      <c r="E119" s="21" t="str">
        <f>IF(D119&gt;=F119,"≥","&lt;")</f>
        <v>≥</v>
      </c>
      <c r="F119" s="12">
        <f>'Input &amp; Process'!O24</f>
        <v>0.1</v>
      </c>
      <c r="G119" s="149" t="s">
        <v>14</v>
      </c>
      <c r="H119" s="149" t="str">
        <f>IF(D119&gt;=F119,"[ OK ]","[ NOT OK ]")</f>
        <v>[ OK ]</v>
      </c>
      <c r="I119" s="151"/>
    </row>
    <row r="120" spans="1:10" ht="37.5" customHeight="1" x14ac:dyDescent="0.25">
      <c r="B120" s="25" t="s">
        <v>19</v>
      </c>
      <c r="C120" s="23"/>
      <c r="D120" s="13" t="s">
        <v>294</v>
      </c>
      <c r="E120" s="21" t="s">
        <v>48</v>
      </c>
      <c r="F120" s="12">
        <v>10</v>
      </c>
      <c r="G120" s="146"/>
      <c r="H120" s="21"/>
      <c r="I120" s="23"/>
    </row>
    <row r="121" spans="1:10" ht="18.75" customHeight="1" x14ac:dyDescent="0.25">
      <c r="B121" s="23"/>
      <c r="C121" s="23"/>
      <c r="D121" s="12">
        <f>'Input &amp; Process'!M26</f>
        <v>0.21111761704692139</v>
      </c>
      <c r="E121" s="21" t="str">
        <f>IF(D121&lt;=F121,"≤","&gt;")</f>
        <v>≤</v>
      </c>
      <c r="F121" s="12">
        <f>'Input &amp; Process'!O26</f>
        <v>10</v>
      </c>
      <c r="G121" s="149" t="s">
        <v>14</v>
      </c>
      <c r="H121" s="149" t="str">
        <f>IF(D121&lt;=F121,"[ OK ]","[ NOT OK ]")</f>
        <v>[ OK ]</v>
      </c>
      <c r="I121" s="23"/>
    </row>
    <row r="122" spans="1:10" ht="18.75" customHeight="1" x14ac:dyDescent="0.25">
      <c r="B122" s="23"/>
      <c r="C122" s="23"/>
      <c r="D122" s="23"/>
      <c r="E122" s="23"/>
      <c r="F122" s="23"/>
      <c r="G122" s="23"/>
      <c r="H122" s="23"/>
      <c r="I122" s="23"/>
    </row>
    <row r="123" spans="1:10" ht="37.5" customHeight="1" x14ac:dyDescent="0.25">
      <c r="A123" s="310" t="s">
        <v>776</v>
      </c>
      <c r="B123" s="354" t="s">
        <v>874</v>
      </c>
      <c r="C123" s="354"/>
      <c r="D123" s="354"/>
      <c r="E123" s="354"/>
      <c r="F123" s="354"/>
      <c r="G123" s="354"/>
      <c r="H123" s="354"/>
      <c r="I123" s="354"/>
    </row>
    <row r="124" spans="1:10" ht="18.75" customHeight="1" x14ac:dyDescent="0.25">
      <c r="B124" s="22" t="s">
        <v>348</v>
      </c>
      <c r="C124" s="23"/>
      <c r="D124" s="23"/>
      <c r="E124" s="23"/>
      <c r="F124" s="23"/>
      <c r="G124" s="146"/>
      <c r="H124" s="21"/>
      <c r="I124" s="22"/>
    </row>
    <row r="125" spans="1:10" ht="18.75" customHeight="1" x14ac:dyDescent="0.25">
      <c r="B125" s="25" t="s">
        <v>19</v>
      </c>
      <c r="C125" s="23"/>
      <c r="D125" s="71" t="s">
        <v>352</v>
      </c>
      <c r="E125" s="21" t="s">
        <v>48</v>
      </c>
      <c r="F125" s="68" t="s">
        <v>351</v>
      </c>
      <c r="G125" s="146"/>
      <c r="H125" s="21"/>
      <c r="I125" s="22"/>
    </row>
    <row r="126" spans="1:10" s="77" customFormat="1" ht="18.75" customHeight="1" x14ac:dyDescent="0.25">
      <c r="A126" s="268"/>
      <c r="B126" s="23"/>
      <c r="C126" s="23"/>
      <c r="D126" s="12">
        <f>'Input &amp; Process'!M31</f>
        <v>38407.420453532002</v>
      </c>
      <c r="E126" s="21" t="str">
        <f>IF(D126&lt;=F126,"≤","&gt;")</f>
        <v>≤</v>
      </c>
      <c r="F126" s="12">
        <f>'Input &amp; Process'!O31</f>
        <v>48784.238420800779</v>
      </c>
      <c r="G126" s="149" t="s">
        <v>14</v>
      </c>
      <c r="H126" s="149" t="str">
        <f>IF(D126&lt;=F126,"[ OK ]","[ NOT OK ]")</f>
        <v>[ OK ]</v>
      </c>
      <c r="I126" s="22"/>
    </row>
    <row r="127" spans="1:10" ht="18.75" customHeight="1" x14ac:dyDescent="0.25">
      <c r="B127" s="169"/>
      <c r="C127" s="169"/>
      <c r="D127" s="169"/>
      <c r="E127" s="169"/>
      <c r="F127" s="169"/>
      <c r="G127" s="169"/>
      <c r="H127" s="169"/>
      <c r="I127" s="169"/>
    </row>
    <row r="128" spans="1:10" ht="18.75" customHeight="1" x14ac:dyDescent="0.25">
      <c r="A128" s="310" t="s">
        <v>777</v>
      </c>
      <c r="B128" s="354" t="s">
        <v>875</v>
      </c>
      <c r="C128" s="354"/>
      <c r="D128" s="354"/>
      <c r="E128" s="354"/>
      <c r="F128" s="354"/>
      <c r="G128" s="354"/>
      <c r="H128" s="354"/>
      <c r="I128" s="354"/>
    </row>
    <row r="129" spans="1:9" ht="18.75" customHeight="1" x14ac:dyDescent="0.25">
      <c r="A129" s="312" t="s">
        <v>924</v>
      </c>
      <c r="B129" s="302" t="s">
        <v>787</v>
      </c>
      <c r="C129" s="299"/>
      <c r="D129" s="299"/>
      <c r="E129" s="299"/>
      <c r="F129" s="299"/>
      <c r="G129" s="300"/>
      <c r="H129" s="299"/>
      <c r="I129" s="301"/>
    </row>
    <row r="130" spans="1:9" ht="18.75" customHeight="1" x14ac:dyDescent="0.25">
      <c r="B130" s="22" t="s">
        <v>348</v>
      </c>
      <c r="C130" s="23"/>
      <c r="D130" s="23"/>
      <c r="E130" s="23"/>
      <c r="F130" s="23"/>
      <c r="G130" s="146"/>
      <c r="H130" s="21"/>
      <c r="I130" s="22"/>
    </row>
    <row r="131" spans="1:9" s="77" customFormat="1" ht="18.75" customHeight="1" x14ac:dyDescent="0.25">
      <c r="A131" s="268"/>
      <c r="B131" s="25" t="s">
        <v>19</v>
      </c>
      <c r="C131" s="23"/>
      <c r="D131" s="71" t="s">
        <v>352</v>
      </c>
      <c r="E131" s="21" t="s">
        <v>48</v>
      </c>
      <c r="F131" s="68" t="s">
        <v>351</v>
      </c>
      <c r="G131" s="146"/>
      <c r="H131" s="21"/>
      <c r="I131" s="22"/>
    </row>
    <row r="132" spans="1:9" ht="18.75" customHeight="1" x14ac:dyDescent="0.25">
      <c r="B132" s="23"/>
      <c r="C132" s="23"/>
      <c r="D132" s="12">
        <f>'Input &amp; Process'!M37</f>
        <v>38407.420453532002</v>
      </c>
      <c r="E132" s="21" t="str">
        <f>IF(D132&lt;=F132,"≤","&gt;")</f>
        <v>≤</v>
      </c>
      <c r="F132" s="12">
        <f>'Input &amp; Process'!O37</f>
        <v>48784.238420800779</v>
      </c>
      <c r="G132" s="149" t="s">
        <v>14</v>
      </c>
      <c r="H132" s="149" t="str">
        <f>IF(D132&lt;=F132,"[ OK ]","[ NOT OK ]")</f>
        <v>[ OK ]</v>
      </c>
      <c r="I132" s="22"/>
    </row>
    <row r="133" spans="1:9" ht="18.75" customHeight="1" x14ac:dyDescent="0.25">
      <c r="B133" s="23"/>
      <c r="C133" s="23"/>
      <c r="D133" s="23"/>
      <c r="E133" s="23"/>
      <c r="F133" s="23"/>
      <c r="G133" s="23"/>
      <c r="H133" s="23"/>
      <c r="I133" s="23"/>
    </row>
    <row r="134" spans="1:9" ht="18.75" customHeight="1" x14ac:dyDescent="0.25">
      <c r="A134" s="312" t="s">
        <v>922</v>
      </c>
      <c r="B134" s="302" t="s">
        <v>788</v>
      </c>
      <c r="C134" s="299"/>
      <c r="D134" s="299"/>
      <c r="E134" s="299"/>
      <c r="F134" s="299"/>
      <c r="G134" s="300"/>
      <c r="H134" s="313" t="str">
        <f>'Input &amp; Process'!Q39</f>
        <v>[tidak perlu]</v>
      </c>
      <c r="I134" s="301"/>
    </row>
    <row r="135" spans="1:9" ht="18.75" customHeight="1" x14ac:dyDescent="0.25">
      <c r="B135" s="160" t="s">
        <v>410</v>
      </c>
      <c r="C135" s="23"/>
      <c r="D135" s="23"/>
      <c r="E135" s="23"/>
      <c r="F135" s="23"/>
      <c r="G135" s="23"/>
      <c r="H135" s="23"/>
      <c r="I135" s="23"/>
    </row>
    <row r="136" spans="1:9" ht="18.75" customHeight="1" x14ac:dyDescent="0.25">
      <c r="B136" s="22" t="s">
        <v>439</v>
      </c>
      <c r="C136" s="23"/>
      <c r="D136" s="23"/>
      <c r="E136" s="23"/>
      <c r="F136" s="23"/>
      <c r="G136" s="146"/>
      <c r="H136" s="21"/>
      <c r="I136" s="22"/>
    </row>
    <row r="137" spans="1:9" ht="18.75" customHeight="1" x14ac:dyDescent="0.25">
      <c r="B137" s="25" t="s">
        <v>19</v>
      </c>
      <c r="C137" s="23"/>
      <c r="D137" s="71" t="s">
        <v>441</v>
      </c>
      <c r="E137" s="21" t="s">
        <v>48</v>
      </c>
      <c r="F137" s="68" t="s">
        <v>442</v>
      </c>
      <c r="G137" s="146"/>
      <c r="H137" s="21"/>
      <c r="I137" s="22"/>
    </row>
    <row r="138" spans="1:9" ht="18.75" customHeight="1" x14ac:dyDescent="0.25">
      <c r="B138" s="23"/>
      <c r="C138" s="23"/>
      <c r="D138" s="12" t="str">
        <f>'Input &amp; Process'!M43</f>
        <v/>
      </c>
      <c r="E138" s="21" t="str">
        <f>IF(D138&lt;=F138,"≤","&gt;")</f>
        <v>≤</v>
      </c>
      <c r="F138" s="12" t="str">
        <f>'Input &amp; Process'!O43</f>
        <v/>
      </c>
      <c r="G138" s="149" t="s">
        <v>14</v>
      </c>
      <c r="H138" s="149" t="str">
        <f>IF(D138&lt;=F138,"[ OK ]","[ NOT OK ]")</f>
        <v>[ OK ]</v>
      </c>
      <c r="I138" s="22"/>
    </row>
    <row r="139" spans="1:9" ht="18.75" customHeight="1" x14ac:dyDescent="0.25">
      <c r="B139" s="160" t="s">
        <v>440</v>
      </c>
      <c r="C139" s="169"/>
      <c r="D139" s="85"/>
      <c r="E139" s="170"/>
      <c r="F139" s="86"/>
      <c r="G139" s="168"/>
      <c r="H139" s="170"/>
      <c r="I139" s="166"/>
    </row>
    <row r="140" spans="1:9" ht="18.75" customHeight="1" x14ac:dyDescent="0.25">
      <c r="B140" s="22" t="s">
        <v>439</v>
      </c>
      <c r="C140" s="23"/>
      <c r="D140" s="23"/>
      <c r="E140" s="23"/>
      <c r="F140" s="23"/>
      <c r="G140" s="146"/>
      <c r="H140" s="21"/>
      <c r="I140" s="22"/>
    </row>
    <row r="141" spans="1:9" ht="18.75" customHeight="1" x14ac:dyDescent="0.25">
      <c r="B141" s="25" t="s">
        <v>19</v>
      </c>
      <c r="C141" s="23"/>
      <c r="D141" s="71" t="s">
        <v>441</v>
      </c>
      <c r="E141" s="21" t="s">
        <v>48</v>
      </c>
      <c r="F141" s="68" t="s">
        <v>445</v>
      </c>
      <c r="G141" s="146"/>
      <c r="H141" s="21"/>
      <c r="I141" s="22"/>
    </row>
    <row r="142" spans="1:9" ht="18.75" customHeight="1" x14ac:dyDescent="0.25">
      <c r="B142" s="23"/>
      <c r="C142" s="23"/>
      <c r="D142" s="12" t="str">
        <f>'Input &amp; Process'!M47</f>
        <v/>
      </c>
      <c r="E142" s="21" t="str">
        <f>IF(D142&lt;=F142,"≤","&gt;")</f>
        <v>≤</v>
      </c>
      <c r="F142" s="12" t="str">
        <f>'Input &amp; Process'!O47</f>
        <v/>
      </c>
      <c r="G142" s="149" t="s">
        <v>14</v>
      </c>
      <c r="H142" s="149" t="str">
        <f>IF(D142&lt;=F142,"[ OK ]","[ NOT OK ]")</f>
        <v>[ OK ]</v>
      </c>
      <c r="I142" s="22"/>
    </row>
    <row r="143" spans="1:9" ht="18.75" customHeight="1" x14ac:dyDescent="0.25">
      <c r="B143" s="151"/>
      <c r="C143" s="151"/>
      <c r="D143" s="151"/>
      <c r="E143" s="151"/>
      <c r="F143" s="151"/>
      <c r="G143" s="159"/>
      <c r="H143" s="162"/>
      <c r="I143" s="166"/>
    </row>
    <row r="144" spans="1:9" ht="18.75" customHeight="1" x14ac:dyDescent="0.25">
      <c r="A144" s="310" t="s">
        <v>920</v>
      </c>
      <c r="B144" s="309" t="s">
        <v>876</v>
      </c>
      <c r="C144" s="143"/>
      <c r="D144" s="143"/>
      <c r="E144" s="143"/>
      <c r="F144" s="143"/>
      <c r="G144" s="144"/>
      <c r="H144" s="143"/>
      <c r="I144" s="270"/>
    </row>
    <row r="145" spans="1:9" ht="18.75" customHeight="1" x14ac:dyDescent="0.25">
      <c r="A145" s="312" t="s">
        <v>924</v>
      </c>
      <c r="B145" s="302" t="s">
        <v>801</v>
      </c>
      <c r="C145" s="299"/>
      <c r="D145" s="299"/>
      <c r="E145" s="299"/>
      <c r="F145" s="299"/>
      <c r="G145" s="300"/>
      <c r="H145" s="299"/>
      <c r="I145" s="301"/>
    </row>
    <row r="146" spans="1:9" ht="18.75" customHeight="1" x14ac:dyDescent="0.25">
      <c r="B146" s="22" t="s">
        <v>495</v>
      </c>
      <c r="C146" s="23"/>
      <c r="D146" s="23"/>
      <c r="E146" s="23"/>
      <c r="F146" s="23"/>
      <c r="G146" s="146"/>
      <c r="H146" s="21"/>
      <c r="I146" s="22"/>
    </row>
    <row r="147" spans="1:9" ht="18.75" customHeight="1" x14ac:dyDescent="0.25">
      <c r="B147" s="25" t="s">
        <v>19</v>
      </c>
      <c r="C147" s="23"/>
      <c r="D147" s="199" t="s">
        <v>496</v>
      </c>
      <c r="E147" s="162" t="s">
        <v>48</v>
      </c>
      <c r="F147" s="78" t="s">
        <v>883</v>
      </c>
      <c r="G147" s="146"/>
      <c r="H147" s="21"/>
      <c r="I147" s="22"/>
    </row>
    <row r="148" spans="1:9" s="77" customFormat="1" ht="18.75" customHeight="1" x14ac:dyDescent="0.25">
      <c r="A148" s="268"/>
      <c r="B148" s="23"/>
      <c r="C148" s="23"/>
      <c r="D148" s="78">
        <f>'Input &amp; Process'!M53</f>
        <v>2633.2775712471116</v>
      </c>
      <c r="E148" s="162" t="str">
        <f>IF(D148&lt;=F148,"≤","&gt;")</f>
        <v>&gt;</v>
      </c>
      <c r="F148" s="78">
        <f>'Input &amp; Process'!O53</f>
        <v>1810.5910679611652</v>
      </c>
      <c r="G148" s="149" t="str">
        <f>IF(D148&lt;=F148,"→",IF(D160&lt;=F160,IF(D170&lt;=F170,"","→"),"→"))</f>
        <v/>
      </c>
      <c r="H148" s="149" t="str">
        <f>IF(D148&lt;=F148,"[ OK ]",IF(D160&lt;=F160,IF(D170&lt;=F170,"","[ NOT OK ]"),"[ NOT OK ]"))</f>
        <v/>
      </c>
      <c r="I148" s="22"/>
    </row>
    <row r="149" spans="1:9" ht="18.75" customHeight="1" x14ac:dyDescent="0.25">
      <c r="B149" s="286" t="str">
        <f>'Input &amp; Process'!K54</f>
        <v>→ Analisa dengan pelat pengaku transversal diperlukan</v>
      </c>
      <c r="C149" s="23"/>
      <c r="D149" s="23"/>
      <c r="E149" s="23"/>
      <c r="F149" s="23"/>
      <c r="G149" s="146"/>
      <c r="H149" s="21"/>
      <c r="I149" s="22"/>
    </row>
    <row r="150" spans="1:9" ht="18.75" customHeight="1" x14ac:dyDescent="0.25">
      <c r="B150" s="286"/>
      <c r="C150" s="23"/>
      <c r="D150" s="23"/>
      <c r="E150" s="23"/>
      <c r="F150" s="23"/>
      <c r="G150" s="146"/>
      <c r="H150" s="21"/>
      <c r="I150" s="22"/>
    </row>
    <row r="151" spans="1:9" ht="18.75" customHeight="1" x14ac:dyDescent="0.25">
      <c r="A151" s="312" t="s">
        <v>922</v>
      </c>
      <c r="B151" s="302" t="s">
        <v>803</v>
      </c>
      <c r="C151" s="299"/>
      <c r="D151" s="299"/>
      <c r="E151" s="299"/>
      <c r="F151" s="299"/>
      <c r="G151" s="300"/>
      <c r="H151" s="299"/>
      <c r="I151" s="301"/>
    </row>
    <row r="152" spans="1:9" ht="18.75" customHeight="1" x14ac:dyDescent="0.25">
      <c r="B152" s="160" t="s">
        <v>649</v>
      </c>
      <c r="C152" s="153"/>
      <c r="D152" s="153"/>
      <c r="E152" s="153"/>
      <c r="F152" s="153"/>
      <c r="G152" s="154"/>
      <c r="H152" s="172"/>
      <c r="I152" s="285"/>
    </row>
    <row r="153" spans="1:9" ht="18.75" customHeight="1" x14ac:dyDescent="0.25">
      <c r="B153" s="22" t="s">
        <v>477</v>
      </c>
      <c r="C153" s="23"/>
      <c r="D153" s="23"/>
      <c r="E153" s="23"/>
      <c r="F153" s="23"/>
      <c r="G153" s="146"/>
      <c r="H153" s="21"/>
      <c r="I153" s="22"/>
    </row>
    <row r="154" spans="1:9" ht="18.75" customHeight="1" x14ac:dyDescent="0.25">
      <c r="B154" s="22" t="s">
        <v>478</v>
      </c>
      <c r="C154" s="23"/>
      <c r="D154" s="23"/>
      <c r="E154" s="23"/>
      <c r="F154" s="23"/>
      <c r="G154" s="146"/>
      <c r="H154" s="21"/>
      <c r="I154" s="22"/>
    </row>
    <row r="155" spans="1:9" ht="18.75" customHeight="1" x14ac:dyDescent="0.25">
      <c r="B155" s="25" t="s">
        <v>466</v>
      </c>
      <c r="C155" s="23"/>
      <c r="D155" s="71" t="s">
        <v>479</v>
      </c>
      <c r="E155" s="21" t="s">
        <v>13</v>
      </c>
      <c r="F155" s="68" t="s">
        <v>882</v>
      </c>
      <c r="G155" s="146"/>
      <c r="H155" s="21"/>
      <c r="I155" s="22"/>
    </row>
    <row r="156" spans="1:9" ht="18.75" customHeight="1" x14ac:dyDescent="0.25">
      <c r="B156" s="22"/>
      <c r="C156" s="23"/>
      <c r="D156" s="18">
        <f>'Input &amp; Process'!M61</f>
        <v>1.3333333333333332E-5</v>
      </c>
      <c r="E156" s="21" t="str">
        <f>IF(D156&gt;=F156,"≥","&lt;")</f>
        <v>≥</v>
      </c>
      <c r="F156" s="18">
        <f>'Input &amp; Process'!O61</f>
        <v>4.2188800000000007E-6</v>
      </c>
      <c r="G156" s="149" t="s">
        <v>14</v>
      </c>
      <c r="H156" s="149" t="str">
        <f>IF(D156&gt;=F156,"[ OK ]","[ NOT OK ]")</f>
        <v>[ OK ]</v>
      </c>
      <c r="I156" s="22"/>
    </row>
    <row r="157" spans="1:9" ht="18.75" customHeight="1" x14ac:dyDescent="0.25">
      <c r="B157" s="22"/>
      <c r="C157" s="23"/>
      <c r="D157" s="23"/>
      <c r="E157" s="23"/>
      <c r="F157" s="23"/>
      <c r="G157" s="146"/>
      <c r="H157" s="21"/>
      <c r="I157" s="22"/>
    </row>
    <row r="158" spans="1:9" ht="18.75" customHeight="1" x14ac:dyDescent="0.25">
      <c r="B158" s="22" t="s">
        <v>495</v>
      </c>
      <c r="C158" s="23"/>
      <c r="D158" s="23"/>
      <c r="E158" s="23"/>
      <c r="F158" s="23"/>
      <c r="G158" s="146"/>
      <c r="H158" s="21"/>
      <c r="I158" s="22"/>
    </row>
    <row r="159" spans="1:9" ht="18.75" customHeight="1" x14ac:dyDescent="0.25">
      <c r="B159" s="25" t="s">
        <v>19</v>
      </c>
      <c r="C159" s="23"/>
      <c r="D159" s="199" t="s">
        <v>496</v>
      </c>
      <c r="E159" s="162" t="s">
        <v>48</v>
      </c>
      <c r="F159" s="78" t="s">
        <v>883</v>
      </c>
      <c r="G159" s="146"/>
      <c r="H159" s="21"/>
      <c r="I159" s="22"/>
    </row>
    <row r="160" spans="1:9" ht="18.75" customHeight="1" x14ac:dyDescent="0.25">
      <c r="B160" s="22"/>
      <c r="C160" s="23"/>
      <c r="D160" s="78">
        <f>'Input &amp; Process'!M65</f>
        <v>2633.2775712471116</v>
      </c>
      <c r="E160" s="162" t="str">
        <f>IF(D160&lt;=F160,"≤","&gt;")</f>
        <v>≤</v>
      </c>
      <c r="F160" s="78">
        <f>'Input &amp; Process'!O65</f>
        <v>2664.3048741833877</v>
      </c>
      <c r="G160" s="149" t="s">
        <v>14</v>
      </c>
      <c r="H160" s="149" t="str">
        <f>IF(D160&lt;=F160,"[ OK ]","[ NOT OK ]")</f>
        <v>[ OK ]</v>
      </c>
      <c r="I160" s="22"/>
    </row>
    <row r="161" spans="1:9" ht="18.75" customHeight="1" x14ac:dyDescent="0.25">
      <c r="B161" s="22"/>
      <c r="C161" s="23"/>
      <c r="D161" s="70"/>
      <c r="E161" s="21"/>
      <c r="F161" s="70"/>
      <c r="G161" s="149"/>
      <c r="H161" s="149"/>
      <c r="I161" s="22"/>
    </row>
    <row r="162" spans="1:9" ht="18.75" customHeight="1" x14ac:dyDescent="0.25">
      <c r="B162" s="160" t="s">
        <v>651</v>
      </c>
      <c r="C162" s="153"/>
      <c r="D162" s="153"/>
      <c r="E162" s="153"/>
      <c r="F162" s="153"/>
      <c r="G162" s="154"/>
      <c r="H162" s="172"/>
      <c r="I162" s="285"/>
    </row>
    <row r="163" spans="1:9" ht="18.75" customHeight="1" x14ac:dyDescent="0.25">
      <c r="B163" s="22" t="s">
        <v>477</v>
      </c>
      <c r="C163" s="23"/>
      <c r="D163" s="23"/>
      <c r="E163" s="23"/>
      <c r="F163" s="23"/>
      <c r="G163" s="146"/>
      <c r="H163" s="21"/>
      <c r="I163" s="22"/>
    </row>
    <row r="164" spans="1:9" ht="18.75" customHeight="1" x14ac:dyDescent="0.25">
      <c r="B164" s="22" t="s">
        <v>478</v>
      </c>
      <c r="C164" s="23"/>
      <c r="D164" s="23"/>
      <c r="E164" s="23"/>
      <c r="F164" s="23"/>
      <c r="G164" s="146"/>
      <c r="H164" s="21"/>
      <c r="I164" s="22"/>
    </row>
    <row r="165" spans="1:9" ht="18.75" customHeight="1" x14ac:dyDescent="0.25">
      <c r="B165" s="25" t="s">
        <v>466</v>
      </c>
      <c r="C165" s="23"/>
      <c r="D165" s="71" t="s">
        <v>479</v>
      </c>
      <c r="E165" s="21" t="s">
        <v>13</v>
      </c>
      <c r="F165" s="68" t="s">
        <v>882</v>
      </c>
      <c r="G165" s="146"/>
      <c r="H165" s="21"/>
      <c r="I165" s="22"/>
    </row>
    <row r="166" spans="1:9" ht="18.75" customHeight="1" x14ac:dyDescent="0.25">
      <c r="B166" s="22"/>
      <c r="C166" s="23"/>
      <c r="D166" s="18">
        <f>'Input &amp; Process'!M71</f>
        <v>1.3333333333333332E-5</v>
      </c>
      <c r="E166" s="21" t="str">
        <f>IF(D166&gt;=F166,"≥","&lt;")</f>
        <v>≥</v>
      </c>
      <c r="F166" s="18">
        <f>'Input &amp; Process'!O71</f>
        <v>4.2188800000000007E-6</v>
      </c>
      <c r="G166" s="149" t="s">
        <v>14</v>
      </c>
      <c r="H166" s="149" t="str">
        <f>IF(D166&gt;=F166,"[ OK ]","[ NOT OK ]")</f>
        <v>[ OK ]</v>
      </c>
      <c r="I166" s="22"/>
    </row>
    <row r="167" spans="1:9" ht="18.75" customHeight="1" x14ac:dyDescent="0.25">
      <c r="B167" s="22"/>
      <c r="C167" s="23"/>
      <c r="D167" s="23"/>
      <c r="E167" s="23"/>
      <c r="F167" s="23"/>
      <c r="G167" s="146"/>
      <c r="H167" s="21"/>
      <c r="I167" s="22"/>
    </row>
    <row r="168" spans="1:9" ht="18.75" customHeight="1" x14ac:dyDescent="0.25">
      <c r="B168" s="22" t="s">
        <v>495</v>
      </c>
      <c r="C168" s="23"/>
      <c r="D168" s="23"/>
      <c r="E168" s="23"/>
      <c r="F168" s="23"/>
      <c r="G168" s="146"/>
      <c r="H168" s="21"/>
      <c r="I168" s="22"/>
    </row>
    <row r="169" spans="1:9" s="77" customFormat="1" ht="18.75" customHeight="1" x14ac:dyDescent="0.25">
      <c r="A169" s="268"/>
      <c r="B169" s="25" t="s">
        <v>19</v>
      </c>
      <c r="C169" s="23"/>
      <c r="D169" s="199" t="s">
        <v>884</v>
      </c>
      <c r="E169" s="162" t="s">
        <v>48</v>
      </c>
      <c r="F169" s="78" t="s">
        <v>883</v>
      </c>
      <c r="G169" s="146"/>
      <c r="H169" s="21"/>
      <c r="I169" s="22"/>
    </row>
    <row r="170" spans="1:9" ht="18.75" customHeight="1" x14ac:dyDescent="0.25">
      <c r="B170" s="22"/>
      <c r="C170" s="23"/>
      <c r="D170" s="78">
        <f>'Input &amp; Process'!M75</f>
        <v>2317.2842626974584</v>
      </c>
      <c r="E170" s="162" t="str">
        <f>IF(D160&lt;=F160,"≤","&gt;")</f>
        <v>≤</v>
      </c>
      <c r="F170" s="78">
        <f>'Input &amp; Process'!O75</f>
        <v>3931.8719839524379</v>
      </c>
      <c r="G170" s="149" t="s">
        <v>14</v>
      </c>
      <c r="H170" s="149" t="str">
        <f>IF(D170&lt;=F170,"[ OK ]","[ NOT OK ]")</f>
        <v>[ OK ]</v>
      </c>
      <c r="I170" s="22"/>
    </row>
    <row r="171" spans="1:9" ht="18.75" customHeight="1" x14ac:dyDescent="0.25">
      <c r="B171" s="285"/>
      <c r="C171" s="153"/>
      <c r="D171" s="101"/>
      <c r="E171" s="172"/>
      <c r="F171" s="101"/>
      <c r="G171" s="174"/>
      <c r="H171" s="174"/>
      <c r="I171" s="285"/>
    </row>
    <row r="172" spans="1:9" ht="18.75" customHeight="1" x14ac:dyDescent="0.25">
      <c r="A172" s="312" t="s">
        <v>925</v>
      </c>
      <c r="B172" s="302" t="s">
        <v>806</v>
      </c>
      <c r="C172" s="299"/>
      <c r="D172" s="299"/>
      <c r="E172" s="299"/>
      <c r="F172" s="299"/>
      <c r="G172" s="300"/>
      <c r="H172" s="299"/>
      <c r="I172" s="301"/>
    </row>
    <row r="173" spans="1:9" ht="18.75" customHeight="1" x14ac:dyDescent="0.25">
      <c r="B173" s="22" t="s">
        <v>825</v>
      </c>
      <c r="C173" s="23"/>
      <c r="D173" s="23"/>
      <c r="E173" s="23"/>
      <c r="F173" s="23"/>
      <c r="G173" s="146"/>
      <c r="H173" s="21"/>
      <c r="I173" s="22"/>
    </row>
    <row r="174" spans="1:9" ht="18.75" customHeight="1" x14ac:dyDescent="0.25">
      <c r="B174" s="25" t="s">
        <v>19</v>
      </c>
      <c r="C174" s="23"/>
      <c r="D174" s="13" t="s">
        <v>502</v>
      </c>
      <c r="E174" s="21" t="s">
        <v>48</v>
      </c>
      <c r="F174" s="13" t="s">
        <v>827</v>
      </c>
      <c r="G174" s="146"/>
      <c r="H174" s="21"/>
      <c r="I174" s="22"/>
    </row>
    <row r="175" spans="1:9" ht="18.75" customHeight="1" x14ac:dyDescent="0.25">
      <c r="B175" s="22"/>
      <c r="C175" s="23"/>
      <c r="D175" s="12">
        <f>'Input &amp; Process'!M80</f>
        <v>200</v>
      </c>
      <c r="E175" s="21" t="str">
        <f>IF(D175&lt;=F175,"≤","&gt;")</f>
        <v>≤</v>
      </c>
      <c r="F175" s="12">
        <f>'Input &amp; Process'!O80</f>
        <v>226.27416997969522</v>
      </c>
      <c r="G175" s="149" t="s">
        <v>14</v>
      </c>
      <c r="H175" s="149" t="str">
        <f>IF(D175&lt;=F175,"[ OK ]","[ NOT OK ]")</f>
        <v>[ OK ]</v>
      </c>
      <c r="I175" s="22"/>
    </row>
    <row r="176" spans="1:9" ht="18.75" customHeight="1" x14ac:dyDescent="0.25">
      <c r="B176" s="22"/>
      <c r="C176" s="23"/>
      <c r="D176" s="70"/>
      <c r="E176" s="21"/>
      <c r="F176" s="70"/>
      <c r="G176" s="149"/>
      <c r="H176" s="149"/>
      <c r="I176" s="22"/>
    </row>
    <row r="177" spans="1:9" ht="18.75" customHeight="1" x14ac:dyDescent="0.25">
      <c r="B177" s="22" t="s">
        <v>495</v>
      </c>
      <c r="C177" s="23"/>
      <c r="D177" s="23"/>
      <c r="E177" s="23"/>
      <c r="F177" s="23"/>
      <c r="G177" s="146"/>
      <c r="H177" s="21"/>
      <c r="I177" s="22"/>
    </row>
    <row r="178" spans="1:9" ht="18.75" customHeight="1" x14ac:dyDescent="0.25">
      <c r="B178" s="25" t="s">
        <v>19</v>
      </c>
      <c r="C178" s="23"/>
      <c r="D178" s="71" t="s">
        <v>520</v>
      </c>
      <c r="E178" s="21" t="s">
        <v>48</v>
      </c>
      <c r="F178" s="71" t="s">
        <v>521</v>
      </c>
      <c r="G178" s="146"/>
      <c r="H178" s="21"/>
      <c r="I178" s="22"/>
    </row>
    <row r="179" spans="1:9" ht="18.75" customHeight="1" x14ac:dyDescent="0.25">
      <c r="B179" s="22"/>
      <c r="C179" s="23"/>
      <c r="D179" s="12">
        <f>'Input &amp; Process'!M84</f>
        <v>2633.2775712471116</v>
      </c>
      <c r="E179" s="21" t="str">
        <f>IF(D179&lt;=F179,"≤","&gt;")</f>
        <v>≤</v>
      </c>
      <c r="F179" s="12">
        <f>'Input &amp; Process'!O84</f>
        <v>3144.96</v>
      </c>
      <c r="G179" s="149" t="s">
        <v>14</v>
      </c>
      <c r="H179" s="149" t="str">
        <f>IF(D179&lt;=F179,"[ OK ]","[ NOT OK ]")</f>
        <v>[ OK ]</v>
      </c>
      <c r="I179" s="22"/>
    </row>
    <row r="180" spans="1:9" ht="18.75" customHeight="1" x14ac:dyDescent="0.25">
      <c r="B180" s="22"/>
      <c r="C180" s="23"/>
      <c r="D180" s="23"/>
      <c r="E180" s="23"/>
      <c r="F180" s="23"/>
      <c r="G180" s="146"/>
      <c r="H180" s="21"/>
      <c r="I180" s="22"/>
    </row>
    <row r="181" spans="1:9" ht="18.75" customHeight="1" x14ac:dyDescent="0.25">
      <c r="B181" s="22" t="s">
        <v>877</v>
      </c>
      <c r="C181" s="23"/>
      <c r="D181" s="23"/>
      <c r="E181" s="23"/>
      <c r="F181" s="23"/>
      <c r="G181" s="146"/>
      <c r="H181" s="21"/>
      <c r="I181" s="22"/>
    </row>
    <row r="182" spans="1:9" ht="18.75" customHeight="1" x14ac:dyDescent="0.25">
      <c r="B182" s="25" t="s">
        <v>19</v>
      </c>
      <c r="C182" s="23"/>
      <c r="D182" s="71" t="s">
        <v>496</v>
      </c>
      <c r="E182" s="21" t="s">
        <v>48</v>
      </c>
      <c r="F182" s="68" t="s">
        <v>550</v>
      </c>
      <c r="G182" s="146"/>
      <c r="H182" s="21"/>
      <c r="I182" s="22"/>
    </row>
    <row r="183" spans="1:9" ht="18.75" customHeight="1" x14ac:dyDescent="0.25">
      <c r="B183" s="22"/>
      <c r="C183" s="23"/>
      <c r="D183" s="12">
        <f>'Input &amp; Process'!M88</f>
        <v>2633.2775712471116</v>
      </c>
      <c r="E183" s="21" t="str">
        <f>IF(D183&lt;=F183,"≤","&gt;")</f>
        <v>≤</v>
      </c>
      <c r="F183" s="12">
        <f>'Input &amp; Process'!O88</f>
        <v>6572.5843517887179</v>
      </c>
      <c r="G183" s="149" t="s">
        <v>14</v>
      </c>
      <c r="H183" s="149" t="str">
        <f>IF(D183&lt;=F183,"[ OK ]","[ NOT OK ]")</f>
        <v>[ OK ]</v>
      </c>
      <c r="I183" s="22"/>
    </row>
    <row r="184" spans="1:9" ht="18.75" customHeight="1" x14ac:dyDescent="0.25">
      <c r="B184" s="22"/>
      <c r="C184" s="23"/>
      <c r="D184" s="23"/>
      <c r="E184" s="23"/>
      <c r="F184" s="23"/>
      <c r="G184" s="23"/>
      <c r="H184" s="23"/>
      <c r="I184" s="23"/>
    </row>
    <row r="185" spans="1:9" ht="18.75" customHeight="1" x14ac:dyDescent="0.25">
      <c r="A185" s="310" t="s">
        <v>931</v>
      </c>
      <c r="B185" s="309" t="s">
        <v>878</v>
      </c>
      <c r="C185" s="143"/>
      <c r="D185" s="143"/>
      <c r="E185" s="143"/>
      <c r="F185" s="143"/>
      <c r="G185" s="144"/>
      <c r="H185" s="143"/>
      <c r="I185" s="270"/>
    </row>
    <row r="186" spans="1:9" ht="18.75" customHeight="1" x14ac:dyDescent="0.25">
      <c r="B186" s="22" t="s">
        <v>561</v>
      </c>
      <c r="C186" s="23"/>
      <c r="D186" s="23"/>
      <c r="E186" s="23"/>
      <c r="F186" s="23"/>
      <c r="G186" s="146"/>
      <c r="H186" s="21"/>
      <c r="I186" s="22"/>
    </row>
    <row r="187" spans="1:9" ht="18.75" customHeight="1" x14ac:dyDescent="0.25">
      <c r="B187" s="25" t="s">
        <v>19</v>
      </c>
      <c r="C187" s="23"/>
      <c r="D187" s="71" t="s">
        <v>698</v>
      </c>
      <c r="E187" s="21" t="s">
        <v>48</v>
      </c>
      <c r="F187" s="68" t="s">
        <v>562</v>
      </c>
      <c r="G187" s="146"/>
      <c r="H187" s="21"/>
      <c r="I187" s="22"/>
    </row>
    <row r="188" spans="1:9" ht="18.75" customHeight="1" x14ac:dyDescent="0.25">
      <c r="B188" s="22"/>
      <c r="C188" s="23"/>
      <c r="D188" s="12">
        <f>'Input &amp; Process'!M93</f>
        <v>260.14549010429141</v>
      </c>
      <c r="E188" s="21" t="str">
        <f>IF(D188&lt;=F188,"≤","&gt;")</f>
        <v>≤</v>
      </c>
      <c r="F188" s="12">
        <f>'Input &amp; Process'!O93</f>
        <v>342</v>
      </c>
      <c r="G188" s="149" t="s">
        <v>14</v>
      </c>
      <c r="H188" s="149" t="str">
        <f>IF(D188&lt;=F188,"[ OK ]","[ NOT OK ]")</f>
        <v>[ OK ]</v>
      </c>
      <c r="I188" s="22"/>
    </row>
    <row r="189" spans="1:9" ht="18.75" customHeight="1" x14ac:dyDescent="0.25">
      <c r="B189" s="22"/>
      <c r="C189" s="23"/>
      <c r="D189" s="23"/>
      <c r="E189" s="23"/>
      <c r="F189" s="23"/>
      <c r="G189" s="23"/>
      <c r="H189" s="23"/>
      <c r="I189" s="23"/>
    </row>
    <row r="190" spans="1:9" ht="18.75" customHeight="1" x14ac:dyDescent="0.25">
      <c r="A190" s="310" t="s">
        <v>932</v>
      </c>
      <c r="B190" s="309" t="s">
        <v>879</v>
      </c>
      <c r="C190" s="143"/>
      <c r="D190" s="143"/>
      <c r="E190" s="143"/>
      <c r="F190" s="143"/>
      <c r="G190" s="144"/>
      <c r="H190" s="143"/>
      <c r="I190" s="270"/>
    </row>
    <row r="191" spans="1:9" ht="18.75" customHeight="1" x14ac:dyDescent="0.25">
      <c r="B191" s="22" t="s">
        <v>702</v>
      </c>
      <c r="C191" s="23"/>
      <c r="D191" s="23"/>
      <c r="E191" s="23"/>
      <c r="F191" s="23"/>
      <c r="G191" s="146"/>
      <c r="H191" s="21"/>
      <c r="I191" s="22"/>
    </row>
    <row r="192" spans="1:9" ht="18.75" customHeight="1" x14ac:dyDescent="0.25">
      <c r="B192" s="25" t="s">
        <v>19</v>
      </c>
      <c r="C192" s="23"/>
      <c r="D192" s="71" t="s">
        <v>705</v>
      </c>
      <c r="E192" s="21" t="s">
        <v>48</v>
      </c>
      <c r="F192" s="68" t="s">
        <v>700</v>
      </c>
      <c r="G192" s="146"/>
      <c r="H192" s="21"/>
      <c r="I192" s="22"/>
    </row>
    <row r="193" spans="1:9" ht="18.75" customHeight="1" x14ac:dyDescent="0.25">
      <c r="B193" s="22"/>
      <c r="C193" s="23"/>
      <c r="D193" s="12">
        <f>'Input &amp; Process'!M98</f>
        <v>265.18234092170673</v>
      </c>
      <c r="E193" s="21" t="str">
        <f>IF(D193&lt;=F193,"≤","&gt;")</f>
        <v>≤</v>
      </c>
      <c r="F193" s="12">
        <f>'Input &amp; Process'!O98</f>
        <v>324</v>
      </c>
      <c r="G193" s="149" t="s">
        <v>14</v>
      </c>
      <c r="H193" s="149" t="str">
        <f>IF(D193&lt;=F193,"[ OK ]","[ NOT OK ]")</f>
        <v>[ OK ]</v>
      </c>
      <c r="I193" s="22"/>
    </row>
    <row r="194" spans="1:9" ht="18.75" customHeight="1" x14ac:dyDescent="0.25">
      <c r="B194" s="22" t="s">
        <v>703</v>
      </c>
      <c r="C194" s="23"/>
      <c r="D194" s="23"/>
      <c r="E194" s="23"/>
      <c r="F194" s="23"/>
      <c r="G194" s="146"/>
      <c r="H194" s="21"/>
      <c r="I194" s="272"/>
    </row>
    <row r="195" spans="1:9" ht="18.75" customHeight="1" x14ac:dyDescent="0.25">
      <c r="B195" s="25" t="s">
        <v>19</v>
      </c>
      <c r="C195" s="23"/>
      <c r="D195" s="71" t="s">
        <v>706</v>
      </c>
      <c r="E195" s="21" t="s">
        <v>48</v>
      </c>
      <c r="F195" s="68" t="s">
        <v>442</v>
      </c>
      <c r="G195" s="146"/>
      <c r="H195" s="21"/>
      <c r="I195" s="272"/>
    </row>
    <row r="196" spans="1:9" ht="18.75" customHeight="1" x14ac:dyDescent="0.25">
      <c r="B196" s="22"/>
      <c r="C196" s="23"/>
      <c r="D196" s="12">
        <f>'Input &amp; Process'!M101</f>
        <v>222.50913158256941</v>
      </c>
      <c r="E196" s="21" t="str">
        <f>IF(D196&lt;=F196,"≤","&gt;")</f>
        <v>≤</v>
      </c>
      <c r="F196" s="12">
        <f>'Input &amp; Process'!O101</f>
        <v>303.25422125130115</v>
      </c>
      <c r="G196" s="149" t="s">
        <v>14</v>
      </c>
      <c r="H196" s="149" t="str">
        <f>IF(D196&lt;=F196,"[ OK ]","[ NOT OK ]")</f>
        <v>[ OK ]</v>
      </c>
      <c r="I196" s="272"/>
    </row>
    <row r="197" spans="1:9" ht="18.75" customHeight="1" x14ac:dyDescent="0.25">
      <c r="B197" s="22" t="s">
        <v>704</v>
      </c>
      <c r="C197" s="23"/>
      <c r="D197" s="23"/>
      <c r="E197" s="23"/>
      <c r="F197" s="23"/>
      <c r="G197" s="146"/>
      <c r="H197" s="21"/>
      <c r="I197" s="272"/>
    </row>
    <row r="198" spans="1:9" ht="18.75" customHeight="1" x14ac:dyDescent="0.25">
      <c r="B198" s="25" t="s">
        <v>19</v>
      </c>
      <c r="C198" s="23"/>
      <c r="D198" s="71" t="s">
        <v>707</v>
      </c>
      <c r="E198" s="21" t="s">
        <v>48</v>
      </c>
      <c r="F198" s="68" t="s">
        <v>442</v>
      </c>
      <c r="G198" s="146"/>
      <c r="H198" s="21"/>
      <c r="I198" s="272"/>
    </row>
    <row r="199" spans="1:9" ht="18.75" customHeight="1" x14ac:dyDescent="0.25">
      <c r="B199" s="22"/>
      <c r="C199" s="23"/>
      <c r="D199" s="12">
        <f>'Input &amp; Process'!M104</f>
        <v>222.50913158256941</v>
      </c>
      <c r="E199" s="21" t="str">
        <f>IF(D199&lt;=F199,"≤","&gt;")</f>
        <v>≤</v>
      </c>
      <c r="F199" s="12">
        <f>'Input &amp; Process'!O104</f>
        <v>311.89490401284888</v>
      </c>
      <c r="G199" s="149" t="s">
        <v>14</v>
      </c>
      <c r="H199" s="149" t="str">
        <f>IF(D199&lt;=F199,"[ OK ]","[ NOT OK ]")</f>
        <v>[ OK ]</v>
      </c>
      <c r="I199" s="272"/>
    </row>
    <row r="200" spans="1:9" ht="18.75" customHeight="1" x14ac:dyDescent="0.25">
      <c r="B200" s="22"/>
      <c r="C200" s="23"/>
      <c r="D200" s="23"/>
      <c r="E200" s="23"/>
      <c r="F200" s="23"/>
      <c r="G200" s="23"/>
      <c r="H200" s="23"/>
      <c r="I200" s="23"/>
    </row>
    <row r="201" spans="1:9" ht="18.75" customHeight="1" x14ac:dyDescent="0.25">
      <c r="A201" s="310" t="s">
        <v>933</v>
      </c>
      <c r="B201" s="309" t="s">
        <v>880</v>
      </c>
      <c r="C201" s="143"/>
      <c r="D201" s="143"/>
      <c r="E201" s="143"/>
      <c r="F201" s="143"/>
      <c r="G201" s="144"/>
      <c r="H201" s="143"/>
      <c r="I201" s="270"/>
    </row>
    <row r="202" spans="1:9" ht="18.75" customHeight="1" x14ac:dyDescent="0.25">
      <c r="B202" s="150" t="s">
        <v>744</v>
      </c>
      <c r="C202" s="23"/>
      <c r="D202" s="23"/>
      <c r="E202" s="23"/>
      <c r="F202" s="23"/>
      <c r="G202" s="146"/>
      <c r="H202" s="21"/>
      <c r="I202" s="22"/>
    </row>
    <row r="203" spans="1:9" ht="18.75" customHeight="1" x14ac:dyDescent="0.25">
      <c r="B203" s="22" t="s">
        <v>757</v>
      </c>
      <c r="C203" s="23"/>
      <c r="D203" s="23"/>
      <c r="E203" s="23"/>
      <c r="F203" s="23"/>
      <c r="G203" s="146"/>
      <c r="H203" s="21"/>
      <c r="I203" s="22"/>
    </row>
    <row r="204" spans="1:9" ht="18.75" customHeight="1" x14ac:dyDescent="0.25">
      <c r="B204" s="25" t="s">
        <v>19</v>
      </c>
      <c r="C204" s="23"/>
      <c r="D204" s="71" t="s">
        <v>909</v>
      </c>
      <c r="E204" s="21" t="s">
        <v>48</v>
      </c>
      <c r="F204" s="68" t="s">
        <v>758</v>
      </c>
      <c r="G204" s="146"/>
      <c r="H204" s="21"/>
      <c r="I204" s="22"/>
    </row>
    <row r="205" spans="1:9" ht="18.75" customHeight="1" x14ac:dyDescent="0.25">
      <c r="B205" s="22"/>
      <c r="C205" s="23"/>
      <c r="D205" s="12">
        <f>'Input &amp; Process'!M110</f>
        <v>36.744166282925789</v>
      </c>
      <c r="E205" s="21" t="str">
        <f>IF(D205&lt;=F205,"≤","&gt;")</f>
        <v>≤</v>
      </c>
      <c r="F205" s="12">
        <f>'Input &amp; Process'!O110</f>
        <v>180.32292166822552</v>
      </c>
      <c r="G205" s="149" t="s">
        <v>14</v>
      </c>
      <c r="H205" s="149" t="str">
        <f>IF(D205&lt;=F205,"[ OK ]","[ NOT OK ]")</f>
        <v>[ OK ]</v>
      </c>
      <c r="I205" s="22"/>
    </row>
    <row r="206" spans="1:9" ht="18.75" customHeight="1" x14ac:dyDescent="0.25">
      <c r="B206" s="22"/>
      <c r="C206" s="23"/>
      <c r="D206" s="23"/>
      <c r="E206" s="23"/>
      <c r="F206" s="23"/>
      <c r="G206" s="146"/>
      <c r="H206" s="21"/>
      <c r="I206" s="22"/>
    </row>
    <row r="207" spans="1:9" ht="18.75" customHeight="1" x14ac:dyDescent="0.25">
      <c r="B207" s="287" t="s">
        <v>759</v>
      </c>
      <c r="C207" s="23"/>
      <c r="D207" s="23"/>
      <c r="E207" s="23"/>
      <c r="F207" s="23"/>
      <c r="G207" s="146"/>
      <c r="H207" s="21"/>
      <c r="I207" s="22"/>
    </row>
    <row r="208" spans="1:9" ht="18.75" customHeight="1" x14ac:dyDescent="0.25">
      <c r="B208" s="22" t="s">
        <v>757</v>
      </c>
      <c r="C208" s="23"/>
      <c r="D208" s="23"/>
      <c r="E208" s="23"/>
      <c r="F208" s="23"/>
      <c r="G208" s="146"/>
      <c r="H208" s="21"/>
      <c r="I208" s="22"/>
    </row>
    <row r="209" spans="1:9" ht="18.75" customHeight="1" x14ac:dyDescent="0.25">
      <c r="B209" s="25" t="s">
        <v>19</v>
      </c>
      <c r="C209" s="23"/>
      <c r="D209" s="71" t="s">
        <v>909</v>
      </c>
      <c r="E209" s="21" t="s">
        <v>48</v>
      </c>
      <c r="F209" s="68" t="s">
        <v>758</v>
      </c>
      <c r="G209" s="146"/>
      <c r="H209" s="21"/>
      <c r="I209" s="22"/>
    </row>
    <row r="210" spans="1:9" ht="18.75" customHeight="1" x14ac:dyDescent="0.25">
      <c r="B210" s="22"/>
      <c r="C210" s="23"/>
      <c r="D210" s="12">
        <f>'Input &amp; Process'!M115</f>
        <v>89.337822030166336</v>
      </c>
      <c r="E210" s="21" t="str">
        <f>IF(D210&lt;=F210,"≤","&gt;")</f>
        <v>≤</v>
      </c>
      <c r="F210" s="12">
        <f>'Input &amp; Process'!O115</f>
        <v>136.16515252654264</v>
      </c>
      <c r="G210" s="149" t="s">
        <v>14</v>
      </c>
      <c r="H210" s="149" t="str">
        <f>IF(D210&lt;=F210,"[ OK ]","[ NOT OK ]")</f>
        <v>[ OK ]</v>
      </c>
      <c r="I210" s="22"/>
    </row>
    <row r="211" spans="1:9" ht="18.75" customHeight="1" x14ac:dyDescent="0.25">
      <c r="B211" s="22"/>
      <c r="C211" s="23"/>
      <c r="D211" s="70"/>
      <c r="E211" s="21"/>
      <c r="F211" s="70"/>
      <c r="G211" s="149"/>
      <c r="H211" s="149"/>
      <c r="I211" s="22"/>
    </row>
    <row r="212" spans="1:9" ht="18.75" customHeight="1" x14ac:dyDescent="0.25">
      <c r="B212" s="22"/>
      <c r="C212" s="23"/>
      <c r="D212" s="23"/>
      <c r="E212" s="23"/>
      <c r="F212" s="23"/>
      <c r="G212" s="23"/>
      <c r="H212" s="23"/>
      <c r="I212" s="23"/>
    </row>
    <row r="213" spans="1:9" ht="18.75" customHeight="1" x14ac:dyDescent="0.25">
      <c r="A213" s="273" t="s">
        <v>780</v>
      </c>
      <c r="B213" s="138" t="s">
        <v>923</v>
      </c>
      <c r="C213" s="139"/>
      <c r="D213" s="139"/>
      <c r="E213" s="139"/>
      <c r="F213" s="139"/>
      <c r="G213" s="140"/>
      <c r="H213" s="139"/>
      <c r="I213" s="269"/>
    </row>
    <row r="214" spans="1:9" ht="18.75" customHeight="1" x14ac:dyDescent="0.25">
      <c r="A214" s="295" t="s">
        <v>127</v>
      </c>
      <c r="B214" s="292" t="s">
        <v>128</v>
      </c>
      <c r="C214" s="23"/>
      <c r="D214" s="23"/>
      <c r="E214" s="23"/>
      <c r="F214" s="23"/>
      <c r="G214" s="23"/>
      <c r="H214" s="23"/>
      <c r="I214" s="23"/>
    </row>
    <row r="215" spans="1:9" ht="18.75" customHeight="1" x14ac:dyDescent="0.25">
      <c r="A215" s="295" t="s">
        <v>924</v>
      </c>
      <c r="B215" s="292" t="s">
        <v>282</v>
      </c>
      <c r="C215" s="23"/>
      <c r="D215" s="23"/>
      <c r="E215" s="23"/>
      <c r="F215" s="23"/>
      <c r="G215" s="23"/>
      <c r="H215" s="23"/>
      <c r="I215" s="23"/>
    </row>
    <row r="216" spans="1:9" ht="18.75" customHeight="1" x14ac:dyDescent="0.25">
      <c r="A216" s="295"/>
      <c r="B216" s="23" t="s">
        <v>130</v>
      </c>
      <c r="C216" s="23"/>
      <c r="D216" s="23"/>
      <c r="E216" s="23"/>
      <c r="F216" s="23"/>
      <c r="G216" s="146" t="s">
        <v>1</v>
      </c>
      <c r="H216" s="31">
        <f>'Process - Pembebanan'!H4</f>
        <v>50</v>
      </c>
      <c r="I216" s="22" t="s">
        <v>2</v>
      </c>
    </row>
    <row r="217" spans="1:9" ht="18.75" customHeight="1" x14ac:dyDescent="0.25">
      <c r="A217" s="295"/>
      <c r="B217" s="23" t="s">
        <v>108</v>
      </c>
      <c r="C217" s="23"/>
      <c r="D217" s="23"/>
      <c r="E217" s="23"/>
      <c r="F217" s="23"/>
      <c r="G217" s="146" t="s">
        <v>96</v>
      </c>
      <c r="H217" s="58">
        <f>'Process - Pembebanan'!H5</f>
        <v>0.11712</v>
      </c>
      <c r="I217" s="22" t="s">
        <v>97</v>
      </c>
    </row>
    <row r="218" spans="1:9" ht="18.75" customHeight="1" x14ac:dyDescent="0.25">
      <c r="A218" s="295"/>
      <c r="B218" s="23" t="s">
        <v>281</v>
      </c>
      <c r="C218" s="23"/>
      <c r="D218" s="23"/>
      <c r="E218" s="23"/>
      <c r="F218" s="23"/>
      <c r="G218" s="146" t="s">
        <v>284</v>
      </c>
      <c r="H218" s="31">
        <f>'Process - Pembebanan'!H6</f>
        <v>78.599999999999994</v>
      </c>
      <c r="I218" s="22" t="s">
        <v>132</v>
      </c>
    </row>
    <row r="219" spans="1:9" ht="18.75" customHeight="1" x14ac:dyDescent="0.25">
      <c r="A219" s="295"/>
      <c r="B219" s="23" t="s">
        <v>283</v>
      </c>
      <c r="C219" s="23"/>
      <c r="D219" s="23"/>
      <c r="E219" s="23"/>
      <c r="F219" s="23"/>
      <c r="G219" s="146" t="s">
        <v>133</v>
      </c>
      <c r="H219" s="31">
        <f>'Process - Pembebanan'!H7</f>
        <v>9.2056319999999996</v>
      </c>
      <c r="I219" s="22" t="s">
        <v>134</v>
      </c>
    </row>
    <row r="220" spans="1:9" ht="18.75" customHeight="1" x14ac:dyDescent="0.25">
      <c r="A220" s="295"/>
      <c r="B220" s="23" t="s">
        <v>135</v>
      </c>
      <c r="C220" s="23"/>
      <c r="D220" s="23"/>
      <c r="E220" s="23"/>
      <c r="F220" s="23"/>
      <c r="G220" s="146" t="s">
        <v>136</v>
      </c>
      <c r="H220" s="31">
        <f>'Process - Pembebanan'!H8</f>
        <v>2876.7599999999998</v>
      </c>
      <c r="I220" s="22" t="s">
        <v>137</v>
      </c>
    </row>
    <row r="221" spans="1:9" ht="18.75" customHeight="1" x14ac:dyDescent="0.25">
      <c r="A221" s="295"/>
      <c r="B221" s="292"/>
      <c r="C221" s="23"/>
      <c r="D221" s="23"/>
      <c r="E221" s="23"/>
      <c r="F221" s="23"/>
      <c r="G221" s="23"/>
      <c r="H221" s="23"/>
      <c r="I221" s="23"/>
    </row>
    <row r="222" spans="1:9" ht="18.75" customHeight="1" x14ac:dyDescent="0.25">
      <c r="A222" s="295" t="s">
        <v>922</v>
      </c>
      <c r="B222" s="292" t="s">
        <v>139</v>
      </c>
      <c r="C222" s="23"/>
      <c r="D222" s="23"/>
      <c r="E222" s="23"/>
      <c r="F222" s="23"/>
      <c r="G222" s="23"/>
      <c r="H222" s="23"/>
      <c r="I222" s="23"/>
    </row>
    <row r="223" spans="1:9" ht="18.75" customHeight="1" x14ac:dyDescent="0.25">
      <c r="A223" s="295"/>
      <c r="B223" s="23" t="s">
        <v>140</v>
      </c>
      <c r="C223" s="23"/>
      <c r="D223" s="23"/>
      <c r="E223" s="23"/>
      <c r="F223" s="23"/>
      <c r="G223" s="146" t="s">
        <v>141</v>
      </c>
      <c r="H223" s="31">
        <f>'Process - Pembebanan'!H11</f>
        <v>0.25</v>
      </c>
      <c r="I223" s="22" t="s">
        <v>2</v>
      </c>
    </row>
    <row r="224" spans="1:9" ht="18.75" customHeight="1" x14ac:dyDescent="0.25">
      <c r="A224" s="295"/>
      <c r="B224" s="23" t="s">
        <v>142</v>
      </c>
      <c r="C224" s="23"/>
      <c r="D224" s="23"/>
      <c r="E224" s="23"/>
      <c r="F224" s="23"/>
      <c r="G224" s="146" t="s">
        <v>36</v>
      </c>
      <c r="H224" s="31">
        <f>'Process - Pembebanan'!H12</f>
        <v>3.5</v>
      </c>
      <c r="I224" s="22" t="s">
        <v>2</v>
      </c>
    </row>
    <row r="225" spans="1:9" ht="18.75" customHeight="1" x14ac:dyDescent="0.25">
      <c r="A225" s="295"/>
      <c r="B225" s="23" t="s">
        <v>143</v>
      </c>
      <c r="C225" s="23"/>
      <c r="D225" s="23"/>
      <c r="E225" s="23"/>
      <c r="F225" s="23"/>
      <c r="G225" s="146" t="s">
        <v>131</v>
      </c>
      <c r="H225" s="31">
        <f>'Process - Pembebanan'!H13</f>
        <v>24</v>
      </c>
      <c r="I225" s="22" t="s">
        <v>132</v>
      </c>
    </row>
    <row r="226" spans="1:9" ht="18.75" customHeight="1" x14ac:dyDescent="0.25">
      <c r="A226" s="295"/>
      <c r="B226" s="23" t="s">
        <v>144</v>
      </c>
      <c r="C226" s="23"/>
      <c r="D226" s="23"/>
      <c r="E226" s="23"/>
      <c r="F226" s="23"/>
      <c r="G226" s="146" t="s">
        <v>378</v>
      </c>
      <c r="H226" s="31">
        <f>'Process - Pembebanan'!H14</f>
        <v>21</v>
      </c>
      <c r="I226" s="22" t="s">
        <v>134</v>
      </c>
    </row>
    <row r="227" spans="1:9" ht="18.75" customHeight="1" x14ac:dyDescent="0.25">
      <c r="A227" s="295"/>
      <c r="B227" s="23" t="s">
        <v>135</v>
      </c>
      <c r="C227" s="23"/>
      <c r="D227" s="23"/>
      <c r="E227" s="23"/>
      <c r="F227" s="23"/>
      <c r="G227" s="146" t="s">
        <v>145</v>
      </c>
      <c r="H227" s="31">
        <f>'Process - Pembebanan'!H15</f>
        <v>6562.5</v>
      </c>
      <c r="I227" s="22" t="s">
        <v>137</v>
      </c>
    </row>
    <row r="228" spans="1:9" ht="18.75" customHeight="1" x14ac:dyDescent="0.25">
      <c r="A228" s="295"/>
      <c r="B228" s="23"/>
      <c r="C228" s="23"/>
      <c r="D228" s="23"/>
      <c r="E228" s="23"/>
      <c r="F228" s="23"/>
      <c r="G228" s="23"/>
      <c r="H228" s="23"/>
      <c r="I228" s="23"/>
    </row>
    <row r="229" spans="1:9" ht="18.75" customHeight="1" x14ac:dyDescent="0.25">
      <c r="A229" s="295" t="s">
        <v>925</v>
      </c>
      <c r="B229" s="292" t="s">
        <v>286</v>
      </c>
      <c r="C229" s="23"/>
      <c r="D229" s="23"/>
      <c r="E229" s="23"/>
      <c r="F229" s="23"/>
      <c r="G229" s="23"/>
      <c r="H229" s="23"/>
      <c r="I229" s="23"/>
    </row>
    <row r="230" spans="1:9" ht="18.75" customHeight="1" x14ac:dyDescent="0.25">
      <c r="A230" s="295"/>
      <c r="B230" s="23" t="s">
        <v>285</v>
      </c>
      <c r="C230" s="23"/>
      <c r="D230" s="23"/>
      <c r="E230" s="23"/>
      <c r="F230" s="23"/>
      <c r="G230" s="146" t="s">
        <v>379</v>
      </c>
      <c r="H230" s="58">
        <f>'Process - Pembebanan'!H18</f>
        <v>431.51399999999995</v>
      </c>
      <c r="I230" s="22" t="s">
        <v>137</v>
      </c>
    </row>
    <row r="231" spans="1:9" ht="18.75" customHeight="1" x14ac:dyDescent="0.25">
      <c r="A231" s="295"/>
      <c r="B231" s="23"/>
      <c r="C231" s="23"/>
      <c r="D231" s="23"/>
      <c r="E231" s="23"/>
      <c r="F231" s="23"/>
      <c r="G231" s="23"/>
      <c r="H231" s="23"/>
      <c r="I231" s="23"/>
    </row>
    <row r="232" spans="1:9" ht="18.75" customHeight="1" x14ac:dyDescent="0.25">
      <c r="A232" s="295" t="s">
        <v>784</v>
      </c>
      <c r="B232" s="292" t="s">
        <v>150</v>
      </c>
      <c r="C232" s="23"/>
      <c r="D232" s="23"/>
      <c r="E232" s="23"/>
      <c r="F232" s="23"/>
      <c r="G232" s="23"/>
      <c r="H232" s="23"/>
      <c r="I232" s="23"/>
    </row>
    <row r="233" spans="1:9" ht="18.75" customHeight="1" x14ac:dyDescent="0.25">
      <c r="A233" s="295" t="s">
        <v>924</v>
      </c>
      <c r="B233" s="292" t="s">
        <v>152</v>
      </c>
      <c r="C233" s="23"/>
      <c r="D233" s="23"/>
      <c r="E233" s="23"/>
      <c r="F233" s="23"/>
      <c r="G233" s="23"/>
      <c r="H233" s="23"/>
      <c r="I233" s="23"/>
    </row>
    <row r="234" spans="1:9" ht="18.75" customHeight="1" x14ac:dyDescent="0.25">
      <c r="A234" s="295"/>
      <c r="B234" s="23" t="s">
        <v>153</v>
      </c>
      <c r="C234" s="23"/>
      <c r="D234" s="23"/>
      <c r="E234" s="23"/>
      <c r="F234" s="23"/>
      <c r="G234" s="146" t="s">
        <v>154</v>
      </c>
      <c r="H234" s="31">
        <f>'Process - Pembebanan'!H22</f>
        <v>0.1</v>
      </c>
      <c r="I234" s="22" t="s">
        <v>2</v>
      </c>
    </row>
    <row r="235" spans="1:9" ht="18.75" customHeight="1" x14ac:dyDescent="0.25">
      <c r="A235" s="295"/>
      <c r="B235" s="23" t="s">
        <v>155</v>
      </c>
      <c r="C235" s="23"/>
      <c r="D235" s="23"/>
      <c r="E235" s="23"/>
      <c r="F235" s="23"/>
      <c r="G235" s="146" t="s">
        <v>156</v>
      </c>
      <c r="H235" s="31">
        <f>'Process - Pembebanan'!H23</f>
        <v>22</v>
      </c>
      <c r="I235" s="22" t="s">
        <v>132</v>
      </c>
    </row>
    <row r="236" spans="1:9" ht="18.75" customHeight="1" x14ac:dyDescent="0.25">
      <c r="A236" s="295"/>
      <c r="B236" s="23" t="s">
        <v>157</v>
      </c>
      <c r="C236" s="23"/>
      <c r="D236" s="23"/>
      <c r="E236" s="23"/>
      <c r="F236" s="23"/>
      <c r="G236" s="146" t="s">
        <v>158</v>
      </c>
      <c r="H236" s="31">
        <f>'Process - Pembebanan'!H24</f>
        <v>7.7000000000000011</v>
      </c>
      <c r="I236" s="22" t="s">
        <v>159</v>
      </c>
    </row>
    <row r="237" spans="1:9" ht="18.75" customHeight="1" x14ac:dyDescent="0.25">
      <c r="A237" s="295"/>
      <c r="B237" s="23" t="s">
        <v>160</v>
      </c>
      <c r="C237" s="23"/>
      <c r="D237" s="23"/>
      <c r="E237" s="23"/>
      <c r="F237" s="23"/>
      <c r="G237" s="146" t="s">
        <v>161</v>
      </c>
      <c r="H237" s="59">
        <f>'Process - Pembebanan'!H25</f>
        <v>2406.2500000000005</v>
      </c>
      <c r="I237" s="22" t="s">
        <v>137</v>
      </c>
    </row>
    <row r="238" spans="1:9" ht="18.75" customHeight="1" x14ac:dyDescent="0.25">
      <c r="A238" s="295"/>
      <c r="B238" s="23"/>
      <c r="C238" s="23"/>
      <c r="D238" s="23"/>
      <c r="E238" s="23"/>
      <c r="F238" s="23"/>
      <c r="G238" s="146"/>
      <c r="H238" s="70"/>
      <c r="I238" s="25"/>
    </row>
    <row r="239" spans="1:9" ht="18.75" customHeight="1" x14ac:dyDescent="0.25">
      <c r="A239" s="295" t="s">
        <v>922</v>
      </c>
      <c r="B239" s="292" t="s">
        <v>163</v>
      </c>
      <c r="C239" s="23"/>
      <c r="D239" s="23"/>
      <c r="E239" s="23"/>
      <c r="F239" s="23"/>
      <c r="G239" s="146"/>
      <c r="H239" s="70"/>
      <c r="I239" s="25"/>
    </row>
    <row r="240" spans="1:9" ht="18.75" customHeight="1" x14ac:dyDescent="0.25">
      <c r="A240" s="295"/>
      <c r="B240" s="23" t="s">
        <v>164</v>
      </c>
      <c r="C240" s="23"/>
      <c r="D240" s="23"/>
      <c r="E240" s="23"/>
      <c r="F240" s="23"/>
      <c r="G240" s="146" t="s">
        <v>165</v>
      </c>
      <c r="H240" s="31">
        <f>'Process - Pembebanan'!H28</f>
        <v>0.05</v>
      </c>
      <c r="I240" s="22" t="s">
        <v>2</v>
      </c>
    </row>
    <row r="241" spans="1:9" ht="18.75" customHeight="1" x14ac:dyDescent="0.25">
      <c r="A241" s="295"/>
      <c r="B241" s="23" t="s">
        <v>53</v>
      </c>
      <c r="C241" s="23"/>
      <c r="D241" s="23"/>
      <c r="E241" s="23"/>
      <c r="F241" s="23"/>
      <c r="G241" s="146" t="s">
        <v>166</v>
      </c>
      <c r="H241" s="31">
        <f>'Process - Pembebanan'!H29</f>
        <v>9.81</v>
      </c>
      <c r="I241" s="22" t="s">
        <v>132</v>
      </c>
    </row>
    <row r="242" spans="1:9" ht="18.75" customHeight="1" x14ac:dyDescent="0.25">
      <c r="A242" s="295"/>
      <c r="B242" s="23" t="s">
        <v>167</v>
      </c>
      <c r="C242" s="23"/>
      <c r="D242" s="23"/>
      <c r="E242" s="23"/>
      <c r="F242" s="23"/>
      <c r="G242" s="146" t="s">
        <v>168</v>
      </c>
      <c r="H242" s="31">
        <f>'Process - Pembebanan'!H30</f>
        <v>1.7167500000000002</v>
      </c>
      <c r="I242" s="22" t="s">
        <v>159</v>
      </c>
    </row>
    <row r="243" spans="1:9" ht="18.75" customHeight="1" x14ac:dyDescent="0.25">
      <c r="A243" s="295"/>
      <c r="B243" s="23" t="s">
        <v>160</v>
      </c>
      <c r="C243" s="23"/>
      <c r="D243" s="23"/>
      <c r="E243" s="23"/>
      <c r="F243" s="23"/>
      <c r="G243" s="146" t="s">
        <v>169</v>
      </c>
      <c r="H243" s="59">
        <f>'Process - Pembebanan'!H31</f>
        <v>536.48437500000011</v>
      </c>
      <c r="I243" s="22" t="s">
        <v>137</v>
      </c>
    </row>
    <row r="244" spans="1:9" ht="18.75" customHeight="1" x14ac:dyDescent="0.25">
      <c r="A244" s="295"/>
      <c r="B244" s="23"/>
      <c r="C244" s="23"/>
      <c r="D244" s="23"/>
      <c r="E244" s="23"/>
      <c r="F244" s="23"/>
      <c r="G244" s="23"/>
      <c r="H244" s="23"/>
      <c r="I244" s="23"/>
    </row>
    <row r="245" spans="1:9" ht="18.75" customHeight="1" x14ac:dyDescent="0.25">
      <c r="A245" s="295" t="s">
        <v>149</v>
      </c>
      <c r="B245" s="292" t="s">
        <v>171</v>
      </c>
      <c r="C245" s="23"/>
      <c r="D245" s="23"/>
      <c r="E245" s="23"/>
      <c r="F245" s="23"/>
      <c r="G245" s="23"/>
      <c r="H245" s="23"/>
      <c r="I245" s="23"/>
    </row>
    <row r="246" spans="1:9" ht="18.75" customHeight="1" x14ac:dyDescent="0.25">
      <c r="A246" s="295" t="s">
        <v>924</v>
      </c>
      <c r="B246" s="292" t="s">
        <v>172</v>
      </c>
      <c r="C246" s="23"/>
      <c r="D246" s="23"/>
      <c r="E246" s="23"/>
      <c r="F246" s="23"/>
      <c r="G246" s="23"/>
      <c r="H246" s="23"/>
      <c r="I246" s="23"/>
    </row>
    <row r="247" spans="1:9" ht="18.75" customHeight="1" x14ac:dyDescent="0.25">
      <c r="A247" s="295"/>
      <c r="B247" s="23" t="s">
        <v>130</v>
      </c>
      <c r="C247" s="23"/>
      <c r="D247" s="23"/>
      <c r="E247" s="23"/>
      <c r="F247" s="23"/>
      <c r="G247" s="146" t="s">
        <v>1</v>
      </c>
      <c r="H247" s="31">
        <f>'Process - Pembebanan'!H35</f>
        <v>50</v>
      </c>
      <c r="I247" s="22" t="s">
        <v>2</v>
      </c>
    </row>
    <row r="248" spans="1:9" ht="18.75" customHeight="1" x14ac:dyDescent="0.25">
      <c r="A248" s="295"/>
      <c r="B248" s="23" t="s">
        <v>173</v>
      </c>
      <c r="C248" s="23"/>
      <c r="D248" s="23"/>
      <c r="E248" s="23"/>
      <c r="F248" s="23"/>
      <c r="G248" s="146" t="str">
        <f>IF(H247&gt;30,"BTR = 9 * (0,5 +15/L) =","BTR =")</f>
        <v>BTR = 9 * (0,5 +15/L) =</v>
      </c>
      <c r="H248" s="35">
        <f>'Process - Pembebanan'!H36</f>
        <v>7.2</v>
      </c>
      <c r="I248" s="22" t="s">
        <v>159</v>
      </c>
    </row>
    <row r="249" spans="1:9" ht="18.75" customHeight="1" x14ac:dyDescent="0.25">
      <c r="A249" s="295"/>
      <c r="B249" s="23" t="s">
        <v>174</v>
      </c>
      <c r="C249" s="23"/>
      <c r="D249" s="23"/>
      <c r="E249" s="23"/>
      <c r="F249" s="23"/>
      <c r="G249" s="146" t="s">
        <v>175</v>
      </c>
      <c r="H249" s="35">
        <f>'Process - Pembebanan'!H37</f>
        <v>49</v>
      </c>
      <c r="I249" s="22" t="s">
        <v>134</v>
      </c>
    </row>
    <row r="250" spans="1:9" ht="18.75" customHeight="1" x14ac:dyDescent="0.25">
      <c r="A250" s="295"/>
      <c r="B250" s="23" t="s">
        <v>176</v>
      </c>
      <c r="C250" s="23"/>
      <c r="D250" s="23"/>
      <c r="E250" s="23"/>
      <c r="F250" s="23"/>
      <c r="G250" s="146"/>
      <c r="H250" s="36"/>
      <c r="I250" s="25"/>
    </row>
    <row r="251" spans="1:9" ht="18.75" customHeight="1" x14ac:dyDescent="0.25">
      <c r="A251" s="295"/>
      <c r="B251" s="25" t="s">
        <v>177</v>
      </c>
      <c r="C251" s="23"/>
      <c r="D251" s="23"/>
      <c r="E251" s="23"/>
      <c r="F251" s="23"/>
      <c r="G251" s="146" t="s">
        <v>178</v>
      </c>
      <c r="H251" s="57">
        <f>'Process - Pembebanan'!H39</f>
        <v>0.4</v>
      </c>
      <c r="I251" s="25"/>
    </row>
    <row r="252" spans="1:9" ht="18.75" customHeight="1" x14ac:dyDescent="0.25">
      <c r="A252" s="295"/>
      <c r="B252" s="25" t="s">
        <v>179</v>
      </c>
      <c r="C252" s="23"/>
      <c r="D252" s="23"/>
      <c r="E252" s="23"/>
      <c r="F252" s="23"/>
      <c r="G252" s="146" t="s">
        <v>178</v>
      </c>
      <c r="H252" s="38" t="str">
        <f>'Process - Pembebanan'!H40</f>
        <v>-</v>
      </c>
      <c r="I252" s="25"/>
    </row>
    <row r="253" spans="1:9" ht="18.75" customHeight="1" x14ac:dyDescent="0.25">
      <c r="A253" s="295"/>
      <c r="B253" s="25" t="s">
        <v>180</v>
      </c>
      <c r="C253" s="23"/>
      <c r="D253" s="23"/>
      <c r="E253" s="23"/>
      <c r="F253" s="23"/>
      <c r="G253" s="146" t="s">
        <v>178</v>
      </c>
      <c r="H253" s="57" t="str">
        <f>'Process - Pembebanan'!H41</f>
        <v>-</v>
      </c>
      <c r="I253" s="25"/>
    </row>
    <row r="254" spans="1:9" ht="18.75" customHeight="1" x14ac:dyDescent="0.25">
      <c r="A254" s="295"/>
      <c r="B254" s="23"/>
      <c r="C254" s="23"/>
      <c r="D254" s="23"/>
      <c r="E254" s="23"/>
      <c r="F254" s="23"/>
      <c r="G254" s="146" t="s">
        <v>181</v>
      </c>
      <c r="H254" s="38">
        <f>'Process - Pembebanan'!H42</f>
        <v>0.4</v>
      </c>
      <c r="I254" s="25"/>
    </row>
    <row r="255" spans="1:9" ht="18.75" customHeight="1" x14ac:dyDescent="0.25">
      <c r="A255" s="295"/>
      <c r="B255" s="23" t="s">
        <v>174</v>
      </c>
      <c r="C255" s="23"/>
      <c r="D255" s="23"/>
      <c r="E255" s="23"/>
      <c r="F255" s="23"/>
      <c r="G255" s="146" t="s">
        <v>182</v>
      </c>
      <c r="H255" s="35">
        <f>'Process - Pembebanan'!H43</f>
        <v>68.599999999999994</v>
      </c>
      <c r="I255" s="22" t="s">
        <v>134</v>
      </c>
    </row>
    <row r="256" spans="1:9" ht="18.75" customHeight="1" x14ac:dyDescent="0.25">
      <c r="A256" s="295"/>
      <c r="B256" s="23" t="s">
        <v>183</v>
      </c>
      <c r="C256" s="23"/>
      <c r="D256" s="23"/>
      <c r="E256" s="23"/>
      <c r="F256" s="23"/>
      <c r="G256" s="23"/>
      <c r="H256" s="23"/>
      <c r="I256" s="23"/>
    </row>
    <row r="257" spans="1:9" ht="18.75" customHeight="1" x14ac:dyDescent="0.25">
      <c r="A257" s="295"/>
      <c r="B257" s="23"/>
      <c r="C257" s="23"/>
      <c r="D257" s="23"/>
      <c r="E257" s="23"/>
      <c r="F257" s="23"/>
      <c r="G257" s="146" t="s">
        <v>184</v>
      </c>
      <c r="H257" s="59">
        <f>'Process - Pembebanan'!H45</f>
        <v>10876.25</v>
      </c>
      <c r="I257" s="22" t="s">
        <v>137</v>
      </c>
    </row>
    <row r="258" spans="1:9" ht="18.75" customHeight="1" x14ac:dyDescent="0.25">
      <c r="A258" s="295"/>
      <c r="B258" s="23"/>
      <c r="C258" s="23"/>
      <c r="D258" s="23"/>
      <c r="E258" s="23"/>
      <c r="F258" s="23"/>
      <c r="G258" s="23"/>
      <c r="H258" s="23"/>
      <c r="I258" s="23"/>
    </row>
    <row r="259" spans="1:9" ht="18.75" customHeight="1" x14ac:dyDescent="0.25">
      <c r="A259" s="295" t="s">
        <v>922</v>
      </c>
      <c r="B259" s="292" t="s">
        <v>185</v>
      </c>
      <c r="C259" s="23"/>
      <c r="D259" s="23"/>
      <c r="E259" s="23"/>
      <c r="F259" s="23"/>
      <c r="G259" s="23"/>
      <c r="H259" s="23"/>
      <c r="I259" s="23"/>
    </row>
    <row r="260" spans="1:9" ht="18.75" customHeight="1" x14ac:dyDescent="0.25">
      <c r="A260" s="295"/>
      <c r="B260" s="292"/>
      <c r="C260" s="23"/>
      <c r="D260" s="23"/>
      <c r="E260" s="23"/>
      <c r="F260" s="23"/>
      <c r="G260" s="288"/>
      <c r="H260" s="21"/>
      <c r="I260" s="22"/>
    </row>
    <row r="261" spans="1:9" ht="18.75" customHeight="1" x14ac:dyDescent="0.25">
      <c r="A261" s="295"/>
      <c r="B261" s="292"/>
      <c r="C261" s="23"/>
      <c r="D261" s="23"/>
      <c r="E261" s="23"/>
      <c r="F261" s="23"/>
      <c r="G261" s="288"/>
      <c r="H261" s="21"/>
      <c r="I261" s="22"/>
    </row>
    <row r="262" spans="1:9" ht="18.75" customHeight="1" x14ac:dyDescent="0.25">
      <c r="A262" s="295"/>
      <c r="B262" s="292"/>
      <c r="C262" s="23"/>
      <c r="D262" s="23"/>
      <c r="E262" s="23"/>
      <c r="F262" s="23"/>
      <c r="G262" s="288"/>
      <c r="H262" s="21"/>
      <c r="I262" s="22"/>
    </row>
    <row r="263" spans="1:9" ht="18.75" customHeight="1" x14ac:dyDescent="0.25">
      <c r="A263" s="295"/>
      <c r="B263" s="292"/>
      <c r="C263" s="23"/>
      <c r="D263" s="23"/>
      <c r="E263" s="23"/>
      <c r="F263" s="23"/>
      <c r="G263" s="288"/>
      <c r="H263" s="21"/>
      <c r="I263" s="22"/>
    </row>
    <row r="264" spans="1:9" ht="18.75" customHeight="1" x14ac:dyDescent="0.25">
      <c r="A264" s="295"/>
      <c r="B264" s="292"/>
      <c r="C264" s="23"/>
      <c r="D264" s="23"/>
      <c r="E264" s="23"/>
      <c r="F264" s="23"/>
      <c r="G264" s="288"/>
      <c r="H264" s="21"/>
      <c r="I264" s="22"/>
    </row>
    <row r="265" spans="1:9" ht="18.75" customHeight="1" x14ac:dyDescent="0.25">
      <c r="A265" s="295"/>
      <c r="B265" s="292"/>
      <c r="C265" s="23"/>
      <c r="D265" s="23"/>
      <c r="E265" s="23"/>
      <c r="F265" s="23"/>
      <c r="G265" s="288"/>
      <c r="H265" s="21"/>
      <c r="I265" s="22"/>
    </row>
    <row r="266" spans="1:9" ht="18.75" customHeight="1" x14ac:dyDescent="0.25">
      <c r="A266" s="295"/>
      <c r="B266" s="292"/>
      <c r="C266" s="23"/>
      <c r="D266" s="23"/>
      <c r="E266" s="23"/>
      <c r="F266" s="23"/>
      <c r="G266" s="288"/>
      <c r="H266" s="21"/>
      <c r="I266" s="22"/>
    </row>
    <row r="267" spans="1:9" ht="18.75" customHeight="1" x14ac:dyDescent="0.25">
      <c r="A267" s="295"/>
      <c r="B267" s="292"/>
      <c r="C267" s="23"/>
      <c r="D267" s="23"/>
      <c r="E267" s="23"/>
      <c r="F267" s="23"/>
      <c r="G267" s="288"/>
      <c r="H267" s="21"/>
      <c r="I267" s="22"/>
    </row>
    <row r="268" spans="1:9" ht="18.75" customHeight="1" x14ac:dyDescent="0.25">
      <c r="A268" s="295"/>
      <c r="B268" s="292"/>
      <c r="C268" s="23"/>
      <c r="D268" s="23"/>
      <c r="E268" s="23"/>
      <c r="F268" s="23"/>
      <c r="G268" s="288"/>
      <c r="H268" s="21"/>
      <c r="I268" s="22"/>
    </row>
    <row r="269" spans="1:9" ht="18.75" customHeight="1" x14ac:dyDescent="0.25">
      <c r="A269" s="295"/>
      <c r="B269" s="292"/>
      <c r="C269" s="23"/>
      <c r="D269" s="23"/>
      <c r="E269" s="23"/>
      <c r="F269" s="23"/>
      <c r="G269" s="288"/>
      <c r="H269" s="21"/>
      <c r="I269" s="22"/>
    </row>
    <row r="270" spans="1:9" ht="18.75" customHeight="1" x14ac:dyDescent="0.25">
      <c r="A270" s="295"/>
      <c r="B270" s="292"/>
      <c r="C270" s="23"/>
      <c r="D270" s="23"/>
      <c r="E270" s="23"/>
      <c r="F270" s="23"/>
      <c r="G270" s="288"/>
      <c r="H270" s="21"/>
      <c r="I270" s="22"/>
    </row>
    <row r="271" spans="1:9" ht="18.75" customHeight="1" x14ac:dyDescent="0.25">
      <c r="A271" s="295"/>
      <c r="B271" s="292"/>
      <c r="C271" s="23"/>
      <c r="D271" s="23"/>
      <c r="E271" s="23"/>
      <c r="F271" s="23"/>
      <c r="G271" s="288"/>
      <c r="H271" s="21"/>
      <c r="I271" s="22"/>
    </row>
    <row r="272" spans="1:9" ht="18.75" customHeight="1" x14ac:dyDescent="0.25">
      <c r="A272" s="295"/>
      <c r="B272" s="292"/>
      <c r="C272" s="23"/>
      <c r="D272" s="23"/>
      <c r="E272" s="23"/>
      <c r="F272" s="23"/>
      <c r="G272" s="288"/>
      <c r="H272" s="21"/>
      <c r="I272" s="22"/>
    </row>
    <row r="273" spans="1:9" ht="18.75" customHeight="1" x14ac:dyDescent="0.25">
      <c r="A273" s="295"/>
      <c r="B273" s="157" t="s">
        <v>186</v>
      </c>
      <c r="C273" s="23"/>
      <c r="D273" s="23"/>
      <c r="E273" s="23"/>
      <c r="F273" s="23"/>
      <c r="G273" s="288" t="s">
        <v>187</v>
      </c>
      <c r="H273" s="60">
        <f>'Process - Pembebanan'!H61</f>
        <v>500</v>
      </c>
      <c r="I273" s="22" t="s">
        <v>148</v>
      </c>
    </row>
    <row r="274" spans="1:9" ht="18.75" customHeight="1" x14ac:dyDescent="0.25">
      <c r="A274" s="295"/>
      <c r="B274" s="157" t="s">
        <v>176</v>
      </c>
      <c r="C274" s="23"/>
      <c r="D274" s="23"/>
      <c r="E274" s="23"/>
      <c r="F274" s="23"/>
      <c r="G274" s="146" t="s">
        <v>178</v>
      </c>
      <c r="H274" s="61">
        <f>'Process - Pembebanan'!H62</f>
        <v>0.3</v>
      </c>
      <c r="I274" s="22"/>
    </row>
    <row r="275" spans="1:9" ht="18.75" customHeight="1" x14ac:dyDescent="0.25">
      <c r="A275" s="295"/>
      <c r="B275" s="23" t="s">
        <v>183</v>
      </c>
      <c r="C275" s="23"/>
      <c r="D275" s="23"/>
      <c r="E275" s="23"/>
      <c r="F275" s="23"/>
      <c r="G275" s="146" t="s">
        <v>188</v>
      </c>
      <c r="H275" s="59">
        <f>'Process - Pembebanan'!H63</f>
        <v>7060.3</v>
      </c>
      <c r="I275" s="22" t="s">
        <v>137</v>
      </c>
    </row>
    <row r="276" spans="1:9" ht="18.75" customHeight="1" x14ac:dyDescent="0.25">
      <c r="A276" s="295"/>
      <c r="B276" s="23"/>
      <c r="C276" s="23"/>
      <c r="D276" s="23"/>
      <c r="E276" s="23"/>
      <c r="F276" s="23"/>
      <c r="G276" s="23"/>
      <c r="H276" s="23"/>
      <c r="I276" s="23"/>
    </row>
    <row r="277" spans="1:9" ht="18.75" customHeight="1" x14ac:dyDescent="0.25">
      <c r="A277" s="295" t="s">
        <v>925</v>
      </c>
      <c r="B277" s="292" t="s">
        <v>189</v>
      </c>
      <c r="C277" s="23"/>
      <c r="D277" s="23"/>
      <c r="E277" s="23"/>
      <c r="F277" s="23"/>
      <c r="G277" s="23"/>
      <c r="H277" s="23"/>
      <c r="I277" s="23"/>
    </row>
    <row r="278" spans="1:9" ht="18.75" customHeight="1" x14ac:dyDescent="0.25">
      <c r="A278" s="295"/>
      <c r="B278" s="23"/>
      <c r="C278" s="23"/>
      <c r="D278" s="23"/>
      <c r="E278" s="23"/>
      <c r="F278" s="23"/>
      <c r="G278" s="146"/>
      <c r="H278" s="21"/>
      <c r="I278" s="22"/>
    </row>
    <row r="279" spans="1:9" ht="18.75" customHeight="1" x14ac:dyDescent="0.25">
      <c r="A279" s="295"/>
      <c r="B279" s="23"/>
      <c r="C279" s="23"/>
      <c r="D279" s="23"/>
      <c r="E279" s="23"/>
      <c r="F279" s="23"/>
      <c r="G279" s="146"/>
      <c r="H279" s="21"/>
      <c r="I279" s="22"/>
    </row>
    <row r="280" spans="1:9" ht="18.75" customHeight="1" x14ac:dyDescent="0.25">
      <c r="A280" s="295"/>
      <c r="B280" s="23"/>
      <c r="C280" s="23"/>
      <c r="D280" s="23"/>
      <c r="E280" s="23"/>
      <c r="F280" s="23"/>
      <c r="G280" s="146"/>
      <c r="H280" s="21"/>
      <c r="I280" s="22"/>
    </row>
    <row r="281" spans="1:9" ht="18.75" customHeight="1" x14ac:dyDescent="0.25">
      <c r="A281" s="295"/>
      <c r="B281" s="23"/>
      <c r="C281" s="23"/>
      <c r="D281" s="23"/>
      <c r="E281" s="23"/>
      <c r="F281" s="23"/>
      <c r="G281" s="146"/>
      <c r="H281" s="21"/>
      <c r="I281" s="22"/>
    </row>
    <row r="282" spans="1:9" ht="18.75" customHeight="1" x14ac:dyDescent="0.25">
      <c r="A282" s="295"/>
      <c r="B282" s="23"/>
      <c r="C282" s="23"/>
      <c r="D282" s="23"/>
      <c r="E282" s="23"/>
      <c r="F282" s="23"/>
      <c r="G282" s="146"/>
      <c r="H282" s="21"/>
      <c r="I282" s="22"/>
    </row>
    <row r="283" spans="1:9" ht="18.75" customHeight="1" x14ac:dyDescent="0.25">
      <c r="A283" s="295"/>
      <c r="B283" s="293" t="s">
        <v>190</v>
      </c>
      <c r="C283" s="289"/>
      <c r="D283" s="289"/>
      <c r="E283" s="289"/>
      <c r="F283" s="289"/>
      <c r="G283" s="290" t="s">
        <v>6</v>
      </c>
      <c r="H283" s="62">
        <f>'Process - Pembebanan'!H71</f>
        <v>1.8</v>
      </c>
      <c r="I283" s="22" t="s">
        <v>2</v>
      </c>
    </row>
    <row r="284" spans="1:9" ht="18.75" customHeight="1" x14ac:dyDescent="0.35">
      <c r="A284" s="295"/>
      <c r="B284" s="157" t="s">
        <v>191</v>
      </c>
      <c r="C284" s="289"/>
      <c r="D284" s="289"/>
      <c r="E284" s="289"/>
      <c r="F284" s="289"/>
      <c r="G284" s="290" t="s">
        <v>192</v>
      </c>
      <c r="H284" s="63">
        <f>'Process - Pembebanan'!H72</f>
        <v>125</v>
      </c>
      <c r="I284" s="22" t="s">
        <v>148</v>
      </c>
    </row>
    <row r="285" spans="1:9" ht="18.75" customHeight="1" x14ac:dyDescent="0.35">
      <c r="A285" s="295"/>
      <c r="B285" s="157" t="s">
        <v>193</v>
      </c>
      <c r="C285" s="289"/>
      <c r="D285" s="289"/>
      <c r="E285" s="289"/>
      <c r="F285" s="289"/>
      <c r="G285" s="290" t="s">
        <v>194</v>
      </c>
      <c r="H285" s="63">
        <f>'Process - Pembebanan'!H73</f>
        <v>324.01500000000004</v>
      </c>
      <c r="I285" s="22" t="s">
        <v>148</v>
      </c>
    </row>
    <row r="286" spans="1:9" ht="18.75" customHeight="1" x14ac:dyDescent="0.25">
      <c r="A286" s="295"/>
      <c r="B286" s="157" t="s">
        <v>195</v>
      </c>
      <c r="C286" s="289"/>
      <c r="D286" s="289"/>
      <c r="E286" s="289"/>
      <c r="F286" s="289"/>
      <c r="G286" s="290" t="s">
        <v>196</v>
      </c>
      <c r="H286" s="63">
        <f>'Process - Pembebanan'!H74</f>
        <v>324.01500000000004</v>
      </c>
      <c r="I286" s="22" t="s">
        <v>148</v>
      </c>
    </row>
    <row r="287" spans="1:9" ht="18.75" customHeight="1" x14ac:dyDescent="0.25">
      <c r="A287" s="295"/>
      <c r="B287" s="23" t="s">
        <v>197</v>
      </c>
      <c r="C287" s="23"/>
      <c r="D287" s="23"/>
      <c r="E287" s="23"/>
      <c r="F287" s="23"/>
      <c r="G287" s="146" t="s">
        <v>198</v>
      </c>
      <c r="H287" s="259">
        <f>'Process - Pembebanan'!H75</f>
        <v>18.2</v>
      </c>
      <c r="I287" s="22" t="s">
        <v>2</v>
      </c>
    </row>
    <row r="288" spans="1:9" ht="18.75" customHeight="1" x14ac:dyDescent="0.25">
      <c r="A288" s="295"/>
      <c r="B288" s="23" t="s">
        <v>199</v>
      </c>
      <c r="C288" s="23"/>
      <c r="D288" s="23"/>
      <c r="E288" s="23"/>
      <c r="F288" s="23"/>
      <c r="G288" s="146" t="s">
        <v>36</v>
      </c>
      <c r="H288" s="259">
        <f>'Process - Pembebanan'!H76</f>
        <v>3.5</v>
      </c>
      <c r="I288" s="22" t="s">
        <v>2</v>
      </c>
    </row>
    <row r="289" spans="1:9" ht="18.75" customHeight="1" x14ac:dyDescent="0.25">
      <c r="A289" s="295"/>
      <c r="B289" s="157" t="s">
        <v>200</v>
      </c>
      <c r="C289" s="289"/>
      <c r="D289" s="289"/>
      <c r="E289" s="289"/>
      <c r="F289" s="289"/>
      <c r="G289" s="290" t="s">
        <v>147</v>
      </c>
      <c r="H289" s="260">
        <f>'Process - Pembebanan'!H77</f>
        <v>4</v>
      </c>
      <c r="I289" s="22"/>
    </row>
    <row r="290" spans="1:9" ht="18.75" customHeight="1" x14ac:dyDescent="0.25">
      <c r="A290" s="295"/>
      <c r="B290" s="157" t="s">
        <v>201</v>
      </c>
      <c r="C290" s="289"/>
      <c r="D290" s="289"/>
      <c r="E290" s="289"/>
      <c r="F290" s="289"/>
      <c r="G290" s="290" t="s">
        <v>202</v>
      </c>
      <c r="H290" s="64">
        <f>'Process - Pembebanan'!H78</f>
        <v>81.003750000000011</v>
      </c>
      <c r="I290" s="22" t="s">
        <v>148</v>
      </c>
    </row>
    <row r="291" spans="1:9" ht="18.75" customHeight="1" x14ac:dyDescent="0.25">
      <c r="A291" s="295"/>
      <c r="B291" s="23" t="s">
        <v>203</v>
      </c>
      <c r="C291" s="23"/>
      <c r="D291" s="23"/>
      <c r="E291" s="23"/>
      <c r="F291" s="23"/>
      <c r="G291" s="290" t="s">
        <v>204</v>
      </c>
      <c r="H291" s="64">
        <f>'Process - Pembebanan'!H79</f>
        <v>3.0916402301539332</v>
      </c>
      <c r="I291" s="22" t="s">
        <v>2</v>
      </c>
    </row>
    <row r="292" spans="1:9" ht="18.75" customHeight="1" x14ac:dyDescent="0.25">
      <c r="A292" s="295"/>
      <c r="B292" s="23" t="s">
        <v>205</v>
      </c>
      <c r="C292" s="23"/>
      <c r="D292" s="23"/>
      <c r="E292" s="23"/>
      <c r="F292" s="23"/>
      <c r="G292" s="146" t="s">
        <v>206</v>
      </c>
      <c r="H292" s="63">
        <f>'Process - Pembebanan'!H80</f>
        <v>250.4344522933317</v>
      </c>
      <c r="I292" s="22" t="s">
        <v>137</v>
      </c>
    </row>
    <row r="293" spans="1:9" ht="18.75" customHeight="1" x14ac:dyDescent="0.25">
      <c r="A293" s="295"/>
      <c r="B293" s="23" t="s">
        <v>207</v>
      </c>
      <c r="C293" s="23"/>
      <c r="D293" s="23"/>
      <c r="E293" s="23"/>
      <c r="F293" s="23"/>
      <c r="G293" s="146" t="s">
        <v>208</v>
      </c>
      <c r="H293" s="59">
        <f>'Process - Pembebanan'!H81</f>
        <v>125.21722614666585</v>
      </c>
      <c r="I293" s="22" t="s">
        <v>137</v>
      </c>
    </row>
    <row r="294" spans="1:9" ht="18.75" customHeight="1" x14ac:dyDescent="0.25">
      <c r="A294" s="295"/>
      <c r="B294" s="23"/>
      <c r="C294" s="23"/>
      <c r="D294" s="23"/>
      <c r="E294" s="23"/>
      <c r="F294" s="23"/>
      <c r="G294" s="23"/>
      <c r="H294" s="23"/>
      <c r="I294" s="23"/>
    </row>
    <row r="295" spans="1:9" ht="18.75" customHeight="1" x14ac:dyDescent="0.25">
      <c r="A295" s="295"/>
      <c r="B295" s="23"/>
      <c r="C295" s="23"/>
      <c r="D295" s="23"/>
      <c r="E295" s="23"/>
      <c r="F295" s="23"/>
      <c r="G295" s="23"/>
      <c r="H295" s="23"/>
      <c r="I295" s="23"/>
    </row>
    <row r="296" spans="1:9" ht="18.75" customHeight="1" x14ac:dyDescent="0.25">
      <c r="A296" s="295" t="s">
        <v>170</v>
      </c>
      <c r="B296" s="292" t="s">
        <v>210</v>
      </c>
      <c r="C296" s="23"/>
      <c r="D296" s="23"/>
      <c r="E296" s="23"/>
      <c r="F296" s="23"/>
      <c r="G296" s="23"/>
      <c r="H296" s="23"/>
      <c r="I296" s="23"/>
    </row>
    <row r="297" spans="1:9" ht="18.75" customHeight="1" x14ac:dyDescent="0.25">
      <c r="A297" s="295" t="s">
        <v>924</v>
      </c>
      <c r="B297" s="292" t="s">
        <v>211</v>
      </c>
      <c r="C297" s="23"/>
      <c r="D297" s="23"/>
      <c r="E297" s="23"/>
      <c r="F297" s="23"/>
      <c r="G297" s="23"/>
      <c r="H297" s="23"/>
      <c r="I297" s="23"/>
    </row>
    <row r="298" spans="1:9" ht="18.75" customHeight="1" x14ac:dyDescent="0.25">
      <c r="A298" s="295"/>
      <c r="B298" s="294" t="s">
        <v>212</v>
      </c>
      <c r="C298" s="23"/>
      <c r="D298" s="23"/>
      <c r="E298" s="23"/>
      <c r="F298" s="23"/>
      <c r="G298" s="146" t="s">
        <v>213</v>
      </c>
      <c r="H298" s="60">
        <f>'Process - Pembebanan'!H86</f>
        <v>1.8</v>
      </c>
      <c r="I298" s="22" t="s">
        <v>2</v>
      </c>
    </row>
    <row r="299" spans="1:9" ht="18.75" customHeight="1" x14ac:dyDescent="0.25">
      <c r="A299" s="295"/>
      <c r="B299" s="294" t="s">
        <v>214</v>
      </c>
      <c r="C299" s="23"/>
      <c r="D299" s="23"/>
      <c r="E299" s="23"/>
      <c r="F299" s="23"/>
      <c r="G299" s="146" t="s">
        <v>215</v>
      </c>
      <c r="H299" s="60">
        <f>'Process - Pembebanan'!H87</f>
        <v>1.75</v>
      </c>
      <c r="I299" s="22" t="s">
        <v>2</v>
      </c>
    </row>
    <row r="300" spans="1:9" ht="18.75" customHeight="1" x14ac:dyDescent="0.25">
      <c r="A300" s="295"/>
      <c r="B300" s="294" t="s">
        <v>216</v>
      </c>
      <c r="C300" s="23"/>
      <c r="D300" s="23"/>
      <c r="E300" s="23"/>
      <c r="F300" s="23"/>
      <c r="G300" s="146" t="s">
        <v>217</v>
      </c>
      <c r="H300" s="60">
        <f>'Process - Pembebanan'!H88</f>
        <v>1.46</v>
      </c>
      <c r="I300" s="22" t="s">
        <v>134</v>
      </c>
    </row>
    <row r="301" spans="1:9" ht="18.75" customHeight="1" x14ac:dyDescent="0.25">
      <c r="A301" s="295"/>
      <c r="B301" s="294" t="s">
        <v>218</v>
      </c>
      <c r="C301" s="23"/>
      <c r="D301" s="23"/>
      <c r="E301" s="23"/>
      <c r="F301" s="23"/>
      <c r="G301" s="146" t="s">
        <v>219</v>
      </c>
      <c r="H301" s="58">
        <f>'Process - Pembebanan'!H89</f>
        <v>0.75085714285714289</v>
      </c>
      <c r="I301" s="22" t="s">
        <v>134</v>
      </c>
    </row>
    <row r="302" spans="1:9" ht="18.75" customHeight="1" x14ac:dyDescent="0.25">
      <c r="A302" s="295"/>
      <c r="B302" s="23" t="s">
        <v>220</v>
      </c>
      <c r="C302" s="23"/>
      <c r="D302" s="23"/>
      <c r="E302" s="23"/>
      <c r="F302" s="23"/>
      <c r="G302" s="146" t="s">
        <v>221</v>
      </c>
      <c r="H302" s="58">
        <f>'Process - Pembebanan'!H90</f>
        <v>234.64285714285717</v>
      </c>
      <c r="I302" s="22" t="s">
        <v>137</v>
      </c>
    </row>
    <row r="303" spans="1:9" ht="18.75" customHeight="1" x14ac:dyDescent="0.25">
      <c r="A303" s="295"/>
      <c r="B303" s="23"/>
      <c r="C303" s="23"/>
      <c r="D303" s="23"/>
      <c r="E303" s="23"/>
      <c r="F303" s="23"/>
      <c r="G303" s="23"/>
      <c r="H303" s="23"/>
      <c r="I303" s="23"/>
    </row>
    <row r="304" spans="1:9" ht="18.75" customHeight="1" x14ac:dyDescent="0.25">
      <c r="A304" s="295" t="s">
        <v>922</v>
      </c>
      <c r="B304" s="292" t="s">
        <v>222</v>
      </c>
      <c r="C304" s="23"/>
      <c r="D304" s="23"/>
      <c r="E304" s="23"/>
      <c r="F304" s="23"/>
      <c r="G304" s="23"/>
      <c r="H304" s="23"/>
      <c r="I304" s="23"/>
    </row>
    <row r="305" spans="1:9" ht="18.75" customHeight="1" x14ac:dyDescent="0.25">
      <c r="A305" s="295"/>
      <c r="B305" s="294" t="s">
        <v>223</v>
      </c>
      <c r="C305" s="23"/>
      <c r="D305" s="23"/>
      <c r="E305" s="23"/>
      <c r="F305" s="23"/>
      <c r="G305" s="146" t="s">
        <v>6</v>
      </c>
      <c r="H305" s="59">
        <f>'Process - Pembebanan'!H93</f>
        <v>3.95</v>
      </c>
      <c r="I305" s="22" t="s">
        <v>2</v>
      </c>
    </row>
    <row r="306" spans="1:9" ht="18.75" customHeight="1" x14ac:dyDescent="0.25">
      <c r="A306" s="295"/>
      <c r="B306" s="23" t="s">
        <v>280</v>
      </c>
      <c r="C306" s="23"/>
      <c r="D306" s="23"/>
      <c r="E306" s="23"/>
      <c r="F306" s="23"/>
      <c r="G306" s="146" t="s">
        <v>36</v>
      </c>
      <c r="H306" s="44">
        <f>'Process - Pembebanan'!H94</f>
        <v>3.5</v>
      </c>
      <c r="I306" s="22" t="s">
        <v>2</v>
      </c>
    </row>
    <row r="307" spans="1:9" ht="18.75" customHeight="1" x14ac:dyDescent="0.25">
      <c r="A307" s="295"/>
      <c r="B307" s="23" t="s">
        <v>224</v>
      </c>
      <c r="C307" s="23"/>
      <c r="D307" s="23"/>
      <c r="E307" s="23"/>
      <c r="F307" s="23"/>
      <c r="G307" s="146" t="s">
        <v>225</v>
      </c>
      <c r="H307" s="59">
        <f>'Process - Pembebanan'!H95</f>
        <v>1.1583597698460673</v>
      </c>
      <c r="I307" s="22" t="s">
        <v>2</v>
      </c>
    </row>
    <row r="308" spans="1:9" ht="18.75" customHeight="1" x14ac:dyDescent="0.25">
      <c r="A308" s="295"/>
      <c r="B308" s="23" t="s">
        <v>226</v>
      </c>
      <c r="C308" s="23"/>
      <c r="D308" s="23"/>
      <c r="E308" s="23"/>
      <c r="F308" s="23"/>
      <c r="G308" s="146" t="s">
        <v>227</v>
      </c>
      <c r="H308" s="303">
        <f>'Process - Pembebanan'!H96</f>
        <v>19.3</v>
      </c>
      <c r="I308" s="22" t="s">
        <v>228</v>
      </c>
    </row>
    <row r="309" spans="1:9" ht="18.75" customHeight="1" x14ac:dyDescent="0.25">
      <c r="A309" s="295"/>
      <c r="B309" s="23" t="s">
        <v>229</v>
      </c>
      <c r="C309" s="23"/>
      <c r="D309" s="23"/>
      <c r="E309" s="23"/>
      <c r="F309" s="23"/>
      <c r="G309" s="146" t="s">
        <v>230</v>
      </c>
      <c r="H309" s="303">
        <f>'Process - Pembebanan'!H97</f>
        <v>126</v>
      </c>
      <c r="I309" s="22" t="s">
        <v>228</v>
      </c>
    </row>
    <row r="310" spans="1:9" ht="18.75" customHeight="1" x14ac:dyDescent="0.25">
      <c r="A310" s="295"/>
      <c r="B310" s="23" t="s">
        <v>231</v>
      </c>
      <c r="C310" s="23"/>
      <c r="D310" s="23"/>
      <c r="E310" s="23"/>
      <c r="F310" s="23"/>
      <c r="G310" s="146" t="s">
        <v>232</v>
      </c>
      <c r="H310" s="303">
        <f>'Process - Pembebanan'!H98</f>
        <v>90</v>
      </c>
      <c r="I310" s="22" t="s">
        <v>228</v>
      </c>
    </row>
    <row r="311" spans="1:9" ht="18.75" customHeight="1" x14ac:dyDescent="0.25">
      <c r="A311" s="295"/>
      <c r="B311" s="23" t="s">
        <v>233</v>
      </c>
      <c r="C311" s="23"/>
      <c r="D311" s="23"/>
      <c r="E311" s="23"/>
      <c r="F311" s="23"/>
      <c r="G311" s="146" t="s">
        <v>234</v>
      </c>
      <c r="H311" s="303">
        <f>'Process - Pembebanan'!H99</f>
        <v>19</v>
      </c>
      <c r="I311" s="22" t="s">
        <v>2</v>
      </c>
    </row>
    <row r="312" spans="1:9" ht="18.75" customHeight="1" x14ac:dyDescent="0.25">
      <c r="A312" s="295"/>
      <c r="B312" s="23" t="s">
        <v>235</v>
      </c>
      <c r="C312" s="23"/>
      <c r="D312" s="23"/>
      <c r="E312" s="23"/>
      <c r="F312" s="23"/>
      <c r="G312" s="146" t="s">
        <v>236</v>
      </c>
      <c r="H312" s="45">
        <f>'Process - Pembebanan'!H100</f>
        <v>2500</v>
      </c>
      <c r="I312" s="22" t="s">
        <v>9</v>
      </c>
    </row>
    <row r="313" spans="1:9" ht="18.75" customHeight="1" x14ac:dyDescent="0.25">
      <c r="A313" s="295"/>
      <c r="B313" s="23" t="s">
        <v>237</v>
      </c>
      <c r="C313" s="23"/>
      <c r="D313" s="23"/>
      <c r="E313" s="23"/>
      <c r="F313" s="23"/>
      <c r="G313" s="146" t="s">
        <v>238</v>
      </c>
      <c r="H313" s="33">
        <f>'Process - Pembebanan'!H101</f>
        <v>137.00141410459386</v>
      </c>
      <c r="I313" s="22" t="s">
        <v>228</v>
      </c>
    </row>
    <row r="314" spans="1:9" ht="18.75" customHeight="1" x14ac:dyDescent="0.25">
      <c r="A314" s="295"/>
      <c r="B314" s="23" t="s">
        <v>239</v>
      </c>
      <c r="C314" s="23"/>
      <c r="D314" s="23"/>
      <c r="E314" s="23"/>
      <c r="F314" s="23"/>
      <c r="G314" s="146" t="s">
        <v>240</v>
      </c>
      <c r="H314" s="45">
        <f>'Process - Pembebanan'!H102</f>
        <v>2.3999999999999998E-3</v>
      </c>
      <c r="I314" s="22" t="s">
        <v>241</v>
      </c>
    </row>
    <row r="315" spans="1:9" ht="18.75" customHeight="1" x14ac:dyDescent="0.25">
      <c r="A315" s="295"/>
      <c r="B315" s="23" t="s">
        <v>242</v>
      </c>
      <c r="C315" s="23"/>
      <c r="D315" s="23"/>
      <c r="E315" s="23"/>
      <c r="F315" s="23"/>
      <c r="G315" s="146" t="s">
        <v>243</v>
      </c>
      <c r="H315" s="65">
        <f>'Process - Pembebanan'!H103</f>
        <v>5.5612999901210091E-3</v>
      </c>
      <c r="I315" s="22" t="s">
        <v>241</v>
      </c>
    </row>
    <row r="316" spans="1:9" ht="18.75" customHeight="1" x14ac:dyDescent="0.25">
      <c r="A316" s="295"/>
      <c r="B316" s="23" t="s">
        <v>244</v>
      </c>
      <c r="C316" s="23"/>
      <c r="D316" s="23"/>
      <c r="E316" s="23"/>
      <c r="F316" s="23"/>
      <c r="G316" s="146" t="s">
        <v>245</v>
      </c>
      <c r="H316" s="58">
        <f>'Process - Pembebanan'!H104</f>
        <v>21.967134960977987</v>
      </c>
      <c r="I316" s="22" t="s">
        <v>134</v>
      </c>
    </row>
    <row r="317" spans="1:9" ht="18.75" customHeight="1" x14ac:dyDescent="0.25">
      <c r="A317" s="295"/>
      <c r="B317" s="23" t="s">
        <v>246</v>
      </c>
      <c r="C317" s="23"/>
      <c r="D317" s="23"/>
      <c r="E317" s="23"/>
      <c r="F317" s="23"/>
      <c r="G317" s="146" t="s">
        <v>247</v>
      </c>
      <c r="H317" s="58">
        <f>'Process - Pembebanan'!H105</f>
        <v>1961.351335801606</v>
      </c>
      <c r="I317" s="22" t="s">
        <v>137</v>
      </c>
    </row>
    <row r="318" spans="1:9" ht="18.75" customHeight="1" x14ac:dyDescent="0.25">
      <c r="A318" s="295"/>
      <c r="B318" s="23"/>
      <c r="C318" s="23"/>
      <c r="D318" s="23"/>
      <c r="E318" s="23"/>
      <c r="F318" s="23"/>
      <c r="G318" s="23"/>
      <c r="H318" s="23"/>
      <c r="I318" s="23"/>
    </row>
    <row r="319" spans="1:9" ht="18.75" customHeight="1" x14ac:dyDescent="0.25">
      <c r="A319" s="295"/>
      <c r="B319" s="23"/>
      <c r="C319" s="23"/>
      <c r="D319" s="23"/>
      <c r="E319" s="23"/>
      <c r="F319" s="23"/>
      <c r="G319" s="23"/>
      <c r="H319" s="23"/>
      <c r="I319" s="23"/>
    </row>
    <row r="320" spans="1:9" ht="18.75" customHeight="1" x14ac:dyDescent="0.25">
      <c r="A320" s="295" t="s">
        <v>209</v>
      </c>
      <c r="B320" s="292" t="s">
        <v>249</v>
      </c>
      <c r="C320" s="23"/>
      <c r="D320" s="23"/>
      <c r="E320" s="23"/>
      <c r="F320" s="23"/>
      <c r="G320" s="23"/>
      <c r="H320" s="23"/>
      <c r="I320" s="23"/>
    </row>
    <row r="321" spans="1:9" ht="18.75" customHeight="1" x14ac:dyDescent="0.25">
      <c r="A321" s="295"/>
      <c r="B321" s="23" t="s">
        <v>252</v>
      </c>
      <c r="C321" s="23"/>
      <c r="D321" s="23"/>
      <c r="E321" s="23"/>
      <c r="F321" s="23"/>
      <c r="G321" s="146" t="s">
        <v>253</v>
      </c>
      <c r="H321" s="58">
        <f>'Process - Pembebanan'!H109</f>
        <v>9870.7739999999994</v>
      </c>
      <c r="I321" s="22" t="s">
        <v>137</v>
      </c>
    </row>
    <row r="322" spans="1:9" ht="18.75" customHeight="1" x14ac:dyDescent="0.25">
      <c r="A322" s="295"/>
      <c r="B322" s="23" t="s">
        <v>268</v>
      </c>
      <c r="C322" s="23"/>
      <c r="D322" s="23"/>
      <c r="E322" s="23"/>
      <c r="F322" s="23"/>
      <c r="G322" s="146" t="s">
        <v>269</v>
      </c>
      <c r="H322" s="58">
        <f>'Process - Pembebanan'!H110</f>
        <v>2942.7343750000005</v>
      </c>
      <c r="I322" s="22" t="s">
        <v>137</v>
      </c>
    </row>
    <row r="323" spans="1:9" ht="18.75" customHeight="1" x14ac:dyDescent="0.25">
      <c r="A323" s="295"/>
      <c r="B323" s="23" t="s">
        <v>270</v>
      </c>
      <c r="C323" s="23"/>
      <c r="D323" s="23"/>
      <c r="E323" s="23"/>
      <c r="F323" s="23"/>
      <c r="G323" s="146" t="s">
        <v>271</v>
      </c>
      <c r="H323" s="58">
        <f>'Process - Pembebanan'!H111</f>
        <v>10876.25</v>
      </c>
      <c r="I323" s="22" t="s">
        <v>137</v>
      </c>
    </row>
    <row r="324" spans="1:9" ht="18.75" customHeight="1" x14ac:dyDescent="0.25">
      <c r="A324" s="295"/>
      <c r="B324" s="23" t="s">
        <v>272</v>
      </c>
      <c r="C324" s="23"/>
      <c r="D324" s="23"/>
      <c r="E324" s="23"/>
      <c r="F324" s="23"/>
      <c r="G324" s="146" t="s">
        <v>273</v>
      </c>
      <c r="H324" s="58">
        <f>'Process - Pembebanan'!H112</f>
        <v>125.21722614666585</v>
      </c>
      <c r="I324" s="22" t="s">
        <v>137</v>
      </c>
    </row>
    <row r="325" spans="1:9" ht="18.75" customHeight="1" x14ac:dyDescent="0.25">
      <c r="A325" s="295"/>
      <c r="B325" s="23" t="s">
        <v>274</v>
      </c>
      <c r="C325" s="23"/>
      <c r="D325" s="23"/>
      <c r="E325" s="23"/>
      <c r="F325" s="23"/>
      <c r="G325" s="146" t="s">
        <v>275</v>
      </c>
      <c r="H325" s="58">
        <f>'Process - Pembebanan'!H113</f>
        <v>234.64285714285717</v>
      </c>
      <c r="I325" s="22" t="s">
        <v>137</v>
      </c>
    </row>
    <row r="326" spans="1:9" ht="18.75" customHeight="1" x14ac:dyDescent="0.25">
      <c r="A326" s="295"/>
      <c r="B326" s="23" t="s">
        <v>244</v>
      </c>
      <c r="C326" s="23"/>
      <c r="D326" s="23"/>
      <c r="E326" s="23"/>
      <c r="F326" s="23"/>
      <c r="G326" s="146" t="s">
        <v>276</v>
      </c>
      <c r="H326" s="58">
        <f>'Process - Pembebanan'!H114</f>
        <v>1961.351335801606</v>
      </c>
      <c r="I326" s="22" t="s">
        <v>137</v>
      </c>
    </row>
    <row r="327" spans="1:9" ht="18.75" customHeight="1" x14ac:dyDescent="0.25">
      <c r="A327" s="295"/>
      <c r="B327" s="23"/>
      <c r="C327" s="23"/>
      <c r="D327" s="23"/>
      <c r="E327" s="23"/>
      <c r="F327" s="23"/>
      <c r="G327" s="23"/>
      <c r="H327" s="169"/>
      <c r="I327" s="23"/>
    </row>
    <row r="328" spans="1:9" ht="18.75" customHeight="1" x14ac:dyDescent="0.25">
      <c r="A328" s="295"/>
      <c r="B328" s="23"/>
      <c r="C328" s="23"/>
      <c r="D328" s="23"/>
      <c r="E328" s="23"/>
      <c r="F328" s="23"/>
      <c r="G328" s="23"/>
      <c r="H328" s="169"/>
      <c r="I328" s="23"/>
    </row>
    <row r="329" spans="1:9" ht="18.75" customHeight="1" x14ac:dyDescent="0.25">
      <c r="A329" s="295"/>
      <c r="B329" s="23" t="s">
        <v>277</v>
      </c>
      <c r="C329" s="23"/>
      <c r="D329" s="23"/>
      <c r="E329" s="23"/>
      <c r="F329" s="23"/>
    </row>
    <row r="330" spans="1:9" ht="18.75" customHeight="1" x14ac:dyDescent="0.25">
      <c r="A330" s="295"/>
      <c r="B330" s="23"/>
      <c r="C330" s="23"/>
      <c r="D330" s="23"/>
      <c r="E330" s="23"/>
      <c r="F330" s="23"/>
      <c r="G330" s="146" t="s">
        <v>288</v>
      </c>
      <c r="H330" s="58">
        <f>'Process - Pembebanan'!H116</f>
        <v>24638.023859030003</v>
      </c>
      <c r="I330" s="22" t="s">
        <v>137</v>
      </c>
    </row>
    <row r="331" spans="1:9" ht="18.75" customHeight="1" x14ac:dyDescent="0.25">
      <c r="A331" s="295"/>
      <c r="B331" s="153" t="s">
        <v>290</v>
      </c>
      <c r="C331" s="153"/>
      <c r="D331" s="153"/>
      <c r="E331" s="153"/>
      <c r="F331" s="153"/>
    </row>
    <row r="332" spans="1:9" ht="18.75" customHeight="1" x14ac:dyDescent="0.25">
      <c r="A332" s="295"/>
      <c r="B332" s="153"/>
      <c r="C332" s="153"/>
      <c r="D332" s="153"/>
      <c r="E332" s="153"/>
      <c r="F332" s="153"/>
      <c r="G332" s="154" t="s">
        <v>289</v>
      </c>
      <c r="H332" s="264">
        <f>'Process - Pembebanan'!H117</f>
        <v>27115.415768990664</v>
      </c>
      <c r="I332" s="285" t="s">
        <v>137</v>
      </c>
    </row>
    <row r="333" spans="1:9" ht="18.75" customHeight="1" x14ac:dyDescent="0.25">
      <c r="A333" s="295"/>
      <c r="B333" s="23"/>
      <c r="C333" s="23"/>
      <c r="D333" s="23"/>
      <c r="E333" s="23"/>
      <c r="F333" s="23"/>
      <c r="G333" s="23"/>
      <c r="H333" s="23"/>
      <c r="I333" s="23"/>
    </row>
    <row r="334" spans="1:9" ht="18.75" customHeight="1" x14ac:dyDescent="0.25">
      <c r="A334" s="295"/>
      <c r="B334" s="23"/>
      <c r="C334" s="23"/>
      <c r="D334" s="23"/>
      <c r="E334" s="23"/>
      <c r="F334" s="23"/>
      <c r="G334" s="23"/>
      <c r="H334" s="23"/>
      <c r="I334" s="23"/>
    </row>
    <row r="335" spans="1:9" ht="18.75" customHeight="1" x14ac:dyDescent="0.25">
      <c r="A335" s="295"/>
      <c r="B335" s="23"/>
      <c r="C335" s="23"/>
      <c r="D335" s="23"/>
      <c r="E335" s="23"/>
      <c r="F335" s="23"/>
      <c r="G335" s="23"/>
      <c r="H335" s="23"/>
      <c r="I335" s="23"/>
    </row>
    <row r="336" spans="1:9" ht="18.75" customHeight="1" x14ac:dyDescent="0.25">
      <c r="A336" s="295"/>
      <c r="B336" s="23"/>
      <c r="C336" s="23"/>
      <c r="D336" s="23"/>
      <c r="E336" s="23"/>
      <c r="F336" s="23"/>
      <c r="G336" s="23"/>
      <c r="H336" s="23"/>
      <c r="I336" s="23"/>
    </row>
    <row r="337" spans="1:9" ht="18.75" customHeight="1" x14ac:dyDescent="0.25">
      <c r="A337" s="295"/>
      <c r="B337" s="23"/>
      <c r="C337" s="23"/>
      <c r="D337" s="23"/>
      <c r="E337" s="23"/>
      <c r="F337" s="23"/>
      <c r="G337" s="23"/>
      <c r="H337" s="23"/>
      <c r="I337" s="23"/>
    </row>
    <row r="338" spans="1:9" ht="18.75" customHeight="1" x14ac:dyDescent="0.25">
      <c r="A338" s="295"/>
      <c r="B338" s="23"/>
      <c r="C338" s="23"/>
      <c r="D338" s="23"/>
      <c r="E338" s="23"/>
      <c r="F338" s="23"/>
      <c r="G338" s="23"/>
      <c r="H338" s="23"/>
      <c r="I338" s="23"/>
    </row>
    <row r="339" spans="1:9" ht="18.75" customHeight="1" x14ac:dyDescent="0.25">
      <c r="A339" s="295"/>
      <c r="B339" s="23"/>
      <c r="C339" s="23"/>
      <c r="D339" s="23"/>
      <c r="E339" s="23"/>
      <c r="F339" s="23"/>
      <c r="G339" s="23"/>
      <c r="H339" s="23"/>
      <c r="I339" s="23"/>
    </row>
    <row r="340" spans="1:9" ht="18.75" customHeight="1" x14ac:dyDescent="0.25">
      <c r="A340" s="295"/>
      <c r="B340" s="23"/>
      <c r="C340" s="23"/>
      <c r="D340" s="23"/>
      <c r="E340" s="23"/>
      <c r="F340" s="23"/>
      <c r="G340" s="23"/>
      <c r="H340" s="23"/>
      <c r="I340" s="23"/>
    </row>
    <row r="341" spans="1:9" ht="18.75" customHeight="1" x14ac:dyDescent="0.25">
      <c r="A341" s="295"/>
      <c r="B341" s="23"/>
      <c r="C341" s="23"/>
      <c r="D341" s="23"/>
      <c r="E341" s="23"/>
      <c r="F341" s="23"/>
      <c r="G341" s="23"/>
      <c r="H341" s="23"/>
      <c r="I341" s="23"/>
    </row>
    <row r="342" spans="1:9" ht="18.75" customHeight="1" x14ac:dyDescent="0.25">
      <c r="A342" s="295"/>
      <c r="B342" s="23"/>
      <c r="C342" s="23"/>
      <c r="D342" s="23"/>
      <c r="E342" s="23"/>
      <c r="F342" s="23"/>
      <c r="G342" s="23"/>
      <c r="H342" s="23"/>
      <c r="I342" s="23"/>
    </row>
    <row r="343" spans="1:9" ht="18.75" customHeight="1" x14ac:dyDescent="0.25">
      <c r="A343" s="295"/>
      <c r="B343" s="23"/>
      <c r="C343" s="23"/>
      <c r="D343" s="23"/>
      <c r="E343" s="23"/>
      <c r="F343" s="23"/>
      <c r="G343" s="23"/>
      <c r="H343" s="23"/>
      <c r="I343" s="23"/>
    </row>
    <row r="344" spans="1:9" ht="18.75" customHeight="1" x14ac:dyDescent="0.25">
      <c r="A344" s="295"/>
      <c r="B344" s="23"/>
      <c r="C344" s="23"/>
      <c r="D344" s="23"/>
      <c r="E344" s="23"/>
      <c r="F344" s="23"/>
      <c r="G344" s="23"/>
      <c r="H344" s="23"/>
      <c r="I344" s="23"/>
    </row>
    <row r="345" spans="1:9" ht="18.75" customHeight="1" x14ac:dyDescent="0.25">
      <c r="A345" s="295"/>
      <c r="B345" s="23"/>
      <c r="C345" s="23"/>
      <c r="D345" s="23"/>
      <c r="E345" s="23"/>
      <c r="F345" s="23"/>
      <c r="G345" s="23"/>
      <c r="H345" s="23"/>
      <c r="I345" s="23"/>
    </row>
    <row r="346" spans="1:9" ht="18.75" customHeight="1" x14ac:dyDescent="0.25">
      <c r="A346" s="295"/>
      <c r="B346" s="23"/>
      <c r="C346" s="23"/>
      <c r="D346" s="23"/>
      <c r="E346" s="23"/>
      <c r="F346" s="23"/>
      <c r="G346" s="23"/>
      <c r="H346" s="23"/>
      <c r="I346" s="23"/>
    </row>
    <row r="347" spans="1:9" ht="18.75" customHeight="1" x14ac:dyDescent="0.25">
      <c r="A347" s="295"/>
      <c r="B347" s="23"/>
      <c r="C347" s="23"/>
      <c r="D347" s="23"/>
      <c r="E347" s="23"/>
      <c r="F347" s="23"/>
      <c r="G347" s="23"/>
      <c r="H347" s="23"/>
      <c r="I347" s="23"/>
    </row>
    <row r="348" spans="1:9" ht="18.75" customHeight="1" x14ac:dyDescent="0.25">
      <c r="A348" s="295"/>
      <c r="B348" s="23"/>
      <c r="C348" s="23"/>
      <c r="D348" s="23"/>
      <c r="E348" s="23"/>
      <c r="F348" s="23"/>
      <c r="G348" s="23"/>
      <c r="H348" s="23"/>
      <c r="I348" s="23"/>
    </row>
    <row r="349" spans="1:9" ht="18.75" customHeight="1" x14ac:dyDescent="0.25">
      <c r="A349" s="295"/>
      <c r="B349" s="23"/>
      <c r="C349" s="23"/>
      <c r="D349" s="23"/>
      <c r="E349" s="23"/>
      <c r="F349" s="23"/>
      <c r="G349" s="23"/>
      <c r="H349" s="23"/>
      <c r="I349" s="23"/>
    </row>
    <row r="350" spans="1:9" ht="18.75" customHeight="1" x14ac:dyDescent="0.25">
      <c r="A350" s="295"/>
      <c r="B350" s="23"/>
      <c r="C350" s="23"/>
      <c r="D350" s="23"/>
      <c r="E350" s="23"/>
      <c r="F350" s="23"/>
      <c r="G350" s="23"/>
      <c r="H350" s="23"/>
      <c r="I350" s="23"/>
    </row>
    <row r="351" spans="1:9" ht="18.75" customHeight="1" x14ac:dyDescent="0.25">
      <c r="A351" s="295"/>
      <c r="B351" s="23"/>
      <c r="C351" s="23"/>
      <c r="D351" s="23"/>
      <c r="E351" s="23"/>
      <c r="F351" s="23"/>
      <c r="G351" s="23"/>
      <c r="H351" s="23"/>
      <c r="I351" s="23"/>
    </row>
    <row r="352" spans="1:9" ht="18.75" customHeight="1" x14ac:dyDescent="0.25">
      <c r="A352" s="295"/>
      <c r="B352" s="23"/>
      <c r="C352" s="23"/>
      <c r="D352" s="23"/>
      <c r="E352" s="23"/>
      <c r="F352" s="23"/>
      <c r="G352" s="23"/>
      <c r="H352" s="23"/>
      <c r="I352" s="23"/>
    </row>
    <row r="353" spans="1:9" ht="18.75" customHeight="1" x14ac:dyDescent="0.25">
      <c r="A353" s="295"/>
      <c r="B353" s="23"/>
      <c r="C353" s="23"/>
      <c r="D353" s="23"/>
      <c r="E353" s="23"/>
      <c r="F353" s="23"/>
      <c r="G353" s="23"/>
      <c r="H353" s="23"/>
      <c r="I353" s="23"/>
    </row>
    <row r="354" spans="1:9" ht="18.75" customHeight="1" x14ac:dyDescent="0.25">
      <c r="A354" s="295"/>
      <c r="B354" s="23"/>
      <c r="C354" s="23"/>
      <c r="D354" s="23"/>
      <c r="E354" s="23"/>
      <c r="F354" s="23"/>
      <c r="G354" s="23"/>
      <c r="H354" s="23"/>
      <c r="I354" s="23"/>
    </row>
    <row r="355" spans="1:9" ht="18.75" customHeight="1" x14ac:dyDescent="0.25">
      <c r="A355" s="295"/>
      <c r="B355" s="23"/>
      <c r="C355" s="23"/>
      <c r="D355" s="23"/>
      <c r="E355" s="23"/>
      <c r="F355" s="23"/>
      <c r="G355" s="23"/>
      <c r="H355" s="23"/>
      <c r="I355" s="23"/>
    </row>
    <row r="356" spans="1:9" ht="18.75" customHeight="1" x14ac:dyDescent="0.25">
      <c r="A356" s="295"/>
      <c r="B356" s="23"/>
      <c r="C356" s="23"/>
      <c r="D356" s="23"/>
      <c r="E356" s="23"/>
      <c r="F356" s="23"/>
      <c r="G356" s="23"/>
      <c r="H356" s="23"/>
      <c r="I356" s="23"/>
    </row>
    <row r="357" spans="1:9" ht="18.75" customHeight="1" x14ac:dyDescent="0.25">
      <c r="A357" s="295"/>
      <c r="B357" s="23"/>
      <c r="C357" s="23"/>
      <c r="D357" s="23"/>
      <c r="E357" s="23"/>
      <c r="F357" s="23"/>
      <c r="G357" s="23"/>
      <c r="H357" s="23"/>
      <c r="I357" s="23"/>
    </row>
    <row r="358" spans="1:9" ht="18.75" customHeight="1" x14ac:dyDescent="0.25">
      <c r="A358" s="295"/>
      <c r="B358" s="23"/>
      <c r="C358" s="23"/>
      <c r="D358" s="23"/>
      <c r="E358" s="23"/>
      <c r="F358" s="23"/>
      <c r="G358" s="23"/>
      <c r="H358" s="23"/>
      <c r="I358" s="23"/>
    </row>
    <row r="359" spans="1:9" ht="18.75" customHeight="1" x14ac:dyDescent="0.25">
      <c r="A359" s="295"/>
      <c r="B359" s="23"/>
      <c r="C359" s="23"/>
      <c r="D359" s="23"/>
      <c r="E359" s="23"/>
      <c r="F359" s="23"/>
      <c r="G359" s="23"/>
      <c r="H359" s="23"/>
      <c r="I359" s="23"/>
    </row>
    <row r="360" spans="1:9" ht="18.75" customHeight="1" x14ac:dyDescent="0.25">
      <c r="A360" s="295"/>
      <c r="B360" s="23"/>
      <c r="C360" s="23"/>
      <c r="D360" s="23"/>
      <c r="E360" s="23"/>
      <c r="F360" s="23"/>
      <c r="G360" s="23"/>
      <c r="H360" s="23"/>
      <c r="I360" s="23"/>
    </row>
    <row r="361" spans="1:9" ht="18.75" customHeight="1" x14ac:dyDescent="0.25">
      <c r="A361" s="295"/>
      <c r="B361" s="23"/>
      <c r="C361" s="23"/>
      <c r="D361" s="23"/>
      <c r="E361" s="23"/>
      <c r="F361" s="23"/>
      <c r="G361" s="23"/>
      <c r="H361" s="23"/>
      <c r="I361" s="23"/>
    </row>
    <row r="362" spans="1:9" ht="18.75" customHeight="1" x14ac:dyDescent="0.25">
      <c r="A362" s="295"/>
      <c r="B362" s="23"/>
      <c r="C362" s="23"/>
      <c r="D362" s="23"/>
      <c r="E362" s="23"/>
      <c r="F362" s="23"/>
      <c r="G362" s="23"/>
      <c r="H362" s="23"/>
      <c r="I362" s="23"/>
    </row>
    <row r="363" spans="1:9" ht="18.75" customHeight="1" x14ac:dyDescent="0.25">
      <c r="A363" s="295"/>
      <c r="B363" s="23"/>
      <c r="C363" s="23"/>
      <c r="D363" s="23"/>
      <c r="E363" s="23"/>
      <c r="F363" s="23"/>
      <c r="G363" s="23"/>
      <c r="H363" s="23"/>
      <c r="I363" s="23"/>
    </row>
    <row r="364" spans="1:9" ht="18.75" customHeight="1" x14ac:dyDescent="0.25">
      <c r="A364" s="295"/>
      <c r="B364" s="23"/>
      <c r="C364" s="23"/>
      <c r="D364" s="23"/>
      <c r="E364" s="23"/>
      <c r="F364" s="23"/>
      <c r="G364" s="23"/>
      <c r="H364" s="23"/>
      <c r="I364" s="23"/>
    </row>
    <row r="365" spans="1:9" ht="18.75" customHeight="1" x14ac:dyDescent="0.25">
      <c r="A365" s="295"/>
      <c r="B365" s="23"/>
      <c r="C365" s="23"/>
      <c r="D365" s="23"/>
      <c r="E365" s="23"/>
      <c r="F365" s="23"/>
      <c r="G365" s="23"/>
      <c r="H365" s="23"/>
      <c r="I365" s="23"/>
    </row>
    <row r="366" spans="1:9" ht="18.75" customHeight="1" x14ac:dyDescent="0.25">
      <c r="A366" s="295" t="s">
        <v>248</v>
      </c>
      <c r="B366" s="292" t="s">
        <v>870</v>
      </c>
      <c r="C366" s="23"/>
      <c r="D366" s="23"/>
      <c r="E366" s="23"/>
      <c r="F366" s="23"/>
      <c r="G366" s="23"/>
      <c r="H366" s="23"/>
      <c r="I366" s="23"/>
    </row>
    <row r="367" spans="1:9" ht="18.75" customHeight="1" x14ac:dyDescent="0.25">
      <c r="A367" s="295" t="s">
        <v>924</v>
      </c>
      <c r="B367" s="160" t="s">
        <v>834</v>
      </c>
      <c r="C367" s="151"/>
      <c r="D367" s="151"/>
      <c r="E367" s="151"/>
      <c r="F367" s="151"/>
      <c r="G367" s="151"/>
      <c r="H367" s="151"/>
      <c r="I367" s="151"/>
    </row>
    <row r="368" spans="1:9" ht="18.75" customHeight="1" x14ac:dyDescent="0.25">
      <c r="A368" s="295"/>
      <c r="B368" s="151" t="s">
        <v>856</v>
      </c>
      <c r="C368" s="151"/>
      <c r="D368" s="151"/>
      <c r="E368" s="151"/>
      <c r="F368" s="151"/>
      <c r="G368" s="159" t="s">
        <v>839</v>
      </c>
      <c r="H368" s="199">
        <f>'Process - Pembebanan'!H122</f>
        <v>250</v>
      </c>
      <c r="I368" s="151" t="s">
        <v>148</v>
      </c>
    </row>
    <row r="369" spans="1:9" ht="18.75" customHeight="1" x14ac:dyDescent="0.25">
      <c r="A369" s="295"/>
      <c r="B369" s="151" t="s">
        <v>857</v>
      </c>
      <c r="C369" s="151"/>
      <c r="D369" s="151"/>
      <c r="E369" s="151"/>
      <c r="F369" s="151"/>
      <c r="G369" s="151"/>
      <c r="H369" s="151"/>
      <c r="I369" s="151"/>
    </row>
    <row r="370" spans="1:9" ht="18.75" customHeight="1" x14ac:dyDescent="0.25">
      <c r="A370" s="295"/>
      <c r="B370" s="166" t="s">
        <v>858</v>
      </c>
      <c r="C370" s="151"/>
      <c r="D370" s="291" t="s">
        <v>859</v>
      </c>
      <c r="E370" s="151"/>
      <c r="F370" s="151"/>
      <c r="G370" s="159" t="s">
        <v>844</v>
      </c>
      <c r="H370" s="79">
        <f>'Process - Pembebanan'!H124</f>
        <v>437.5</v>
      </c>
      <c r="I370" s="151" t="s">
        <v>137</v>
      </c>
    </row>
    <row r="371" spans="1:9" ht="18.75" customHeight="1" x14ac:dyDescent="0.25">
      <c r="A371" s="295"/>
      <c r="B371" s="166" t="s">
        <v>860</v>
      </c>
      <c r="C371" s="151"/>
      <c r="D371" s="291" t="s">
        <v>861</v>
      </c>
      <c r="E371" s="151"/>
      <c r="F371" s="151"/>
      <c r="G371" s="159" t="s">
        <v>845</v>
      </c>
      <c r="H371" s="79" t="str">
        <f>'Process - Pembebanan'!H125</f>
        <v/>
      </c>
      <c r="I371" s="151" t="s">
        <v>137</v>
      </c>
    </row>
    <row r="372" spans="1:9" ht="18.75" customHeight="1" x14ac:dyDescent="0.25">
      <c r="A372" s="295"/>
      <c r="B372" s="151"/>
      <c r="C372" s="151"/>
      <c r="D372" s="151"/>
      <c r="E372" s="151"/>
      <c r="F372" s="151"/>
      <c r="G372" s="159" t="s">
        <v>862</v>
      </c>
      <c r="H372" s="79">
        <f>'Process - Pembebanan'!H126</f>
        <v>437.5</v>
      </c>
      <c r="I372" s="151" t="s">
        <v>137</v>
      </c>
    </row>
    <row r="373" spans="1:9" ht="18.75" customHeight="1" x14ac:dyDescent="0.25">
      <c r="A373" s="295" t="s">
        <v>922</v>
      </c>
      <c r="B373" s="160" t="s">
        <v>835</v>
      </c>
      <c r="C373" s="151"/>
      <c r="D373" s="151"/>
      <c r="E373" s="151"/>
      <c r="F373" s="151"/>
      <c r="G373" s="151"/>
      <c r="H373" s="151"/>
      <c r="I373" s="151"/>
    </row>
    <row r="374" spans="1:9" ht="18.75" customHeight="1" x14ac:dyDescent="0.25">
      <c r="A374" s="295"/>
      <c r="B374" s="151" t="s">
        <v>840</v>
      </c>
      <c r="C374" s="151"/>
      <c r="D374" s="151"/>
      <c r="E374" s="151"/>
      <c r="F374" s="151"/>
      <c r="G374" s="159" t="s">
        <v>846</v>
      </c>
      <c r="H374" s="78">
        <f>'Process - Pembebanan'!H128</f>
        <v>3.95</v>
      </c>
      <c r="I374" s="151" t="s">
        <v>2</v>
      </c>
    </row>
    <row r="375" spans="1:9" ht="18.75" customHeight="1" x14ac:dyDescent="0.25">
      <c r="A375" s="295"/>
      <c r="B375" s="151" t="s">
        <v>841</v>
      </c>
      <c r="C375" s="151"/>
      <c r="D375" s="151"/>
      <c r="E375" s="151"/>
      <c r="F375" s="151"/>
      <c r="G375" s="159" t="s">
        <v>847</v>
      </c>
      <c r="H375" s="79">
        <f>'Process - Pembebanan'!H129</f>
        <v>0.49534731015554034</v>
      </c>
      <c r="I375" s="151" t="s">
        <v>2</v>
      </c>
    </row>
    <row r="376" spans="1:9" ht="18.75" customHeight="1" x14ac:dyDescent="0.25">
      <c r="A376" s="295"/>
      <c r="B376" s="151" t="s">
        <v>842</v>
      </c>
      <c r="C376" s="151"/>
      <c r="D376" s="151"/>
      <c r="E376" s="151"/>
      <c r="F376" s="151"/>
      <c r="G376" s="159" t="s">
        <v>848</v>
      </c>
      <c r="H376" s="79">
        <f>'Process - Pembebanan'!H130</f>
        <v>1098.3567480488994</v>
      </c>
      <c r="I376" s="151" t="s">
        <v>148</v>
      </c>
    </row>
    <row r="377" spans="1:9" ht="18.75" customHeight="1" x14ac:dyDescent="0.25">
      <c r="A377" s="295"/>
      <c r="B377" s="151" t="s">
        <v>843</v>
      </c>
      <c r="C377" s="23"/>
      <c r="D377" s="151"/>
      <c r="E377" s="151"/>
      <c r="F377" s="151"/>
      <c r="G377" s="159" t="s">
        <v>849</v>
      </c>
      <c r="H377" s="79">
        <f>'Process - Pembebanan'!H131</f>
        <v>544.06806073720884</v>
      </c>
      <c r="I377" s="151" t="s">
        <v>137</v>
      </c>
    </row>
    <row r="378" spans="1:9" ht="18.75" customHeight="1" x14ac:dyDescent="0.25">
      <c r="A378" s="295"/>
      <c r="B378" s="151"/>
      <c r="C378" s="23"/>
      <c r="D378" s="151"/>
      <c r="E378" s="151"/>
      <c r="F378" s="151"/>
      <c r="G378" s="159"/>
      <c r="H378" s="177"/>
      <c r="I378" s="151"/>
    </row>
    <row r="379" spans="1:9" ht="18.75" customHeight="1" x14ac:dyDescent="0.25">
      <c r="A379" s="295" t="s">
        <v>925</v>
      </c>
      <c r="B379" s="160" t="s">
        <v>836</v>
      </c>
      <c r="C379" s="23"/>
      <c r="D379" s="23"/>
      <c r="E379" s="23"/>
      <c r="F379" s="23"/>
      <c r="G379" s="23"/>
      <c r="H379" s="23"/>
      <c r="I379" s="23"/>
    </row>
    <row r="380" spans="1:9" ht="18.75" customHeight="1" x14ac:dyDescent="0.25">
      <c r="A380" s="295"/>
      <c r="B380" s="23" t="s">
        <v>850</v>
      </c>
      <c r="C380" s="23"/>
      <c r="D380" s="23"/>
      <c r="E380" s="23"/>
      <c r="F380" s="23"/>
      <c r="G380" s="146" t="s">
        <v>854</v>
      </c>
      <c r="H380" s="16">
        <f>'Process - Pembebanan'!H133</f>
        <v>2.6703473101555404</v>
      </c>
      <c r="I380" s="23" t="s">
        <v>2</v>
      </c>
    </row>
    <row r="381" spans="1:9" ht="18.75" customHeight="1" x14ac:dyDescent="0.25">
      <c r="A381" s="295"/>
      <c r="B381" s="151" t="s">
        <v>851</v>
      </c>
      <c r="C381" s="151"/>
      <c r="D381" s="151"/>
      <c r="E381" s="151"/>
      <c r="F381" s="151"/>
      <c r="G381" s="159" t="s">
        <v>852</v>
      </c>
      <c r="H381" s="79">
        <f>'Process - Pembebanan'!H134</f>
        <v>73</v>
      </c>
      <c r="I381" s="151" t="s">
        <v>148</v>
      </c>
    </row>
    <row r="382" spans="1:9" ht="18.75" customHeight="1" x14ac:dyDescent="0.25">
      <c r="A382" s="295"/>
      <c r="B382" s="151" t="s">
        <v>853</v>
      </c>
      <c r="C382" s="151"/>
      <c r="D382" s="151"/>
      <c r="E382" s="151"/>
      <c r="F382" s="151"/>
      <c r="G382" s="159" t="s">
        <v>855</v>
      </c>
      <c r="H382" s="79">
        <f>'Process - Pembebanan'!H135</f>
        <v>194.93535364135445</v>
      </c>
      <c r="I382" s="151" t="s">
        <v>137</v>
      </c>
    </row>
    <row r="383" spans="1:9" ht="18.75" customHeight="1" x14ac:dyDescent="0.25">
      <c r="A383" s="295"/>
      <c r="B383" s="151"/>
      <c r="C383" s="151"/>
      <c r="D383" s="151"/>
      <c r="E383" s="151"/>
      <c r="F383" s="151"/>
      <c r="G383" s="151"/>
      <c r="H383" s="151"/>
      <c r="I383" s="151"/>
    </row>
    <row r="384" spans="1:9" ht="18.75" customHeight="1" x14ac:dyDescent="0.25">
      <c r="A384" s="295" t="s">
        <v>926</v>
      </c>
      <c r="B384" s="160" t="s">
        <v>863</v>
      </c>
      <c r="C384" s="151"/>
      <c r="D384" s="151"/>
      <c r="E384" s="151"/>
      <c r="F384" s="151"/>
      <c r="G384" s="151"/>
      <c r="H384" s="151"/>
      <c r="I384" s="151"/>
    </row>
    <row r="385" spans="1:9" ht="18.75" customHeight="1" x14ac:dyDescent="0.25">
      <c r="A385" s="295"/>
      <c r="B385" s="291" t="s">
        <v>864</v>
      </c>
      <c r="C385" s="151"/>
      <c r="D385" s="151"/>
      <c r="E385" s="151"/>
      <c r="F385" s="151"/>
      <c r="G385" s="159" t="s">
        <v>867</v>
      </c>
      <c r="H385" s="79">
        <f>'Process - Pembebanan'!H138</f>
        <v>787.5</v>
      </c>
      <c r="I385" s="151" t="s">
        <v>137</v>
      </c>
    </row>
    <row r="386" spans="1:9" ht="18.75" customHeight="1" x14ac:dyDescent="0.25">
      <c r="A386" s="295"/>
      <c r="B386" s="291" t="s">
        <v>865</v>
      </c>
      <c r="C386" s="151"/>
      <c r="D386" s="151"/>
      <c r="E386" s="151"/>
      <c r="F386" s="151"/>
      <c r="G386" s="159" t="s">
        <v>868</v>
      </c>
      <c r="H386" s="79">
        <f>'Process - Pembebanan'!H139</f>
        <v>761.69528503209233</v>
      </c>
      <c r="I386" s="151" t="s">
        <v>137</v>
      </c>
    </row>
    <row r="387" spans="1:9" ht="18.75" customHeight="1" x14ac:dyDescent="0.25">
      <c r="A387" s="295"/>
      <c r="B387" s="291" t="s">
        <v>866</v>
      </c>
      <c r="C387" s="151"/>
      <c r="D387" s="151"/>
      <c r="E387" s="151"/>
      <c r="F387" s="151"/>
      <c r="G387" s="159" t="s">
        <v>869</v>
      </c>
      <c r="H387" s="79">
        <f>'Process - Pembebanan'!H140</f>
        <v>412.56257793623797</v>
      </c>
      <c r="I387" s="151" t="s">
        <v>137</v>
      </c>
    </row>
    <row r="388" spans="1:9" ht="18.75" customHeight="1" x14ac:dyDescent="0.25">
      <c r="A388" s="295"/>
      <c r="B388" s="151"/>
      <c r="C388" s="151"/>
      <c r="D388" s="151"/>
      <c r="E388" s="151"/>
      <c r="F388" s="151"/>
      <c r="G388" s="159" t="s">
        <v>425</v>
      </c>
      <c r="H388" s="79">
        <f>'Process - Pembebanan'!H141</f>
        <v>787.5</v>
      </c>
      <c r="I388" s="151" t="s">
        <v>137</v>
      </c>
    </row>
    <row r="389" spans="1:9" ht="18.75" customHeight="1" x14ac:dyDescent="0.25">
      <c r="A389" s="295"/>
      <c r="B389" s="23"/>
      <c r="C389" s="23"/>
      <c r="D389" s="23"/>
      <c r="E389" s="23"/>
      <c r="F389" s="23"/>
      <c r="G389" s="23"/>
      <c r="H389" s="23"/>
      <c r="I389" s="23"/>
    </row>
    <row r="391" spans="1:9" ht="18.75" customHeight="1" x14ac:dyDescent="0.25">
      <c r="A391" s="273" t="s">
        <v>785</v>
      </c>
      <c r="B391" s="138" t="s">
        <v>773</v>
      </c>
      <c r="C391" s="139"/>
      <c r="D391" s="139"/>
      <c r="E391" s="139"/>
      <c r="F391" s="139"/>
      <c r="G391" s="140"/>
      <c r="H391" s="139"/>
      <c r="I391" s="269"/>
    </row>
    <row r="392" spans="1:9" ht="18.75" customHeight="1" x14ac:dyDescent="0.25">
      <c r="A392" s="274" t="s">
        <v>786</v>
      </c>
      <c r="B392" s="142" t="s">
        <v>775</v>
      </c>
      <c r="C392" s="143"/>
      <c r="D392" s="143"/>
      <c r="E392" s="143"/>
      <c r="F392" s="143"/>
      <c r="G392" s="144"/>
      <c r="H392" s="143"/>
      <c r="I392" s="270"/>
    </row>
    <row r="393" spans="1:9" ht="18.75" customHeight="1" x14ac:dyDescent="0.25">
      <c r="A393" s="149"/>
      <c r="B393" s="23" t="s">
        <v>39</v>
      </c>
      <c r="C393" s="23"/>
      <c r="D393" s="23"/>
      <c r="E393" s="23"/>
      <c r="F393" s="23"/>
      <c r="G393" s="146" t="s">
        <v>42</v>
      </c>
      <c r="H393" s="13">
        <f>'Input &amp; Process'!H96</f>
        <v>2060</v>
      </c>
      <c r="I393" s="22" t="s">
        <v>9</v>
      </c>
    </row>
    <row r="394" spans="1:9" ht="18.75" customHeight="1" x14ac:dyDescent="0.25">
      <c r="A394" s="149"/>
      <c r="B394" s="23" t="s">
        <v>45</v>
      </c>
      <c r="C394" s="23"/>
      <c r="D394" s="23"/>
      <c r="E394" s="23"/>
      <c r="F394" s="23"/>
      <c r="G394" s="146" t="s">
        <v>46</v>
      </c>
      <c r="H394" s="13">
        <f>'Input &amp; Process'!H97</f>
        <v>1800</v>
      </c>
      <c r="I394" s="22" t="s">
        <v>9</v>
      </c>
    </row>
    <row r="395" spans="1:9" ht="18.75" customHeight="1" x14ac:dyDescent="0.25">
      <c r="A395" s="149"/>
      <c r="B395" s="23" t="s">
        <v>49</v>
      </c>
      <c r="C395" s="23"/>
      <c r="D395" s="23"/>
      <c r="E395" s="23"/>
      <c r="F395" s="23"/>
      <c r="G395" s="146"/>
      <c r="H395" s="21"/>
      <c r="I395" s="22"/>
    </row>
    <row r="396" spans="1:9" ht="18.75" customHeight="1" x14ac:dyDescent="0.25">
      <c r="A396" s="149"/>
      <c r="B396" s="148" t="s">
        <v>19</v>
      </c>
      <c r="C396" s="23"/>
      <c r="D396" s="13" t="s">
        <v>344</v>
      </c>
      <c r="E396" s="21" t="s">
        <v>13</v>
      </c>
      <c r="F396" s="13" t="s">
        <v>12</v>
      </c>
      <c r="G396" s="146"/>
      <c r="H396" s="21"/>
      <c r="I396" s="22"/>
    </row>
    <row r="397" spans="1:9" ht="18.75" customHeight="1" x14ac:dyDescent="0.25">
      <c r="A397" s="149"/>
      <c r="B397" s="23"/>
      <c r="C397" s="23"/>
      <c r="D397" s="13">
        <f>'Input &amp; Process'!D100</f>
        <v>16</v>
      </c>
      <c r="E397" s="21" t="str">
        <f>IF(D397&gt;=F397,"≥","&lt;")</f>
        <v>≥</v>
      </c>
      <c r="F397" s="12">
        <f>'Input &amp; Process'!F100</f>
        <v>13.733333333333333</v>
      </c>
      <c r="G397" s="149" t="s">
        <v>14</v>
      </c>
      <c r="H397" s="149" t="str">
        <f>IF(D397&gt;=F397,"[ OK ]","[ NOT OK ]")</f>
        <v>[ OK ]</v>
      </c>
      <c r="I397" s="22"/>
    </row>
    <row r="398" spans="1:9" ht="18.75" customHeight="1" x14ac:dyDescent="0.25">
      <c r="A398" s="149"/>
      <c r="B398" s="23" t="s">
        <v>18</v>
      </c>
      <c r="C398" s="23"/>
      <c r="D398" s="23"/>
      <c r="E398" s="23"/>
      <c r="F398" s="23"/>
      <c r="G398" s="146"/>
      <c r="H398" s="21"/>
      <c r="I398" s="22"/>
    </row>
    <row r="399" spans="1:9" ht="18.75" customHeight="1" x14ac:dyDescent="0.25">
      <c r="A399" s="149"/>
      <c r="B399" s="148" t="s">
        <v>19</v>
      </c>
      <c r="C399" s="23"/>
      <c r="D399" s="13" t="s">
        <v>21</v>
      </c>
      <c r="E399" s="21" t="s">
        <v>13</v>
      </c>
      <c r="F399" s="13" t="s">
        <v>20</v>
      </c>
      <c r="G399" s="146"/>
      <c r="H399" s="21"/>
      <c r="I399" s="22"/>
    </row>
    <row r="400" spans="1:9" ht="18.75" customHeight="1" x14ac:dyDescent="0.25">
      <c r="A400" s="149"/>
      <c r="B400" s="23"/>
      <c r="C400" s="23"/>
      <c r="D400" s="13">
        <f>'Input &amp; Process'!D103</f>
        <v>20</v>
      </c>
      <c r="E400" s="21" t="str">
        <f>IF(D400&gt;=F400,"≥","&lt;")</f>
        <v>≥</v>
      </c>
      <c r="F400" s="12">
        <f>'Input &amp; Process'!F103</f>
        <v>17.600000000000001</v>
      </c>
      <c r="G400" s="149" t="s">
        <v>14</v>
      </c>
      <c r="H400" s="149" t="str">
        <f>IF(D400&gt;=F400,"[ OK ]","[ NOT OK ]")</f>
        <v>[ OK ]</v>
      </c>
      <c r="I400" s="22"/>
    </row>
    <row r="401" spans="1:9" ht="18.75" customHeight="1" x14ac:dyDescent="0.25">
      <c r="A401" s="149"/>
      <c r="B401" s="23"/>
      <c r="C401" s="23"/>
      <c r="D401" s="21"/>
      <c r="E401" s="21"/>
      <c r="F401" s="70"/>
      <c r="G401" s="149"/>
      <c r="H401" s="149"/>
      <c r="I401" s="22"/>
    </row>
    <row r="402" spans="1:9" ht="18.75" customHeight="1" x14ac:dyDescent="0.25">
      <c r="A402" s="149"/>
      <c r="B402" s="23"/>
      <c r="C402" s="23"/>
      <c r="D402" s="21"/>
      <c r="E402" s="21"/>
      <c r="F402" s="70"/>
      <c r="G402" s="149"/>
      <c r="H402" s="149"/>
      <c r="I402" s="22"/>
    </row>
    <row r="403" spans="1:9" ht="18.75" customHeight="1" x14ac:dyDescent="0.25">
      <c r="A403" s="149"/>
      <c r="B403" s="23" t="s">
        <v>43</v>
      </c>
      <c r="C403" s="23"/>
      <c r="D403" s="23"/>
      <c r="E403" s="23"/>
      <c r="F403" s="23"/>
      <c r="G403" s="146"/>
      <c r="H403" s="21"/>
      <c r="I403" s="22"/>
    </row>
    <row r="404" spans="1:9" ht="18.75" customHeight="1" x14ac:dyDescent="0.25">
      <c r="A404" s="149"/>
      <c r="B404" s="148" t="s">
        <v>19</v>
      </c>
      <c r="C404" s="23"/>
      <c r="D404" s="13" t="s">
        <v>44</v>
      </c>
      <c r="E404" s="21" t="s">
        <v>13</v>
      </c>
      <c r="F404" s="13" t="s">
        <v>15</v>
      </c>
      <c r="G404" s="146"/>
      <c r="H404" s="21"/>
      <c r="I404" s="22"/>
    </row>
    <row r="405" spans="1:9" ht="18.75" customHeight="1" x14ac:dyDescent="0.25">
      <c r="A405" s="149"/>
      <c r="B405" s="23"/>
      <c r="C405" s="23"/>
      <c r="D405" s="13">
        <f>'Input &amp; Process'!D106</f>
        <v>380</v>
      </c>
      <c r="E405" s="21" t="str">
        <f>IF(D405&gt;=F405,"≥","&lt;")</f>
        <v>≥</v>
      </c>
      <c r="F405" s="12">
        <f>'Input &amp; Process'!F106</f>
        <v>343.33333333333331</v>
      </c>
      <c r="G405" s="149" t="s">
        <v>14</v>
      </c>
      <c r="H405" s="149" t="str">
        <f>IF(D405&gt;=F405,"[ OK ]","[ NOT OK ]")</f>
        <v>[ OK ]</v>
      </c>
      <c r="I405" s="22"/>
    </row>
    <row r="406" spans="1:9" ht="18.75" customHeight="1" x14ac:dyDescent="0.25">
      <c r="A406" s="149"/>
      <c r="B406" s="23" t="s">
        <v>47</v>
      </c>
      <c r="C406" s="23"/>
      <c r="D406" s="23"/>
      <c r="E406" s="23"/>
      <c r="F406" s="23"/>
      <c r="G406" s="146"/>
      <c r="H406" s="21"/>
      <c r="I406" s="22"/>
    </row>
    <row r="407" spans="1:9" ht="18.75" customHeight="1" x14ac:dyDescent="0.25">
      <c r="A407" s="149"/>
      <c r="B407" s="148" t="s">
        <v>19</v>
      </c>
      <c r="C407" s="23"/>
      <c r="D407" s="13" t="s">
        <v>343</v>
      </c>
      <c r="E407" s="21" t="s">
        <v>48</v>
      </c>
      <c r="F407" s="12">
        <v>12</v>
      </c>
      <c r="G407" s="146"/>
      <c r="H407" s="21"/>
      <c r="I407" s="22"/>
    </row>
    <row r="408" spans="1:9" ht="18.75" customHeight="1" x14ac:dyDescent="0.25">
      <c r="A408" s="149"/>
      <c r="B408" s="23"/>
      <c r="C408" s="23"/>
      <c r="D408" s="13">
        <f>'Input &amp; Process'!D109</f>
        <v>9.5</v>
      </c>
      <c r="E408" s="21" t="str">
        <f>IF(D408&lt;=F408,"≤","&gt;")</f>
        <v>≤</v>
      </c>
      <c r="F408" s="12">
        <f>'Input &amp; Process'!F109</f>
        <v>12</v>
      </c>
      <c r="G408" s="149" t="s">
        <v>14</v>
      </c>
      <c r="H408" s="149" t="str">
        <f>IF(D408&lt;=F408,"[ OK ]","[ NOT OK ]")</f>
        <v>[ OK ]</v>
      </c>
      <c r="I408" s="22"/>
    </row>
    <row r="409" spans="1:9" ht="18.75" customHeight="1" x14ac:dyDescent="0.25">
      <c r="A409" s="149"/>
      <c r="B409" s="23" t="s">
        <v>345</v>
      </c>
      <c r="C409" s="23"/>
      <c r="D409" s="23"/>
      <c r="E409" s="23"/>
      <c r="F409" s="23"/>
      <c r="G409" s="146"/>
      <c r="H409" s="21"/>
      <c r="I409" s="22"/>
    </row>
    <row r="410" spans="1:9" ht="18.75" customHeight="1" x14ac:dyDescent="0.25">
      <c r="A410" s="149"/>
      <c r="B410" s="148" t="s">
        <v>19</v>
      </c>
      <c r="C410" s="23"/>
      <c r="D410" s="13" t="s">
        <v>346</v>
      </c>
      <c r="E410" s="21" t="s">
        <v>48</v>
      </c>
      <c r="F410" s="12" t="s">
        <v>347</v>
      </c>
      <c r="G410" s="146"/>
      <c r="H410" s="21"/>
      <c r="I410" s="22"/>
    </row>
    <row r="411" spans="1:9" ht="18.75" customHeight="1" x14ac:dyDescent="0.25">
      <c r="A411" s="149"/>
      <c r="B411" s="23"/>
      <c r="C411" s="23"/>
      <c r="D411" s="13">
        <f>'Input &amp; Process'!D112</f>
        <v>1800</v>
      </c>
      <c r="E411" s="21" t="str">
        <f>IF(D411&lt;=F411,"≤","&gt;")</f>
        <v>≤</v>
      </c>
      <c r="F411" s="12">
        <f>'Input &amp; Process'!F112</f>
        <v>10000</v>
      </c>
      <c r="G411" s="149" t="s">
        <v>14</v>
      </c>
      <c r="H411" s="149" t="str">
        <f>IF(D411&lt;=F411,"[ OK ]","[ NOT OK ]")</f>
        <v>[ OK ]</v>
      </c>
      <c r="I411" s="22"/>
    </row>
    <row r="412" spans="1:9" ht="18.75" customHeight="1" x14ac:dyDescent="0.25">
      <c r="A412" s="149"/>
      <c r="B412" s="23"/>
      <c r="C412" s="23"/>
      <c r="D412" s="21"/>
      <c r="E412" s="21"/>
      <c r="F412" s="70"/>
      <c r="G412" s="149"/>
      <c r="H412" s="149"/>
      <c r="I412" s="22"/>
    </row>
    <row r="413" spans="1:9" ht="18.75" customHeight="1" x14ac:dyDescent="0.25">
      <c r="A413" s="274" t="s">
        <v>790</v>
      </c>
      <c r="B413" s="142" t="s">
        <v>778</v>
      </c>
      <c r="C413" s="143"/>
      <c r="D413" s="143"/>
      <c r="E413" s="143"/>
      <c r="F413" s="143"/>
      <c r="G413" s="144"/>
      <c r="H413" s="143"/>
      <c r="I413" s="270"/>
    </row>
    <row r="414" spans="1:9" ht="18.75" customHeight="1" x14ac:dyDescent="0.25">
      <c r="A414" s="149"/>
      <c r="B414" s="23" t="s">
        <v>59</v>
      </c>
      <c r="C414" s="23"/>
      <c r="D414" s="23"/>
      <c r="E414" s="23"/>
      <c r="F414" s="23"/>
      <c r="G414" s="146" t="s">
        <v>61</v>
      </c>
      <c r="H414" s="12">
        <f>'Input &amp; Process'!H118</f>
        <v>3.5</v>
      </c>
      <c r="I414" s="22" t="s">
        <v>2</v>
      </c>
    </row>
    <row r="415" spans="1:9" ht="18.75" customHeight="1" x14ac:dyDescent="0.25">
      <c r="A415" s="149"/>
      <c r="B415" s="23" t="s">
        <v>65</v>
      </c>
      <c r="C415" s="23"/>
      <c r="D415" s="23"/>
      <c r="E415" s="23"/>
      <c r="F415" s="23"/>
      <c r="G415" s="23"/>
      <c r="H415" s="146"/>
      <c r="I415" s="21"/>
    </row>
    <row r="416" spans="1:9" ht="18.75" customHeight="1" x14ac:dyDescent="0.25">
      <c r="A416" s="149"/>
      <c r="B416" s="25" t="s">
        <v>66</v>
      </c>
      <c r="C416" s="23"/>
      <c r="D416" s="23"/>
      <c r="E416" s="23"/>
      <c r="F416" s="23"/>
      <c r="G416" s="146" t="s">
        <v>70</v>
      </c>
      <c r="H416" s="12">
        <f>'Input &amp; Process'!H120</f>
        <v>12.5</v>
      </c>
      <c r="I416" s="22" t="s">
        <v>2</v>
      </c>
    </row>
    <row r="417" spans="1:9" ht="18.75" customHeight="1" x14ac:dyDescent="0.25">
      <c r="A417" s="149"/>
      <c r="B417" s="25" t="s">
        <v>67</v>
      </c>
      <c r="C417" s="23"/>
      <c r="D417" s="23"/>
      <c r="E417" s="23"/>
      <c r="F417" s="23"/>
      <c r="G417" s="146" t="s">
        <v>71</v>
      </c>
      <c r="H417" s="12">
        <f>'Input &amp; Process'!H121</f>
        <v>3.5</v>
      </c>
      <c r="I417" s="22" t="s">
        <v>2</v>
      </c>
    </row>
    <row r="418" spans="1:9" ht="18.75" customHeight="1" x14ac:dyDescent="0.25">
      <c r="A418" s="149"/>
      <c r="B418" s="25" t="s">
        <v>68</v>
      </c>
      <c r="C418" s="23"/>
      <c r="D418" s="23"/>
      <c r="E418" s="23"/>
      <c r="F418" s="23"/>
      <c r="G418" s="146" t="s">
        <v>72</v>
      </c>
      <c r="H418" s="12">
        <f>'Input &amp; Process'!H122</f>
        <v>3</v>
      </c>
      <c r="I418" s="22" t="s">
        <v>2</v>
      </c>
    </row>
    <row r="419" spans="1:9" ht="18.75" customHeight="1" x14ac:dyDescent="0.25">
      <c r="A419" s="149"/>
      <c r="B419" s="23" t="s">
        <v>69</v>
      </c>
      <c r="C419" s="23"/>
      <c r="D419" s="23"/>
      <c r="E419" s="23"/>
      <c r="F419" s="23"/>
      <c r="G419" s="146" t="s">
        <v>73</v>
      </c>
      <c r="H419" s="12">
        <f>'Input &amp; Process'!H123</f>
        <v>3</v>
      </c>
      <c r="I419" s="22" t="s">
        <v>2</v>
      </c>
    </row>
    <row r="420" spans="1:9" ht="18.75" customHeight="1" x14ac:dyDescent="0.25">
      <c r="A420" s="149"/>
      <c r="B420" s="23" t="s">
        <v>33</v>
      </c>
      <c r="C420" s="23"/>
      <c r="D420" s="23"/>
      <c r="E420" s="23"/>
      <c r="F420" s="23"/>
      <c r="G420" s="146" t="s">
        <v>34</v>
      </c>
      <c r="H420" s="12">
        <f>'Input &amp; Process'!H124</f>
        <v>25742.960202742808</v>
      </c>
      <c r="I420" s="22" t="s">
        <v>23</v>
      </c>
    </row>
    <row r="421" spans="1:9" ht="18.75" customHeight="1" x14ac:dyDescent="0.25">
      <c r="A421" s="149"/>
      <c r="B421" s="23" t="s">
        <v>37</v>
      </c>
      <c r="C421" s="23"/>
      <c r="D421" s="23"/>
      <c r="E421" s="23"/>
      <c r="F421" s="23"/>
      <c r="G421" s="146" t="s">
        <v>38</v>
      </c>
      <c r="H421" s="16">
        <f>'Input &amp; Process'!H125</f>
        <v>7.7691142908534196</v>
      </c>
      <c r="I421" s="22"/>
    </row>
    <row r="422" spans="1:9" ht="18.75" customHeight="1" x14ac:dyDescent="0.25">
      <c r="A422" s="149"/>
      <c r="B422" s="23" t="s">
        <v>296</v>
      </c>
      <c r="C422" s="23"/>
      <c r="D422" s="23"/>
      <c r="E422" s="23"/>
      <c r="F422" s="23"/>
    </row>
    <row r="423" spans="1:9" ht="18.75" customHeight="1" x14ac:dyDescent="0.25">
      <c r="A423" s="149"/>
      <c r="B423" s="23"/>
      <c r="C423" s="23"/>
      <c r="D423" s="23"/>
      <c r="E423" s="23"/>
      <c r="F423" s="23"/>
      <c r="G423" s="146" t="s">
        <v>74</v>
      </c>
      <c r="H423" s="16">
        <f>'Input &amp; Process'!H126</f>
        <v>0.38614440304114217</v>
      </c>
      <c r="I423" s="22" t="s">
        <v>2</v>
      </c>
    </row>
    <row r="424" spans="1:9" ht="18.75" customHeight="1" x14ac:dyDescent="0.25">
      <c r="A424" s="149"/>
      <c r="B424" s="23" t="s">
        <v>297</v>
      </c>
      <c r="C424" s="23"/>
      <c r="D424" s="23"/>
      <c r="E424" s="23"/>
      <c r="F424" s="23"/>
    </row>
    <row r="425" spans="1:9" ht="18.75" customHeight="1" x14ac:dyDescent="0.25">
      <c r="A425" s="149"/>
      <c r="B425" s="23"/>
      <c r="C425" s="23"/>
      <c r="D425" s="23"/>
      <c r="E425" s="23"/>
      <c r="F425" s="23"/>
      <c r="G425" s="146" t="s">
        <v>298</v>
      </c>
      <c r="H425" s="16">
        <f>'Input &amp; Process'!H127</f>
        <v>0.12871480101371405</v>
      </c>
      <c r="I425" s="22" t="s">
        <v>2</v>
      </c>
    </row>
    <row r="426" spans="1:9" ht="18.75" customHeight="1" x14ac:dyDescent="0.25">
      <c r="A426" s="149"/>
      <c r="B426" s="23"/>
      <c r="C426" s="23"/>
      <c r="D426" s="23"/>
      <c r="E426" s="23"/>
      <c r="F426" s="23"/>
      <c r="G426" s="146"/>
      <c r="H426" s="21"/>
      <c r="I426" s="22"/>
    </row>
    <row r="427" spans="1:9" ht="18.75" customHeight="1" x14ac:dyDescent="0.25">
      <c r="A427" s="149"/>
      <c r="B427" s="23"/>
      <c r="C427" s="23"/>
      <c r="D427" s="23"/>
      <c r="E427" s="23"/>
      <c r="F427" s="23"/>
      <c r="G427" s="146"/>
      <c r="H427" s="21"/>
      <c r="I427" s="22"/>
    </row>
    <row r="428" spans="1:9" ht="18.75" customHeight="1" x14ac:dyDescent="0.25">
      <c r="A428" s="149"/>
      <c r="B428" s="23"/>
      <c r="C428" s="23"/>
      <c r="D428" s="23"/>
      <c r="E428" s="23"/>
      <c r="F428" s="23"/>
      <c r="G428" s="146"/>
      <c r="H428" s="21"/>
      <c r="I428" s="22"/>
    </row>
    <row r="429" spans="1:9" ht="18.75" customHeight="1" x14ac:dyDescent="0.25">
      <c r="A429" s="149"/>
      <c r="B429" s="23"/>
      <c r="C429" s="23"/>
      <c r="D429" s="23"/>
      <c r="E429" s="23"/>
      <c r="F429" s="23"/>
      <c r="G429" s="146"/>
      <c r="H429" s="21"/>
      <c r="I429" s="22"/>
    </row>
    <row r="430" spans="1:9" ht="18.75" customHeight="1" x14ac:dyDescent="0.25">
      <c r="A430" s="149"/>
      <c r="B430" s="23"/>
      <c r="C430" s="23"/>
      <c r="D430" s="23"/>
      <c r="E430" s="23"/>
      <c r="F430" s="23"/>
      <c r="G430" s="146"/>
      <c r="H430" s="21"/>
      <c r="I430" s="22"/>
    </row>
    <row r="431" spans="1:9" ht="18.75" customHeight="1" x14ac:dyDescent="0.25">
      <c r="A431" s="149"/>
      <c r="B431" s="23"/>
      <c r="C431" s="23"/>
      <c r="D431" s="23"/>
      <c r="E431" s="23"/>
      <c r="F431" s="23"/>
      <c r="G431" s="146"/>
      <c r="H431" s="21"/>
      <c r="I431" s="22"/>
    </row>
    <row r="432" spans="1:9" ht="18.75" customHeight="1" x14ac:dyDescent="0.25">
      <c r="A432" s="149"/>
      <c r="B432" s="23"/>
      <c r="C432" s="23"/>
      <c r="D432" s="23"/>
      <c r="E432" s="23"/>
      <c r="F432" s="23"/>
      <c r="G432" s="146"/>
      <c r="H432" s="21"/>
      <c r="I432" s="22"/>
    </row>
    <row r="433" spans="1:9" ht="18.75" customHeight="1" x14ac:dyDescent="0.25">
      <c r="A433" s="149"/>
      <c r="B433" s="23"/>
      <c r="C433" s="23"/>
      <c r="D433" s="23"/>
      <c r="E433" s="23"/>
      <c r="F433" s="23"/>
      <c r="G433" s="146"/>
      <c r="H433" s="21"/>
      <c r="I433" s="22"/>
    </row>
    <row r="434" spans="1:9" ht="18.75" customHeight="1" x14ac:dyDescent="0.25">
      <c r="A434" s="149"/>
      <c r="B434" s="23"/>
      <c r="C434" s="23"/>
      <c r="D434" s="23"/>
      <c r="E434" s="23"/>
      <c r="F434" s="23"/>
      <c r="G434" s="146"/>
      <c r="H434" s="21"/>
      <c r="I434" s="22"/>
    </row>
    <row r="435" spans="1:9" ht="18.75" customHeight="1" x14ac:dyDescent="0.25">
      <c r="A435" s="149"/>
      <c r="B435" s="23"/>
      <c r="C435" s="23"/>
      <c r="D435" s="23"/>
      <c r="E435" s="23"/>
      <c r="F435" s="23"/>
      <c r="G435" s="146"/>
      <c r="H435" s="21"/>
      <c r="I435" s="22"/>
    </row>
    <row r="436" spans="1:9" ht="18.75" customHeight="1" x14ac:dyDescent="0.25">
      <c r="A436" s="149"/>
      <c r="B436" s="23"/>
      <c r="C436" s="23"/>
      <c r="D436" s="23"/>
      <c r="E436" s="23"/>
      <c r="F436" s="23"/>
      <c r="G436" s="146"/>
      <c r="H436" s="21"/>
      <c r="I436" s="22"/>
    </row>
    <row r="437" spans="1:9" ht="18.75" customHeight="1" x14ac:dyDescent="0.25">
      <c r="A437" s="149"/>
      <c r="B437" s="23"/>
      <c r="C437" s="23"/>
      <c r="D437" s="23"/>
      <c r="E437" s="23"/>
      <c r="F437" s="23"/>
      <c r="G437" s="146"/>
      <c r="H437" s="21"/>
      <c r="I437" s="22"/>
    </row>
    <row r="438" spans="1:9" ht="18.75" customHeight="1" x14ac:dyDescent="0.25">
      <c r="A438" s="149"/>
      <c r="B438" s="23"/>
      <c r="C438" s="23"/>
      <c r="D438" s="23"/>
      <c r="E438" s="23"/>
      <c r="F438" s="23"/>
      <c r="G438" s="146"/>
      <c r="H438" s="21"/>
      <c r="I438" s="22"/>
    </row>
    <row r="439" spans="1:9" ht="18.75" customHeight="1" x14ac:dyDescent="0.25">
      <c r="A439" s="149"/>
      <c r="B439" s="23"/>
      <c r="C439" s="23"/>
      <c r="D439" s="23"/>
      <c r="E439" s="23"/>
      <c r="F439" s="23"/>
      <c r="G439" s="146"/>
      <c r="H439" s="21"/>
      <c r="I439" s="22"/>
    </row>
    <row r="440" spans="1:9" ht="18.75" customHeight="1" x14ac:dyDescent="0.25">
      <c r="A440" s="274" t="s">
        <v>927</v>
      </c>
      <c r="B440" s="142" t="s">
        <v>779</v>
      </c>
      <c r="C440" s="143"/>
      <c r="D440" s="143"/>
      <c r="E440" s="143"/>
      <c r="F440" s="143"/>
      <c r="G440" s="144"/>
      <c r="H440" s="143"/>
      <c r="I440" s="270"/>
    </row>
    <row r="441" spans="1:9" ht="18.75" customHeight="1" x14ac:dyDescent="0.25">
      <c r="A441" s="149" t="s">
        <v>924</v>
      </c>
      <c r="B441" s="150" t="s">
        <v>95</v>
      </c>
      <c r="C441" s="23"/>
      <c r="D441" s="23"/>
      <c r="E441" s="23"/>
      <c r="F441" s="23"/>
      <c r="G441" s="146"/>
      <c r="H441" s="21"/>
      <c r="I441" s="22"/>
    </row>
    <row r="442" spans="1:9" ht="18.75" customHeight="1" x14ac:dyDescent="0.25">
      <c r="A442" s="149"/>
      <c r="B442" s="23"/>
      <c r="C442" s="23"/>
      <c r="D442" s="23"/>
      <c r="E442" s="23"/>
      <c r="F442" s="23"/>
      <c r="G442" s="146"/>
      <c r="H442" s="21"/>
      <c r="I442" s="22"/>
    </row>
    <row r="443" spans="1:9" ht="18.75" customHeight="1" x14ac:dyDescent="0.25">
      <c r="A443" s="149"/>
      <c r="B443" s="23"/>
      <c r="C443" s="23"/>
      <c r="D443" s="23"/>
      <c r="E443" s="23"/>
      <c r="F443" s="23"/>
      <c r="G443" s="146"/>
      <c r="H443" s="21"/>
      <c r="I443" s="22"/>
    </row>
    <row r="444" spans="1:9" ht="18.75" customHeight="1" x14ac:dyDescent="0.25">
      <c r="A444" s="149"/>
      <c r="B444" s="23"/>
      <c r="C444" s="23"/>
      <c r="D444" s="23"/>
      <c r="E444" s="23"/>
      <c r="F444" s="23"/>
      <c r="G444" s="146"/>
      <c r="H444" s="21"/>
      <c r="I444" s="22"/>
    </row>
    <row r="445" spans="1:9" ht="18.75" customHeight="1" x14ac:dyDescent="0.25">
      <c r="A445" s="149"/>
      <c r="B445" s="23"/>
      <c r="C445" s="23"/>
      <c r="D445" s="23"/>
      <c r="E445" s="23"/>
      <c r="F445" s="23"/>
      <c r="G445" s="146"/>
      <c r="H445" s="21"/>
      <c r="I445" s="22"/>
    </row>
    <row r="446" spans="1:9" ht="18.75" customHeight="1" x14ac:dyDescent="0.25">
      <c r="A446" s="149"/>
      <c r="B446" s="23"/>
      <c r="C446" s="23"/>
      <c r="D446" s="23"/>
      <c r="E446" s="23"/>
      <c r="F446" s="23"/>
      <c r="G446" s="146"/>
      <c r="H446" s="21"/>
      <c r="I446" s="22"/>
    </row>
    <row r="447" spans="1:9" ht="18.75" customHeight="1" x14ac:dyDescent="0.25">
      <c r="A447" s="149"/>
      <c r="B447" s="23"/>
      <c r="C447" s="23"/>
      <c r="D447" s="23"/>
      <c r="E447" s="23"/>
      <c r="F447" s="23"/>
      <c r="G447" s="146"/>
      <c r="H447" s="21"/>
      <c r="I447" s="22"/>
    </row>
    <row r="448" spans="1:9" ht="18.75" customHeight="1" x14ac:dyDescent="0.25">
      <c r="A448" s="149"/>
      <c r="B448" s="23"/>
      <c r="C448" s="23"/>
      <c r="D448" s="23"/>
      <c r="E448" s="23"/>
      <c r="F448" s="23"/>
      <c r="G448" s="146"/>
      <c r="H448" s="21"/>
      <c r="I448" s="22"/>
    </row>
    <row r="449" spans="1:9" ht="18.75" customHeight="1" x14ac:dyDescent="0.25">
      <c r="A449" s="149"/>
      <c r="B449" s="23"/>
      <c r="C449" s="23"/>
      <c r="D449" s="23"/>
      <c r="E449" s="23"/>
      <c r="F449" s="23"/>
      <c r="G449" s="146"/>
      <c r="H449" s="21"/>
      <c r="I449" s="22"/>
    </row>
    <row r="450" spans="1:9" ht="18.75" customHeight="1" x14ac:dyDescent="0.25">
      <c r="A450" s="149"/>
      <c r="B450" s="23"/>
      <c r="C450" s="23"/>
      <c r="D450" s="23"/>
      <c r="E450" s="23"/>
      <c r="F450" s="23"/>
      <c r="G450" s="146"/>
      <c r="H450" s="21"/>
      <c r="I450" s="22"/>
    </row>
    <row r="451" spans="1:9" ht="18.75" customHeight="1" x14ac:dyDescent="0.25">
      <c r="A451" s="149"/>
      <c r="B451" s="23"/>
      <c r="C451" s="23"/>
      <c r="D451" s="23"/>
      <c r="E451" s="23"/>
      <c r="F451" s="23"/>
      <c r="G451" s="146"/>
      <c r="H451" s="21"/>
      <c r="I451" s="22"/>
    </row>
    <row r="452" spans="1:9" ht="18.75" customHeight="1" x14ac:dyDescent="0.25">
      <c r="A452" s="149"/>
      <c r="B452" s="23"/>
      <c r="C452" s="23"/>
      <c r="D452" s="23"/>
      <c r="E452" s="23"/>
      <c r="F452" s="23"/>
      <c r="G452" s="146"/>
      <c r="H452" s="21"/>
      <c r="I452" s="22"/>
    </row>
    <row r="453" spans="1:9" ht="18.75" customHeight="1" x14ac:dyDescent="0.25">
      <c r="A453" s="149"/>
      <c r="B453" s="23"/>
      <c r="C453" s="23"/>
      <c r="D453" s="23"/>
      <c r="E453" s="23"/>
      <c r="F453" s="23"/>
      <c r="G453" s="146"/>
      <c r="H453" s="21"/>
      <c r="I453" s="22"/>
    </row>
    <row r="454" spans="1:9" ht="18.75" customHeight="1" x14ac:dyDescent="0.25">
      <c r="A454" s="149"/>
      <c r="B454" s="23"/>
      <c r="C454" s="23"/>
      <c r="D454" s="23"/>
      <c r="E454" s="23"/>
      <c r="F454" s="23"/>
      <c r="G454" s="146"/>
      <c r="H454" s="21"/>
      <c r="I454" s="22"/>
    </row>
    <row r="455" spans="1:9" ht="18.75" customHeight="1" x14ac:dyDescent="0.25">
      <c r="A455" s="149"/>
      <c r="B455" s="365" t="s">
        <v>94</v>
      </c>
      <c r="C455" s="345" t="s">
        <v>75</v>
      </c>
      <c r="D455" s="345"/>
      <c r="E455" s="346" t="s">
        <v>76</v>
      </c>
      <c r="F455" s="343" t="s">
        <v>77</v>
      </c>
      <c r="G455" s="343" t="s">
        <v>78</v>
      </c>
      <c r="H455" s="343" t="s">
        <v>79</v>
      </c>
      <c r="I455" s="343" t="s">
        <v>79</v>
      </c>
    </row>
    <row r="456" spans="1:9" ht="18.75" customHeight="1" x14ac:dyDescent="0.25">
      <c r="A456" s="149"/>
      <c r="B456" s="365"/>
      <c r="C456" s="235" t="s">
        <v>80</v>
      </c>
      <c r="D456" s="235" t="s">
        <v>81</v>
      </c>
      <c r="E456" s="346"/>
      <c r="F456" s="343"/>
      <c r="G456" s="343"/>
      <c r="H456" s="343"/>
      <c r="I456" s="343"/>
    </row>
    <row r="457" spans="1:9" ht="18.75" customHeight="1" x14ac:dyDescent="0.25">
      <c r="A457" s="149"/>
      <c r="B457" s="365"/>
      <c r="C457" s="235" t="s">
        <v>82</v>
      </c>
      <c r="D457" s="235" t="s">
        <v>83</v>
      </c>
      <c r="E457" s="235" t="s">
        <v>84</v>
      </c>
      <c r="F457" s="235" t="s">
        <v>85</v>
      </c>
      <c r="G457" s="235" t="s">
        <v>86</v>
      </c>
      <c r="H457" s="235" t="s">
        <v>87</v>
      </c>
      <c r="I457" s="235" t="s">
        <v>88</v>
      </c>
    </row>
    <row r="458" spans="1:9" ht="18.75" customHeight="1" x14ac:dyDescent="0.25">
      <c r="A458" s="149"/>
      <c r="B458" s="365"/>
      <c r="C458" s="235" t="s">
        <v>89</v>
      </c>
      <c r="D458" s="235" t="s">
        <v>89</v>
      </c>
      <c r="E458" s="235" t="s">
        <v>90</v>
      </c>
      <c r="F458" s="235" t="s">
        <v>89</v>
      </c>
      <c r="G458" s="235" t="s">
        <v>91</v>
      </c>
      <c r="H458" s="235" t="s">
        <v>92</v>
      </c>
      <c r="I458" s="235" t="s">
        <v>92</v>
      </c>
    </row>
    <row r="459" spans="1:9" ht="18.75" customHeight="1" x14ac:dyDescent="0.25">
      <c r="A459" s="149"/>
      <c r="B459" s="13">
        <v>1</v>
      </c>
      <c r="C459" s="17">
        <f>'Input &amp; Process'!C148</f>
        <v>0.38</v>
      </c>
      <c r="D459" s="17">
        <f>'Input &amp; Process'!D148</f>
        <v>0.02</v>
      </c>
      <c r="E459" s="17">
        <f>'Input &amp; Process'!E148</f>
        <v>7.6E-3</v>
      </c>
      <c r="F459" s="17">
        <f>'Input &amp; Process'!F148</f>
        <v>2.09</v>
      </c>
      <c r="G459" s="17">
        <f>'Input &amp; Process'!G148</f>
        <v>1.5883999999999999E-2</v>
      </c>
      <c r="H459" s="17">
        <f>'Input &amp; Process'!H148</f>
        <v>3.3197559999999994E-2</v>
      </c>
      <c r="I459" s="18">
        <f>'Input &amp; Process'!I148</f>
        <v>2.5333333333333333E-7</v>
      </c>
    </row>
    <row r="460" spans="1:9" ht="18.75" customHeight="1" x14ac:dyDescent="0.25">
      <c r="A460" s="149"/>
      <c r="B460" s="13">
        <v>2</v>
      </c>
      <c r="C460" s="17">
        <f>'Input &amp; Process'!C149</f>
        <v>0.38</v>
      </c>
      <c r="D460" s="17">
        <f>'Input &amp; Process'!D149</f>
        <v>0.02</v>
      </c>
      <c r="E460" s="17">
        <f>'Input &amp; Process'!E149</f>
        <v>7.6E-3</v>
      </c>
      <c r="F460" s="17">
        <f>'Input &amp; Process'!F149</f>
        <v>2.09</v>
      </c>
      <c r="G460" s="17">
        <f>'Input &amp; Process'!G149</f>
        <v>1.5883999999999999E-2</v>
      </c>
      <c r="H460" s="17">
        <f>'Input &amp; Process'!H149</f>
        <v>3.3197559999999994E-2</v>
      </c>
      <c r="I460" s="18">
        <f>'Input &amp; Process'!I149</f>
        <v>2.5333333333333333E-7</v>
      </c>
    </row>
    <row r="461" spans="1:9" ht="18.75" customHeight="1" x14ac:dyDescent="0.25">
      <c r="A461" s="149"/>
      <c r="B461" s="13">
        <v>3</v>
      </c>
      <c r="C461" s="17">
        <f>'Input &amp; Process'!C150</f>
        <v>1.6E-2</v>
      </c>
      <c r="D461" s="17">
        <f>'Input &amp; Process'!D150</f>
        <v>2.06</v>
      </c>
      <c r="E461" s="17">
        <f>'Input &amp; Process'!E150</f>
        <v>3.2960000000000003E-2</v>
      </c>
      <c r="F461" s="17">
        <f>'Input &amp; Process'!F150</f>
        <v>1.05</v>
      </c>
      <c r="G461" s="17">
        <f>'Input &amp; Process'!G150</f>
        <v>3.4608000000000007E-2</v>
      </c>
      <c r="H461" s="17">
        <f>'Input &amp; Process'!H150</f>
        <v>3.6338400000000007E-2</v>
      </c>
      <c r="I461" s="18">
        <f>'Input &amp; Process'!I150</f>
        <v>1.1655754666666667E-2</v>
      </c>
    </row>
    <row r="462" spans="1:9" ht="18.75" customHeight="1" x14ac:dyDescent="0.25">
      <c r="A462" s="149"/>
      <c r="B462" s="13">
        <v>4</v>
      </c>
      <c r="C462" s="17">
        <f>'Input &amp; Process'!C151</f>
        <v>1.6E-2</v>
      </c>
      <c r="D462" s="17">
        <f>'Input &amp; Process'!D151</f>
        <v>2.06</v>
      </c>
      <c r="E462" s="17">
        <f>'Input &amp; Process'!E151</f>
        <v>3.2960000000000003E-2</v>
      </c>
      <c r="F462" s="17">
        <f>'Input &amp; Process'!F151</f>
        <v>1.05</v>
      </c>
      <c r="G462" s="17">
        <f>'Input &amp; Process'!G151</f>
        <v>3.4608000000000007E-2</v>
      </c>
      <c r="H462" s="17">
        <f>'Input &amp; Process'!H151</f>
        <v>3.6338400000000007E-2</v>
      </c>
      <c r="I462" s="18">
        <f>'Input &amp; Process'!I151</f>
        <v>1.1655754666666667E-2</v>
      </c>
    </row>
    <row r="463" spans="1:9" ht="18.75" customHeight="1" x14ac:dyDescent="0.25">
      <c r="A463" s="149"/>
      <c r="B463" s="13">
        <v>5</v>
      </c>
      <c r="C463" s="17">
        <f>'Input &amp; Process'!C152</f>
        <v>1.8</v>
      </c>
      <c r="D463" s="17">
        <f>'Input &amp; Process'!D152</f>
        <v>0.02</v>
      </c>
      <c r="E463" s="17">
        <f>'Input &amp; Process'!E152</f>
        <v>3.6000000000000004E-2</v>
      </c>
      <c r="F463" s="17">
        <f>'Input &amp; Process'!F152</f>
        <v>0.01</v>
      </c>
      <c r="G463" s="17">
        <f>'Input &amp; Process'!G152</f>
        <v>3.6000000000000002E-4</v>
      </c>
      <c r="H463" s="17">
        <f>'Input &amp; Process'!H152</f>
        <v>3.6000000000000007E-6</v>
      </c>
      <c r="I463" s="18">
        <f>'Input &amp; Process'!I152</f>
        <v>1.2000000000000002E-6</v>
      </c>
    </row>
    <row r="464" spans="1:9" ht="18.75" customHeight="1" x14ac:dyDescent="0.25">
      <c r="A464" s="149"/>
      <c r="B464" s="23"/>
      <c r="C464" s="23"/>
      <c r="D464" s="19" t="s">
        <v>93</v>
      </c>
      <c r="E464" s="20">
        <f>'Input &amp; Process'!E153</f>
        <v>0.11712</v>
      </c>
      <c r="F464" s="25"/>
      <c r="G464" s="20">
        <f>'Input &amp; Process'!G153</f>
        <v>0.10134400000000002</v>
      </c>
      <c r="H464" s="20">
        <f>'Input &amp; Process'!H153</f>
        <v>0.13907552000000001</v>
      </c>
      <c r="I464" s="20">
        <f>'Input &amp; Process'!I153</f>
        <v>2.3313216000000001E-2</v>
      </c>
    </row>
    <row r="465" spans="1:9" ht="18.75" customHeight="1" x14ac:dyDescent="0.25">
      <c r="A465" s="149"/>
      <c r="B465" s="23"/>
      <c r="C465" s="23"/>
      <c r="D465" s="23"/>
      <c r="E465" s="23"/>
      <c r="F465" s="23"/>
      <c r="G465" s="146"/>
      <c r="H465" s="21"/>
      <c r="I465" s="22"/>
    </row>
    <row r="466" spans="1:9" ht="18.75" customHeight="1" x14ac:dyDescent="0.25">
      <c r="A466" s="295"/>
      <c r="B466" s="23" t="s">
        <v>107</v>
      </c>
      <c r="C466" s="23"/>
      <c r="D466" s="23"/>
      <c r="E466" s="23"/>
      <c r="F466" s="23"/>
      <c r="G466" s="146" t="s">
        <v>6</v>
      </c>
      <c r="H466" s="15">
        <f>'Input &amp; Process'!H155</f>
        <v>2.1</v>
      </c>
      <c r="I466" s="22" t="s">
        <v>2</v>
      </c>
    </row>
    <row r="467" spans="1:9" ht="18.75" customHeight="1" x14ac:dyDescent="0.25">
      <c r="A467" s="295"/>
      <c r="B467" s="23" t="s">
        <v>108</v>
      </c>
      <c r="C467" s="23"/>
      <c r="D467" s="23"/>
      <c r="E467" s="23"/>
      <c r="F467" s="23"/>
      <c r="G467" s="146" t="s">
        <v>96</v>
      </c>
      <c r="H467" s="15">
        <f>'Input &amp; Process'!H156</f>
        <v>0.11712</v>
      </c>
      <c r="I467" s="22" t="s">
        <v>97</v>
      </c>
    </row>
    <row r="468" spans="1:9" ht="18.75" customHeight="1" x14ac:dyDescent="0.25">
      <c r="A468" s="295"/>
      <c r="B468" s="23" t="s">
        <v>98</v>
      </c>
      <c r="C468" s="23"/>
      <c r="D468" s="23"/>
      <c r="E468" s="23"/>
      <c r="F468" s="23"/>
      <c r="G468" s="146" t="s">
        <v>99</v>
      </c>
      <c r="H468" s="15">
        <f>'Input &amp; Process'!H157</f>
        <v>0.86530054644808752</v>
      </c>
      <c r="I468" s="22" t="s">
        <v>2</v>
      </c>
    </row>
    <row r="469" spans="1:9" ht="18.75" customHeight="1" x14ac:dyDescent="0.25">
      <c r="A469" s="295"/>
      <c r="B469" s="23"/>
      <c r="C469" s="23"/>
      <c r="D469" s="23"/>
      <c r="E469" s="23"/>
      <c r="F469" s="23"/>
      <c r="G469" s="146" t="s">
        <v>109</v>
      </c>
      <c r="H469" s="15">
        <f>'Input &amp; Process'!H158</f>
        <v>1.2346994535519125</v>
      </c>
      <c r="I469" s="22" t="s">
        <v>2</v>
      </c>
    </row>
    <row r="470" spans="1:9" ht="18.75" customHeight="1" x14ac:dyDescent="0.25">
      <c r="A470" s="295"/>
      <c r="B470" s="23" t="s">
        <v>100</v>
      </c>
      <c r="C470" s="23"/>
      <c r="D470" s="23"/>
      <c r="E470" s="23"/>
      <c r="F470" s="23"/>
      <c r="G470" s="146" t="s">
        <v>110</v>
      </c>
      <c r="H470" s="15">
        <f>'Input &amp; Process'!H159</f>
        <v>7.4695717420765029E-2</v>
      </c>
      <c r="I470" s="22" t="s">
        <v>101</v>
      </c>
    </row>
    <row r="471" spans="1:9" ht="18.75" customHeight="1" x14ac:dyDescent="0.25">
      <c r="A471" s="295"/>
      <c r="B471" s="23" t="s">
        <v>102</v>
      </c>
      <c r="C471" s="23"/>
      <c r="D471" s="23"/>
      <c r="E471" s="23"/>
      <c r="F471" s="23"/>
      <c r="G471" s="146" t="s">
        <v>103</v>
      </c>
      <c r="H471" s="15">
        <f>'Input &amp; Process'!H160</f>
        <v>6.0497084700154906E-2</v>
      </c>
      <c r="I471" s="22" t="s">
        <v>104</v>
      </c>
    </row>
    <row r="472" spans="1:9" ht="18.75" customHeight="1" x14ac:dyDescent="0.25">
      <c r="A472" s="295"/>
      <c r="B472" s="23" t="s">
        <v>105</v>
      </c>
      <c r="C472" s="23"/>
      <c r="D472" s="23"/>
      <c r="E472" s="23"/>
      <c r="F472" s="23"/>
      <c r="G472" s="146" t="s">
        <v>106</v>
      </c>
      <c r="H472" s="15">
        <f>'Input &amp; Process'!H161</f>
        <v>8.6323437246605614E-2</v>
      </c>
      <c r="I472" s="22" t="s">
        <v>104</v>
      </c>
    </row>
    <row r="473" spans="1:9" ht="18.75" customHeight="1" x14ac:dyDescent="0.25">
      <c r="A473" s="149"/>
      <c r="B473" s="23"/>
      <c r="C473" s="23"/>
      <c r="D473" s="23"/>
      <c r="E473" s="23"/>
      <c r="F473" s="23"/>
      <c r="G473" s="146"/>
      <c r="H473" s="21"/>
      <c r="I473" s="22"/>
    </row>
    <row r="474" spans="1:9" ht="18.75" customHeight="1" x14ac:dyDescent="0.25">
      <c r="A474" s="149"/>
      <c r="B474" s="23" t="s">
        <v>292</v>
      </c>
      <c r="C474" s="23"/>
      <c r="D474" s="23"/>
      <c r="E474" s="23"/>
      <c r="F474" s="23"/>
    </row>
    <row r="475" spans="1:9" ht="18.75" customHeight="1" x14ac:dyDescent="0.25">
      <c r="A475" s="149"/>
      <c r="B475" s="23"/>
      <c r="C475" s="23"/>
      <c r="D475" s="23"/>
      <c r="E475" s="23"/>
      <c r="F475" s="23"/>
      <c r="G475" s="146" t="s">
        <v>302</v>
      </c>
      <c r="H475" s="17">
        <f>'Input &amp; Process'!H163</f>
        <v>8.2206666666666643E-3</v>
      </c>
      <c r="I475" s="22" t="s">
        <v>101</v>
      </c>
    </row>
    <row r="476" spans="1:9" ht="18.75" customHeight="1" x14ac:dyDescent="0.25">
      <c r="A476" s="149"/>
      <c r="B476" s="23" t="s">
        <v>293</v>
      </c>
      <c r="C476" s="23"/>
      <c r="D476" s="23"/>
      <c r="E476" s="23"/>
      <c r="F476" s="23"/>
    </row>
    <row r="477" spans="1:9" ht="18.75" customHeight="1" x14ac:dyDescent="0.25">
      <c r="A477" s="149"/>
      <c r="B477" s="23"/>
      <c r="C477" s="23"/>
      <c r="D477" s="23"/>
      <c r="E477" s="23"/>
      <c r="F477" s="23"/>
      <c r="G477" s="146" t="s">
        <v>303</v>
      </c>
      <c r="H477" s="17">
        <f>'Input &amp; Process'!H164</f>
        <v>3.893880000000001E-2</v>
      </c>
      <c r="I477" s="22" t="s">
        <v>101</v>
      </c>
    </row>
    <row r="478" spans="1:9" ht="18.75" customHeight="1" x14ac:dyDescent="0.25">
      <c r="A478" s="149"/>
      <c r="B478" s="23" t="s">
        <v>291</v>
      </c>
      <c r="C478" s="23"/>
      <c r="D478" s="23"/>
      <c r="E478" s="23"/>
      <c r="F478" s="23"/>
      <c r="G478" s="146"/>
      <c r="H478" s="21"/>
      <c r="I478" s="22"/>
    </row>
    <row r="479" spans="1:9" ht="18.75" customHeight="1" x14ac:dyDescent="0.25">
      <c r="A479" s="149"/>
      <c r="B479" s="148" t="s">
        <v>19</v>
      </c>
      <c r="C479" s="23"/>
      <c r="D479" s="13" t="s">
        <v>294</v>
      </c>
      <c r="E479" s="21" t="s">
        <v>13</v>
      </c>
      <c r="F479" s="12">
        <v>0.1</v>
      </c>
      <c r="G479" s="146"/>
      <c r="H479" s="21"/>
      <c r="I479" s="22"/>
    </row>
    <row r="480" spans="1:9" ht="18.75" customHeight="1" x14ac:dyDescent="0.25">
      <c r="A480" s="149"/>
      <c r="B480" s="23"/>
      <c r="C480" s="23"/>
      <c r="D480" s="17">
        <f>'Input &amp; Process'!D167</f>
        <v>0.21111761704692139</v>
      </c>
      <c r="E480" s="21" t="str">
        <f>IF(D480&gt;=F480,"≥","&lt;")</f>
        <v>≥</v>
      </c>
      <c r="F480" s="12">
        <v>0.1</v>
      </c>
      <c r="G480" s="149" t="s">
        <v>14</v>
      </c>
      <c r="H480" s="149" t="str">
        <f>IF(D480&gt;=F480,"[ OK ]","[ NOT OK ]")</f>
        <v>[ OK ]</v>
      </c>
      <c r="I480" s="22"/>
    </row>
    <row r="481" spans="1:9" ht="18.75" customHeight="1" x14ac:dyDescent="0.25">
      <c r="A481" s="149"/>
      <c r="B481" s="148" t="s">
        <v>19</v>
      </c>
      <c r="C481" s="23"/>
      <c r="D481" s="13" t="s">
        <v>294</v>
      </c>
      <c r="E481" s="21" t="s">
        <v>48</v>
      </c>
      <c r="F481" s="13">
        <v>10</v>
      </c>
      <c r="G481" s="146"/>
      <c r="H481" s="21"/>
      <c r="I481" s="22"/>
    </row>
    <row r="482" spans="1:9" ht="18.75" customHeight="1" x14ac:dyDescent="0.25">
      <c r="A482" s="149"/>
      <c r="B482" s="23"/>
      <c r="C482" s="23"/>
      <c r="D482" s="17">
        <f>'Input &amp; Process'!D169</f>
        <v>0.21111761704692139</v>
      </c>
      <c r="E482" s="21" t="str">
        <f>IF(D482&lt;=F482,"≤","&gt;")</f>
        <v>≤</v>
      </c>
      <c r="F482" s="12">
        <v>10</v>
      </c>
      <c r="G482" s="149" t="s">
        <v>14</v>
      </c>
      <c r="H482" s="149" t="str">
        <f>IF(D482&lt;=F482,"[ OK ]","[ NOT OK ]")</f>
        <v>[ OK ]</v>
      </c>
      <c r="I482" s="22"/>
    </row>
    <row r="483" spans="1:9" ht="18.75" customHeight="1" x14ac:dyDescent="0.25">
      <c r="A483" s="149"/>
      <c r="B483" s="23"/>
      <c r="C483" s="23"/>
      <c r="D483" s="23"/>
      <c r="E483" s="23"/>
      <c r="F483" s="23"/>
      <c r="G483" s="146"/>
      <c r="H483" s="21"/>
      <c r="I483" s="22"/>
    </row>
    <row r="484" spans="1:9" ht="18.75" customHeight="1" x14ac:dyDescent="0.25">
      <c r="A484" s="149" t="s">
        <v>922</v>
      </c>
      <c r="B484" s="150" t="s">
        <v>295</v>
      </c>
      <c r="C484" s="23"/>
      <c r="D484" s="23"/>
      <c r="E484" s="23"/>
      <c r="F484" s="23"/>
      <c r="G484" s="146"/>
      <c r="H484" s="21"/>
      <c r="I484" s="22"/>
    </row>
    <row r="485" spans="1:9" ht="18.75" customHeight="1" x14ac:dyDescent="0.25">
      <c r="A485" s="149"/>
      <c r="B485" s="23"/>
      <c r="C485" s="23"/>
      <c r="D485" s="23"/>
      <c r="E485" s="23"/>
      <c r="F485" s="23"/>
      <c r="G485" s="146"/>
      <c r="H485" s="21"/>
      <c r="I485" s="22"/>
    </row>
    <row r="486" spans="1:9" ht="18.75" customHeight="1" x14ac:dyDescent="0.25">
      <c r="A486" s="149"/>
      <c r="B486" s="23"/>
      <c r="C486" s="23"/>
      <c r="D486" s="23"/>
      <c r="E486" s="23"/>
      <c r="F486" s="23"/>
      <c r="G486" s="146"/>
      <c r="H486" s="21"/>
      <c r="I486" s="22"/>
    </row>
    <row r="487" spans="1:9" ht="18.75" customHeight="1" x14ac:dyDescent="0.25">
      <c r="A487" s="149"/>
      <c r="B487" s="23"/>
      <c r="C487" s="23"/>
      <c r="D487" s="23"/>
      <c r="E487" s="23"/>
      <c r="F487" s="23"/>
      <c r="G487" s="146"/>
      <c r="H487" s="21"/>
      <c r="I487" s="22"/>
    </row>
    <row r="488" spans="1:9" ht="18.75" customHeight="1" x14ac:dyDescent="0.25">
      <c r="A488" s="149"/>
      <c r="B488" s="23"/>
      <c r="C488" s="23"/>
      <c r="D488" s="23"/>
      <c r="E488" s="23"/>
      <c r="F488" s="23"/>
      <c r="G488" s="146"/>
      <c r="H488" s="21"/>
      <c r="I488" s="22"/>
    </row>
    <row r="489" spans="1:9" ht="18.75" customHeight="1" x14ac:dyDescent="0.25">
      <c r="A489" s="149"/>
      <c r="B489" s="23"/>
      <c r="C489" s="23"/>
      <c r="D489" s="23"/>
      <c r="E489" s="23"/>
      <c r="F489" s="23"/>
      <c r="G489" s="146"/>
      <c r="H489" s="21"/>
      <c r="I489" s="22"/>
    </row>
    <row r="490" spans="1:9" ht="18.75" customHeight="1" x14ac:dyDescent="0.25">
      <c r="A490" s="149"/>
      <c r="B490" s="23"/>
      <c r="C490" s="23"/>
      <c r="D490" s="23"/>
      <c r="E490" s="23"/>
      <c r="F490" s="23"/>
      <c r="G490" s="146"/>
      <c r="H490" s="21"/>
      <c r="I490" s="22"/>
    </row>
    <row r="491" spans="1:9" ht="18.75" customHeight="1" x14ac:dyDescent="0.25">
      <c r="A491" s="149"/>
      <c r="B491" s="23"/>
      <c r="C491" s="23"/>
      <c r="D491" s="23"/>
      <c r="E491" s="23"/>
      <c r="F491" s="23"/>
      <c r="G491" s="146"/>
      <c r="H491" s="21"/>
      <c r="I491" s="22"/>
    </row>
    <row r="492" spans="1:9" ht="18.75" customHeight="1" x14ac:dyDescent="0.25">
      <c r="A492" s="149"/>
      <c r="B492" s="23"/>
      <c r="C492" s="23"/>
      <c r="D492" s="23"/>
      <c r="E492" s="23"/>
      <c r="F492" s="23"/>
      <c r="G492" s="146"/>
      <c r="H492" s="21"/>
      <c r="I492" s="22"/>
    </row>
    <row r="493" spans="1:9" ht="18.75" customHeight="1" x14ac:dyDescent="0.25">
      <c r="A493" s="149"/>
      <c r="B493" s="23"/>
      <c r="C493" s="23"/>
      <c r="D493" s="23"/>
      <c r="E493" s="23"/>
      <c r="F493" s="23"/>
      <c r="G493" s="146"/>
      <c r="H493" s="21"/>
      <c r="I493" s="22"/>
    </row>
    <row r="494" spans="1:9" ht="18.75" customHeight="1" x14ac:dyDescent="0.25">
      <c r="A494" s="149"/>
      <c r="B494" s="23"/>
      <c r="C494" s="23"/>
      <c r="D494" s="23"/>
      <c r="E494" s="23"/>
      <c r="F494" s="23"/>
      <c r="G494" s="146"/>
      <c r="H494" s="21"/>
      <c r="I494" s="22"/>
    </row>
    <row r="495" spans="1:9" ht="18.75" customHeight="1" x14ac:dyDescent="0.25">
      <c r="A495" s="149"/>
      <c r="B495" s="23"/>
      <c r="C495" s="23"/>
      <c r="D495" s="23"/>
      <c r="E495" s="23"/>
      <c r="F495" s="23"/>
      <c r="G495" s="146"/>
      <c r="H495" s="21"/>
      <c r="I495" s="22"/>
    </row>
    <row r="496" spans="1:9" ht="18.75" customHeight="1" x14ac:dyDescent="0.25">
      <c r="A496" s="149"/>
      <c r="B496" s="23"/>
      <c r="C496" s="23"/>
      <c r="D496" s="23"/>
      <c r="E496" s="23"/>
      <c r="F496" s="23"/>
      <c r="G496" s="146"/>
      <c r="H496" s="21"/>
      <c r="I496" s="22"/>
    </row>
    <row r="497" spans="1:9" ht="18.75" customHeight="1" x14ac:dyDescent="0.25">
      <c r="A497" s="149"/>
      <c r="B497" s="23"/>
      <c r="C497" s="23"/>
      <c r="D497" s="23"/>
      <c r="E497" s="23"/>
      <c r="F497" s="23"/>
      <c r="G497" s="146"/>
      <c r="H497" s="21"/>
      <c r="I497" s="22"/>
    </row>
    <row r="498" spans="1:9" ht="18.75" customHeight="1" x14ac:dyDescent="0.25">
      <c r="A498" s="149"/>
      <c r="B498" s="365" t="s">
        <v>94</v>
      </c>
      <c r="C498" s="345" t="s">
        <v>75</v>
      </c>
      <c r="D498" s="345"/>
      <c r="E498" s="346" t="s">
        <v>76</v>
      </c>
      <c r="F498" s="343" t="s">
        <v>77</v>
      </c>
      <c r="G498" s="343" t="s">
        <v>78</v>
      </c>
      <c r="H498" s="343" t="s">
        <v>79</v>
      </c>
      <c r="I498" s="343" t="s">
        <v>79</v>
      </c>
    </row>
    <row r="499" spans="1:9" ht="18.75" customHeight="1" x14ac:dyDescent="0.25">
      <c r="A499" s="149"/>
      <c r="B499" s="365"/>
      <c r="C499" s="235" t="s">
        <v>80</v>
      </c>
      <c r="D499" s="235" t="s">
        <v>81</v>
      </c>
      <c r="E499" s="346"/>
      <c r="F499" s="343"/>
      <c r="G499" s="343"/>
      <c r="H499" s="343"/>
      <c r="I499" s="343"/>
    </row>
    <row r="500" spans="1:9" ht="18.75" customHeight="1" x14ac:dyDescent="0.25">
      <c r="A500" s="149"/>
      <c r="B500" s="365"/>
      <c r="C500" s="235" t="s">
        <v>82</v>
      </c>
      <c r="D500" s="235" t="s">
        <v>83</v>
      </c>
      <c r="E500" s="235" t="s">
        <v>84</v>
      </c>
      <c r="F500" s="235" t="s">
        <v>85</v>
      </c>
      <c r="G500" s="235" t="s">
        <v>86</v>
      </c>
      <c r="H500" s="235" t="s">
        <v>87</v>
      </c>
      <c r="I500" s="235" t="s">
        <v>88</v>
      </c>
    </row>
    <row r="501" spans="1:9" ht="18.75" customHeight="1" x14ac:dyDescent="0.25">
      <c r="A501" s="149"/>
      <c r="B501" s="365"/>
      <c r="C501" s="235" t="s">
        <v>89</v>
      </c>
      <c r="D501" s="235" t="s">
        <v>89</v>
      </c>
      <c r="E501" s="235" t="s">
        <v>90</v>
      </c>
      <c r="F501" s="235" t="s">
        <v>89</v>
      </c>
      <c r="G501" s="235" t="s">
        <v>91</v>
      </c>
      <c r="H501" s="235" t="s">
        <v>92</v>
      </c>
      <c r="I501" s="235" t="s">
        <v>92</v>
      </c>
    </row>
    <row r="502" spans="1:9" ht="18.75" customHeight="1" x14ac:dyDescent="0.25">
      <c r="A502" s="149"/>
      <c r="B502" s="13">
        <v>0</v>
      </c>
      <c r="C502" s="17">
        <f>'Input &amp; Process'!C189</f>
        <v>0.38614440304114217</v>
      </c>
      <c r="D502" s="17">
        <f>'Input &amp; Process'!D189</f>
        <v>0.25</v>
      </c>
      <c r="E502" s="17">
        <f>'Input &amp; Process'!E189</f>
        <v>9.6536100760285543E-2</v>
      </c>
      <c r="F502" s="17">
        <f>'Input &amp; Process'!F189</f>
        <v>2.2250000000000001</v>
      </c>
      <c r="G502" s="17">
        <f>'Input &amp; Process'!G189</f>
        <v>0.21479282419163534</v>
      </c>
      <c r="H502" s="17">
        <f>'Input &amp; Process'!H189</f>
        <v>0.47791403382638864</v>
      </c>
      <c r="I502" s="18">
        <f>'Input &amp; Process'!I189</f>
        <v>5.027921914598205E-4</v>
      </c>
    </row>
    <row r="503" spans="1:9" ht="18.75" customHeight="1" x14ac:dyDescent="0.25">
      <c r="A503" s="149"/>
      <c r="B503" s="13">
        <v>1</v>
      </c>
      <c r="C503" s="17">
        <f>'Input &amp; Process'!C190</f>
        <v>0.38</v>
      </c>
      <c r="D503" s="17">
        <f>'Input &amp; Process'!D190</f>
        <v>0.02</v>
      </c>
      <c r="E503" s="17">
        <f>'Input &amp; Process'!E190</f>
        <v>7.6E-3</v>
      </c>
      <c r="F503" s="17">
        <f>'Input &amp; Process'!F190</f>
        <v>2.09</v>
      </c>
      <c r="G503" s="17">
        <f>'Input &amp; Process'!G190</f>
        <v>1.5883999999999999E-2</v>
      </c>
      <c r="H503" s="17">
        <f>'Input &amp; Process'!H190</f>
        <v>3.3197559999999994E-2</v>
      </c>
      <c r="I503" s="18">
        <f>'Input &amp; Process'!I190</f>
        <v>2.5333333333333333E-7</v>
      </c>
    </row>
    <row r="504" spans="1:9" ht="18.75" customHeight="1" x14ac:dyDescent="0.25">
      <c r="A504" s="149"/>
      <c r="B504" s="13">
        <v>2</v>
      </c>
      <c r="C504" s="17">
        <f>'Input &amp; Process'!C191</f>
        <v>0.38</v>
      </c>
      <c r="D504" s="17">
        <f>'Input &amp; Process'!D191</f>
        <v>0.02</v>
      </c>
      <c r="E504" s="17">
        <f>'Input &amp; Process'!E191</f>
        <v>7.6E-3</v>
      </c>
      <c r="F504" s="17">
        <f>'Input &amp; Process'!F191</f>
        <v>2.09</v>
      </c>
      <c r="G504" s="17">
        <f>'Input &amp; Process'!G191</f>
        <v>1.5883999999999999E-2</v>
      </c>
      <c r="H504" s="17">
        <f>'Input &amp; Process'!H191</f>
        <v>3.3197559999999994E-2</v>
      </c>
      <c r="I504" s="18">
        <f>'Input &amp; Process'!I191</f>
        <v>2.5333333333333333E-7</v>
      </c>
    </row>
    <row r="505" spans="1:9" ht="18.75" customHeight="1" x14ac:dyDescent="0.25">
      <c r="A505" s="149"/>
      <c r="B505" s="13">
        <v>3</v>
      </c>
      <c r="C505" s="17">
        <f>'Input &amp; Process'!C192</f>
        <v>1.6E-2</v>
      </c>
      <c r="D505" s="17">
        <f>'Input &amp; Process'!D192</f>
        <v>2.06</v>
      </c>
      <c r="E505" s="17">
        <f>'Input &amp; Process'!E192</f>
        <v>3.2960000000000003E-2</v>
      </c>
      <c r="F505" s="17">
        <f>'Input &amp; Process'!F192</f>
        <v>1.05</v>
      </c>
      <c r="G505" s="17">
        <f>'Input &amp; Process'!G192</f>
        <v>3.4608000000000007E-2</v>
      </c>
      <c r="H505" s="17">
        <f>'Input &amp; Process'!H192</f>
        <v>3.6338400000000007E-2</v>
      </c>
      <c r="I505" s="18">
        <f>'Input &amp; Process'!I192</f>
        <v>1.1655754666666667E-2</v>
      </c>
    </row>
    <row r="506" spans="1:9" ht="18.75" customHeight="1" x14ac:dyDescent="0.25">
      <c r="A506" s="149"/>
      <c r="B506" s="13">
        <v>4</v>
      </c>
      <c r="C506" s="17">
        <f>'Input &amp; Process'!C193</f>
        <v>1.6E-2</v>
      </c>
      <c r="D506" s="17">
        <f>'Input &amp; Process'!D193</f>
        <v>2.06</v>
      </c>
      <c r="E506" s="17">
        <f>'Input &amp; Process'!E193</f>
        <v>3.2960000000000003E-2</v>
      </c>
      <c r="F506" s="17">
        <f>'Input &amp; Process'!F193</f>
        <v>1.05</v>
      </c>
      <c r="G506" s="17">
        <f>'Input &amp; Process'!G193</f>
        <v>3.4608000000000007E-2</v>
      </c>
      <c r="H506" s="17">
        <f>'Input &amp; Process'!H193</f>
        <v>3.6338400000000007E-2</v>
      </c>
      <c r="I506" s="18">
        <f>'Input &amp; Process'!I193</f>
        <v>1.1655754666666667E-2</v>
      </c>
    </row>
    <row r="507" spans="1:9" ht="18.75" customHeight="1" x14ac:dyDescent="0.25">
      <c r="A507" s="149"/>
      <c r="B507" s="13">
        <v>5</v>
      </c>
      <c r="C507" s="17">
        <f>'Input &amp; Process'!C194</f>
        <v>1.8</v>
      </c>
      <c r="D507" s="17">
        <f>'Input &amp; Process'!D194</f>
        <v>0.02</v>
      </c>
      <c r="E507" s="17">
        <f>'Input &amp; Process'!E194</f>
        <v>3.6000000000000004E-2</v>
      </c>
      <c r="F507" s="17">
        <f>'Input &amp; Process'!F194</f>
        <v>0.01</v>
      </c>
      <c r="G507" s="17">
        <f>'Input &amp; Process'!G194</f>
        <v>3.6000000000000002E-4</v>
      </c>
      <c r="H507" s="17">
        <f>'Input &amp; Process'!H194</f>
        <v>3.6000000000000007E-6</v>
      </c>
      <c r="I507" s="18">
        <f>'Input &amp; Process'!I194</f>
        <v>1.2000000000000002E-6</v>
      </c>
    </row>
    <row r="508" spans="1:9" ht="18.75" customHeight="1" x14ac:dyDescent="0.25">
      <c r="A508" s="149"/>
      <c r="B508" s="23"/>
      <c r="C508" s="23"/>
      <c r="D508" s="19" t="s">
        <v>93</v>
      </c>
      <c r="E508" s="20">
        <f>'Input &amp; Process'!E195</f>
        <v>0.21365610076028554</v>
      </c>
      <c r="F508" s="25"/>
      <c r="G508" s="20">
        <f>'Input &amp; Process'!G195</f>
        <v>0.31613682419163541</v>
      </c>
      <c r="H508" s="20">
        <f>'Input &amp; Process'!H195</f>
        <v>0.61698955382638854</v>
      </c>
      <c r="I508" s="20">
        <f>'Input &amp; Process'!I195</f>
        <v>2.381600819145982E-2</v>
      </c>
    </row>
    <row r="509" spans="1:9" ht="18.75" customHeight="1" x14ac:dyDescent="0.25">
      <c r="A509" s="149"/>
      <c r="B509" s="23"/>
      <c r="C509" s="23"/>
      <c r="D509" s="23"/>
      <c r="E509" s="23"/>
      <c r="F509" s="23"/>
      <c r="G509" s="146"/>
      <c r="H509" s="21"/>
      <c r="I509" s="22"/>
    </row>
    <row r="510" spans="1:9" ht="18.75" customHeight="1" x14ac:dyDescent="0.25">
      <c r="A510" s="295"/>
      <c r="B510" s="23" t="s">
        <v>300</v>
      </c>
      <c r="C510" s="23"/>
      <c r="D510" s="23"/>
      <c r="E510" s="23"/>
      <c r="F510" s="23"/>
      <c r="G510" s="146" t="s">
        <v>119</v>
      </c>
      <c r="H510" s="10">
        <f>'Input &amp; Process'!H197</f>
        <v>2.35</v>
      </c>
      <c r="I510" s="22" t="s">
        <v>2</v>
      </c>
    </row>
    <row r="511" spans="1:9" ht="18.75" customHeight="1" x14ac:dyDescent="0.25">
      <c r="A511" s="295"/>
      <c r="B511" s="23" t="s">
        <v>301</v>
      </c>
      <c r="C511" s="23"/>
      <c r="D511" s="23"/>
      <c r="E511" s="23"/>
      <c r="F511" s="23"/>
      <c r="G511" s="146" t="s">
        <v>111</v>
      </c>
      <c r="H511" s="15">
        <f>'Input &amp; Process'!H198</f>
        <v>0.21365610076028554</v>
      </c>
      <c r="I511" s="22" t="s">
        <v>97</v>
      </c>
    </row>
    <row r="512" spans="1:9" ht="18.75" customHeight="1" x14ac:dyDescent="0.25">
      <c r="A512" s="295"/>
      <c r="B512" s="23" t="s">
        <v>98</v>
      </c>
      <c r="C512" s="23"/>
      <c r="D512" s="23"/>
      <c r="E512" s="23"/>
      <c r="F512" s="23"/>
      <c r="G512" s="146" t="s">
        <v>112</v>
      </c>
      <c r="H512" s="15">
        <f>'Input &amp; Process'!H199</f>
        <v>1.4796526898444597</v>
      </c>
      <c r="I512" s="22" t="s">
        <v>2</v>
      </c>
    </row>
    <row r="513" spans="1:9" ht="18.75" customHeight="1" x14ac:dyDescent="0.25">
      <c r="A513" s="295"/>
      <c r="B513" s="23"/>
      <c r="C513" s="23"/>
      <c r="D513" s="23"/>
      <c r="E513" s="23"/>
      <c r="F513" s="23"/>
      <c r="G513" s="146" t="s">
        <v>120</v>
      </c>
      <c r="H513" s="15">
        <f>'Input &amp; Process'!H200</f>
        <v>0.87034731015554034</v>
      </c>
      <c r="I513" s="22" t="s">
        <v>2</v>
      </c>
    </row>
    <row r="514" spans="1:9" ht="18.75" customHeight="1" x14ac:dyDescent="0.25">
      <c r="A514" s="295"/>
      <c r="B514" s="23" t="s">
        <v>113</v>
      </c>
      <c r="C514" s="23"/>
      <c r="D514" s="23"/>
      <c r="E514" s="23"/>
      <c r="F514" s="23"/>
      <c r="G514" s="146" t="s">
        <v>121</v>
      </c>
      <c r="H514" s="15">
        <f>'Input &amp; Process'!H201</f>
        <v>0.1730328597438103</v>
      </c>
      <c r="I514" s="22" t="s">
        <v>101</v>
      </c>
    </row>
    <row r="515" spans="1:9" ht="18.75" customHeight="1" x14ac:dyDescent="0.25">
      <c r="A515" s="295"/>
      <c r="B515" s="23" t="s">
        <v>114</v>
      </c>
      <c r="C515" s="23"/>
      <c r="D515" s="23"/>
      <c r="E515" s="23"/>
      <c r="F515" s="23"/>
      <c r="G515" s="146" t="s">
        <v>115</v>
      </c>
      <c r="H515" s="15">
        <f>'Input &amp; Process'!H202</f>
        <v>0.1988089785822254</v>
      </c>
      <c r="I515" s="22" t="s">
        <v>104</v>
      </c>
    </row>
    <row r="516" spans="1:9" ht="18.75" customHeight="1" x14ac:dyDescent="0.25">
      <c r="A516" s="295"/>
      <c r="B516" s="23" t="s">
        <v>116</v>
      </c>
      <c r="C516" s="23"/>
      <c r="D516" s="23"/>
      <c r="E516" s="23"/>
      <c r="F516" s="23"/>
      <c r="G516" s="146" t="s">
        <v>817</v>
      </c>
      <c r="H516" s="15">
        <f>'Input &amp; Process'!H203</f>
        <v>0.27892900784953123</v>
      </c>
      <c r="I516" s="22" t="s">
        <v>104</v>
      </c>
    </row>
    <row r="517" spans="1:9" ht="18.75" customHeight="1" x14ac:dyDescent="0.25">
      <c r="A517" s="295"/>
      <c r="B517" s="23" t="s">
        <v>117</v>
      </c>
      <c r="C517" s="23"/>
      <c r="D517" s="23"/>
      <c r="E517" s="23"/>
      <c r="F517" s="23"/>
      <c r="G517" s="146" t="s">
        <v>118</v>
      </c>
      <c r="H517" s="15">
        <f>'Input &amp; Process'!H204</f>
        <v>0.11694153697784269</v>
      </c>
      <c r="I517" s="22" t="s">
        <v>104</v>
      </c>
    </row>
    <row r="518" spans="1:9" ht="18.75" customHeight="1" x14ac:dyDescent="0.25">
      <c r="A518" s="149"/>
      <c r="B518" s="23"/>
      <c r="C518" s="23"/>
      <c r="D518" s="23"/>
      <c r="E518" s="23"/>
      <c r="F518" s="23"/>
      <c r="G518" s="146"/>
      <c r="H518" s="21"/>
      <c r="I518" s="22"/>
    </row>
    <row r="519" spans="1:9" ht="18.75" customHeight="1" x14ac:dyDescent="0.25">
      <c r="A519" s="149" t="s">
        <v>925</v>
      </c>
      <c r="B519" s="150" t="s">
        <v>299</v>
      </c>
      <c r="C519" s="23"/>
      <c r="D519" s="23"/>
      <c r="E519" s="23"/>
      <c r="F519" s="23"/>
      <c r="G519" s="146"/>
      <c r="H519" s="21"/>
      <c r="I519" s="22"/>
    </row>
    <row r="520" spans="1:9" ht="18.75" customHeight="1" x14ac:dyDescent="0.25">
      <c r="A520" s="149"/>
      <c r="B520" s="23"/>
      <c r="C520" s="23"/>
      <c r="D520" s="23"/>
      <c r="E520" s="23"/>
      <c r="F520" s="23"/>
      <c r="G520" s="146"/>
      <c r="H520" s="21"/>
      <c r="I520" s="22"/>
    </row>
    <row r="521" spans="1:9" ht="18.75" customHeight="1" x14ac:dyDescent="0.25">
      <c r="A521" s="149"/>
      <c r="B521" s="23"/>
      <c r="C521" s="23"/>
      <c r="D521" s="23"/>
      <c r="E521" s="23"/>
      <c r="F521" s="23"/>
      <c r="G521" s="146"/>
      <c r="H521" s="21"/>
      <c r="I521" s="22"/>
    </row>
    <row r="522" spans="1:9" ht="18.75" customHeight="1" x14ac:dyDescent="0.25">
      <c r="A522" s="149"/>
      <c r="B522" s="23"/>
      <c r="C522" s="23"/>
      <c r="D522" s="23"/>
      <c r="E522" s="23"/>
      <c r="F522" s="23"/>
      <c r="G522" s="146"/>
      <c r="H522" s="21"/>
      <c r="I522" s="22"/>
    </row>
    <row r="523" spans="1:9" ht="18.75" customHeight="1" x14ac:dyDescent="0.25">
      <c r="A523" s="149"/>
      <c r="B523" s="23"/>
      <c r="C523" s="23"/>
      <c r="D523" s="23"/>
      <c r="E523" s="23"/>
      <c r="F523" s="23"/>
      <c r="G523" s="146"/>
      <c r="H523" s="21"/>
      <c r="I523" s="22"/>
    </row>
    <row r="524" spans="1:9" ht="18.75" customHeight="1" x14ac:dyDescent="0.25">
      <c r="A524" s="149"/>
      <c r="B524" s="23"/>
      <c r="C524" s="23"/>
      <c r="D524" s="23"/>
      <c r="E524" s="23"/>
      <c r="F524" s="23"/>
      <c r="G524" s="146"/>
      <c r="H524" s="21"/>
      <c r="I524" s="22"/>
    </row>
    <row r="525" spans="1:9" ht="18.75" customHeight="1" x14ac:dyDescent="0.25">
      <c r="A525" s="149"/>
      <c r="B525" s="23"/>
      <c r="C525" s="23"/>
      <c r="D525" s="23"/>
      <c r="E525" s="23"/>
      <c r="F525" s="23"/>
      <c r="G525" s="146"/>
      <c r="H525" s="21"/>
      <c r="I525" s="22"/>
    </row>
    <row r="526" spans="1:9" ht="18.75" customHeight="1" x14ac:dyDescent="0.25">
      <c r="A526" s="149"/>
      <c r="B526" s="23"/>
      <c r="C526" s="23"/>
      <c r="D526" s="23"/>
      <c r="E526" s="23"/>
      <c r="F526" s="23"/>
      <c r="G526" s="146"/>
      <c r="H526" s="21"/>
      <c r="I526" s="22"/>
    </row>
    <row r="527" spans="1:9" ht="18.75" customHeight="1" x14ac:dyDescent="0.25">
      <c r="A527" s="149"/>
      <c r="B527" s="23"/>
      <c r="C527" s="23"/>
      <c r="D527" s="23"/>
      <c r="E527" s="23"/>
      <c r="F527" s="23"/>
      <c r="G527" s="146"/>
      <c r="H527" s="21"/>
      <c r="I527" s="22"/>
    </row>
    <row r="528" spans="1:9" ht="18.75" customHeight="1" x14ac:dyDescent="0.25">
      <c r="A528" s="149"/>
      <c r="B528" s="23"/>
      <c r="C528" s="23"/>
      <c r="D528" s="23"/>
      <c r="E528" s="23"/>
      <c r="F528" s="23"/>
      <c r="G528" s="146"/>
      <c r="H528" s="21"/>
      <c r="I528" s="22"/>
    </row>
    <row r="529" spans="1:9" ht="18.75" customHeight="1" x14ac:dyDescent="0.25">
      <c r="A529" s="149"/>
      <c r="B529" s="23"/>
      <c r="C529" s="23"/>
      <c r="D529" s="23"/>
      <c r="E529" s="23"/>
      <c r="F529" s="23"/>
      <c r="G529" s="146"/>
      <c r="H529" s="21"/>
      <c r="I529" s="22"/>
    </row>
    <row r="530" spans="1:9" ht="18.75" customHeight="1" x14ac:dyDescent="0.25">
      <c r="A530" s="149"/>
      <c r="B530" s="23"/>
      <c r="C530" s="23"/>
      <c r="D530" s="23"/>
      <c r="E530" s="23"/>
      <c r="F530" s="23"/>
      <c r="G530" s="146"/>
      <c r="H530" s="21"/>
      <c r="I530" s="22"/>
    </row>
    <row r="531" spans="1:9" ht="18.75" customHeight="1" x14ac:dyDescent="0.25">
      <c r="A531" s="149"/>
      <c r="B531" s="23"/>
      <c r="C531" s="23"/>
      <c r="D531" s="23"/>
      <c r="E531" s="23"/>
      <c r="F531" s="23"/>
      <c r="G531" s="146"/>
      <c r="H531" s="21"/>
      <c r="I531" s="22"/>
    </row>
    <row r="532" spans="1:9" ht="18.75" customHeight="1" x14ac:dyDescent="0.25">
      <c r="A532" s="149"/>
      <c r="B532" s="23"/>
      <c r="C532" s="23"/>
      <c r="D532" s="23"/>
      <c r="E532" s="23"/>
      <c r="F532" s="23"/>
      <c r="G532" s="146"/>
      <c r="H532" s="21"/>
      <c r="I532" s="22"/>
    </row>
    <row r="533" spans="1:9" ht="18.75" customHeight="1" x14ac:dyDescent="0.25">
      <c r="A533" s="149"/>
      <c r="B533" s="365" t="s">
        <v>94</v>
      </c>
      <c r="C533" s="345" t="s">
        <v>75</v>
      </c>
      <c r="D533" s="345"/>
      <c r="E533" s="346" t="s">
        <v>76</v>
      </c>
      <c r="F533" s="343" t="s">
        <v>77</v>
      </c>
      <c r="G533" s="343" t="s">
        <v>78</v>
      </c>
      <c r="H533" s="343" t="s">
        <v>79</v>
      </c>
      <c r="I533" s="343" t="s">
        <v>79</v>
      </c>
    </row>
    <row r="534" spans="1:9" ht="18.75" customHeight="1" x14ac:dyDescent="0.25">
      <c r="A534" s="149"/>
      <c r="B534" s="365"/>
      <c r="C534" s="201" t="s">
        <v>80</v>
      </c>
      <c r="D534" s="201" t="s">
        <v>81</v>
      </c>
      <c r="E534" s="346"/>
      <c r="F534" s="343"/>
      <c r="G534" s="343"/>
      <c r="H534" s="343"/>
      <c r="I534" s="343"/>
    </row>
    <row r="535" spans="1:9" ht="18.75" customHeight="1" x14ac:dyDescent="0.25">
      <c r="A535" s="149"/>
      <c r="B535" s="365"/>
      <c r="C535" s="201" t="s">
        <v>82</v>
      </c>
      <c r="D535" s="201" t="s">
        <v>83</v>
      </c>
      <c r="E535" s="201" t="s">
        <v>84</v>
      </c>
      <c r="F535" s="201" t="s">
        <v>85</v>
      </c>
      <c r="G535" s="201" t="s">
        <v>86</v>
      </c>
      <c r="H535" s="201" t="s">
        <v>87</v>
      </c>
      <c r="I535" s="235" t="s">
        <v>88</v>
      </c>
    </row>
    <row r="536" spans="1:9" ht="18.75" customHeight="1" x14ac:dyDescent="0.25">
      <c r="A536" s="149"/>
      <c r="B536" s="365"/>
      <c r="C536" s="201" t="s">
        <v>89</v>
      </c>
      <c r="D536" s="201" t="s">
        <v>89</v>
      </c>
      <c r="E536" s="201" t="s">
        <v>90</v>
      </c>
      <c r="F536" s="201" t="s">
        <v>89</v>
      </c>
      <c r="G536" s="201" t="s">
        <v>91</v>
      </c>
      <c r="H536" s="201" t="s">
        <v>92</v>
      </c>
      <c r="I536" s="235" t="s">
        <v>92</v>
      </c>
    </row>
    <row r="537" spans="1:9" ht="18.75" customHeight="1" x14ac:dyDescent="0.25">
      <c r="A537" s="149"/>
      <c r="B537" s="13">
        <v>0</v>
      </c>
      <c r="C537" s="17">
        <f>'Input &amp; Process'!C224</f>
        <v>0.12871480101371405</v>
      </c>
      <c r="D537" s="17">
        <f>'Input &amp; Process'!D224</f>
        <v>0.25</v>
      </c>
      <c r="E537" s="17">
        <f>'Input &amp; Process'!E224</f>
        <v>3.2178700253428512E-2</v>
      </c>
      <c r="F537" s="16">
        <f>'Input &amp; Process'!F224</f>
        <v>2.2250000000000001</v>
      </c>
      <c r="G537" s="16">
        <f>'Input &amp; Process'!G224</f>
        <v>7.1597608063878437E-2</v>
      </c>
      <c r="H537" s="16">
        <f>'Input &amp; Process'!H224</f>
        <v>0.15930467794212955</v>
      </c>
      <c r="I537" s="18">
        <f>'Input &amp; Process'!I224</f>
        <v>1.675973971532735E-4</v>
      </c>
    </row>
    <row r="538" spans="1:9" ht="18.75" customHeight="1" x14ac:dyDescent="0.25">
      <c r="A538" s="149"/>
      <c r="B538" s="13">
        <v>1</v>
      </c>
      <c r="C538" s="17">
        <f>'Input &amp; Process'!C225</f>
        <v>0.38</v>
      </c>
      <c r="D538" s="17">
        <f>'Input &amp; Process'!D225</f>
        <v>0.02</v>
      </c>
      <c r="E538" s="17">
        <f>'Input &amp; Process'!E225</f>
        <v>7.6E-3</v>
      </c>
      <c r="F538" s="16">
        <f>'Input &amp; Process'!F225</f>
        <v>2.09</v>
      </c>
      <c r="G538" s="16">
        <f>'Input &amp; Process'!G225</f>
        <v>1.5883999999999999E-2</v>
      </c>
      <c r="H538" s="16">
        <f>'Input &amp; Process'!H225</f>
        <v>3.3197559999999994E-2</v>
      </c>
      <c r="I538" s="18">
        <f>'Input &amp; Process'!I225</f>
        <v>2.5333333333333333E-7</v>
      </c>
    </row>
    <row r="539" spans="1:9" ht="18.75" customHeight="1" x14ac:dyDescent="0.25">
      <c r="A539" s="149"/>
      <c r="B539" s="13">
        <v>2</v>
      </c>
      <c r="C539" s="17">
        <f>'Input &amp; Process'!C226</f>
        <v>0.38</v>
      </c>
      <c r="D539" s="17">
        <f>'Input &amp; Process'!D226</f>
        <v>0.02</v>
      </c>
      <c r="E539" s="17">
        <f>'Input &amp; Process'!E226</f>
        <v>7.6E-3</v>
      </c>
      <c r="F539" s="16">
        <f>'Input &amp; Process'!F226</f>
        <v>2.09</v>
      </c>
      <c r="G539" s="16">
        <f>'Input &amp; Process'!G226</f>
        <v>1.5883999999999999E-2</v>
      </c>
      <c r="H539" s="16">
        <f>'Input &amp; Process'!H226</f>
        <v>3.3197559999999994E-2</v>
      </c>
      <c r="I539" s="18">
        <f>'Input &amp; Process'!I226</f>
        <v>2.5333333333333333E-7</v>
      </c>
    </row>
    <row r="540" spans="1:9" ht="18.75" customHeight="1" x14ac:dyDescent="0.25">
      <c r="A540" s="149"/>
      <c r="B540" s="13">
        <v>3</v>
      </c>
      <c r="C540" s="17">
        <f>'Input &amp; Process'!C227</f>
        <v>1.6E-2</v>
      </c>
      <c r="D540" s="17">
        <f>'Input &amp; Process'!D227</f>
        <v>2.06</v>
      </c>
      <c r="E540" s="17">
        <f>'Input &amp; Process'!E227</f>
        <v>3.2960000000000003E-2</v>
      </c>
      <c r="F540" s="16">
        <f>'Input &amp; Process'!F227</f>
        <v>1.05</v>
      </c>
      <c r="G540" s="16">
        <f>'Input &amp; Process'!G227</f>
        <v>3.4608000000000007E-2</v>
      </c>
      <c r="H540" s="16">
        <f>'Input &amp; Process'!H227</f>
        <v>3.6338400000000007E-2</v>
      </c>
      <c r="I540" s="18">
        <f>'Input &amp; Process'!I227</f>
        <v>1.1655754666666667E-2</v>
      </c>
    </row>
    <row r="541" spans="1:9" ht="18.75" customHeight="1" x14ac:dyDescent="0.25">
      <c r="A541" s="149"/>
      <c r="B541" s="13">
        <v>4</v>
      </c>
      <c r="C541" s="17">
        <f>'Input &amp; Process'!C228</f>
        <v>1.6E-2</v>
      </c>
      <c r="D541" s="17">
        <f>'Input &amp; Process'!D228</f>
        <v>2.06</v>
      </c>
      <c r="E541" s="17">
        <f>'Input &amp; Process'!E228</f>
        <v>3.2960000000000003E-2</v>
      </c>
      <c r="F541" s="16">
        <f>'Input &amp; Process'!F228</f>
        <v>1.05</v>
      </c>
      <c r="G541" s="16">
        <f>'Input &amp; Process'!G228</f>
        <v>3.4608000000000007E-2</v>
      </c>
      <c r="H541" s="16">
        <f>'Input &amp; Process'!H228</f>
        <v>3.6338400000000007E-2</v>
      </c>
      <c r="I541" s="18">
        <f>'Input &amp; Process'!I228</f>
        <v>1.1655754666666667E-2</v>
      </c>
    </row>
    <row r="542" spans="1:9" ht="18.75" customHeight="1" x14ac:dyDescent="0.25">
      <c r="A542" s="149"/>
      <c r="B542" s="13">
        <v>5</v>
      </c>
      <c r="C542" s="17">
        <f>'Input &amp; Process'!C229</f>
        <v>1.8</v>
      </c>
      <c r="D542" s="17">
        <f>'Input &amp; Process'!D229</f>
        <v>0.02</v>
      </c>
      <c r="E542" s="17">
        <f>'Input &amp; Process'!E229</f>
        <v>3.6000000000000004E-2</v>
      </c>
      <c r="F542" s="16">
        <f>'Input &amp; Process'!F229</f>
        <v>0.01</v>
      </c>
      <c r="G542" s="16">
        <f>'Input &amp; Process'!G229</f>
        <v>3.6000000000000002E-4</v>
      </c>
      <c r="H542" s="16">
        <f>'Input &amp; Process'!H229</f>
        <v>3.6000000000000007E-6</v>
      </c>
      <c r="I542" s="18">
        <f>'Input &amp; Process'!I229</f>
        <v>1.2000000000000002E-6</v>
      </c>
    </row>
    <row r="543" spans="1:9" ht="18.75" customHeight="1" x14ac:dyDescent="0.25">
      <c r="A543" s="149"/>
      <c r="B543" s="23"/>
      <c r="C543" s="23"/>
      <c r="D543" s="19" t="s">
        <v>93</v>
      </c>
      <c r="E543" s="20">
        <f>'Input &amp; Process'!E230</f>
        <v>0.14929870025342851</v>
      </c>
      <c r="F543" s="25"/>
      <c r="G543" s="66">
        <f>'Input &amp; Process'!G230</f>
        <v>0.17294160806387843</v>
      </c>
      <c r="H543" s="66">
        <f>'Input &amp; Process'!H230</f>
        <v>0.2983801979421295</v>
      </c>
      <c r="I543" s="67">
        <f>'Input &amp; Process'!I230</f>
        <v>2.3480813397153272E-2</v>
      </c>
    </row>
    <row r="544" spans="1:9" ht="18.75" customHeight="1" x14ac:dyDescent="0.25">
      <c r="A544" s="149"/>
      <c r="B544" s="23"/>
      <c r="C544" s="23"/>
      <c r="D544" s="23"/>
      <c r="E544" s="23"/>
      <c r="F544" s="23"/>
      <c r="G544" s="146"/>
      <c r="H544" s="21"/>
      <c r="I544" s="22"/>
    </row>
    <row r="545" spans="1:9" ht="18.75" customHeight="1" x14ac:dyDescent="0.25">
      <c r="A545" s="295"/>
      <c r="B545" s="23" t="s">
        <v>300</v>
      </c>
      <c r="C545" s="23"/>
      <c r="D545" s="23"/>
      <c r="E545" s="23"/>
      <c r="F545" s="23"/>
      <c r="G545" s="146" t="s">
        <v>119</v>
      </c>
      <c r="H545" s="10">
        <f>'Input &amp; Process'!H232</f>
        <v>2.35</v>
      </c>
      <c r="I545" s="22" t="s">
        <v>2</v>
      </c>
    </row>
    <row r="546" spans="1:9" ht="18.75" customHeight="1" x14ac:dyDescent="0.25">
      <c r="A546" s="295"/>
      <c r="B546" s="23" t="s">
        <v>301</v>
      </c>
      <c r="C546" s="23"/>
      <c r="D546" s="23"/>
      <c r="E546" s="23"/>
      <c r="F546" s="23"/>
      <c r="G546" s="146" t="s">
        <v>111</v>
      </c>
      <c r="H546" s="15">
        <f>'Input &amp; Process'!H233</f>
        <v>0.14929870025342851</v>
      </c>
      <c r="I546" s="22" t="s">
        <v>97</v>
      </c>
    </row>
    <row r="547" spans="1:9" ht="18.75" customHeight="1" x14ac:dyDescent="0.25">
      <c r="A547" s="295"/>
      <c r="B547" s="23" t="s">
        <v>98</v>
      </c>
      <c r="C547" s="23"/>
      <c r="D547" s="23"/>
      <c r="E547" s="23"/>
      <c r="F547" s="23"/>
      <c r="G547" s="146" t="s">
        <v>112</v>
      </c>
      <c r="H547" s="15">
        <f>'Input &amp; Process'!H234</f>
        <v>1.1583597698460673</v>
      </c>
      <c r="I547" s="22" t="s">
        <v>2</v>
      </c>
    </row>
    <row r="548" spans="1:9" ht="18.75" customHeight="1" x14ac:dyDescent="0.25">
      <c r="A548" s="295"/>
      <c r="B548" s="23"/>
      <c r="C548" s="23"/>
      <c r="D548" s="23"/>
      <c r="E548" s="23"/>
      <c r="F548" s="23"/>
      <c r="G548" s="146" t="s">
        <v>120</v>
      </c>
      <c r="H548" s="15">
        <f>'Input &amp; Process'!H235</f>
        <v>1.1916402301539328</v>
      </c>
      <c r="I548" s="22" t="s">
        <v>2</v>
      </c>
    </row>
    <row r="549" spans="1:9" ht="18.75" customHeight="1" x14ac:dyDescent="0.25">
      <c r="A549" s="295"/>
      <c r="B549" s="23" t="s">
        <v>113</v>
      </c>
      <c r="C549" s="23"/>
      <c r="D549" s="23"/>
      <c r="E549" s="23"/>
      <c r="F549" s="23"/>
      <c r="G549" s="146" t="s">
        <v>121</v>
      </c>
      <c r="H549" s="15">
        <f>'Input &amp; Process'!H236</f>
        <v>0.13694438652173369</v>
      </c>
      <c r="I549" s="22" t="s">
        <v>101</v>
      </c>
    </row>
    <row r="550" spans="1:9" ht="18.75" customHeight="1" x14ac:dyDescent="0.25">
      <c r="A550" s="295"/>
      <c r="B550" s="23" t="s">
        <v>114</v>
      </c>
      <c r="C550" s="23"/>
      <c r="D550" s="23"/>
      <c r="E550" s="23"/>
      <c r="F550" s="23"/>
      <c r="G550" s="146" t="s">
        <v>115</v>
      </c>
      <c r="H550" s="15">
        <f>'Input &amp; Process'!H237</f>
        <v>0.11492091577341559</v>
      </c>
      <c r="I550" s="22" t="s">
        <v>104</v>
      </c>
    </row>
    <row r="551" spans="1:9" ht="37.5" customHeight="1" x14ac:dyDescent="0.25">
      <c r="A551" s="295"/>
      <c r="B551" s="23" t="s">
        <v>116</v>
      </c>
      <c r="C551" s="23"/>
      <c r="D551" s="23"/>
      <c r="E551" s="23"/>
      <c r="F551" s="23"/>
      <c r="G551" s="146" t="s">
        <v>817</v>
      </c>
      <c r="H551" s="15">
        <f>'Input &amp; Process'!H238</f>
        <v>0.14543174997880767</v>
      </c>
      <c r="I551" s="22" t="s">
        <v>104</v>
      </c>
    </row>
    <row r="552" spans="1:9" ht="18.75" customHeight="1" x14ac:dyDescent="0.25">
      <c r="A552" s="295"/>
      <c r="B552" s="23" t="s">
        <v>117</v>
      </c>
      <c r="C552" s="23"/>
      <c r="D552" s="23"/>
      <c r="E552" s="23"/>
      <c r="F552" s="23"/>
      <c r="G552" s="146" t="s">
        <v>118</v>
      </c>
      <c r="H552" s="15">
        <f>'Input &amp; Process'!H239</f>
        <v>0.11822267147617879</v>
      </c>
      <c r="I552" s="22" t="s">
        <v>104</v>
      </c>
    </row>
    <row r="553" spans="1:9" ht="18.75" customHeight="1" x14ac:dyDescent="0.25">
      <c r="A553" s="149"/>
      <c r="B553" s="23"/>
      <c r="C553" s="23"/>
      <c r="D553" s="23"/>
      <c r="E553" s="23"/>
      <c r="F553" s="23"/>
      <c r="G553" s="146"/>
      <c r="H553" s="21"/>
      <c r="I553" s="22"/>
    </row>
    <row r="554" spans="1:9" ht="18.75" customHeight="1" x14ac:dyDescent="0.25">
      <c r="A554" s="273" t="s">
        <v>785</v>
      </c>
      <c r="B554" s="304" t="s">
        <v>799</v>
      </c>
      <c r="C554" s="304"/>
      <c r="D554" s="304"/>
      <c r="E554" s="304"/>
      <c r="F554" s="304"/>
      <c r="G554" s="304"/>
      <c r="H554" s="304"/>
      <c r="I554" s="304"/>
    </row>
    <row r="555" spans="1:9" ht="18.75" customHeight="1" x14ac:dyDescent="0.25">
      <c r="A555" s="274" t="s">
        <v>786</v>
      </c>
      <c r="B555" s="142" t="s">
        <v>798</v>
      </c>
      <c r="C555" s="143"/>
      <c r="D555" s="143"/>
      <c r="E555" s="143"/>
      <c r="F555" s="143"/>
      <c r="G555" s="144"/>
      <c r="H555" s="143"/>
      <c r="I555" s="270"/>
    </row>
    <row r="556" spans="1:9" ht="18.75" customHeight="1" x14ac:dyDescent="0.25">
      <c r="A556" s="149"/>
      <c r="B556" s="151" t="s">
        <v>365</v>
      </c>
      <c r="C556" s="23"/>
      <c r="D556" s="23"/>
      <c r="E556" s="23"/>
      <c r="F556" s="23"/>
      <c r="G556" s="146" t="s">
        <v>382</v>
      </c>
      <c r="H556" s="12">
        <f>'Input &amp; Process'!H243</f>
        <v>12832.0062</v>
      </c>
      <c r="I556" s="22" t="s">
        <v>137</v>
      </c>
    </row>
    <row r="557" spans="1:9" ht="18.75" customHeight="1" x14ac:dyDescent="0.25">
      <c r="A557" s="149"/>
      <c r="B557" s="151" t="s">
        <v>364</v>
      </c>
      <c r="C557" s="23"/>
      <c r="D557" s="23"/>
      <c r="E557" s="23"/>
      <c r="F557" s="23"/>
      <c r="G557" s="146" t="s">
        <v>383</v>
      </c>
      <c r="H557" s="12">
        <f>'Input &amp; Process'!H244</f>
        <v>5885.46875</v>
      </c>
      <c r="I557" s="22" t="s">
        <v>137</v>
      </c>
    </row>
    <row r="558" spans="1:9" ht="18.75" customHeight="1" x14ac:dyDescent="0.25">
      <c r="A558" s="149"/>
      <c r="B558" s="151" t="s">
        <v>366</v>
      </c>
      <c r="C558" s="23"/>
      <c r="D558" s="23"/>
      <c r="E558" s="23"/>
      <c r="F558" s="23"/>
      <c r="G558" s="146" t="s">
        <v>370</v>
      </c>
      <c r="H558" s="16">
        <f>'Input &amp; Process'!H245</f>
        <v>6.0497084700154906E-2</v>
      </c>
      <c r="I558" s="22" t="s">
        <v>369</v>
      </c>
    </row>
    <row r="559" spans="1:9" ht="18.75" customHeight="1" x14ac:dyDescent="0.25">
      <c r="A559" s="149"/>
      <c r="B559" s="151"/>
      <c r="C559" s="23"/>
      <c r="D559" s="23"/>
      <c r="E559" s="23"/>
      <c r="F559" s="23"/>
      <c r="G559" s="146" t="s">
        <v>371</v>
      </c>
      <c r="H559" s="16">
        <f>'Input &amp; Process'!H246</f>
        <v>8.6323437246605614E-2</v>
      </c>
      <c r="I559" s="22" t="s">
        <v>369</v>
      </c>
    </row>
    <row r="560" spans="1:9" ht="18.75" customHeight="1" x14ac:dyDescent="0.25">
      <c r="A560" s="149"/>
      <c r="B560" s="151" t="s">
        <v>367</v>
      </c>
      <c r="C560" s="23"/>
      <c r="D560" s="23"/>
      <c r="E560" s="23"/>
      <c r="F560" s="23"/>
      <c r="G560" s="146" t="s">
        <v>372</v>
      </c>
      <c r="H560" s="16">
        <f>'Input &amp; Process'!H247</f>
        <v>0.1988089785822254</v>
      </c>
      <c r="I560" s="22" t="s">
        <v>369</v>
      </c>
    </row>
    <row r="561" spans="1:9" ht="18.75" customHeight="1" x14ac:dyDescent="0.25">
      <c r="A561" s="149"/>
      <c r="B561" s="151"/>
      <c r="C561" s="23"/>
      <c r="D561" s="23"/>
      <c r="E561" s="23"/>
      <c r="F561" s="23"/>
      <c r="G561" s="146" t="s">
        <v>373</v>
      </c>
      <c r="H561" s="16">
        <f>'Input &amp; Process'!H248</f>
        <v>0.11694153697784269</v>
      </c>
      <c r="I561" s="22" t="s">
        <v>369</v>
      </c>
    </row>
    <row r="562" spans="1:9" ht="18.75" customHeight="1" x14ac:dyDescent="0.25">
      <c r="A562" s="149"/>
      <c r="B562" s="151" t="s">
        <v>368</v>
      </c>
      <c r="C562" s="23"/>
      <c r="D562" s="23"/>
      <c r="E562" s="23"/>
      <c r="F562" s="23"/>
      <c r="G562" s="146" t="s">
        <v>374</v>
      </c>
      <c r="H562" s="16">
        <f>'Input &amp; Process'!H249</f>
        <v>0.11492091577341559</v>
      </c>
      <c r="I562" s="22" t="s">
        <v>369</v>
      </c>
    </row>
    <row r="563" spans="1:9" ht="18.75" customHeight="1" x14ac:dyDescent="0.25">
      <c r="A563" s="149"/>
      <c r="B563" s="151"/>
      <c r="C563" s="23"/>
      <c r="D563" s="23"/>
      <c r="E563" s="23"/>
      <c r="F563" s="23"/>
      <c r="G563" s="146" t="s">
        <v>375</v>
      </c>
      <c r="H563" s="16">
        <f>'Input &amp; Process'!H250</f>
        <v>0.11822267147617879</v>
      </c>
      <c r="I563" s="22" t="s">
        <v>369</v>
      </c>
    </row>
    <row r="564" spans="1:9" ht="18.75" customHeight="1" x14ac:dyDescent="0.25">
      <c r="A564" s="149"/>
      <c r="B564" s="151" t="s">
        <v>376</v>
      </c>
      <c r="C564" s="23"/>
      <c r="D564" s="23"/>
      <c r="E564" s="23"/>
      <c r="F564" s="23"/>
      <c r="G564" s="146"/>
      <c r="H564" s="21"/>
      <c r="I564" s="22"/>
    </row>
    <row r="565" spans="1:9" ht="18.75" customHeight="1" x14ac:dyDescent="0.25">
      <c r="A565" s="149"/>
      <c r="B565" s="151"/>
      <c r="C565" s="23"/>
      <c r="D565" s="23"/>
      <c r="E565" s="23"/>
      <c r="F565" s="23"/>
      <c r="G565" s="146" t="s">
        <v>377</v>
      </c>
      <c r="H565" s="16">
        <f>'Input &amp; Process'!H252</f>
        <v>19220.314312411221</v>
      </c>
      <c r="I565" s="22" t="s">
        <v>137</v>
      </c>
    </row>
    <row r="566" spans="1:9" ht="18.75" customHeight="1" x14ac:dyDescent="0.25">
      <c r="A566" s="149"/>
      <c r="B566" s="151"/>
      <c r="C566" s="23"/>
      <c r="D566" s="23"/>
      <c r="E566" s="23"/>
      <c r="F566" s="23"/>
      <c r="G566" s="146" t="s">
        <v>380</v>
      </c>
      <c r="H566" s="16">
        <f>'Input &amp; Process'!H253</f>
        <v>18893.866775393966</v>
      </c>
      <c r="I566" s="22" t="s">
        <v>137</v>
      </c>
    </row>
    <row r="567" spans="1:9" ht="18.75" customHeight="1" x14ac:dyDescent="0.25">
      <c r="A567" s="149"/>
      <c r="B567" s="151"/>
      <c r="C567" s="23"/>
      <c r="D567" s="23"/>
      <c r="E567" s="23"/>
      <c r="F567" s="23"/>
      <c r="G567" s="146" t="s">
        <v>384</v>
      </c>
      <c r="H567" s="16">
        <f>'Input &amp; Process'!H254</f>
        <v>18893.866775393966</v>
      </c>
      <c r="I567" s="22" t="s">
        <v>137</v>
      </c>
    </row>
    <row r="568" spans="1:9" ht="18.75" customHeight="1" x14ac:dyDescent="0.25">
      <c r="A568" s="149"/>
      <c r="B568" s="151" t="s">
        <v>381</v>
      </c>
      <c r="C568" s="23"/>
      <c r="D568" s="23"/>
      <c r="E568" s="23"/>
      <c r="F568" s="23"/>
      <c r="G568" s="146" t="s">
        <v>385</v>
      </c>
      <c r="H568" s="76">
        <f>'Input &amp; Process'!H255</f>
        <v>37611.34172539397</v>
      </c>
      <c r="I568" s="22" t="s">
        <v>137</v>
      </c>
    </row>
    <row r="569" spans="1:9" ht="18.75" customHeight="1" x14ac:dyDescent="0.25">
      <c r="A569" s="149"/>
      <c r="B569" s="151"/>
      <c r="C569" s="23"/>
      <c r="D569" s="23"/>
      <c r="E569" s="23"/>
      <c r="F569" s="23"/>
      <c r="G569" s="146"/>
      <c r="H569" s="21"/>
      <c r="I569" s="22"/>
    </row>
    <row r="570" spans="1:9" ht="18.75" customHeight="1" x14ac:dyDescent="0.25">
      <c r="A570" s="274" t="s">
        <v>790</v>
      </c>
      <c r="B570" s="142" t="s">
        <v>797</v>
      </c>
      <c r="C570" s="143"/>
      <c r="D570" s="143"/>
      <c r="E570" s="143"/>
      <c r="F570" s="143"/>
      <c r="G570" s="144"/>
      <c r="H570" s="143"/>
      <c r="I570" s="270"/>
    </row>
    <row r="571" spans="1:9" ht="18.75" customHeight="1" x14ac:dyDescent="0.25">
      <c r="A571" s="149"/>
      <c r="B571" s="23" t="s">
        <v>307</v>
      </c>
      <c r="C571" s="23"/>
      <c r="D571" s="23"/>
      <c r="E571" s="23"/>
      <c r="F571" s="23"/>
      <c r="G571" s="146" t="s">
        <v>24</v>
      </c>
      <c r="H571" s="12">
        <f>'Input &amp; Process'!H258</f>
        <v>30</v>
      </c>
      <c r="I571" s="22" t="s">
        <v>23</v>
      </c>
    </row>
    <row r="572" spans="1:9" ht="18.75" customHeight="1" x14ac:dyDescent="0.25">
      <c r="A572" s="149"/>
      <c r="B572" s="23" t="s">
        <v>308</v>
      </c>
      <c r="C572" s="23"/>
      <c r="D572" s="23"/>
      <c r="E572" s="23"/>
      <c r="F572" s="23"/>
      <c r="G572" s="146" t="s">
        <v>30</v>
      </c>
      <c r="H572" s="12">
        <f>'Input &amp; Process'!H259</f>
        <v>360</v>
      </c>
      <c r="I572" s="22" t="s">
        <v>23</v>
      </c>
    </row>
    <row r="573" spans="1:9" ht="18.75" customHeight="1" x14ac:dyDescent="0.25">
      <c r="A573" s="149"/>
      <c r="B573" s="23" t="s">
        <v>304</v>
      </c>
      <c r="C573" s="23"/>
      <c r="D573" s="23"/>
      <c r="E573" s="23"/>
      <c r="F573" s="23"/>
      <c r="G573" s="146" t="s">
        <v>60</v>
      </c>
      <c r="H573" s="12">
        <f>'Input &amp; Process'!H260</f>
        <v>3.5</v>
      </c>
      <c r="I573" s="22" t="s">
        <v>2</v>
      </c>
    </row>
    <row r="574" spans="1:9" ht="18.75" customHeight="1" x14ac:dyDescent="0.25">
      <c r="A574" s="149"/>
      <c r="B574" s="23" t="s">
        <v>305</v>
      </c>
      <c r="C574" s="23"/>
      <c r="D574" s="23"/>
      <c r="E574" s="23"/>
      <c r="F574" s="23"/>
      <c r="G574" s="146" t="s">
        <v>311</v>
      </c>
      <c r="H574" s="16">
        <f>'Input &amp; Process'!H261</f>
        <v>22312.5</v>
      </c>
      <c r="I574" s="22" t="s">
        <v>148</v>
      </c>
    </row>
    <row r="575" spans="1:9" ht="18.75" customHeight="1" x14ac:dyDescent="0.25">
      <c r="A575" s="149"/>
      <c r="B575" s="23" t="s">
        <v>306</v>
      </c>
      <c r="C575" s="23"/>
      <c r="D575" s="23"/>
      <c r="E575" s="23"/>
      <c r="F575" s="23"/>
      <c r="G575" s="146" t="s">
        <v>323</v>
      </c>
      <c r="H575" s="16">
        <f>'Input &amp; Process'!H262</f>
        <v>5472</v>
      </c>
      <c r="I575" s="22" t="s">
        <v>148</v>
      </c>
    </row>
    <row r="576" spans="1:9" ht="18.75" customHeight="1" x14ac:dyDescent="0.25">
      <c r="A576" s="149"/>
      <c r="B576" s="23" t="s">
        <v>309</v>
      </c>
      <c r="C576" s="23"/>
      <c r="D576" s="23"/>
      <c r="E576" s="23"/>
      <c r="F576" s="23"/>
      <c r="G576" s="146" t="s">
        <v>312</v>
      </c>
      <c r="H576" s="16">
        <f>'Input &amp; Process'!H263</f>
        <v>23731.200000000001</v>
      </c>
      <c r="I576" s="22" t="s">
        <v>148</v>
      </c>
    </row>
    <row r="577" spans="1:9" ht="18.75" customHeight="1" x14ac:dyDescent="0.25">
      <c r="A577" s="149"/>
      <c r="B577" s="23" t="s">
        <v>310</v>
      </c>
      <c r="C577" s="23"/>
      <c r="D577" s="23"/>
      <c r="E577" s="23"/>
      <c r="F577" s="23"/>
      <c r="G577" s="146" t="s">
        <v>313</v>
      </c>
      <c r="H577" s="16">
        <f>'Input &amp; Process'!H264</f>
        <v>12960</v>
      </c>
      <c r="I577" s="22" t="s">
        <v>148</v>
      </c>
    </row>
    <row r="578" spans="1:9" ht="18.75" customHeight="1" x14ac:dyDescent="0.25">
      <c r="A578" s="149"/>
      <c r="B578" s="23"/>
      <c r="C578" s="23"/>
      <c r="D578" s="23"/>
      <c r="E578" s="23"/>
      <c r="F578" s="23"/>
      <c r="G578" s="146"/>
      <c r="H578" s="21"/>
      <c r="I578" s="22"/>
    </row>
    <row r="579" spans="1:9" ht="18.75" customHeight="1" x14ac:dyDescent="0.25">
      <c r="A579" s="149"/>
      <c r="B579" s="23" t="s">
        <v>314</v>
      </c>
      <c r="C579" s="23"/>
      <c r="D579" s="23"/>
      <c r="E579" s="23"/>
      <c r="F579" s="23"/>
      <c r="G579" s="146"/>
      <c r="H579" s="21"/>
      <c r="I579" s="22"/>
    </row>
    <row r="580" spans="1:9" ht="18.75" customHeight="1" x14ac:dyDescent="0.25">
      <c r="A580" s="149"/>
      <c r="B580" s="23" t="s">
        <v>315</v>
      </c>
      <c r="C580" s="23" t="s">
        <v>327</v>
      </c>
      <c r="D580" s="23"/>
      <c r="E580" s="16">
        <f>'Input &amp; Process'!E267</f>
        <v>36691.199999999997</v>
      </c>
      <c r="F580" s="21" t="str">
        <f>IF(E580&gt;=G580,"≥","&lt;")</f>
        <v>≥</v>
      </c>
      <c r="G580" s="16">
        <f>'Input &amp; Process'!G267</f>
        <v>27784.5</v>
      </c>
      <c r="H580" s="236" t="str">
        <f>IF(E580&gt;=G580,"[ Terpenuhi]","[Tdk terpenuhi]")</f>
        <v>[ Terpenuhi]</v>
      </c>
      <c r="I580" s="236"/>
    </row>
    <row r="581" spans="1:9" ht="18.75" customHeight="1" x14ac:dyDescent="0.25">
      <c r="A581" s="149"/>
      <c r="B581" s="23" t="s">
        <v>316</v>
      </c>
      <c r="C581" s="23" t="s">
        <v>328</v>
      </c>
      <c r="D581" s="23"/>
      <c r="E581" s="16">
        <f>'Input &amp; Process'!E268</f>
        <v>42163.199999999997</v>
      </c>
      <c r="F581" s="21" t="str">
        <f>IF(E581&gt;=G581,"≥","&lt;")</f>
        <v>≥</v>
      </c>
      <c r="G581" s="16">
        <f>'Input &amp; Process'!G268</f>
        <v>22312.5</v>
      </c>
      <c r="H581" s="236" t="str">
        <f>IF(E581&gt;=G581,"[ Terpenuhi]","[Tdk terpenuhi]")</f>
        <v>[ Terpenuhi]</v>
      </c>
      <c r="I581" s="236"/>
    </row>
    <row r="582" spans="1:9" ht="18.75" customHeight="1" x14ac:dyDescent="0.25">
      <c r="A582" s="149"/>
      <c r="B582" s="23"/>
      <c r="C582" s="23"/>
      <c r="D582" s="23"/>
      <c r="E582" s="23"/>
      <c r="F582" s="23"/>
      <c r="G582" s="146"/>
      <c r="H582" s="21"/>
      <c r="I582" s="22"/>
    </row>
    <row r="583" spans="1:9" ht="18.75" customHeight="1" x14ac:dyDescent="0.25">
      <c r="A583" s="149"/>
      <c r="B583" s="23" t="s">
        <v>317</v>
      </c>
      <c r="C583" s="23"/>
      <c r="D583" s="23"/>
      <c r="E583" s="23"/>
      <c r="F583" s="23"/>
      <c r="G583" s="146" t="s">
        <v>319</v>
      </c>
      <c r="H583" s="16">
        <f>'Input &amp; Process'!H270</f>
        <v>386.57552083333337</v>
      </c>
      <c r="I583" s="22" t="s">
        <v>9</v>
      </c>
    </row>
    <row r="584" spans="1:9" ht="18.75" customHeight="1" x14ac:dyDescent="0.25">
      <c r="A584" s="149"/>
      <c r="B584" s="23" t="s">
        <v>318</v>
      </c>
      <c r="C584" s="23"/>
      <c r="D584" s="23"/>
      <c r="E584" s="23"/>
      <c r="F584" s="23"/>
      <c r="G584" s="146" t="s">
        <v>320</v>
      </c>
      <c r="H584" s="16">
        <f>'Input &amp; Process'!H271</f>
        <v>36.276864035087719</v>
      </c>
      <c r="I584" s="22" t="s">
        <v>9</v>
      </c>
    </row>
    <row r="585" spans="1:9" ht="18.75" customHeight="1" x14ac:dyDescent="0.25">
      <c r="A585" s="149"/>
      <c r="B585" s="200" t="str">
        <f>IF(E580&gt;=G580,"*PNA berada di badan web",IF(E581&gt;=G581,"*PNA berada di flens atas","[ EROR ]"))</f>
        <v>*PNA berada di badan web</v>
      </c>
      <c r="C585" s="23"/>
      <c r="D585" s="23"/>
      <c r="E585" s="23"/>
      <c r="F585" s="23"/>
      <c r="G585" s="146" t="s">
        <v>334</v>
      </c>
      <c r="H585" s="16">
        <f>'Input &amp; Process'!H272</f>
        <v>386.57552083333337</v>
      </c>
      <c r="I585" s="22" t="s">
        <v>9</v>
      </c>
    </row>
    <row r="586" spans="1:9" ht="18.75" customHeight="1" x14ac:dyDescent="0.25">
      <c r="A586" s="149"/>
      <c r="B586" s="23"/>
      <c r="C586" s="23"/>
      <c r="D586" s="23"/>
      <c r="E586" s="23"/>
      <c r="F586" s="23"/>
      <c r="G586" s="146"/>
      <c r="H586" s="21"/>
      <c r="I586" s="22"/>
    </row>
    <row r="587" spans="1:9" ht="18.75" customHeight="1" x14ac:dyDescent="0.25">
      <c r="A587" s="149"/>
      <c r="B587" s="23" t="s">
        <v>329</v>
      </c>
      <c r="C587" s="23"/>
      <c r="D587" s="23"/>
      <c r="E587" s="23"/>
      <c r="F587" s="23"/>
      <c r="G587" s="146" t="s">
        <v>340</v>
      </c>
      <c r="H587" s="16">
        <f>'Input &amp; Process'!H275</f>
        <v>656.57552083333337</v>
      </c>
      <c r="I587" s="22" t="s">
        <v>9</v>
      </c>
    </row>
    <row r="588" spans="1:9" ht="18.75" customHeight="1" x14ac:dyDescent="0.25">
      <c r="A588" s="149"/>
      <c r="B588" s="23" t="s">
        <v>321</v>
      </c>
      <c r="C588" s="23"/>
      <c r="D588" s="23"/>
      <c r="E588" s="23"/>
      <c r="F588" s="23"/>
      <c r="G588" s="146" t="s">
        <v>322</v>
      </c>
      <c r="H588" s="16">
        <f>'Input &amp; Process'!H276</f>
        <v>0.38657552083333335</v>
      </c>
      <c r="I588" s="22" t="s">
        <v>2</v>
      </c>
    </row>
    <row r="589" spans="1:9" ht="18.75" customHeight="1" x14ac:dyDescent="0.25">
      <c r="A589" s="149"/>
      <c r="B589" s="23"/>
      <c r="C589" s="23"/>
      <c r="D589" s="23"/>
      <c r="E589" s="23"/>
      <c r="F589" s="23"/>
      <c r="G589" s="146"/>
      <c r="H589" s="21"/>
      <c r="I589" s="22"/>
    </row>
    <row r="590" spans="1:9" ht="18.75" customHeight="1" x14ac:dyDescent="0.25">
      <c r="A590" s="149"/>
      <c r="B590" s="23" t="s">
        <v>330</v>
      </c>
      <c r="C590" s="23"/>
      <c r="D590" s="23"/>
      <c r="E590" s="23"/>
      <c r="F590" s="23"/>
      <c r="G590" s="146" t="s">
        <v>818</v>
      </c>
      <c r="H590" s="12">
        <f>'Input &amp; Process'!H278</f>
        <v>1683.4244791666665</v>
      </c>
      <c r="I590" s="22" t="s">
        <v>9</v>
      </c>
    </row>
    <row r="591" spans="1:9" ht="18.75" customHeight="1" x14ac:dyDescent="0.25">
      <c r="A591" s="149"/>
      <c r="B591" s="23" t="s">
        <v>331</v>
      </c>
      <c r="C591" s="23"/>
      <c r="D591" s="23"/>
      <c r="E591" s="23"/>
      <c r="F591" s="23"/>
      <c r="G591" s="146" t="s">
        <v>819</v>
      </c>
      <c r="H591" s="12">
        <f>'Input &amp; Process'!H279</f>
        <v>643.42447916666663</v>
      </c>
      <c r="I591" s="22" t="s">
        <v>9</v>
      </c>
    </row>
    <row r="592" spans="1:9" ht="18.75" customHeight="1" x14ac:dyDescent="0.25">
      <c r="A592" s="149"/>
      <c r="B592" s="23" t="s">
        <v>332</v>
      </c>
      <c r="C592" s="23"/>
      <c r="D592" s="23"/>
      <c r="E592" s="23"/>
      <c r="F592" s="23"/>
      <c r="G592" s="146" t="s">
        <v>820</v>
      </c>
      <c r="H592" s="68">
        <f>'Input &amp; Process'!H280</f>
        <v>396.57552083333337</v>
      </c>
      <c r="I592" s="22" t="s">
        <v>9</v>
      </c>
    </row>
    <row r="593" spans="1:9" ht="18.75" customHeight="1" x14ac:dyDescent="0.25">
      <c r="A593" s="149"/>
      <c r="B593" s="23" t="s">
        <v>333</v>
      </c>
      <c r="C593" s="23"/>
      <c r="D593" s="23"/>
      <c r="E593" s="23"/>
      <c r="F593" s="23"/>
      <c r="G593" s="146" t="s">
        <v>821</v>
      </c>
      <c r="H593" s="12">
        <f>'Input &amp; Process'!H281</f>
        <v>531.57552083333337</v>
      </c>
      <c r="I593" s="22" t="s">
        <v>9</v>
      </c>
    </row>
    <row r="594" spans="1:9" ht="18.75" customHeight="1" x14ac:dyDescent="0.25">
      <c r="A594" s="149"/>
      <c r="B594" s="23"/>
      <c r="C594" s="23"/>
      <c r="D594" s="23"/>
      <c r="E594" s="23"/>
      <c r="F594" s="23"/>
      <c r="G594" s="146"/>
      <c r="H594" s="21"/>
      <c r="I594" s="22"/>
    </row>
    <row r="595" spans="1:9" ht="18.75" customHeight="1" x14ac:dyDescent="0.25">
      <c r="A595" s="149"/>
      <c r="B595" s="23" t="s">
        <v>324</v>
      </c>
      <c r="C595" s="23"/>
      <c r="D595" s="23"/>
      <c r="E595" s="23"/>
      <c r="F595" s="23"/>
      <c r="G595" s="146"/>
      <c r="H595" s="21"/>
      <c r="I595" s="22"/>
    </row>
    <row r="596" spans="1:9" ht="18.75" customHeight="1" x14ac:dyDescent="0.25">
      <c r="A596" s="149"/>
      <c r="B596" s="23" t="s">
        <v>325</v>
      </c>
      <c r="C596" s="23"/>
      <c r="D596" s="23"/>
      <c r="E596" s="23"/>
      <c r="F596" s="23"/>
      <c r="G596" s="146" t="s">
        <v>326</v>
      </c>
      <c r="H596" s="69">
        <f>'Input &amp; Process'!H284</f>
        <v>54204.70935644531</v>
      </c>
      <c r="I596" s="22" t="s">
        <v>137</v>
      </c>
    </row>
    <row r="597" spans="1:9" ht="18.75" customHeight="1" x14ac:dyDescent="0.25">
      <c r="A597" s="149"/>
      <c r="B597" s="23" t="s">
        <v>316</v>
      </c>
      <c r="C597" s="23"/>
      <c r="D597" s="23"/>
      <c r="E597" s="23"/>
      <c r="F597" s="23"/>
      <c r="G597" s="146" t="s">
        <v>337</v>
      </c>
      <c r="H597" s="16" t="str">
        <f>'Input &amp; Process'!H285</f>
        <v/>
      </c>
      <c r="I597" s="22" t="s">
        <v>137</v>
      </c>
    </row>
    <row r="598" spans="1:9" ht="18.75" customHeight="1" x14ac:dyDescent="0.25">
      <c r="A598" s="149"/>
      <c r="B598" s="23"/>
      <c r="C598" s="23"/>
      <c r="D598" s="23"/>
      <c r="E598" s="23"/>
      <c r="F598" s="23"/>
      <c r="G598" s="146" t="s">
        <v>338</v>
      </c>
      <c r="H598" s="76">
        <f>'Input &amp; Process'!H286</f>
        <v>54204.70935644531</v>
      </c>
      <c r="I598" s="22" t="s">
        <v>137</v>
      </c>
    </row>
    <row r="599" spans="1:9" ht="18.75" customHeight="1" x14ac:dyDescent="0.25">
      <c r="A599" s="149"/>
      <c r="B599" s="23"/>
      <c r="C599" s="23"/>
      <c r="D599" s="23"/>
      <c r="E599" s="23"/>
      <c r="F599" s="23"/>
      <c r="G599" s="146"/>
      <c r="H599" s="21"/>
      <c r="I599" s="22"/>
    </row>
    <row r="600" spans="1:9" ht="18.75" customHeight="1" x14ac:dyDescent="0.25">
      <c r="A600" s="274" t="s">
        <v>927</v>
      </c>
      <c r="B600" s="142" t="s">
        <v>796</v>
      </c>
      <c r="C600" s="143"/>
      <c r="D600" s="143"/>
      <c r="E600" s="143"/>
      <c r="F600" s="143"/>
      <c r="G600" s="144"/>
      <c r="H600" s="143"/>
      <c r="I600" s="270"/>
    </row>
    <row r="601" spans="1:9" ht="18.75" customHeight="1" x14ac:dyDescent="0.25">
      <c r="A601" s="174"/>
      <c r="B601" s="153" t="s">
        <v>391</v>
      </c>
      <c r="C601" s="153"/>
      <c r="D601" s="153"/>
      <c r="E601" s="153"/>
      <c r="F601" s="153"/>
    </row>
    <row r="602" spans="1:9" ht="18.75" customHeight="1" x14ac:dyDescent="0.25">
      <c r="A602" s="174"/>
      <c r="B602" s="153"/>
      <c r="C602" s="153"/>
      <c r="D602" s="153"/>
      <c r="E602" s="153"/>
      <c r="F602" s="153"/>
      <c r="G602" s="154" t="s">
        <v>393</v>
      </c>
      <c r="H602" s="80">
        <f>'Input &amp; Process'!H289</f>
        <v>9.7200000000000012E-3</v>
      </c>
      <c r="I602" s="285" t="s">
        <v>395</v>
      </c>
    </row>
    <row r="603" spans="1:9" ht="18.75" customHeight="1" x14ac:dyDescent="0.25">
      <c r="A603" s="174"/>
      <c r="B603" s="153" t="s">
        <v>390</v>
      </c>
      <c r="C603" s="153"/>
      <c r="D603" s="153"/>
      <c r="E603" s="153"/>
      <c r="F603" s="153"/>
      <c r="G603" s="146"/>
      <c r="H603" s="21"/>
      <c r="I603" s="22"/>
    </row>
    <row r="604" spans="1:9" ht="18.75" customHeight="1" x14ac:dyDescent="0.25">
      <c r="A604" s="174"/>
      <c r="B604" s="153"/>
      <c r="C604" s="153"/>
      <c r="D604" s="153"/>
      <c r="E604" s="153"/>
      <c r="F604" s="153"/>
      <c r="G604" s="154" t="s">
        <v>392</v>
      </c>
      <c r="H604" s="80">
        <f>'Input &amp; Process'!H291</f>
        <v>1.2494906666666666E-2</v>
      </c>
      <c r="I604" s="285" t="s">
        <v>395</v>
      </c>
    </row>
    <row r="605" spans="1:9" ht="18.75" customHeight="1" x14ac:dyDescent="0.25">
      <c r="A605" s="174"/>
      <c r="B605" s="153"/>
      <c r="C605" s="153"/>
      <c r="D605" s="153"/>
      <c r="E605" s="153"/>
      <c r="F605" s="153"/>
      <c r="G605" s="154"/>
      <c r="H605" s="81"/>
      <c r="I605" s="285"/>
    </row>
    <row r="606" spans="1:9" ht="18.75" customHeight="1" x14ac:dyDescent="0.25">
      <c r="A606" s="149"/>
      <c r="B606" s="23" t="s">
        <v>355</v>
      </c>
      <c r="C606" s="23"/>
      <c r="D606" s="23"/>
      <c r="E606" s="23"/>
      <c r="F606" s="23"/>
      <c r="G606" s="146"/>
      <c r="H606" s="21"/>
      <c r="I606" s="22"/>
    </row>
    <row r="607" spans="1:9" ht="18.75" customHeight="1" x14ac:dyDescent="0.25">
      <c r="A607" s="149"/>
      <c r="B607" s="148" t="s">
        <v>66</v>
      </c>
      <c r="C607" s="92" t="s">
        <v>335</v>
      </c>
      <c r="D607" s="21" t="s">
        <v>48</v>
      </c>
      <c r="E607" s="93" t="s">
        <v>336</v>
      </c>
      <c r="F607" s="23"/>
      <c r="G607" s="146"/>
      <c r="H607" s="21"/>
      <c r="I607" s="22"/>
    </row>
    <row r="608" spans="1:9" ht="18.75" customHeight="1" x14ac:dyDescent="0.25">
      <c r="A608" s="149"/>
      <c r="B608" s="23"/>
      <c r="C608" s="16">
        <f>'Input &amp; Process'!C295</f>
        <v>48.321940104166671</v>
      </c>
      <c r="D608" s="21" t="str">
        <f>IF(C608&lt;=E608,"≤","&gt;")</f>
        <v>≤</v>
      </c>
      <c r="E608" s="12">
        <f>'Input &amp; Process'!E295</f>
        <v>88.624049908713957</v>
      </c>
      <c r="F608" s="23"/>
      <c r="G608" s="149" t="s">
        <v>14</v>
      </c>
      <c r="H608" s="149" t="str">
        <f>IF(C608&lt;=E608,"[ OK ]","[ NOT OK ]")</f>
        <v>[ OK ]</v>
      </c>
      <c r="I608" s="22"/>
    </row>
    <row r="609" spans="1:9" ht="18.75" customHeight="1" x14ac:dyDescent="0.25">
      <c r="A609" s="149"/>
      <c r="B609" s="25" t="s">
        <v>67</v>
      </c>
      <c r="C609" s="91" t="s">
        <v>394</v>
      </c>
      <c r="D609" s="21" t="s">
        <v>48</v>
      </c>
      <c r="E609" s="90">
        <v>150</v>
      </c>
      <c r="F609" s="23"/>
      <c r="G609" s="146"/>
      <c r="H609" s="21"/>
      <c r="I609" s="22"/>
    </row>
    <row r="610" spans="1:9" ht="18.75" customHeight="1" x14ac:dyDescent="0.25">
      <c r="A610" s="149"/>
      <c r="B610" s="23"/>
      <c r="C610" s="16">
        <f>'Input &amp; Process'!C297</f>
        <v>90</v>
      </c>
      <c r="D610" s="21" t="str">
        <f>IF(C610&lt;=E610,"≤","&gt;")</f>
        <v>≤</v>
      </c>
      <c r="E610" s="12">
        <f>'Input &amp; Process'!E297</f>
        <v>150</v>
      </c>
      <c r="F610" s="23"/>
      <c r="G610" s="149" t="s">
        <v>14</v>
      </c>
      <c r="H610" s="149" t="str">
        <f>IF(C610&lt;=E610,"[ OK ]","[ NOT OK (Ubah ketinggian Penampang) ]")</f>
        <v>[ OK ]</v>
      </c>
      <c r="I610" s="22"/>
    </row>
    <row r="611" spans="1:9" ht="18.75" customHeight="1" x14ac:dyDescent="0.25">
      <c r="A611" s="149"/>
      <c r="B611" s="25" t="s">
        <v>68</v>
      </c>
      <c r="C611" s="90">
        <v>0.1</v>
      </c>
      <c r="D611" s="21" t="s">
        <v>48</v>
      </c>
      <c r="E611" s="90" t="s">
        <v>294</v>
      </c>
      <c r="F611" s="21" t="s">
        <v>48</v>
      </c>
      <c r="G611" s="90">
        <v>10</v>
      </c>
      <c r="H611" s="22"/>
      <c r="I611" s="23"/>
    </row>
    <row r="612" spans="1:9" ht="18.75" customHeight="1" x14ac:dyDescent="0.25">
      <c r="A612" s="149"/>
      <c r="B612" s="23"/>
      <c r="C612" s="16">
        <f>'Input &amp; Process'!C299</f>
        <v>0.1</v>
      </c>
      <c r="D612" s="21" t="str">
        <f>IF(C612&lt;=E612,"≤","&gt;")</f>
        <v>≤</v>
      </c>
      <c r="E612" s="12">
        <f>'Input &amp; Process'!E299</f>
        <v>0.77791697523684333</v>
      </c>
      <c r="F612" s="21" t="str">
        <f>IF(E612&lt;=G612,"≤","&gt;")</f>
        <v>≤</v>
      </c>
      <c r="G612" s="12">
        <f>'Input &amp; Process'!G299</f>
        <v>10</v>
      </c>
      <c r="H612" s="22"/>
      <c r="I612" s="23"/>
    </row>
    <row r="613" spans="1:9" ht="18.75" customHeight="1" x14ac:dyDescent="0.25">
      <c r="A613" s="149"/>
      <c r="B613" s="23"/>
      <c r="C613" s="23"/>
      <c r="D613" s="82"/>
      <c r="E613" s="21"/>
      <c r="F613" s="70"/>
      <c r="G613" s="149" t="s">
        <v>14</v>
      </c>
      <c r="H613" s="149" t="str">
        <f>IF(C612&lt;=E612,IF(E612&lt;=G612,"[ OK ]","[ NOT OK ]"),"[ NOT OK ]")</f>
        <v>[ OK ]</v>
      </c>
      <c r="I613" s="22"/>
    </row>
    <row r="614" spans="1:9" ht="18.75" customHeight="1" x14ac:dyDescent="0.25">
      <c r="A614" s="149"/>
      <c r="B614" s="150" t="str">
        <f>IF(C608&lt;=E608,"*Penampang kompak, batas kekuatan adalah momen plastis","*Penampang tak kompak, batas kekuatan adalah momen leleh")</f>
        <v>*Penampang kompak, batas kekuatan adalah momen plastis</v>
      </c>
      <c r="C614" s="23"/>
      <c r="D614" s="70"/>
      <c r="E614" s="21"/>
      <c r="F614" s="70"/>
      <c r="G614" s="149"/>
      <c r="H614" s="149"/>
      <c r="I614" s="22"/>
    </row>
    <row r="615" spans="1:9" ht="18.75" customHeight="1" x14ac:dyDescent="0.25">
      <c r="A615" s="149"/>
      <c r="B615" s="23"/>
      <c r="C615" s="23"/>
      <c r="D615" s="70"/>
      <c r="E615" s="21"/>
      <c r="F615" s="70"/>
      <c r="G615" s="149"/>
      <c r="H615" s="149"/>
      <c r="I615" s="22"/>
    </row>
    <row r="616" spans="1:9" ht="18.75" customHeight="1" x14ac:dyDescent="0.25">
      <c r="A616" s="149"/>
      <c r="B616" s="23" t="s">
        <v>396</v>
      </c>
      <c r="C616" s="23"/>
      <c r="D616" s="23"/>
      <c r="E616" s="23"/>
      <c r="F616" s="23"/>
      <c r="G616" s="146"/>
      <c r="H616" s="21"/>
      <c r="I616" s="22"/>
    </row>
    <row r="617" spans="1:9" ht="18.75" customHeight="1" x14ac:dyDescent="0.25">
      <c r="A617" s="149"/>
      <c r="B617" s="157" t="s">
        <v>388</v>
      </c>
      <c r="C617" s="23"/>
      <c r="D617" s="23"/>
      <c r="E617" s="23"/>
      <c r="F617" s="23"/>
      <c r="G617" s="146" t="s">
        <v>389</v>
      </c>
      <c r="H617" s="13" t="str">
        <f>'Input &amp; Process'!H304</f>
        <v/>
      </c>
      <c r="I617" s="22" t="s">
        <v>137</v>
      </c>
    </row>
    <row r="618" spans="1:9" ht="18.75" customHeight="1" x14ac:dyDescent="0.25">
      <c r="A618" s="149"/>
      <c r="B618" s="157" t="s">
        <v>387</v>
      </c>
      <c r="C618" s="23"/>
      <c r="D618" s="23"/>
      <c r="E618" s="23"/>
      <c r="F618" s="23"/>
      <c r="G618" s="146" t="s">
        <v>342</v>
      </c>
      <c r="H618" s="12">
        <f>'Input &amp; Process'!H305</f>
        <v>54204.70935644531</v>
      </c>
      <c r="I618" s="22" t="s">
        <v>137</v>
      </c>
    </row>
    <row r="619" spans="1:9" ht="18.75" customHeight="1" x14ac:dyDescent="0.25">
      <c r="A619" s="149"/>
      <c r="B619" s="23"/>
      <c r="C619" s="23"/>
      <c r="D619" s="23"/>
      <c r="E619" s="23"/>
      <c r="F619" s="23"/>
      <c r="G619" s="146" t="s">
        <v>386</v>
      </c>
      <c r="H619" s="12">
        <f>'Input &amp; Process'!H306</f>
        <v>54204.70935644531</v>
      </c>
      <c r="I619" s="22" t="s">
        <v>137</v>
      </c>
    </row>
    <row r="620" spans="1:9" ht="18.75" customHeight="1" x14ac:dyDescent="0.25">
      <c r="A620" s="149"/>
      <c r="B620" s="158" t="s">
        <v>353</v>
      </c>
      <c r="C620" s="23"/>
      <c r="D620" s="23"/>
      <c r="E620" s="23"/>
      <c r="F620" s="23"/>
      <c r="G620" s="72" t="s">
        <v>354</v>
      </c>
      <c r="H620" s="12">
        <f>'Input &amp; Process'!H307</f>
        <v>0.9</v>
      </c>
      <c r="I620" s="22"/>
    </row>
    <row r="621" spans="1:9" ht="18.75" customHeight="1" x14ac:dyDescent="0.25">
      <c r="A621" s="149"/>
      <c r="B621" s="23" t="s">
        <v>348</v>
      </c>
      <c r="C621" s="23"/>
      <c r="D621" s="23"/>
      <c r="E621" s="23"/>
      <c r="F621" s="23"/>
      <c r="G621" s="146"/>
      <c r="H621" s="21"/>
      <c r="I621" s="22"/>
    </row>
    <row r="622" spans="1:9" ht="18.75" customHeight="1" x14ac:dyDescent="0.25">
      <c r="A622" s="149"/>
      <c r="B622" s="148" t="s">
        <v>19</v>
      </c>
      <c r="C622" s="23"/>
      <c r="D622" s="240" t="s">
        <v>905</v>
      </c>
      <c r="E622" s="21" t="s">
        <v>48</v>
      </c>
      <c r="F622" s="239" t="s">
        <v>906</v>
      </c>
      <c r="G622" s="146"/>
      <c r="H622" s="21"/>
      <c r="I622" s="22"/>
    </row>
    <row r="623" spans="1:9" ht="18.75" customHeight="1" x14ac:dyDescent="0.25">
      <c r="A623" s="149"/>
      <c r="B623" s="23"/>
      <c r="C623" s="23"/>
      <c r="D623" s="237">
        <f>'Input &amp; Process'!D310</f>
        <v>38407.420453532002</v>
      </c>
      <c r="E623" s="21" t="str">
        <f>IF(D623&lt;=F623,"≤","&gt;")</f>
        <v>≤</v>
      </c>
      <c r="F623" s="237">
        <f>'Input &amp; Process'!F310</f>
        <v>48784.238420800779</v>
      </c>
      <c r="G623" s="149" t="s">
        <v>14</v>
      </c>
      <c r="H623" s="149" t="str">
        <f>IF(D623&lt;=F623,"[ OK ]","[ NOT OK (Ubah ketinggian Penampang) ]")</f>
        <v>[ OK ]</v>
      </c>
      <c r="I623" s="22"/>
    </row>
    <row r="624" spans="1:9" ht="18.75" customHeight="1" x14ac:dyDescent="0.25">
      <c r="A624" s="273" t="s">
        <v>793</v>
      </c>
      <c r="B624" s="138" t="s">
        <v>795</v>
      </c>
      <c r="C624" s="139"/>
      <c r="D624" s="139"/>
      <c r="E624" s="139"/>
      <c r="F624" s="139"/>
      <c r="G624" s="140"/>
      <c r="H624" s="139"/>
      <c r="I624" s="269"/>
    </row>
    <row r="625" spans="1:9" ht="18.75" customHeight="1" x14ac:dyDescent="0.25">
      <c r="A625" s="149"/>
      <c r="B625" s="23" t="s">
        <v>341</v>
      </c>
      <c r="C625" s="23"/>
      <c r="D625" s="23"/>
      <c r="E625" s="23"/>
      <c r="F625" s="23"/>
      <c r="G625" s="146"/>
      <c r="H625" s="21"/>
      <c r="I625" s="22"/>
    </row>
    <row r="626" spans="1:9" ht="18.75" customHeight="1" x14ac:dyDescent="0.25">
      <c r="A626" s="149"/>
      <c r="B626" s="148" t="s">
        <v>19</v>
      </c>
      <c r="C626" s="23"/>
      <c r="D626" s="71" t="s">
        <v>350</v>
      </c>
      <c r="E626" s="21" t="s">
        <v>48</v>
      </c>
      <c r="F626" s="68" t="s">
        <v>349</v>
      </c>
      <c r="G626" s="146"/>
      <c r="H626" s="21"/>
      <c r="I626" s="22"/>
    </row>
    <row r="627" spans="1:9" ht="18.75" customHeight="1" x14ac:dyDescent="0.25">
      <c r="A627" s="149"/>
      <c r="B627" s="23"/>
      <c r="C627" s="23"/>
      <c r="D627" s="12">
        <f>'Input &amp; Process'!D316</f>
        <v>656.57552083333337</v>
      </c>
      <c r="E627" s="21" t="str">
        <f>IF(D627&lt;=F627,"≤","&gt;")</f>
        <v>≤</v>
      </c>
      <c r="F627" s="12">
        <f>'Input &amp; Process'!F316</f>
        <v>987</v>
      </c>
      <c r="G627" s="149" t="s">
        <v>14</v>
      </c>
      <c r="H627" s="149" t="str">
        <f>IF(D627&lt;=F627,"[ OK ]","[ NOT OK (Ubah ketinggian Penampang) ]")</f>
        <v>[ OK ]</v>
      </c>
      <c r="I627" s="22"/>
    </row>
    <row r="628" spans="1:9" ht="18.75" customHeight="1" x14ac:dyDescent="0.25">
      <c r="A628" s="149"/>
      <c r="B628" s="150" t="str">
        <f>'Input &amp; Process'!B317</f>
        <v>*Persyaratan daktilitas penampang terhadap lentur terpenuhi</v>
      </c>
      <c r="C628" s="23"/>
      <c r="D628" s="23"/>
      <c r="E628" s="23"/>
      <c r="F628" s="23"/>
      <c r="G628" s="146"/>
      <c r="H628" s="21"/>
      <c r="I628" s="22"/>
    </row>
    <row r="629" spans="1:9" ht="18.75" customHeight="1" x14ac:dyDescent="0.25">
      <c r="A629" s="149"/>
      <c r="B629" s="23"/>
      <c r="C629" s="23"/>
      <c r="D629" s="23"/>
      <c r="E629" s="23"/>
      <c r="F629" s="23"/>
      <c r="G629" s="146"/>
      <c r="H629" s="21"/>
      <c r="I629" s="22"/>
    </row>
    <row r="630" spans="1:9" ht="18.75" customHeight="1" x14ac:dyDescent="0.25">
      <c r="A630" s="274" t="s">
        <v>800</v>
      </c>
      <c r="B630" s="142" t="s">
        <v>787</v>
      </c>
      <c r="C630" s="143"/>
      <c r="D630" s="143"/>
      <c r="E630" s="143"/>
      <c r="F630" s="143"/>
      <c r="G630" s="144"/>
      <c r="H630" s="143"/>
      <c r="I630" s="270"/>
    </row>
    <row r="631" spans="1:9" ht="18.75" customHeight="1" x14ac:dyDescent="0.25">
      <c r="A631" s="174"/>
      <c r="B631" s="151" t="s">
        <v>397</v>
      </c>
      <c r="C631" s="151"/>
      <c r="D631" s="151"/>
      <c r="E631" s="151"/>
      <c r="F631" s="151"/>
      <c r="G631" s="159"/>
      <c r="H631" s="160" t="str">
        <f>'Input &amp; Process'!H320</f>
        <v>*Penampang kompak</v>
      </c>
      <c r="I631" s="151"/>
    </row>
    <row r="632" spans="1:9" ht="18.75" customHeight="1" x14ac:dyDescent="0.25">
      <c r="A632" s="174"/>
      <c r="B632" s="151" t="s">
        <v>399</v>
      </c>
      <c r="C632" s="151"/>
      <c r="D632" s="151"/>
      <c r="E632" s="151"/>
      <c r="F632" s="151"/>
      <c r="G632" s="159"/>
      <c r="H632" s="162"/>
      <c r="I632" s="166"/>
    </row>
    <row r="633" spans="1:9" ht="18.75" customHeight="1" x14ac:dyDescent="0.25">
      <c r="A633" s="149"/>
      <c r="B633" s="148" t="s">
        <v>19</v>
      </c>
      <c r="C633" s="23"/>
      <c r="D633" s="71" t="s">
        <v>350</v>
      </c>
      <c r="E633" s="21" t="s">
        <v>401</v>
      </c>
      <c r="F633" s="68" t="s">
        <v>400</v>
      </c>
      <c r="G633" s="146"/>
      <c r="H633" s="21"/>
      <c r="I633" s="22"/>
    </row>
    <row r="634" spans="1:9" ht="18.75" customHeight="1" x14ac:dyDescent="0.25">
      <c r="A634" s="149"/>
      <c r="B634" s="23"/>
      <c r="C634" s="23"/>
      <c r="D634" s="12">
        <f>'Input &amp; Process'!D323</f>
        <v>656.57552083333337</v>
      </c>
      <c r="E634" s="21" t="str">
        <f>IF(D634&lt;=F634,"≤","&gt;")</f>
        <v>&gt;</v>
      </c>
      <c r="F634" s="12">
        <f>'Input &amp; Process'!F323</f>
        <v>235.00000000000003</v>
      </c>
      <c r="G634" s="146"/>
      <c r="H634" s="21"/>
      <c r="I634" s="22"/>
    </row>
    <row r="635" spans="1:9" ht="18.75" customHeight="1" x14ac:dyDescent="0.25">
      <c r="A635" s="149"/>
      <c r="B635" s="149" t="s">
        <v>14</v>
      </c>
      <c r="C635" s="164" t="str">
        <f>'Input &amp; Process'!C324</f>
        <v>Tahanan lentur tidak tereduksi</v>
      </c>
      <c r="D635" s="70"/>
      <c r="E635" s="21"/>
      <c r="F635" s="70"/>
      <c r="G635" s="149"/>
      <c r="H635" s="149"/>
      <c r="I635" s="22"/>
    </row>
    <row r="636" spans="1:9" ht="18.75" customHeight="1" x14ac:dyDescent="0.25">
      <c r="A636" s="149"/>
      <c r="B636" s="149"/>
      <c r="C636" s="164"/>
      <c r="D636" s="70"/>
      <c r="E636" s="21"/>
      <c r="F636" s="70"/>
      <c r="G636" s="149"/>
      <c r="H636" s="149"/>
      <c r="I636" s="22"/>
    </row>
    <row r="637" spans="1:9" ht="18.75" customHeight="1" x14ac:dyDescent="0.25">
      <c r="A637" s="174"/>
      <c r="B637" s="151" t="s">
        <v>402</v>
      </c>
      <c r="C637" s="151"/>
      <c r="D637" s="151"/>
      <c r="E637" s="151"/>
      <c r="F637" s="151"/>
      <c r="G637" s="159" t="s">
        <v>338</v>
      </c>
      <c r="H637" s="79">
        <f>'Input &amp; Process'!H326</f>
        <v>54204.70935644531</v>
      </c>
      <c r="I637" s="166" t="s">
        <v>137</v>
      </c>
    </row>
    <row r="638" spans="1:9" ht="18.75" customHeight="1" x14ac:dyDescent="0.25">
      <c r="A638" s="174"/>
      <c r="B638" s="151" t="s">
        <v>398</v>
      </c>
      <c r="C638" s="151"/>
      <c r="D638" s="151"/>
      <c r="E638" s="151"/>
      <c r="F638" s="151"/>
      <c r="G638" s="159"/>
      <c r="H638" s="162"/>
      <c r="I638" s="166"/>
    </row>
    <row r="639" spans="1:9" ht="18.75" customHeight="1" x14ac:dyDescent="0.25">
      <c r="A639" s="174"/>
      <c r="B639" s="165" t="s">
        <v>403</v>
      </c>
      <c r="C639" s="151"/>
      <c r="D639" s="160" t="str">
        <f>IF(D634&gt;F634,"[ Terpenuhi ]","")</f>
        <v>[ Terpenuhi ]</v>
      </c>
      <c r="E639" s="151"/>
      <c r="F639" s="151"/>
      <c r="G639" s="159" t="s">
        <v>342</v>
      </c>
      <c r="H639" s="79">
        <f>'Input &amp; Process'!H328</f>
        <v>54204.70935644531</v>
      </c>
      <c r="I639" s="166" t="s">
        <v>137</v>
      </c>
    </row>
    <row r="640" spans="1:9" ht="18.75" customHeight="1" x14ac:dyDescent="0.25">
      <c r="A640" s="174"/>
      <c r="B640" s="165" t="s">
        <v>404</v>
      </c>
      <c r="C640" s="151"/>
      <c r="D640" s="160" t="str">
        <f>IF(D634&lt;=F634,"[ Terpenuhi ]","")</f>
        <v/>
      </c>
      <c r="E640" s="151"/>
      <c r="F640" s="151"/>
      <c r="G640" s="159" t="s">
        <v>405</v>
      </c>
      <c r="H640" s="79" t="str">
        <f>'Input &amp; Process'!H329</f>
        <v/>
      </c>
      <c r="I640" s="166" t="s">
        <v>137</v>
      </c>
    </row>
    <row r="641" spans="1:9" ht="18.75" customHeight="1" x14ac:dyDescent="0.25">
      <c r="A641" s="174"/>
      <c r="B641" s="151"/>
      <c r="C641" s="151"/>
      <c r="D641" s="151"/>
      <c r="E641" s="151"/>
      <c r="F641" s="151"/>
      <c r="G641" s="159" t="s">
        <v>386</v>
      </c>
      <c r="H641" s="79">
        <f>'Input &amp; Process'!H330</f>
        <v>54204.70935644531</v>
      </c>
      <c r="I641" s="166"/>
    </row>
    <row r="642" spans="1:9" ht="18.75" customHeight="1" x14ac:dyDescent="0.25">
      <c r="A642" s="149"/>
      <c r="B642" s="158" t="s">
        <v>353</v>
      </c>
      <c r="C642" s="23"/>
      <c r="D642" s="23"/>
      <c r="E642" s="23"/>
      <c r="F642" s="23"/>
      <c r="G642" s="72" t="s">
        <v>354</v>
      </c>
      <c r="H642" s="12">
        <f>'Input &amp; Process'!H331</f>
        <v>0.9</v>
      </c>
      <c r="I642" s="22"/>
    </row>
    <row r="643" spans="1:9" ht="18.75" customHeight="1" x14ac:dyDescent="0.25">
      <c r="A643" s="149"/>
      <c r="B643" s="23" t="s">
        <v>348</v>
      </c>
      <c r="C643" s="23"/>
      <c r="D643" s="23"/>
      <c r="E643" s="23"/>
      <c r="F643" s="23"/>
      <c r="G643" s="146"/>
      <c r="H643" s="21"/>
      <c r="I643" s="22"/>
    </row>
    <row r="644" spans="1:9" ht="18.75" customHeight="1" x14ac:dyDescent="0.25">
      <c r="A644" s="149"/>
      <c r="B644" s="148" t="s">
        <v>19</v>
      </c>
      <c r="C644" s="23"/>
      <c r="D644" s="240" t="s">
        <v>905</v>
      </c>
      <c r="E644" s="21" t="s">
        <v>48</v>
      </c>
      <c r="F644" s="239" t="s">
        <v>906</v>
      </c>
      <c r="G644" s="146"/>
      <c r="H644" s="21"/>
      <c r="I644" s="22"/>
    </row>
    <row r="645" spans="1:9" ht="18.75" customHeight="1" x14ac:dyDescent="0.25">
      <c r="A645" s="149"/>
      <c r="B645" s="23"/>
      <c r="C645" s="23"/>
      <c r="D645" s="237">
        <f>'Input &amp; Process'!D334</f>
        <v>38407.420453532002</v>
      </c>
      <c r="E645" s="21" t="str">
        <f>IF(D645&lt;=F645,"≤","&gt;")</f>
        <v>≤</v>
      </c>
      <c r="F645" s="237">
        <f>'Input &amp; Process'!F334</f>
        <v>48784.238420800779</v>
      </c>
      <c r="G645" s="149" t="s">
        <v>14</v>
      </c>
      <c r="H645" s="149" t="str">
        <f>IF(D645&lt;=F645,"[ OK ]","[ NOT OK (Ubah ketinggian Penampang) ]")</f>
        <v>[ OK ]</v>
      </c>
      <c r="I645" s="22"/>
    </row>
    <row r="646" spans="1:9" ht="18.75" customHeight="1" x14ac:dyDescent="0.25">
      <c r="A646" s="174"/>
      <c r="B646" s="151"/>
      <c r="C646" s="151"/>
      <c r="D646" s="151"/>
      <c r="E646" s="151"/>
      <c r="F646" s="151"/>
      <c r="G646" s="159"/>
      <c r="H646" s="162"/>
      <c r="I646" s="166"/>
    </row>
    <row r="647" spans="1:9" ht="18.75" customHeight="1" x14ac:dyDescent="0.25">
      <c r="A647" s="174"/>
      <c r="B647" s="151"/>
      <c r="C647" s="151"/>
      <c r="D647" s="151"/>
      <c r="E647" s="151"/>
      <c r="F647" s="151"/>
      <c r="G647" s="159"/>
      <c r="H647" s="162"/>
      <c r="I647" s="166"/>
    </row>
    <row r="648" spans="1:9" ht="18.75" customHeight="1" x14ac:dyDescent="0.25">
      <c r="A648" s="274" t="s">
        <v>802</v>
      </c>
      <c r="B648" s="309" t="s">
        <v>788</v>
      </c>
      <c r="C648" s="143"/>
      <c r="D648" s="143"/>
      <c r="E648" s="143"/>
      <c r="F648" s="143"/>
      <c r="G648" s="144"/>
      <c r="H648" s="332" t="str">
        <f>IF(C608&lt;=E608,"[tidak perlu]","")</f>
        <v>[tidak perlu]</v>
      </c>
      <c r="I648" s="270"/>
    </row>
    <row r="649" spans="1:9" ht="18.75" customHeight="1" x14ac:dyDescent="0.25">
      <c r="A649" s="174"/>
      <c r="B649" s="151" t="s">
        <v>435</v>
      </c>
      <c r="C649" s="151"/>
      <c r="D649" s="151"/>
      <c r="E649" s="151"/>
      <c r="F649" s="151"/>
      <c r="G649" s="159" t="s">
        <v>448</v>
      </c>
      <c r="H649" s="79" t="str">
        <f>'Input &amp; Process'!H338</f>
        <v/>
      </c>
      <c r="I649" s="166" t="s">
        <v>137</v>
      </c>
    </row>
    <row r="650" spans="1:9" ht="18.75" customHeight="1" x14ac:dyDescent="0.25">
      <c r="A650" s="174"/>
      <c r="B650" s="151" t="s">
        <v>434</v>
      </c>
      <c r="C650" s="151"/>
      <c r="D650" s="151"/>
      <c r="E650" s="151"/>
      <c r="F650" s="151"/>
      <c r="G650" s="159" t="s">
        <v>436</v>
      </c>
      <c r="H650" s="79" t="str">
        <f>'Input &amp; Process'!H339</f>
        <v/>
      </c>
      <c r="I650" s="166" t="s">
        <v>23</v>
      </c>
    </row>
    <row r="651" spans="1:9" ht="18.75" customHeight="1" x14ac:dyDescent="0.25">
      <c r="A651" s="174"/>
      <c r="B651" s="151" t="s">
        <v>406</v>
      </c>
      <c r="C651" s="151"/>
      <c r="D651" s="151"/>
      <c r="E651" s="151"/>
      <c r="F651" s="151"/>
    </row>
    <row r="652" spans="1:9" ht="18.75" customHeight="1" x14ac:dyDescent="0.25">
      <c r="A652" s="174"/>
      <c r="B652" s="151"/>
      <c r="C652" s="151"/>
      <c r="D652" s="151"/>
      <c r="E652" s="151"/>
      <c r="F652" s="151"/>
      <c r="G652" s="159" t="s">
        <v>822</v>
      </c>
      <c r="H652" s="79" t="str">
        <f>'Input &amp; Process'!H340</f>
        <v/>
      </c>
      <c r="I652" s="166" t="s">
        <v>9</v>
      </c>
    </row>
    <row r="653" spans="1:9" ht="18.75" customHeight="1" x14ac:dyDescent="0.25">
      <c r="A653" s="174"/>
      <c r="B653" s="23" t="s">
        <v>417</v>
      </c>
      <c r="C653" s="151"/>
      <c r="D653" s="151"/>
      <c r="E653" s="151"/>
      <c r="F653" s="151"/>
    </row>
    <row r="654" spans="1:9" ht="18.75" customHeight="1" x14ac:dyDescent="0.25">
      <c r="A654" s="174"/>
      <c r="B654" s="23"/>
      <c r="C654" s="151"/>
      <c r="D654" s="151"/>
      <c r="E654" s="151"/>
      <c r="F654" s="151"/>
      <c r="G654" s="159" t="s">
        <v>823</v>
      </c>
      <c r="H654" s="79" t="str">
        <f>'Input &amp; Process'!H341</f>
        <v/>
      </c>
      <c r="I654" s="166" t="s">
        <v>9</v>
      </c>
    </row>
    <row r="655" spans="1:9" ht="18.75" customHeight="1" x14ac:dyDescent="0.25">
      <c r="A655" s="174"/>
      <c r="B655" s="151" t="s">
        <v>407</v>
      </c>
      <c r="C655" s="151"/>
      <c r="D655" s="151"/>
      <c r="E655" s="151"/>
      <c r="F655" s="151"/>
      <c r="G655" s="159"/>
      <c r="H655" s="162"/>
      <c r="I655" s="166"/>
    </row>
    <row r="656" spans="1:9" ht="18.75" customHeight="1" x14ac:dyDescent="0.25">
      <c r="A656" s="174"/>
      <c r="B656" s="148" t="s">
        <v>19</v>
      </c>
      <c r="C656" s="71" t="s">
        <v>447</v>
      </c>
      <c r="D656" s="21" t="s">
        <v>13</v>
      </c>
      <c r="E656" s="68" t="s">
        <v>408</v>
      </c>
      <c r="F656" s="146"/>
      <c r="G656" s="21"/>
      <c r="H656" s="166"/>
      <c r="I656" s="151"/>
    </row>
    <row r="657" spans="1:9" ht="18.75" customHeight="1" x14ac:dyDescent="0.25">
      <c r="A657" s="174"/>
      <c r="B657" s="23"/>
      <c r="C657" s="12" t="str">
        <f>'Input &amp; Process'!C344</f>
        <v/>
      </c>
      <c r="D657" s="21" t="str">
        <f>IF(C657&gt;=E657,"≥","&lt;")</f>
        <v>≥</v>
      </c>
      <c r="E657" s="12" t="str">
        <f>'Input &amp; Process'!E344</f>
        <v/>
      </c>
      <c r="F657" s="149" t="s">
        <v>14</v>
      </c>
      <c r="G657" s="164" t="str">
        <f>IF(C608&lt;=E608,"",IF(C657&gt;=E657,"[ OK - Flens atas tekan]","[ NOT OK - Flens atas tarik ]"))</f>
        <v/>
      </c>
      <c r="H657" s="166"/>
      <c r="I657" s="151"/>
    </row>
    <row r="658" spans="1:9" ht="18.75" customHeight="1" x14ac:dyDescent="0.25">
      <c r="A658" s="174"/>
      <c r="B658" s="151"/>
      <c r="C658" s="151"/>
      <c r="D658" s="151"/>
      <c r="E658" s="151"/>
      <c r="F658" s="151"/>
      <c r="G658" s="159"/>
      <c r="H658" s="162"/>
      <c r="I658" s="166"/>
    </row>
    <row r="659" spans="1:9" ht="18.75" customHeight="1" x14ac:dyDescent="0.25">
      <c r="A659" s="174"/>
      <c r="B659" s="151"/>
      <c r="C659" s="151"/>
      <c r="D659" s="151"/>
      <c r="E659" s="151"/>
      <c r="F659" s="151"/>
      <c r="G659" s="159"/>
      <c r="H659" s="162"/>
      <c r="I659" s="166"/>
    </row>
    <row r="660" spans="1:9" ht="18.75" customHeight="1" x14ac:dyDescent="0.25">
      <c r="A660" s="174"/>
      <c r="B660" s="151"/>
      <c r="C660" s="151"/>
      <c r="D660" s="151"/>
      <c r="E660" s="151"/>
      <c r="F660" s="151"/>
      <c r="G660" s="159"/>
      <c r="H660" s="162"/>
      <c r="I660" s="166"/>
    </row>
    <row r="661" spans="1:9" ht="18.75" customHeight="1" x14ac:dyDescent="0.25">
      <c r="A661" s="174" t="s">
        <v>924</v>
      </c>
      <c r="B661" s="160" t="s">
        <v>410</v>
      </c>
      <c r="C661" s="151"/>
      <c r="D661" s="151"/>
      <c r="E661" s="151"/>
      <c r="F661" s="151"/>
      <c r="G661" s="159"/>
      <c r="H661" s="162"/>
      <c r="I661" s="166"/>
    </row>
    <row r="662" spans="1:9" ht="18.75" customHeight="1" x14ac:dyDescent="0.25">
      <c r="A662" s="174"/>
      <c r="B662" s="151" t="s">
        <v>409</v>
      </c>
      <c r="C662" s="151"/>
      <c r="D662" s="151"/>
      <c r="E662" s="151"/>
      <c r="F662" s="151"/>
      <c r="I662" s="166"/>
    </row>
    <row r="663" spans="1:9" ht="18.75" customHeight="1" x14ac:dyDescent="0.25">
      <c r="A663" s="174"/>
      <c r="B663" s="151"/>
      <c r="C663" s="151"/>
      <c r="D663" s="151"/>
      <c r="E663" s="151"/>
      <c r="F663" s="151"/>
      <c r="G663" s="159" t="s">
        <v>416</v>
      </c>
      <c r="H663" s="78" t="str">
        <f>'Input &amp; Process'!H347</f>
        <v/>
      </c>
      <c r="I663" s="166"/>
    </row>
    <row r="664" spans="1:9" ht="18.75" customHeight="1" x14ac:dyDescent="0.25">
      <c r="A664" s="174"/>
      <c r="B664" s="151" t="s">
        <v>681</v>
      </c>
      <c r="C664" s="151"/>
      <c r="D664" s="151"/>
      <c r="E664" s="151"/>
      <c r="F664" s="151"/>
      <c r="I664" s="166"/>
    </row>
    <row r="665" spans="1:9" ht="18.75" customHeight="1" x14ac:dyDescent="0.25">
      <c r="A665" s="174"/>
      <c r="B665" s="151"/>
      <c r="C665" s="151"/>
      <c r="D665" s="151"/>
      <c r="E665" s="151"/>
      <c r="F665" s="151"/>
      <c r="G665" s="167" t="s">
        <v>411</v>
      </c>
      <c r="H665" s="79" t="str">
        <f>'Input &amp; Process'!H348</f>
        <v/>
      </c>
      <c r="I665" s="166"/>
    </row>
    <row r="666" spans="1:9" ht="18.75" customHeight="1" x14ac:dyDescent="0.25">
      <c r="A666" s="174"/>
      <c r="B666" s="151" t="s">
        <v>412</v>
      </c>
      <c r="C666" s="151"/>
      <c r="D666" s="151"/>
      <c r="E666" s="151"/>
      <c r="F666" s="151"/>
      <c r="G666" s="151"/>
      <c r="H666" s="151"/>
      <c r="I666" s="166"/>
    </row>
    <row r="667" spans="1:9" ht="18.75" customHeight="1" x14ac:dyDescent="0.25">
      <c r="A667" s="174"/>
      <c r="B667" s="25" t="s">
        <v>19</v>
      </c>
      <c r="C667" s="314" t="s">
        <v>413</v>
      </c>
      <c r="D667" s="21" t="s">
        <v>48</v>
      </c>
      <c r="E667" s="315" t="s">
        <v>934</v>
      </c>
      <c r="F667" s="21" t="s">
        <v>48</v>
      </c>
      <c r="G667" s="314" t="s">
        <v>414</v>
      </c>
      <c r="H667" s="22"/>
      <c r="I667" s="166"/>
    </row>
    <row r="668" spans="1:9" ht="18.75" customHeight="1" x14ac:dyDescent="0.25">
      <c r="A668" s="174"/>
      <c r="B668" s="23"/>
      <c r="C668" s="16" t="str">
        <f>'Input &amp; Process'!C351</f>
        <v/>
      </c>
      <c r="D668" s="21" t="str">
        <f>IF(C668&lt;=E668,"≤","&gt;")</f>
        <v>≤</v>
      </c>
      <c r="E668" s="12" t="str">
        <f>'Input &amp; Process'!E351</f>
        <v/>
      </c>
      <c r="F668" s="21" t="str">
        <f>IF(E668&lt;=G668,"≤","&gt;")</f>
        <v>≤</v>
      </c>
      <c r="G668" s="12" t="str">
        <f>'Input &amp; Process'!G351</f>
        <v/>
      </c>
      <c r="H668" s="22"/>
      <c r="I668" s="166"/>
    </row>
    <row r="669" spans="1:9" ht="18.75" customHeight="1" x14ac:dyDescent="0.25">
      <c r="A669" s="174"/>
      <c r="B669" s="23"/>
      <c r="C669" s="23"/>
      <c r="D669" s="82"/>
      <c r="E669" s="21"/>
      <c r="F669" s="70"/>
      <c r="G669" s="167" t="s">
        <v>451</v>
      </c>
      <c r="H669" s="87" t="str">
        <f>'Input &amp; Process'!H352</f>
        <v/>
      </c>
      <c r="I669" s="166"/>
    </row>
    <row r="670" spans="1:9" ht="18.75" customHeight="1" x14ac:dyDescent="0.25">
      <c r="A670" s="174"/>
      <c r="B670" s="23" t="s">
        <v>418</v>
      </c>
      <c r="C670" s="23"/>
      <c r="D670" s="82"/>
      <c r="E670" s="21"/>
      <c r="F670" s="70"/>
      <c r="G670" s="151"/>
      <c r="H670" s="149"/>
      <c r="I670" s="166"/>
    </row>
    <row r="671" spans="1:9" ht="18.75" customHeight="1" x14ac:dyDescent="0.25">
      <c r="A671" s="174"/>
      <c r="B671" s="23"/>
      <c r="C671" s="23"/>
      <c r="D671" s="82"/>
      <c r="E671" s="21"/>
      <c r="F671" s="70"/>
      <c r="G671" s="168" t="s">
        <v>419</v>
      </c>
      <c r="H671" s="68" t="str">
        <f>'Input &amp; Process'!H354</f>
        <v/>
      </c>
      <c r="I671" s="166"/>
    </row>
    <row r="672" spans="1:9" ht="18.75" customHeight="1" x14ac:dyDescent="0.25">
      <c r="A672" s="174"/>
      <c r="B672" s="169"/>
      <c r="C672" s="169"/>
      <c r="D672" s="85"/>
      <c r="E672" s="170"/>
      <c r="F672" s="86"/>
      <c r="G672" s="168" t="s">
        <v>420</v>
      </c>
      <c r="H672" s="68" t="str">
        <f>'Input &amp; Process'!H355</f>
        <v/>
      </c>
      <c r="I672" s="166"/>
    </row>
    <row r="673" spans="1:9" ht="18.75" customHeight="1" x14ac:dyDescent="0.25">
      <c r="A673" s="174"/>
      <c r="B673" s="169"/>
      <c r="C673" s="169"/>
      <c r="D673" s="85"/>
      <c r="E673" s="170"/>
      <c r="F673" s="86"/>
      <c r="G673" s="168" t="s">
        <v>421</v>
      </c>
      <c r="H673" s="68" t="str">
        <f>'Input &amp; Process'!H356</f>
        <v/>
      </c>
      <c r="I673" s="166"/>
    </row>
    <row r="674" spans="1:9" ht="18.75" customHeight="1" x14ac:dyDescent="0.25">
      <c r="A674" s="174"/>
      <c r="B674" s="169" t="s">
        <v>422</v>
      </c>
      <c r="C674" s="169"/>
      <c r="D674" s="85"/>
      <c r="E674" s="170"/>
      <c r="F674" s="86"/>
      <c r="G674" s="168" t="s">
        <v>423</v>
      </c>
      <c r="H674" s="68" t="str">
        <f>'Input &amp; Process'!H357</f>
        <v/>
      </c>
      <c r="I674" s="166"/>
    </row>
    <row r="675" spans="1:9" ht="18.75" customHeight="1" x14ac:dyDescent="0.25">
      <c r="A675" s="174"/>
      <c r="B675" s="169" t="s">
        <v>424</v>
      </c>
      <c r="C675" s="169"/>
      <c r="D675" s="85"/>
      <c r="E675" s="170"/>
      <c r="F675" s="86"/>
      <c r="G675" s="168" t="s">
        <v>425</v>
      </c>
      <c r="H675" s="78" t="str">
        <f>'Input &amp; Process'!H358</f>
        <v/>
      </c>
      <c r="I675" s="166" t="s">
        <v>137</v>
      </c>
    </row>
    <row r="676" spans="1:9" ht="18.75" customHeight="1" x14ac:dyDescent="0.25">
      <c r="A676" s="174"/>
      <c r="B676" s="169" t="s">
        <v>426</v>
      </c>
      <c r="C676" s="169"/>
      <c r="D676" s="85"/>
      <c r="E676" s="170"/>
      <c r="F676" s="86"/>
      <c r="G676" s="168" t="s">
        <v>814</v>
      </c>
      <c r="H676" s="87" t="str">
        <f>'Input &amp; Process'!H359</f>
        <v/>
      </c>
      <c r="I676" s="166" t="s">
        <v>429</v>
      </c>
    </row>
    <row r="677" spans="1:9" ht="18.75" customHeight="1" x14ac:dyDescent="0.25">
      <c r="A677" s="174"/>
      <c r="B677" s="169" t="s">
        <v>427</v>
      </c>
      <c r="C677" s="169"/>
      <c r="D677" s="85"/>
      <c r="E677" s="170"/>
      <c r="F677" s="86"/>
      <c r="G677" s="168" t="s">
        <v>428</v>
      </c>
      <c r="H677" s="68" t="str">
        <f>'Input &amp; Process'!H360</f>
        <v/>
      </c>
      <c r="I677" s="166" t="s">
        <v>23</v>
      </c>
    </row>
    <row r="678" spans="1:9" ht="18.75" customHeight="1" x14ac:dyDescent="0.25">
      <c r="A678" s="174"/>
      <c r="B678" s="169" t="s">
        <v>430</v>
      </c>
      <c r="C678" s="169"/>
      <c r="D678" s="85"/>
      <c r="E678" s="170"/>
      <c r="F678" s="86"/>
      <c r="G678" s="168" t="s">
        <v>431</v>
      </c>
      <c r="H678" s="68" t="str">
        <f>'Input &amp; Process'!H361</f>
        <v/>
      </c>
      <c r="I678" s="166"/>
    </row>
    <row r="679" spans="1:9" ht="18.75" customHeight="1" x14ac:dyDescent="0.25">
      <c r="A679" s="174"/>
      <c r="B679" s="169"/>
      <c r="C679" s="169"/>
      <c r="D679" s="85"/>
      <c r="E679" s="170"/>
      <c r="F679" s="86"/>
      <c r="G679" s="168" t="s">
        <v>432</v>
      </c>
      <c r="H679" s="68" t="str">
        <f>'Input &amp; Process'!H362</f>
        <v/>
      </c>
      <c r="I679" s="166"/>
    </row>
    <row r="680" spans="1:9" ht="18.75" customHeight="1" x14ac:dyDescent="0.25">
      <c r="A680" s="174"/>
      <c r="B680" s="169"/>
      <c r="C680" s="169"/>
      <c r="D680" s="85"/>
      <c r="E680" s="170"/>
      <c r="F680" s="86"/>
      <c r="G680" s="168" t="s">
        <v>433</v>
      </c>
      <c r="H680" s="68" t="str">
        <f>'Input &amp; Process'!H363</f>
        <v/>
      </c>
      <c r="I680" s="166"/>
    </row>
    <row r="681" spans="1:9" ht="18.75" customHeight="1" x14ac:dyDescent="0.25">
      <c r="A681" s="174"/>
      <c r="B681" s="169" t="s">
        <v>438</v>
      </c>
      <c r="C681" s="169"/>
      <c r="D681" s="85"/>
      <c r="E681" s="170"/>
      <c r="F681" s="86"/>
      <c r="G681" s="168" t="s">
        <v>437</v>
      </c>
      <c r="H681" s="68" t="str">
        <f>'Input &amp; Process'!H364</f>
        <v/>
      </c>
      <c r="I681" s="166" t="s">
        <v>23</v>
      </c>
    </row>
    <row r="682" spans="1:9" ht="18.75" customHeight="1" x14ac:dyDescent="0.25">
      <c r="A682" s="149"/>
      <c r="B682" s="23" t="s">
        <v>439</v>
      </c>
      <c r="C682" s="23"/>
      <c r="D682" s="23"/>
      <c r="E682" s="23"/>
      <c r="F682" s="23"/>
      <c r="G682" s="146"/>
      <c r="H682" s="21"/>
      <c r="I682" s="22"/>
    </row>
    <row r="683" spans="1:9" ht="18.75" customHeight="1" x14ac:dyDescent="0.25">
      <c r="A683" s="149"/>
      <c r="B683" s="148" t="s">
        <v>19</v>
      </c>
      <c r="C683" s="23"/>
      <c r="D683" s="240" t="s">
        <v>903</v>
      </c>
      <c r="E683" s="21" t="s">
        <v>48</v>
      </c>
      <c r="F683" s="239" t="s">
        <v>894</v>
      </c>
      <c r="G683" s="146"/>
      <c r="H683" s="21"/>
      <c r="I683" s="22"/>
    </row>
    <row r="684" spans="1:9" ht="18.75" customHeight="1" x14ac:dyDescent="0.25">
      <c r="A684" s="149"/>
      <c r="B684" s="23"/>
      <c r="C684" s="23"/>
      <c r="D684" s="237" t="str">
        <f>'Input &amp; Process'!D367</f>
        <v/>
      </c>
      <c r="E684" s="21" t="str">
        <f>IF(D684&lt;=F684,"≤","&gt;")</f>
        <v>≤</v>
      </c>
      <c r="F684" s="237" t="str">
        <f>'Input &amp; Process'!F367</f>
        <v/>
      </c>
      <c r="G684" s="149" t="s">
        <v>14</v>
      </c>
      <c r="H684" s="149" t="str">
        <f>IF(C608&lt;=E608,"",IF(D684&lt;=F684,"[ OK ]","[ NOT OK ]"))</f>
        <v/>
      </c>
      <c r="I684" s="22"/>
    </row>
    <row r="685" spans="1:9" ht="18.75" customHeight="1" x14ac:dyDescent="0.25">
      <c r="A685" s="174"/>
      <c r="B685" s="169"/>
      <c r="C685" s="169"/>
      <c r="D685" s="85"/>
      <c r="E685" s="170"/>
      <c r="F685" s="86"/>
      <c r="G685" s="168"/>
      <c r="H685" s="170"/>
      <c r="I685" s="166"/>
    </row>
    <row r="686" spans="1:9" ht="18.75" customHeight="1" x14ac:dyDescent="0.25">
      <c r="A686" s="174" t="s">
        <v>922</v>
      </c>
      <c r="B686" s="160" t="s">
        <v>440</v>
      </c>
      <c r="C686" s="169"/>
      <c r="D686" s="85"/>
      <c r="E686" s="170"/>
      <c r="F686" s="86"/>
      <c r="G686" s="168"/>
      <c r="H686" s="170"/>
      <c r="I686" s="166"/>
    </row>
    <row r="687" spans="1:9" ht="18.75" customHeight="1" x14ac:dyDescent="0.25">
      <c r="A687" s="174"/>
      <c r="B687" s="169" t="s">
        <v>422</v>
      </c>
      <c r="C687" s="169"/>
      <c r="D687" s="85"/>
      <c r="E687" s="170"/>
      <c r="F687" s="86"/>
      <c r="G687" s="168" t="s">
        <v>423</v>
      </c>
      <c r="H687" s="68" t="str">
        <f>'Input &amp; Process'!H370</f>
        <v/>
      </c>
      <c r="I687" s="166"/>
    </row>
    <row r="688" spans="1:9" ht="18.75" customHeight="1" x14ac:dyDescent="0.25">
      <c r="A688" s="174"/>
      <c r="B688" s="169" t="s">
        <v>424</v>
      </c>
      <c r="C688" s="169"/>
      <c r="D688" s="85"/>
      <c r="E688" s="170"/>
      <c r="F688" s="86"/>
      <c r="G688" s="168" t="s">
        <v>425</v>
      </c>
      <c r="H688" s="68" t="str">
        <f>'Input &amp; Process'!H371</f>
        <v/>
      </c>
      <c r="I688" s="166" t="s">
        <v>137</v>
      </c>
    </row>
    <row r="689" spans="1:9" ht="18.75" customHeight="1" x14ac:dyDescent="0.25">
      <c r="A689" s="174"/>
      <c r="B689" s="169" t="s">
        <v>426</v>
      </c>
      <c r="C689" s="169"/>
      <c r="D689" s="85"/>
      <c r="E689" s="170"/>
      <c r="F689" s="86"/>
      <c r="G689" s="168" t="s">
        <v>814</v>
      </c>
      <c r="H689" s="87" t="str">
        <f>'Input &amp; Process'!H372</f>
        <v/>
      </c>
      <c r="I689" s="166" t="s">
        <v>429</v>
      </c>
    </row>
    <row r="690" spans="1:9" ht="18.75" customHeight="1" x14ac:dyDescent="0.25">
      <c r="A690" s="174"/>
      <c r="B690" s="169" t="s">
        <v>427</v>
      </c>
      <c r="C690" s="169"/>
      <c r="D690" s="85"/>
      <c r="E690" s="170"/>
      <c r="F690" s="86"/>
      <c r="G690" s="168" t="s">
        <v>428</v>
      </c>
      <c r="H690" s="68" t="str">
        <f>'Input &amp; Process'!H373</f>
        <v/>
      </c>
      <c r="I690" s="166" t="s">
        <v>23</v>
      </c>
    </row>
    <row r="691" spans="1:9" ht="18.75" customHeight="1" x14ac:dyDescent="0.25">
      <c r="A691" s="174"/>
      <c r="B691" s="169" t="s">
        <v>430</v>
      </c>
      <c r="C691" s="169"/>
      <c r="D691" s="85"/>
      <c r="E691" s="170"/>
      <c r="F691" s="86"/>
      <c r="G691" s="168" t="s">
        <v>431</v>
      </c>
      <c r="H691" s="68" t="str">
        <f>'Input &amp; Process'!H374</f>
        <v/>
      </c>
      <c r="I691" s="166"/>
    </row>
    <row r="692" spans="1:9" ht="18.75" customHeight="1" x14ac:dyDescent="0.25">
      <c r="A692" s="174"/>
      <c r="B692" s="169"/>
      <c r="C692" s="169"/>
      <c r="D692" s="85"/>
      <c r="E692" s="170"/>
      <c r="F692" s="86"/>
      <c r="G692" s="168" t="s">
        <v>432</v>
      </c>
      <c r="H692" s="68" t="str">
        <f>'Input &amp; Process'!H375</f>
        <v/>
      </c>
      <c r="I692" s="166"/>
    </row>
    <row r="693" spans="1:9" ht="18.75" customHeight="1" x14ac:dyDescent="0.25">
      <c r="A693" s="174"/>
      <c r="B693" s="169"/>
      <c r="C693" s="169"/>
      <c r="D693" s="85"/>
      <c r="E693" s="170"/>
      <c r="F693" s="86"/>
      <c r="G693" s="168" t="s">
        <v>433</v>
      </c>
      <c r="H693" s="68" t="str">
        <f>'Input &amp; Process'!H376</f>
        <v/>
      </c>
      <c r="I693" s="166"/>
    </row>
    <row r="694" spans="1:9" ht="18.75" customHeight="1" x14ac:dyDescent="0.25">
      <c r="A694" s="174"/>
      <c r="B694" s="169" t="s">
        <v>443</v>
      </c>
      <c r="C694" s="169"/>
      <c r="D694" s="85"/>
      <c r="E694" s="170"/>
      <c r="F694" s="86"/>
      <c r="G694" s="168" t="s">
        <v>444</v>
      </c>
      <c r="H694" s="68" t="str">
        <f>'Input &amp; Process'!H377</f>
        <v/>
      </c>
      <c r="I694" s="166" t="s">
        <v>23</v>
      </c>
    </row>
    <row r="695" spans="1:9" ht="18.75" customHeight="1" x14ac:dyDescent="0.25">
      <c r="A695" s="149"/>
      <c r="B695" s="23" t="s">
        <v>439</v>
      </c>
      <c r="C695" s="23"/>
      <c r="D695" s="23"/>
      <c r="E695" s="23"/>
      <c r="F695" s="23"/>
      <c r="G695" s="146"/>
      <c r="H695" s="21"/>
      <c r="I695" s="22"/>
    </row>
    <row r="696" spans="1:9" ht="18.75" customHeight="1" x14ac:dyDescent="0.25">
      <c r="A696" s="149"/>
      <c r="B696" s="148" t="s">
        <v>19</v>
      </c>
      <c r="C696" s="23"/>
      <c r="D696" s="240" t="s">
        <v>903</v>
      </c>
      <c r="E696" s="21" t="s">
        <v>48</v>
      </c>
      <c r="F696" s="239" t="s">
        <v>904</v>
      </c>
      <c r="G696" s="146"/>
      <c r="H696" s="21"/>
      <c r="I696" s="22"/>
    </row>
    <row r="697" spans="1:9" ht="18.75" customHeight="1" x14ac:dyDescent="0.25">
      <c r="A697" s="149"/>
      <c r="B697" s="23"/>
      <c r="C697" s="23"/>
      <c r="D697" s="237" t="str">
        <f>'Input &amp; Process'!D380</f>
        <v/>
      </c>
      <c r="E697" s="21" t="str">
        <f>IF(D697&lt;=F697,"≤","&gt;")</f>
        <v>≤</v>
      </c>
      <c r="F697" s="237" t="str">
        <f>'Input &amp; Process'!F380</f>
        <v/>
      </c>
      <c r="G697" s="149" t="s">
        <v>14</v>
      </c>
      <c r="H697" s="149" t="str">
        <f>IF(C608&lt;=E608,"",IF(D697&lt;=F697,"[ OK ]","[ NOT OK ]"))</f>
        <v/>
      </c>
      <c r="I697" s="22"/>
    </row>
    <row r="698" spans="1:9" ht="18.75" customHeight="1" x14ac:dyDescent="0.25">
      <c r="A698" s="273" t="s">
        <v>808</v>
      </c>
      <c r="B698" s="138" t="s">
        <v>794</v>
      </c>
      <c r="C698" s="139"/>
      <c r="D698" s="139"/>
      <c r="E698" s="139"/>
      <c r="F698" s="139"/>
      <c r="G698" s="140"/>
      <c r="H698" s="139"/>
      <c r="I698" s="269"/>
    </row>
    <row r="699" spans="1:9" ht="18.75" customHeight="1" x14ac:dyDescent="0.25">
      <c r="A699" s="274" t="s">
        <v>928</v>
      </c>
      <c r="B699" s="142" t="s">
        <v>801</v>
      </c>
      <c r="C699" s="143"/>
      <c r="D699" s="143"/>
      <c r="E699" s="143"/>
      <c r="F699" s="143"/>
      <c r="G699" s="144"/>
      <c r="H699" s="143"/>
      <c r="I699" s="270"/>
    </row>
    <row r="700" spans="1:9" ht="18.75" customHeight="1" x14ac:dyDescent="0.25">
      <c r="A700" s="149"/>
      <c r="B700" s="23" t="s">
        <v>480</v>
      </c>
      <c r="C700" s="23"/>
      <c r="D700" s="23"/>
      <c r="E700" s="23"/>
      <c r="F700" s="23"/>
      <c r="G700" s="146" t="s">
        <v>446</v>
      </c>
      <c r="H700" s="16">
        <f>'Input &amp; Process'!H385</f>
        <v>5</v>
      </c>
      <c r="I700" s="22"/>
    </row>
    <row r="701" spans="1:9" ht="18.75" customHeight="1" x14ac:dyDescent="0.25">
      <c r="A701" s="149"/>
      <c r="B701" s="23" t="s">
        <v>485</v>
      </c>
      <c r="C701" s="23"/>
      <c r="D701" s="23"/>
      <c r="E701" s="23"/>
      <c r="F701" s="23"/>
      <c r="G701" s="146"/>
      <c r="H701" s="21"/>
      <c r="I701" s="22"/>
    </row>
    <row r="702" spans="1:9" ht="18.75" customHeight="1" x14ac:dyDescent="0.25">
      <c r="A702" s="149"/>
      <c r="B702" s="317" t="s">
        <v>937</v>
      </c>
      <c r="C702" s="88"/>
      <c r="D702" s="88"/>
      <c r="E702" s="88"/>
      <c r="F702" s="88"/>
      <c r="G702" s="316" t="s">
        <v>482</v>
      </c>
      <c r="H702" s="16" t="str">
        <f>'Input &amp; Process'!H387</f>
        <v/>
      </c>
      <c r="I702" s="22"/>
    </row>
    <row r="703" spans="1:9" ht="18.75" customHeight="1" x14ac:dyDescent="0.25">
      <c r="A703" s="149"/>
      <c r="B703" s="317" t="s">
        <v>938</v>
      </c>
      <c r="C703" s="88"/>
      <c r="D703" s="88"/>
      <c r="E703" s="88"/>
      <c r="F703" s="88"/>
      <c r="G703" s="316" t="s">
        <v>935</v>
      </c>
      <c r="H703" s="16" t="str">
        <f>'Input &amp; Process'!H388</f>
        <v/>
      </c>
      <c r="I703" s="22"/>
    </row>
    <row r="704" spans="1:9" ht="18.75" customHeight="1" x14ac:dyDescent="0.25">
      <c r="A704" s="149"/>
      <c r="B704" s="317" t="s">
        <v>939</v>
      </c>
      <c r="C704" s="88"/>
      <c r="D704" s="88"/>
      <c r="E704" s="88"/>
      <c r="F704" s="88"/>
      <c r="G704" s="316" t="s">
        <v>936</v>
      </c>
      <c r="H704" s="16">
        <f>'Input &amp; Process'!H389</f>
        <v>0.26308899152711013</v>
      </c>
      <c r="I704" s="22"/>
    </row>
    <row r="705" spans="1:9" ht="18.75" customHeight="1" x14ac:dyDescent="0.25">
      <c r="A705" s="149"/>
      <c r="B705" s="23"/>
      <c r="C705" s="23"/>
      <c r="D705" s="23"/>
      <c r="E705" s="23"/>
      <c r="F705" s="23"/>
      <c r="G705" s="146" t="s">
        <v>482</v>
      </c>
      <c r="H705" s="16">
        <f>'Input &amp; Process'!H390</f>
        <v>0.26308899152711013</v>
      </c>
      <c r="I705" s="22"/>
    </row>
    <row r="706" spans="1:9" ht="18.75" customHeight="1" x14ac:dyDescent="0.25">
      <c r="A706" s="149"/>
      <c r="B706" s="23" t="s">
        <v>486</v>
      </c>
      <c r="C706" s="23"/>
      <c r="D706" s="23"/>
      <c r="E706" s="23"/>
      <c r="F706" s="23"/>
      <c r="G706" s="146" t="s">
        <v>487</v>
      </c>
      <c r="H706" s="16">
        <f>'Input &amp; Process'!H391</f>
        <v>6882.0479999999998</v>
      </c>
      <c r="I706" s="22" t="s">
        <v>148</v>
      </c>
    </row>
    <row r="707" spans="1:9" ht="18.75" customHeight="1" x14ac:dyDescent="0.25">
      <c r="A707" s="149"/>
      <c r="B707" s="23" t="s">
        <v>506</v>
      </c>
      <c r="C707" s="23"/>
      <c r="D707" s="23"/>
      <c r="E707" s="23"/>
      <c r="F707" s="23"/>
      <c r="G707" s="146" t="s">
        <v>492</v>
      </c>
      <c r="H707" s="16">
        <f>'Input &amp; Process'!H392</f>
        <v>1810.5910679611652</v>
      </c>
      <c r="I707" s="227" t="s">
        <v>148</v>
      </c>
    </row>
    <row r="708" spans="1:9" ht="18.75" customHeight="1" x14ac:dyDescent="0.25">
      <c r="A708" s="149"/>
      <c r="B708" s="23" t="s">
        <v>449</v>
      </c>
      <c r="C708" s="23"/>
      <c r="D708" s="23"/>
      <c r="E708" s="23"/>
      <c r="F708" s="23"/>
      <c r="G708" s="148" t="s">
        <v>450</v>
      </c>
      <c r="H708" s="12">
        <f>'Input &amp; Process'!H393</f>
        <v>1</v>
      </c>
      <c r="I708" s="22"/>
    </row>
    <row r="709" spans="1:9" ht="18.75" customHeight="1" x14ac:dyDescent="0.25">
      <c r="A709" s="149"/>
      <c r="B709" s="23" t="s">
        <v>495</v>
      </c>
      <c r="C709" s="23"/>
      <c r="D709" s="23"/>
      <c r="E709" s="23"/>
      <c r="F709" s="23"/>
      <c r="G709" s="146"/>
      <c r="H709" s="21"/>
      <c r="I709" s="22"/>
    </row>
    <row r="710" spans="1:9" ht="18.75" customHeight="1" x14ac:dyDescent="0.25">
      <c r="A710" s="149"/>
      <c r="B710" s="148" t="s">
        <v>19</v>
      </c>
      <c r="C710" s="23"/>
      <c r="D710" s="240" t="s">
        <v>566</v>
      </c>
      <c r="E710" s="21" t="s">
        <v>48</v>
      </c>
      <c r="F710" s="239" t="s">
        <v>567</v>
      </c>
      <c r="G710" s="146"/>
      <c r="H710" s="21"/>
      <c r="I710" s="22"/>
    </row>
    <row r="711" spans="1:9" ht="18.75" customHeight="1" x14ac:dyDescent="0.25">
      <c r="A711" s="149"/>
      <c r="B711" s="23"/>
      <c r="C711" s="23"/>
      <c r="D711" s="238">
        <f>'Input &amp; Process'!D396</f>
        <v>2633.2775712471116</v>
      </c>
      <c r="E711" s="21" t="str">
        <f>IF(D711&lt;=F711,"≤","&gt;")</f>
        <v>&gt;</v>
      </c>
      <c r="F711" s="238">
        <f>'Input &amp; Process'!F396</f>
        <v>1810.5910679611652</v>
      </c>
      <c r="G711" s="149" t="s">
        <v>14</v>
      </c>
      <c r="H711" s="149" t="str">
        <f>IF(D711&lt;=F711,"[ OK ]","[ NOT OK ]")</f>
        <v>[ NOT OK ]</v>
      </c>
      <c r="I711" s="22"/>
    </row>
    <row r="712" spans="1:9" ht="18.75" customHeight="1" x14ac:dyDescent="0.25">
      <c r="A712" s="174"/>
      <c r="B712" s="153"/>
      <c r="C712" s="153"/>
      <c r="D712" s="252"/>
      <c r="E712" s="172"/>
      <c r="F712" s="252"/>
      <c r="G712" s="174"/>
      <c r="H712" s="174"/>
      <c r="I712" s="285"/>
    </row>
    <row r="713" spans="1:9" ht="18.75" customHeight="1" x14ac:dyDescent="0.25">
      <c r="A713" s="149"/>
      <c r="B713" s="160" t="str">
        <f>'Input &amp; Process'!B398</f>
        <v>→ Analisa dengan pelat pengaku transversal diperlukan</v>
      </c>
      <c r="C713" s="23"/>
      <c r="D713" s="23"/>
      <c r="E713" s="23"/>
      <c r="F713" s="23"/>
      <c r="G713" s="146"/>
      <c r="H713" s="21"/>
      <c r="I713" s="22"/>
    </row>
    <row r="714" spans="1:9" ht="18.75" customHeight="1" x14ac:dyDescent="0.25">
      <c r="A714" s="149"/>
      <c r="B714" s="160"/>
      <c r="C714" s="23"/>
      <c r="D714" s="23"/>
      <c r="E714" s="23"/>
      <c r="F714" s="23"/>
      <c r="G714" s="146"/>
      <c r="H714" s="21"/>
      <c r="I714" s="22"/>
    </row>
    <row r="715" spans="1:9" ht="18.75" customHeight="1" x14ac:dyDescent="0.25">
      <c r="A715" s="274" t="s">
        <v>929</v>
      </c>
      <c r="B715" s="142" t="s">
        <v>803</v>
      </c>
      <c r="C715" s="143"/>
      <c r="D715" s="143"/>
      <c r="E715" s="143"/>
      <c r="F715" s="143"/>
      <c r="G715" s="144"/>
      <c r="H715" s="143"/>
      <c r="I715" s="270"/>
    </row>
    <row r="716" spans="1:9" ht="18.75" customHeight="1" x14ac:dyDescent="0.25">
      <c r="A716" s="174" t="s">
        <v>924</v>
      </c>
      <c r="B716" s="160" t="s">
        <v>649</v>
      </c>
      <c r="C716" s="153"/>
      <c r="D716" s="153"/>
      <c r="E716" s="153"/>
      <c r="F716" s="153"/>
      <c r="G716" s="154"/>
      <c r="H716" s="172"/>
      <c r="I716" s="285"/>
    </row>
    <row r="717" spans="1:9" ht="18.75" customHeight="1" x14ac:dyDescent="0.25">
      <c r="A717" s="149"/>
      <c r="B717" s="23" t="s">
        <v>460</v>
      </c>
      <c r="C717" s="23"/>
      <c r="D717" s="23"/>
      <c r="E717" s="23"/>
      <c r="F717" s="23"/>
      <c r="G717" s="146" t="s">
        <v>462</v>
      </c>
      <c r="H717" s="187">
        <f>'Input &amp; Process'!H403</f>
        <v>200</v>
      </c>
      <c r="I717" s="22" t="s">
        <v>9</v>
      </c>
    </row>
    <row r="718" spans="1:9" ht="18.75" customHeight="1" x14ac:dyDescent="0.25">
      <c r="A718" s="149"/>
      <c r="B718" s="23" t="s">
        <v>461</v>
      </c>
      <c r="C718" s="23"/>
      <c r="D718" s="23"/>
      <c r="E718" s="23"/>
      <c r="F718" s="23"/>
      <c r="G718" s="146" t="s">
        <v>463</v>
      </c>
      <c r="H718" s="187">
        <f>'Input &amp; Process'!H404</f>
        <v>20</v>
      </c>
      <c r="I718" s="22" t="s">
        <v>9</v>
      </c>
    </row>
    <row r="719" spans="1:9" ht="18.75" customHeight="1" x14ac:dyDescent="0.25">
      <c r="A719" s="149"/>
      <c r="B719" s="23" t="s">
        <v>648</v>
      </c>
      <c r="C719" s="23"/>
      <c r="D719" s="23"/>
      <c r="E719" s="23"/>
      <c r="F719" s="23"/>
      <c r="G719" s="146" t="s">
        <v>505</v>
      </c>
      <c r="H719" s="16">
        <f>'Input &amp; Process'!H405</f>
        <v>3.09</v>
      </c>
      <c r="I719" s="22" t="s">
        <v>2</v>
      </c>
    </row>
    <row r="720" spans="1:9" ht="18.75" customHeight="1" x14ac:dyDescent="0.25">
      <c r="A720" s="149"/>
      <c r="B720" s="23" t="s">
        <v>650</v>
      </c>
      <c r="C720" s="23"/>
      <c r="D720" s="23"/>
      <c r="E720" s="23"/>
      <c r="F720" s="23"/>
      <c r="G720" s="146" t="s">
        <v>630</v>
      </c>
      <c r="H720" s="190">
        <f>'Input &amp; Process'!H406</f>
        <v>3</v>
      </c>
      <c r="I720" s="22" t="s">
        <v>2</v>
      </c>
    </row>
    <row r="721" spans="1:9" ht="18.75" customHeight="1" x14ac:dyDescent="0.25">
      <c r="A721" s="149"/>
      <c r="B721" s="23" t="s">
        <v>464</v>
      </c>
      <c r="C721" s="23"/>
      <c r="D721" s="23"/>
      <c r="E721" s="23"/>
      <c r="F721" s="23"/>
      <c r="G721" s="146"/>
      <c r="H721" s="21"/>
      <c r="I721" s="22"/>
    </row>
    <row r="722" spans="1:9" ht="18.75" customHeight="1" x14ac:dyDescent="0.25">
      <c r="A722" s="149"/>
      <c r="B722" s="148" t="s">
        <v>466</v>
      </c>
      <c r="C722" s="71" t="s">
        <v>502</v>
      </c>
      <c r="D722" s="21" t="s">
        <v>13</v>
      </c>
      <c r="E722" s="68" t="s">
        <v>465</v>
      </c>
      <c r="F722" s="23"/>
      <c r="G722" s="146"/>
      <c r="H722" s="21"/>
      <c r="I722" s="22"/>
    </row>
    <row r="723" spans="1:9" ht="18.75" customHeight="1" x14ac:dyDescent="0.25">
      <c r="A723" s="149"/>
      <c r="B723" s="23"/>
      <c r="C723" s="12">
        <f>'Input &amp; Process'!C409</f>
        <v>200</v>
      </c>
      <c r="D723" s="21" t="str">
        <f>IF(C723&gt;=E723,"≥","&lt;")</f>
        <v>≥</v>
      </c>
      <c r="E723" s="12">
        <f>'Input &amp; Process'!E409</f>
        <v>70.666666666666671</v>
      </c>
      <c r="F723" s="23"/>
      <c r="G723" s="149" t="s">
        <v>14</v>
      </c>
      <c r="H723" s="149" t="str">
        <f>IF(C723&gt;=E723,"[ OK ]","[ NOT OK ]")</f>
        <v>[ OK ]</v>
      </c>
      <c r="I723" s="22"/>
    </row>
    <row r="724" spans="1:9" ht="18.75" customHeight="1" x14ac:dyDescent="0.25">
      <c r="A724" s="149"/>
      <c r="B724" s="23"/>
      <c r="C724" s="94"/>
      <c r="D724" s="21"/>
      <c r="E724" s="94"/>
      <c r="F724" s="23"/>
      <c r="G724" s="149"/>
      <c r="H724" s="149"/>
      <c r="I724" s="22"/>
    </row>
    <row r="725" spans="1:9" ht="18.75" customHeight="1" x14ac:dyDescent="0.25">
      <c r="A725" s="149"/>
      <c r="B725" s="148" t="s">
        <v>467</v>
      </c>
      <c r="C725" s="12" t="s">
        <v>503</v>
      </c>
      <c r="D725" s="21" t="s">
        <v>13</v>
      </c>
      <c r="E725" s="12" t="s">
        <v>502</v>
      </c>
      <c r="F725" s="21" t="s">
        <v>13</v>
      </c>
      <c r="G725" s="12" t="s">
        <v>504</v>
      </c>
      <c r="H725" s="22"/>
      <c r="I725" s="23"/>
    </row>
    <row r="726" spans="1:9" ht="18.75" customHeight="1" x14ac:dyDescent="0.25">
      <c r="A726" s="149"/>
      <c r="B726" s="23"/>
      <c r="C726" s="16">
        <f>'Input &amp; Process'!C412</f>
        <v>320</v>
      </c>
      <c r="D726" s="21" t="str">
        <f>IF(C726&gt;=E726,"≥","&lt;")</f>
        <v>≥</v>
      </c>
      <c r="E726" s="12">
        <f>'Input &amp; Process'!E412</f>
        <v>200</v>
      </c>
      <c r="F726" s="21" t="str">
        <f>IF(E726&gt;=G726,"≥","&lt;")</f>
        <v>≥</v>
      </c>
      <c r="G726" s="12">
        <f>'Input &amp; Process'!G412</f>
        <v>190</v>
      </c>
      <c r="H726" s="22"/>
      <c r="I726" s="23"/>
    </row>
    <row r="727" spans="1:9" ht="18.75" customHeight="1" x14ac:dyDescent="0.25">
      <c r="A727" s="149"/>
      <c r="B727" s="23"/>
      <c r="C727" s="23"/>
      <c r="D727" s="82"/>
      <c r="E727" s="21"/>
      <c r="F727" s="70"/>
      <c r="G727" s="149" t="s">
        <v>14</v>
      </c>
      <c r="H727" s="149" t="str">
        <f>IF(C726&gt;=E726,IF(E726&gt;=G726,"[ OK ]","[ NOT OK ]"),"[ NOT OK ]")</f>
        <v>[ OK ]</v>
      </c>
      <c r="I727" s="22"/>
    </row>
    <row r="728" spans="1:9" ht="18.75" customHeight="1" x14ac:dyDescent="0.25">
      <c r="A728" s="149"/>
      <c r="B728" s="23"/>
      <c r="C728" s="23"/>
      <c r="D728" s="23"/>
      <c r="E728" s="23"/>
      <c r="F728" s="23"/>
      <c r="G728" s="146"/>
      <c r="H728" s="173"/>
      <c r="I728" s="22"/>
    </row>
    <row r="729" spans="1:9" ht="18.75" customHeight="1" x14ac:dyDescent="0.25">
      <c r="A729" s="149"/>
      <c r="B729" s="23" t="s">
        <v>468</v>
      </c>
      <c r="C729" s="23"/>
      <c r="D729" s="23"/>
      <c r="E729" s="23"/>
      <c r="F729" s="23"/>
      <c r="G729" s="146" t="s">
        <v>469</v>
      </c>
      <c r="H729" s="18">
        <f>'Input &amp; Process'!H415</f>
        <v>1.3333333333333332E-5</v>
      </c>
      <c r="I729" s="22" t="s">
        <v>395</v>
      </c>
    </row>
    <row r="730" spans="1:9" ht="18.75" customHeight="1" x14ac:dyDescent="0.25">
      <c r="A730" s="149"/>
      <c r="B730" s="23" t="s">
        <v>452</v>
      </c>
      <c r="C730" s="23"/>
      <c r="D730" s="23"/>
      <c r="E730" s="23"/>
      <c r="F730" s="23"/>
      <c r="G730" s="146" t="s">
        <v>455</v>
      </c>
      <c r="H730" s="16">
        <f>'Input &amp; Process'!H416</f>
        <v>-0.82122222222222208</v>
      </c>
      <c r="I730" s="22"/>
    </row>
    <row r="731" spans="1:9" ht="18.75" customHeight="1" x14ac:dyDescent="0.25">
      <c r="A731" s="149"/>
      <c r="B731" s="23"/>
      <c r="C731" s="23"/>
      <c r="D731" s="23"/>
      <c r="E731" s="23"/>
      <c r="F731" s="23"/>
      <c r="G731" s="146" t="s">
        <v>454</v>
      </c>
      <c r="H731" s="16">
        <f>'Input &amp; Process'!H417</f>
        <v>0.5</v>
      </c>
      <c r="I731" s="22"/>
    </row>
    <row r="732" spans="1:9" ht="18.75" customHeight="1" x14ac:dyDescent="0.25">
      <c r="A732" s="149"/>
      <c r="B732" s="23"/>
      <c r="C732" s="23"/>
      <c r="D732" s="23"/>
      <c r="E732" s="23"/>
      <c r="F732" s="23"/>
      <c r="G732" s="146" t="s">
        <v>453</v>
      </c>
      <c r="H732" s="16">
        <f>'Input &amp; Process'!H418</f>
        <v>0.5</v>
      </c>
      <c r="I732" s="22"/>
    </row>
    <row r="733" spans="1:9" ht="18.75" customHeight="1" x14ac:dyDescent="0.25">
      <c r="A733" s="149"/>
      <c r="B733" s="23" t="s">
        <v>458</v>
      </c>
      <c r="C733" s="23"/>
      <c r="D733" s="23"/>
      <c r="E733" s="23"/>
      <c r="F733" s="23"/>
      <c r="G733" s="146" t="s">
        <v>459</v>
      </c>
      <c r="H733" s="16">
        <f>'Input &amp; Process'!H419</f>
        <v>620</v>
      </c>
      <c r="I733" s="22" t="s">
        <v>23</v>
      </c>
    </row>
    <row r="734" spans="1:9" ht="18.75" customHeight="1" x14ac:dyDescent="0.25">
      <c r="A734" s="149"/>
      <c r="B734" s="23"/>
      <c r="C734" s="23"/>
      <c r="D734" s="23"/>
      <c r="E734" s="23"/>
      <c r="F734" s="23"/>
      <c r="G734" s="146" t="s">
        <v>470</v>
      </c>
      <c r="H734" s="16">
        <f>'Input &amp; Process'!H420</f>
        <v>360</v>
      </c>
      <c r="I734" s="22" t="s">
        <v>23</v>
      </c>
    </row>
    <row r="735" spans="1:9" ht="18.75" customHeight="1" x14ac:dyDescent="0.25">
      <c r="A735" s="149"/>
      <c r="B735" s="23"/>
      <c r="C735" s="23"/>
      <c r="D735" s="23"/>
      <c r="E735" s="23"/>
      <c r="F735" s="23"/>
      <c r="G735" s="146" t="s">
        <v>471</v>
      </c>
      <c r="H735" s="16">
        <f>'Input &amp; Process'!H421</f>
        <v>360</v>
      </c>
      <c r="I735" s="22" t="s">
        <v>23</v>
      </c>
    </row>
    <row r="736" spans="1:9" ht="18.75" customHeight="1" x14ac:dyDescent="0.25">
      <c r="A736" s="149"/>
      <c r="B736" s="23" t="s">
        <v>472</v>
      </c>
      <c r="C736" s="23"/>
      <c r="D736" s="23"/>
      <c r="E736" s="23"/>
      <c r="F736" s="23"/>
      <c r="I736" s="22"/>
    </row>
    <row r="737" spans="1:9" ht="18.75" customHeight="1" x14ac:dyDescent="0.25">
      <c r="A737" s="149"/>
      <c r="B737" s="23"/>
      <c r="C737" s="23"/>
      <c r="D737" s="23"/>
      <c r="E737" s="23"/>
      <c r="F737" s="23"/>
      <c r="G737" s="146" t="s">
        <v>473</v>
      </c>
      <c r="H737" s="16">
        <f>'Input &amp; Process'!H422</f>
        <v>1</v>
      </c>
      <c r="I737" s="22"/>
    </row>
    <row r="738" spans="1:9" ht="18.75" customHeight="1" x14ac:dyDescent="0.25">
      <c r="A738" s="149"/>
      <c r="B738" s="23" t="s">
        <v>456</v>
      </c>
      <c r="C738" s="23"/>
      <c r="D738" s="23"/>
      <c r="E738" s="23"/>
      <c r="F738" s="23"/>
    </row>
    <row r="739" spans="1:9" ht="18.75" customHeight="1" x14ac:dyDescent="0.25">
      <c r="A739" s="149"/>
      <c r="B739" s="23"/>
      <c r="C739" s="23"/>
      <c r="D739" s="23"/>
      <c r="E739" s="23"/>
      <c r="F739" s="23"/>
      <c r="G739" s="146" t="s">
        <v>457</v>
      </c>
      <c r="H739" s="95">
        <f>'Input &amp; Process'!H423</f>
        <v>4.2188800000000007E-6</v>
      </c>
      <c r="I739" s="22" t="s">
        <v>395</v>
      </c>
    </row>
    <row r="740" spans="1:9" ht="18.75" customHeight="1" x14ac:dyDescent="0.25">
      <c r="A740" s="149"/>
      <c r="B740" s="23" t="s">
        <v>474</v>
      </c>
      <c r="C740" s="23"/>
      <c r="D740" s="23"/>
      <c r="E740" s="23"/>
      <c r="F740" s="23"/>
      <c r="G740" s="146"/>
      <c r="H740" s="21"/>
      <c r="I740" s="22"/>
    </row>
    <row r="741" spans="1:9" ht="18.75" customHeight="1" x14ac:dyDescent="0.25">
      <c r="A741" s="149"/>
      <c r="B741" s="23" t="s">
        <v>881</v>
      </c>
      <c r="C741" s="23"/>
      <c r="D741" s="23"/>
      <c r="E741" s="23"/>
      <c r="F741" s="23"/>
    </row>
    <row r="742" spans="1:9" ht="18.75" customHeight="1" x14ac:dyDescent="0.25">
      <c r="A742" s="149"/>
      <c r="B742" s="23"/>
      <c r="C742" s="23"/>
      <c r="D742" s="23"/>
      <c r="E742" s="23"/>
      <c r="F742" s="23"/>
      <c r="G742" s="146" t="s">
        <v>476</v>
      </c>
      <c r="H742" s="95">
        <f>'Input &amp; Process'!H425</f>
        <v>3.4380932191323895E-5</v>
      </c>
      <c r="I742" s="22" t="s">
        <v>395</v>
      </c>
    </row>
    <row r="743" spans="1:9" ht="18.75" customHeight="1" x14ac:dyDescent="0.25">
      <c r="A743" s="149"/>
      <c r="B743" s="23"/>
      <c r="C743" s="23"/>
      <c r="D743" s="23"/>
      <c r="E743" s="23"/>
      <c r="F743" s="23"/>
      <c r="G743" s="146"/>
      <c r="H743" s="21"/>
      <c r="I743" s="22"/>
    </row>
    <row r="744" spans="1:9" ht="18.75" customHeight="1" x14ac:dyDescent="0.25">
      <c r="A744" s="149"/>
      <c r="B744" s="23" t="s">
        <v>477</v>
      </c>
      <c r="C744" s="23"/>
      <c r="D744" s="23"/>
      <c r="E744" s="23"/>
      <c r="F744" s="23"/>
      <c r="G744" s="146"/>
      <c r="H744" s="21"/>
      <c r="I744" s="22"/>
    </row>
    <row r="745" spans="1:9" ht="18.75" customHeight="1" x14ac:dyDescent="0.25">
      <c r="A745" s="149"/>
      <c r="B745" s="23" t="s">
        <v>478</v>
      </c>
      <c r="C745" s="23"/>
      <c r="D745" s="23"/>
      <c r="E745" s="23"/>
      <c r="F745" s="23"/>
      <c r="G745" s="146"/>
      <c r="H745" s="21"/>
      <c r="I745" s="22"/>
    </row>
    <row r="746" spans="1:9" ht="18.75" customHeight="1" x14ac:dyDescent="0.25">
      <c r="A746" s="149"/>
      <c r="B746" s="148" t="s">
        <v>466</v>
      </c>
      <c r="C746" s="23"/>
      <c r="D746" s="71" t="s">
        <v>479</v>
      </c>
      <c r="E746" s="21" t="s">
        <v>13</v>
      </c>
      <c r="F746" s="68" t="s">
        <v>882</v>
      </c>
      <c r="G746" s="146"/>
      <c r="H746" s="21"/>
      <c r="I746" s="22"/>
    </row>
    <row r="747" spans="1:9" ht="18.75" customHeight="1" x14ac:dyDescent="0.25">
      <c r="A747" s="149"/>
      <c r="B747" s="23"/>
      <c r="C747" s="23"/>
      <c r="D747" s="18">
        <f>'Input &amp; Process'!D430</f>
        <v>1.3333333333333332E-5</v>
      </c>
      <c r="E747" s="21" t="str">
        <f>IF(D747&gt;=F747,"≥","&lt;")</f>
        <v>≥</v>
      </c>
      <c r="F747" s="18">
        <f>'Input &amp; Process'!F430</f>
        <v>4.2188800000000007E-6</v>
      </c>
      <c r="G747" s="149" t="s">
        <v>14</v>
      </c>
      <c r="H747" s="149" t="str">
        <f>IF(D747&gt;=F747,"[ OK ]","[ NOT OK ]")</f>
        <v>[ OK ]</v>
      </c>
      <c r="I747" s="22"/>
    </row>
    <row r="748" spans="1:9" ht="18.75" customHeight="1" x14ac:dyDescent="0.25">
      <c r="A748" s="149"/>
      <c r="B748" s="23"/>
      <c r="C748" s="23"/>
      <c r="D748" s="23"/>
      <c r="E748" s="23"/>
      <c r="F748" s="23"/>
      <c r="G748" s="146"/>
      <c r="H748" s="21"/>
      <c r="I748" s="22"/>
    </row>
    <row r="749" spans="1:9" ht="18.75" customHeight="1" x14ac:dyDescent="0.25">
      <c r="A749" s="149"/>
      <c r="B749" s="23" t="s">
        <v>480</v>
      </c>
      <c r="C749" s="23"/>
      <c r="D749" s="23"/>
      <c r="E749" s="23"/>
      <c r="F749" s="23"/>
      <c r="G749" s="146" t="s">
        <v>481</v>
      </c>
      <c r="H749" s="16">
        <f>'Input &amp; Process'!H432</f>
        <v>7.3575555555555558</v>
      </c>
      <c r="I749" s="22"/>
    </row>
    <row r="750" spans="1:9" ht="18.75" customHeight="1" x14ac:dyDescent="0.25">
      <c r="A750" s="149"/>
      <c r="B750" s="23" t="s">
        <v>485</v>
      </c>
      <c r="C750" s="23"/>
      <c r="D750" s="23"/>
      <c r="E750" s="23"/>
      <c r="F750" s="23"/>
      <c r="G750" s="146"/>
      <c r="H750" s="21"/>
      <c r="I750" s="22"/>
    </row>
    <row r="751" spans="1:9" ht="18.75" customHeight="1" x14ac:dyDescent="0.25">
      <c r="A751" s="149"/>
      <c r="B751" s="317" t="s">
        <v>937</v>
      </c>
      <c r="C751" s="88"/>
      <c r="D751" s="88"/>
      <c r="E751" s="88"/>
      <c r="F751" s="88"/>
      <c r="G751" s="316" t="s">
        <v>482</v>
      </c>
      <c r="H751" s="16" t="str">
        <f>'Input &amp; Process'!H434</f>
        <v/>
      </c>
      <c r="I751" s="22"/>
    </row>
    <row r="752" spans="1:9" ht="18.75" customHeight="1" x14ac:dyDescent="0.25">
      <c r="A752" s="149"/>
      <c r="B752" s="317" t="s">
        <v>938</v>
      </c>
      <c r="C752" s="88"/>
      <c r="D752" s="88"/>
      <c r="E752" s="88"/>
      <c r="F752" s="88"/>
      <c r="G752" s="316" t="s">
        <v>935</v>
      </c>
      <c r="H752" s="16" t="str">
        <f>'Input &amp; Process'!H435</f>
        <v/>
      </c>
      <c r="I752" s="22"/>
    </row>
    <row r="753" spans="1:9" ht="18.75" customHeight="1" x14ac:dyDescent="0.25">
      <c r="A753" s="149"/>
      <c r="B753" s="317" t="s">
        <v>939</v>
      </c>
      <c r="C753" s="88"/>
      <c r="D753" s="88"/>
      <c r="E753" s="88"/>
      <c r="F753" s="88"/>
      <c r="G753" s="316" t="s">
        <v>936</v>
      </c>
      <c r="H753" s="16">
        <f>'Input &amp; Process'!H436</f>
        <v>0.38713837424315956</v>
      </c>
      <c r="I753" s="22"/>
    </row>
    <row r="754" spans="1:9" ht="18.75" customHeight="1" x14ac:dyDescent="0.25">
      <c r="A754" s="149"/>
      <c r="B754" s="23"/>
      <c r="C754" s="23"/>
      <c r="D754" s="23"/>
      <c r="E754" s="23"/>
      <c r="F754" s="23"/>
      <c r="G754" s="146" t="s">
        <v>482</v>
      </c>
      <c r="H754" s="16">
        <f>'Input &amp; Process'!H437</f>
        <v>0.38713837424315956</v>
      </c>
      <c r="I754" s="22"/>
    </row>
    <row r="755" spans="1:9" ht="18.75" customHeight="1" x14ac:dyDescent="0.25">
      <c r="A755" s="149"/>
      <c r="B755" s="23" t="s">
        <v>486</v>
      </c>
      <c r="C755" s="23"/>
      <c r="D755" s="23"/>
      <c r="E755" s="23"/>
      <c r="F755" s="23"/>
      <c r="G755" s="146" t="s">
        <v>487</v>
      </c>
      <c r="H755" s="16">
        <f>'Input &amp; Process'!H438</f>
        <v>6882.0479999999998</v>
      </c>
      <c r="I755" s="22" t="s">
        <v>148</v>
      </c>
    </row>
    <row r="756" spans="1:9" ht="18.75" customHeight="1" x14ac:dyDescent="0.25">
      <c r="A756" s="149"/>
      <c r="B756" s="23" t="s">
        <v>491</v>
      </c>
      <c r="C756" s="23"/>
      <c r="D756" s="23"/>
      <c r="E756" s="23"/>
      <c r="F756" s="23"/>
      <c r="G756" s="146" t="s">
        <v>492</v>
      </c>
      <c r="H756" s="16">
        <f>'Input &amp; Process'!H439</f>
        <v>2664.3048741833877</v>
      </c>
      <c r="I756" s="227" t="s">
        <v>148</v>
      </c>
    </row>
    <row r="757" spans="1:9" ht="18.75" customHeight="1" x14ac:dyDescent="0.25">
      <c r="A757" s="149"/>
      <c r="B757" s="23" t="s">
        <v>449</v>
      </c>
      <c r="C757" s="23"/>
      <c r="D757" s="23"/>
      <c r="E757" s="23"/>
      <c r="F757" s="23"/>
      <c r="G757" s="168" t="s">
        <v>507</v>
      </c>
      <c r="H757" s="12">
        <f>'Input &amp; Process'!H440</f>
        <v>1</v>
      </c>
      <c r="I757" s="22"/>
    </row>
    <row r="758" spans="1:9" ht="18.75" customHeight="1" x14ac:dyDescent="0.25">
      <c r="A758" s="149"/>
      <c r="B758" s="23" t="s">
        <v>495</v>
      </c>
      <c r="C758" s="23"/>
      <c r="D758" s="23"/>
      <c r="E758" s="23"/>
      <c r="F758" s="23"/>
      <c r="G758" s="146"/>
      <c r="H758" s="21"/>
      <c r="I758" s="22"/>
    </row>
    <row r="759" spans="1:9" ht="18.75" customHeight="1" x14ac:dyDescent="0.25">
      <c r="A759" s="149"/>
      <c r="B759" s="148" t="s">
        <v>19</v>
      </c>
      <c r="C759" s="23"/>
      <c r="D759" s="240" t="s">
        <v>566</v>
      </c>
      <c r="E759" s="21" t="s">
        <v>48</v>
      </c>
      <c r="F759" s="239" t="s">
        <v>567</v>
      </c>
      <c r="G759" s="146"/>
      <c r="H759" s="21"/>
      <c r="I759" s="22"/>
    </row>
    <row r="760" spans="1:9" ht="18.75" customHeight="1" x14ac:dyDescent="0.25">
      <c r="A760" s="149"/>
      <c r="B760" s="23"/>
      <c r="C760" s="23"/>
      <c r="D760" s="238">
        <f>'Input &amp; Process'!D443</f>
        <v>2633.2775712471116</v>
      </c>
      <c r="E760" s="21" t="str">
        <f>IF(D711&lt;=F711,"",IF(D760&lt;=F760,"≤","&gt;"))</f>
        <v>≤</v>
      </c>
      <c r="F760" s="238">
        <f>'Input &amp; Process'!F443</f>
        <v>2664.3048741833877</v>
      </c>
      <c r="G760" s="149" t="s">
        <v>14</v>
      </c>
      <c r="H760" s="149" t="str">
        <f>IF(D760&lt;=F760,"[ OK ]","[ NOT OK ]")</f>
        <v>[ OK ]</v>
      </c>
      <c r="I760" s="22"/>
    </row>
    <row r="761" spans="1:9" ht="18.75" customHeight="1" x14ac:dyDescent="0.25">
      <c r="A761" s="149"/>
      <c r="B761" s="23"/>
      <c r="C761" s="23"/>
      <c r="D761" s="70"/>
      <c r="E761" s="21"/>
      <c r="F761" s="70"/>
      <c r="G761" s="149"/>
      <c r="H761" s="149"/>
      <c r="I761" s="22"/>
    </row>
    <row r="762" spans="1:9" ht="18.75" customHeight="1" x14ac:dyDescent="0.25">
      <c r="A762" s="174" t="s">
        <v>922</v>
      </c>
      <c r="B762" s="160" t="s">
        <v>651</v>
      </c>
      <c r="C762" s="153"/>
      <c r="D762" s="153"/>
      <c r="E762" s="153"/>
      <c r="F762" s="153"/>
      <c r="G762" s="154"/>
      <c r="H762" s="172"/>
      <c r="I762" s="285"/>
    </row>
    <row r="763" spans="1:9" ht="18.75" customHeight="1" x14ac:dyDescent="0.25">
      <c r="A763" s="149"/>
      <c r="B763" s="23" t="s">
        <v>460</v>
      </c>
      <c r="C763" s="23"/>
      <c r="D763" s="23"/>
      <c r="E763" s="23"/>
      <c r="F763" s="23"/>
      <c r="G763" s="146" t="s">
        <v>462</v>
      </c>
      <c r="H763" s="187">
        <f>'Input &amp; Process'!H446</f>
        <v>200</v>
      </c>
      <c r="I763" s="22" t="s">
        <v>9</v>
      </c>
    </row>
    <row r="764" spans="1:9" ht="18.75" customHeight="1" x14ac:dyDescent="0.25">
      <c r="A764" s="149"/>
      <c r="B764" s="23" t="s">
        <v>461</v>
      </c>
      <c r="C764" s="23"/>
      <c r="D764" s="23"/>
      <c r="E764" s="23"/>
      <c r="F764" s="23"/>
      <c r="G764" s="146" t="s">
        <v>463</v>
      </c>
      <c r="H764" s="187">
        <f>'Input &amp; Process'!H447</f>
        <v>20</v>
      </c>
      <c r="I764" s="22" t="s">
        <v>9</v>
      </c>
    </row>
    <row r="765" spans="1:9" ht="18.75" customHeight="1" x14ac:dyDescent="0.25">
      <c r="A765" s="149"/>
      <c r="B765" s="23" t="s">
        <v>708</v>
      </c>
      <c r="C765" s="23"/>
      <c r="D765" s="23"/>
      <c r="E765" s="23"/>
      <c r="F765" s="23"/>
      <c r="G765" s="146" t="s">
        <v>709</v>
      </c>
      <c r="H765" s="186">
        <f>'Input &amp; Process'!H448</f>
        <v>44</v>
      </c>
      <c r="I765" s="22" t="s">
        <v>2</v>
      </c>
    </row>
    <row r="766" spans="1:9" ht="18.75" customHeight="1" x14ac:dyDescent="0.25">
      <c r="A766" s="149"/>
      <c r="B766" s="23" t="s">
        <v>710</v>
      </c>
      <c r="C766" s="23"/>
      <c r="D766" s="23"/>
      <c r="E766" s="23"/>
      <c r="F766" s="23"/>
      <c r="G766" s="146" t="s">
        <v>147</v>
      </c>
      <c r="H766" s="187">
        <f>'Input &amp; Process'!H449</f>
        <v>10</v>
      </c>
      <c r="I766" s="22"/>
    </row>
    <row r="767" spans="1:9" ht="18.75" customHeight="1" x14ac:dyDescent="0.25">
      <c r="A767" s="149"/>
      <c r="B767" s="23" t="s">
        <v>650</v>
      </c>
      <c r="C767" s="23"/>
      <c r="D767" s="23"/>
      <c r="E767" s="23"/>
      <c r="F767" s="23"/>
      <c r="G767" s="146" t="s">
        <v>711</v>
      </c>
      <c r="H767" s="16">
        <f>'Input &amp; Process'!H450</f>
        <v>4.4000000000000004</v>
      </c>
      <c r="I767" s="22" t="s">
        <v>2</v>
      </c>
    </row>
    <row r="768" spans="1:9" ht="18.75" customHeight="1" x14ac:dyDescent="0.25">
      <c r="A768" s="149"/>
      <c r="B768" s="23" t="s">
        <v>464</v>
      </c>
      <c r="C768" s="23"/>
      <c r="D768" s="23"/>
      <c r="E768" s="23"/>
      <c r="F768" s="23"/>
      <c r="G768" s="146"/>
      <c r="H768" s="21"/>
      <c r="I768" s="22"/>
    </row>
    <row r="769" spans="1:9" ht="18.75" customHeight="1" x14ac:dyDescent="0.25">
      <c r="A769" s="149"/>
      <c r="B769" s="148" t="s">
        <v>466</v>
      </c>
      <c r="C769" s="71" t="s">
        <v>502</v>
      </c>
      <c r="D769" s="21" t="s">
        <v>13</v>
      </c>
      <c r="E769" s="68" t="s">
        <v>465</v>
      </c>
      <c r="F769" s="23"/>
      <c r="G769" s="146"/>
      <c r="H769" s="21"/>
      <c r="I769" s="22"/>
    </row>
    <row r="770" spans="1:9" ht="18.75" customHeight="1" x14ac:dyDescent="0.25">
      <c r="A770" s="149"/>
      <c r="B770" s="23"/>
      <c r="C770" s="12">
        <f>'Input &amp; Process'!C453</f>
        <v>200</v>
      </c>
      <c r="D770" s="21" t="str">
        <f>IF(C770&gt;=E770,"≥","&lt;")</f>
        <v>≥</v>
      </c>
      <c r="E770" s="12">
        <f>'Input &amp; Process'!E453</f>
        <v>70.666666666666671</v>
      </c>
      <c r="F770" s="23"/>
      <c r="G770" s="149" t="s">
        <v>14</v>
      </c>
      <c r="H770" s="149" t="str">
        <f>IF(C770&gt;=E770,"[ OK ]","[ NOT OK ]")</f>
        <v>[ OK ]</v>
      </c>
      <c r="I770" s="22"/>
    </row>
    <row r="771" spans="1:9" ht="18.75" customHeight="1" x14ac:dyDescent="0.25">
      <c r="A771" s="149"/>
      <c r="B771" s="23"/>
      <c r="C771" s="94"/>
      <c r="D771" s="21"/>
      <c r="E771" s="94"/>
      <c r="F771" s="23"/>
      <c r="G771" s="149"/>
      <c r="H771" s="149"/>
      <c r="I771" s="22"/>
    </row>
    <row r="772" spans="1:9" ht="18.75" customHeight="1" x14ac:dyDescent="0.25">
      <c r="A772" s="149"/>
      <c r="B772" s="148" t="s">
        <v>467</v>
      </c>
      <c r="C772" s="12" t="s">
        <v>503</v>
      </c>
      <c r="D772" s="21" t="s">
        <v>13</v>
      </c>
      <c r="E772" s="12" t="s">
        <v>502</v>
      </c>
      <c r="F772" s="21" t="s">
        <v>13</v>
      </c>
      <c r="G772" s="12" t="s">
        <v>504</v>
      </c>
      <c r="H772" s="22"/>
      <c r="I772" s="23"/>
    </row>
    <row r="773" spans="1:9" ht="18.75" customHeight="1" x14ac:dyDescent="0.25">
      <c r="A773" s="149"/>
      <c r="B773" s="23"/>
      <c r="C773" s="16">
        <f>'Input &amp; Process'!C456</f>
        <v>320</v>
      </c>
      <c r="D773" s="21" t="str">
        <f>IF(C773&gt;=E773,"≥","&lt;")</f>
        <v>≥</v>
      </c>
      <c r="E773" s="12">
        <f>'Input &amp; Process'!E456</f>
        <v>200</v>
      </c>
      <c r="F773" s="21" t="str">
        <f>IF(E773&gt;=G773,"≥","&lt;")</f>
        <v>≥</v>
      </c>
      <c r="G773" s="12">
        <f>'Input &amp; Process'!G456</f>
        <v>190</v>
      </c>
      <c r="H773" s="22"/>
      <c r="I773" s="23"/>
    </row>
    <row r="774" spans="1:9" ht="18.75" customHeight="1" x14ac:dyDescent="0.25">
      <c r="A774" s="149"/>
      <c r="B774" s="23"/>
      <c r="C774" s="23"/>
      <c r="D774" s="82"/>
      <c r="E774" s="21"/>
      <c r="F774" s="70"/>
      <c r="G774" s="149" t="s">
        <v>14</v>
      </c>
      <c r="H774" s="149" t="str">
        <f>IF(C773&gt;=E773,IF(E773&gt;=G773,"[ OK ]","[ NOT OK ]"),"[ NOT OK ]")</f>
        <v>[ OK ]</v>
      </c>
      <c r="I774" s="22"/>
    </row>
    <row r="775" spans="1:9" ht="18.75" customHeight="1" x14ac:dyDescent="0.25">
      <c r="A775" s="149"/>
      <c r="B775" s="23"/>
      <c r="C775" s="23"/>
      <c r="D775" s="23"/>
      <c r="E775" s="23"/>
      <c r="F775" s="23"/>
      <c r="G775" s="146"/>
      <c r="H775" s="173"/>
      <c r="I775" s="22"/>
    </row>
    <row r="776" spans="1:9" ht="18.75" customHeight="1" x14ac:dyDescent="0.25">
      <c r="A776" s="149"/>
      <c r="B776" s="23" t="s">
        <v>468</v>
      </c>
      <c r="C776" s="23"/>
      <c r="D776" s="23"/>
      <c r="E776" s="23"/>
      <c r="F776" s="23"/>
      <c r="G776" s="146" t="s">
        <v>469</v>
      </c>
      <c r="H776" s="18">
        <f>'Input &amp; Process'!H459</f>
        <v>1.3333333333333332E-5</v>
      </c>
      <c r="I776" s="22" t="s">
        <v>395</v>
      </c>
    </row>
    <row r="777" spans="1:9" ht="18.75" customHeight="1" x14ac:dyDescent="0.25">
      <c r="A777" s="149"/>
      <c r="B777" s="23" t="s">
        <v>452</v>
      </c>
      <c r="C777" s="23"/>
      <c r="D777" s="23"/>
      <c r="E777" s="23"/>
      <c r="F777" s="23"/>
      <c r="G777" s="146" t="s">
        <v>455</v>
      </c>
      <c r="H777" s="16">
        <f>'Input &amp; Process'!H460</f>
        <v>-1.4520144628099172</v>
      </c>
      <c r="I777" s="22"/>
    </row>
    <row r="778" spans="1:9" ht="18.75" customHeight="1" x14ac:dyDescent="0.25">
      <c r="A778" s="149"/>
      <c r="B778" s="23"/>
      <c r="C778" s="23"/>
      <c r="D778" s="23"/>
      <c r="E778" s="23"/>
      <c r="F778" s="23"/>
      <c r="G778" s="146" t="s">
        <v>454</v>
      </c>
      <c r="H778" s="16">
        <f>'Input &amp; Process'!H461</f>
        <v>0.5</v>
      </c>
      <c r="I778" s="22"/>
    </row>
    <row r="779" spans="1:9" ht="18.75" customHeight="1" x14ac:dyDescent="0.25">
      <c r="A779" s="149"/>
      <c r="B779" s="23"/>
      <c r="C779" s="23"/>
      <c r="D779" s="23"/>
      <c r="E779" s="23"/>
      <c r="F779" s="23"/>
      <c r="G779" s="146" t="s">
        <v>453</v>
      </c>
      <c r="H779" s="16">
        <f>'Input &amp; Process'!H462</f>
        <v>0.5</v>
      </c>
      <c r="I779" s="22"/>
    </row>
    <row r="780" spans="1:9" ht="18.75" customHeight="1" x14ac:dyDescent="0.25">
      <c r="A780" s="149"/>
      <c r="B780" s="23" t="s">
        <v>458</v>
      </c>
      <c r="C780" s="23"/>
      <c r="D780" s="23"/>
      <c r="E780" s="23"/>
      <c r="F780" s="23"/>
      <c r="G780" s="146" t="s">
        <v>459</v>
      </c>
      <c r="H780" s="16">
        <f>'Input &amp; Process'!H463</f>
        <v>620</v>
      </c>
      <c r="I780" s="22" t="s">
        <v>23</v>
      </c>
    </row>
    <row r="781" spans="1:9" ht="18.75" customHeight="1" x14ac:dyDescent="0.25">
      <c r="A781" s="149"/>
      <c r="B781" s="23"/>
      <c r="C781" s="23"/>
      <c r="D781" s="23"/>
      <c r="E781" s="23"/>
      <c r="F781" s="23"/>
      <c r="G781" s="146" t="s">
        <v>470</v>
      </c>
      <c r="H781" s="16">
        <f>'Input &amp; Process'!H464</f>
        <v>360</v>
      </c>
      <c r="I781" s="22" t="s">
        <v>23</v>
      </c>
    </row>
    <row r="782" spans="1:9" ht="18.75" customHeight="1" x14ac:dyDescent="0.25">
      <c r="A782" s="149"/>
      <c r="B782" s="23"/>
      <c r="C782" s="23"/>
      <c r="D782" s="23"/>
      <c r="E782" s="23"/>
      <c r="F782" s="23"/>
      <c r="G782" s="146" t="s">
        <v>471</v>
      </c>
      <c r="H782" s="16">
        <f>'Input &amp; Process'!H465</f>
        <v>360</v>
      </c>
      <c r="I782" s="22" t="s">
        <v>23</v>
      </c>
    </row>
    <row r="783" spans="1:9" ht="18.75" customHeight="1" x14ac:dyDescent="0.25">
      <c r="A783" s="149"/>
      <c r="B783" s="23" t="s">
        <v>472</v>
      </c>
      <c r="C783" s="23"/>
      <c r="D783" s="23"/>
      <c r="E783" s="23"/>
      <c r="F783" s="23"/>
      <c r="I783" s="22"/>
    </row>
    <row r="784" spans="1:9" ht="18.75" customHeight="1" x14ac:dyDescent="0.25">
      <c r="A784" s="149"/>
      <c r="B784" s="23"/>
      <c r="C784" s="23"/>
      <c r="D784" s="23"/>
      <c r="E784" s="23"/>
      <c r="F784" s="23"/>
      <c r="G784" s="146" t="s">
        <v>473</v>
      </c>
      <c r="H784" s="16">
        <f>'Input &amp; Process'!H466</f>
        <v>1</v>
      </c>
      <c r="I784" s="22"/>
    </row>
    <row r="785" spans="1:9" ht="18.75" customHeight="1" x14ac:dyDescent="0.25">
      <c r="A785" s="149"/>
      <c r="B785" s="23" t="s">
        <v>456</v>
      </c>
      <c r="C785" s="23"/>
      <c r="D785" s="23"/>
      <c r="E785" s="23"/>
      <c r="F785" s="23"/>
    </row>
    <row r="786" spans="1:9" ht="18.75" customHeight="1" x14ac:dyDescent="0.25">
      <c r="A786" s="149"/>
      <c r="B786" s="23"/>
      <c r="C786" s="23"/>
      <c r="D786" s="23"/>
      <c r="E786" s="23"/>
      <c r="F786" s="23"/>
      <c r="G786" s="146" t="s">
        <v>457</v>
      </c>
      <c r="H786" s="95">
        <f>'Input &amp; Process'!H467</f>
        <v>4.2188800000000007E-6</v>
      </c>
      <c r="I786" s="22" t="s">
        <v>395</v>
      </c>
    </row>
    <row r="787" spans="1:9" ht="18.75" customHeight="1" x14ac:dyDescent="0.25">
      <c r="A787" s="149"/>
      <c r="B787" s="23" t="s">
        <v>474</v>
      </c>
      <c r="C787" s="23"/>
      <c r="D787" s="23"/>
      <c r="E787" s="23"/>
      <c r="F787" s="23"/>
      <c r="G787" s="146"/>
      <c r="H787" s="21"/>
      <c r="I787" s="22"/>
    </row>
    <row r="788" spans="1:9" ht="18.75" customHeight="1" x14ac:dyDescent="0.25">
      <c r="A788" s="149"/>
      <c r="B788" s="23" t="s">
        <v>475</v>
      </c>
      <c r="C788" s="23"/>
      <c r="D788" s="23"/>
      <c r="E788" s="23"/>
      <c r="F788" s="23"/>
    </row>
    <row r="789" spans="1:9" ht="18.75" customHeight="1" x14ac:dyDescent="0.25">
      <c r="A789" s="149"/>
      <c r="B789" s="23"/>
      <c r="C789" s="23"/>
      <c r="D789" s="23"/>
      <c r="E789" s="23"/>
      <c r="F789" s="23"/>
      <c r="G789" s="146" t="s">
        <v>476</v>
      </c>
      <c r="H789" s="95">
        <f>'Input &amp; Process'!H469</f>
        <v>3.4380932191323895E-5</v>
      </c>
      <c r="I789" s="22" t="s">
        <v>395</v>
      </c>
    </row>
    <row r="790" spans="1:9" ht="18.75" customHeight="1" x14ac:dyDescent="0.25">
      <c r="A790" s="149"/>
      <c r="B790" s="23"/>
      <c r="C790" s="23"/>
      <c r="D790" s="23"/>
      <c r="E790" s="23"/>
      <c r="F790" s="23"/>
      <c r="G790" s="146"/>
      <c r="H790" s="21"/>
      <c r="I790" s="22"/>
    </row>
    <row r="791" spans="1:9" ht="18.75" customHeight="1" x14ac:dyDescent="0.25">
      <c r="A791" s="149"/>
      <c r="B791" s="23" t="s">
        <v>477</v>
      </c>
      <c r="C791" s="23"/>
      <c r="D791" s="23"/>
      <c r="E791" s="23"/>
      <c r="F791" s="23"/>
      <c r="G791" s="146"/>
      <c r="H791" s="21"/>
      <c r="I791" s="22"/>
    </row>
    <row r="792" spans="1:9" ht="18.75" customHeight="1" x14ac:dyDescent="0.25">
      <c r="A792" s="149"/>
      <c r="B792" s="23" t="s">
        <v>478</v>
      </c>
      <c r="C792" s="23"/>
      <c r="D792" s="23"/>
      <c r="E792" s="23"/>
      <c r="F792" s="23"/>
      <c r="G792" s="146"/>
      <c r="H792" s="21"/>
      <c r="I792" s="22"/>
    </row>
    <row r="793" spans="1:9" ht="18.75" customHeight="1" x14ac:dyDescent="0.25">
      <c r="A793" s="149"/>
      <c r="B793" s="148" t="s">
        <v>466</v>
      </c>
      <c r="C793" s="23"/>
      <c r="D793" s="71" t="s">
        <v>479</v>
      </c>
      <c r="E793" s="21" t="s">
        <v>13</v>
      </c>
      <c r="F793" s="68" t="s">
        <v>882</v>
      </c>
      <c r="G793" s="146"/>
      <c r="H793" s="21"/>
      <c r="I793" s="22"/>
    </row>
    <row r="794" spans="1:9" ht="18.75" customHeight="1" x14ac:dyDescent="0.25">
      <c r="A794" s="149"/>
      <c r="B794" s="23"/>
      <c r="C794" s="23"/>
      <c r="D794" s="18">
        <f>'Input &amp; Process'!D474</f>
        <v>1.3333333333333332E-5</v>
      </c>
      <c r="E794" s="21" t="str">
        <f>IF(D794&gt;=F794,"≥","&lt;")</f>
        <v>≥</v>
      </c>
      <c r="F794" s="18">
        <f>'Input &amp; Process'!F474</f>
        <v>4.2188800000000007E-6</v>
      </c>
      <c r="G794" s="149" t="s">
        <v>14</v>
      </c>
      <c r="H794" s="149" t="str">
        <f>IF(D794&gt;=F794,"[ OK ]","[ NOT OK ]")</f>
        <v>[ OK ]</v>
      </c>
      <c r="I794" s="22"/>
    </row>
    <row r="795" spans="1:9" ht="18.75" customHeight="1" x14ac:dyDescent="0.25">
      <c r="A795" s="149"/>
      <c r="B795" s="23"/>
      <c r="C795" s="23"/>
      <c r="D795" s="23"/>
      <c r="E795" s="23"/>
      <c r="F795" s="23"/>
      <c r="G795" s="146"/>
      <c r="H795" s="21"/>
      <c r="I795" s="22"/>
    </row>
    <row r="796" spans="1:9" ht="18.75" customHeight="1" x14ac:dyDescent="0.25">
      <c r="A796" s="149"/>
      <c r="B796" s="23" t="s">
        <v>480</v>
      </c>
      <c r="C796" s="23"/>
      <c r="D796" s="23"/>
      <c r="E796" s="23"/>
      <c r="F796" s="23"/>
      <c r="G796" s="146" t="s">
        <v>481</v>
      </c>
      <c r="H796" s="16">
        <f>'Input &amp; Process'!H476</f>
        <v>6.0959710743801656</v>
      </c>
      <c r="I796" s="22"/>
    </row>
    <row r="797" spans="1:9" ht="18.75" customHeight="1" x14ac:dyDescent="0.25">
      <c r="A797" s="149"/>
      <c r="B797" s="23" t="s">
        <v>485</v>
      </c>
      <c r="C797" s="23"/>
      <c r="D797" s="23"/>
      <c r="E797" s="23"/>
      <c r="F797" s="23"/>
      <c r="G797" s="146"/>
      <c r="H797" s="21"/>
      <c r="I797" s="22"/>
    </row>
    <row r="798" spans="1:9" ht="18.75" customHeight="1" x14ac:dyDescent="0.25">
      <c r="A798" s="149"/>
      <c r="B798" s="317" t="s">
        <v>937</v>
      </c>
      <c r="C798" s="88"/>
      <c r="D798" s="88"/>
      <c r="E798" s="88"/>
      <c r="F798" s="88"/>
      <c r="G798" s="316" t="s">
        <v>482</v>
      </c>
      <c r="H798" s="16" t="str">
        <f>'Input &amp; Process'!H478</f>
        <v/>
      </c>
      <c r="I798" s="22"/>
    </row>
    <row r="799" spans="1:9" ht="18.75" customHeight="1" x14ac:dyDescent="0.25">
      <c r="A799" s="149"/>
      <c r="B799" s="317" t="s">
        <v>938</v>
      </c>
      <c r="C799" s="88"/>
      <c r="D799" s="88"/>
      <c r="E799" s="88"/>
      <c r="F799" s="88"/>
      <c r="G799" s="316" t="s">
        <v>935</v>
      </c>
      <c r="H799" s="16" t="str">
        <f>'Input &amp; Process'!H479</f>
        <v/>
      </c>
      <c r="I799" s="22"/>
    </row>
    <row r="800" spans="1:9" ht="18.75" customHeight="1" x14ac:dyDescent="0.25">
      <c r="A800" s="149"/>
      <c r="B800" s="317" t="s">
        <v>939</v>
      </c>
      <c r="C800" s="88"/>
      <c r="D800" s="88"/>
      <c r="E800" s="88"/>
      <c r="F800" s="88"/>
      <c r="G800" s="316" t="s">
        <v>936</v>
      </c>
      <c r="H800" s="16">
        <f>'Input &amp; Process'!H480</f>
        <v>0.32075657646742234</v>
      </c>
      <c r="I800" s="22"/>
    </row>
    <row r="801" spans="1:9" ht="18.75" customHeight="1" x14ac:dyDescent="0.25">
      <c r="A801" s="149"/>
      <c r="B801" s="23"/>
      <c r="C801" s="23"/>
      <c r="D801" s="23"/>
      <c r="E801" s="23"/>
      <c r="F801" s="23"/>
      <c r="G801" s="146" t="s">
        <v>482</v>
      </c>
      <c r="H801" s="16">
        <f>'Input &amp; Process'!H481</f>
        <v>0.32075657646742234</v>
      </c>
      <c r="I801" s="22"/>
    </row>
    <row r="802" spans="1:9" ht="18.75" customHeight="1" x14ac:dyDescent="0.25">
      <c r="A802" s="149"/>
      <c r="B802" s="23" t="s">
        <v>486</v>
      </c>
      <c r="C802" s="23"/>
      <c r="D802" s="23"/>
      <c r="E802" s="23"/>
      <c r="F802" s="23"/>
      <c r="G802" s="146" t="s">
        <v>487</v>
      </c>
      <c r="H802" s="16">
        <f>'Input &amp; Process'!H482</f>
        <v>6882.0479999999998</v>
      </c>
      <c r="I802" s="22" t="s">
        <v>148</v>
      </c>
    </row>
    <row r="803" spans="1:9" ht="18.75" customHeight="1" x14ac:dyDescent="0.25">
      <c r="A803" s="149"/>
      <c r="B803" s="23" t="s">
        <v>490</v>
      </c>
      <c r="C803" s="23"/>
      <c r="D803" s="23"/>
      <c r="E803" s="23"/>
      <c r="F803" s="23"/>
      <c r="G803" s="146"/>
      <c r="H803" s="82"/>
      <c r="I803" s="22"/>
    </row>
    <row r="804" spans="1:9" ht="18.75" customHeight="1" x14ac:dyDescent="0.25">
      <c r="A804" s="149"/>
      <c r="B804" s="320" t="s">
        <v>942</v>
      </c>
      <c r="C804" s="88"/>
      <c r="D804" s="88"/>
      <c r="E804" s="88"/>
      <c r="F804" s="88"/>
      <c r="G804" s="318" t="s">
        <v>940</v>
      </c>
      <c r="H804" s="16">
        <f>'Input &amp; Process'!H484</f>
        <v>3931.8719839524379</v>
      </c>
      <c r="I804" s="227" t="s">
        <v>148</v>
      </c>
    </row>
    <row r="805" spans="1:9" ht="18.75" customHeight="1" x14ac:dyDescent="0.25">
      <c r="A805" s="149"/>
      <c r="B805" s="321" t="s">
        <v>943</v>
      </c>
      <c r="C805" s="96"/>
      <c r="D805" s="96"/>
      <c r="E805" s="96"/>
      <c r="F805" s="96"/>
      <c r="G805" s="319" t="s">
        <v>941</v>
      </c>
      <c r="H805" s="16" t="str">
        <f>'Input &amp; Process'!H485</f>
        <v/>
      </c>
      <c r="I805" s="227" t="s">
        <v>148</v>
      </c>
    </row>
    <row r="806" spans="1:9" ht="18.75" customHeight="1" x14ac:dyDescent="0.25">
      <c r="A806" s="149"/>
      <c r="B806" s="23" t="s">
        <v>493</v>
      </c>
      <c r="C806" s="23"/>
      <c r="D806" s="23"/>
      <c r="E806" s="23"/>
      <c r="F806" s="23"/>
      <c r="G806" s="146" t="s">
        <v>494</v>
      </c>
      <c r="H806" s="16">
        <f>'Input &amp; Process'!H486</f>
        <v>3931.8719839524379</v>
      </c>
      <c r="I806" s="227" t="s">
        <v>148</v>
      </c>
    </row>
    <row r="807" spans="1:9" ht="18.75" customHeight="1" x14ac:dyDescent="0.25">
      <c r="A807" s="149"/>
      <c r="B807" s="23" t="s">
        <v>712</v>
      </c>
      <c r="C807" s="23"/>
      <c r="D807" s="23"/>
      <c r="E807" s="23"/>
      <c r="F807" s="23"/>
      <c r="G807" s="146" t="s">
        <v>713</v>
      </c>
      <c r="H807" s="16">
        <f>'Input &amp; Process'!H487</f>
        <v>2317.2842626974584</v>
      </c>
      <c r="I807" s="22" t="s">
        <v>148</v>
      </c>
    </row>
    <row r="808" spans="1:9" ht="18.75" customHeight="1" x14ac:dyDescent="0.25">
      <c r="A808" s="149"/>
      <c r="B808" s="23" t="s">
        <v>449</v>
      </c>
      <c r="C808" s="23"/>
      <c r="D808" s="23"/>
      <c r="E808" s="23"/>
      <c r="F808" s="23"/>
      <c r="G808" s="168" t="s">
        <v>507</v>
      </c>
      <c r="H808" s="12">
        <f>'Input &amp; Process'!H488</f>
        <v>1</v>
      </c>
      <c r="I808" s="22"/>
    </row>
    <row r="809" spans="1:9" ht="18.75" customHeight="1" x14ac:dyDescent="0.25">
      <c r="A809" s="149"/>
      <c r="B809" s="23" t="s">
        <v>495</v>
      </c>
      <c r="C809" s="23"/>
      <c r="D809" s="23"/>
      <c r="E809" s="23"/>
      <c r="F809" s="23"/>
      <c r="G809" s="146"/>
      <c r="H809" s="21"/>
      <c r="I809" s="22"/>
    </row>
    <row r="810" spans="1:9" ht="18.75" customHeight="1" x14ac:dyDescent="0.25">
      <c r="A810" s="149"/>
      <c r="B810" s="148" t="s">
        <v>19</v>
      </c>
      <c r="C810" s="23"/>
      <c r="D810" s="240" t="s">
        <v>714</v>
      </c>
      <c r="E810" s="21" t="s">
        <v>48</v>
      </c>
      <c r="F810" s="239" t="s">
        <v>567</v>
      </c>
      <c r="G810" s="146"/>
      <c r="H810" s="21"/>
      <c r="I810" s="22"/>
    </row>
    <row r="811" spans="1:9" ht="18.75" customHeight="1" x14ac:dyDescent="0.25">
      <c r="A811" s="149"/>
      <c r="B811" s="23"/>
      <c r="C811" s="23"/>
      <c r="D811" s="238">
        <f>'Input &amp; Process'!D491</f>
        <v>2317.2842626974584</v>
      </c>
      <c r="E811" s="21" t="str">
        <f>IF(D760&lt;=F760,"",IF(D811&lt;=F811,"≤","&gt;"))</f>
        <v/>
      </c>
      <c r="F811" s="238">
        <f>'Input &amp; Process'!F491</f>
        <v>3931.8719839524379</v>
      </c>
      <c r="G811" s="149" t="s">
        <v>14</v>
      </c>
      <c r="H811" s="149" t="str">
        <f>IF(D811&lt;=F811,"[ OK ]","[ NOT OK ]")</f>
        <v>[ OK ]</v>
      </c>
      <c r="I811" s="22"/>
    </row>
    <row r="812" spans="1:9" ht="18.75" customHeight="1" x14ac:dyDescent="0.25">
      <c r="A812" s="174"/>
      <c r="B812" s="153"/>
      <c r="C812" s="153"/>
      <c r="D812" s="101"/>
      <c r="E812" s="172"/>
      <c r="F812" s="101"/>
      <c r="G812" s="174"/>
      <c r="H812" s="174"/>
      <c r="I812" s="285"/>
    </row>
    <row r="813" spans="1:9" ht="18.75" customHeight="1" x14ac:dyDescent="0.25">
      <c r="A813" s="274" t="s">
        <v>930</v>
      </c>
      <c r="B813" s="142" t="s">
        <v>806</v>
      </c>
      <c r="C813" s="143"/>
      <c r="D813" s="143"/>
      <c r="E813" s="143"/>
      <c r="F813" s="143"/>
      <c r="G813" s="144"/>
      <c r="H813" s="143"/>
      <c r="I813" s="270"/>
    </row>
    <row r="814" spans="1:9" ht="18.75" customHeight="1" x14ac:dyDescent="0.25">
      <c r="A814" s="149"/>
      <c r="B814" s="23" t="s">
        <v>511</v>
      </c>
      <c r="C814" s="23"/>
      <c r="D814" s="23"/>
      <c r="E814" s="23"/>
      <c r="F814" s="23"/>
      <c r="G814" s="146" t="s">
        <v>147</v>
      </c>
      <c r="H814" s="192">
        <f>'Input &amp; Process'!H495</f>
        <v>3</v>
      </c>
      <c r="I814" s="22" t="s">
        <v>512</v>
      </c>
    </row>
    <row r="815" spans="1:9" ht="18.75" customHeight="1" x14ac:dyDescent="0.25">
      <c r="A815" s="149"/>
      <c r="B815" s="23" t="s">
        <v>508</v>
      </c>
      <c r="C815" s="23"/>
      <c r="D815" s="23"/>
      <c r="E815" s="23"/>
      <c r="F815" s="23"/>
      <c r="G815" s="146" t="s">
        <v>463</v>
      </c>
      <c r="H815" s="187">
        <f>'Input &amp; Process'!H496</f>
        <v>20</v>
      </c>
      <c r="I815" s="22" t="s">
        <v>9</v>
      </c>
    </row>
    <row r="816" spans="1:9" ht="18.75" customHeight="1" x14ac:dyDescent="0.25">
      <c r="A816" s="149"/>
      <c r="B816" s="23" t="s">
        <v>826</v>
      </c>
      <c r="C816" s="23"/>
      <c r="D816" s="23"/>
      <c r="E816" s="23"/>
      <c r="F816" s="23"/>
      <c r="G816" s="146" t="s">
        <v>522</v>
      </c>
      <c r="H816" s="12">
        <f>'Input &amp; Process'!H497</f>
        <v>226.27416997969522</v>
      </c>
      <c r="I816" s="22" t="s">
        <v>9</v>
      </c>
    </row>
    <row r="817" spans="1:9" ht="18.75" customHeight="1" x14ac:dyDescent="0.25">
      <c r="A817" s="149"/>
      <c r="B817" s="23" t="s">
        <v>509</v>
      </c>
      <c r="C817" s="23"/>
      <c r="D817" s="23"/>
      <c r="E817" s="23"/>
      <c r="F817" s="23"/>
      <c r="G817" s="146" t="s">
        <v>462</v>
      </c>
      <c r="H817" s="193">
        <f>'Input &amp; Process'!H498</f>
        <v>200</v>
      </c>
      <c r="I817" s="22" t="s">
        <v>9</v>
      </c>
    </row>
    <row r="818" spans="1:9" ht="18.75" customHeight="1" x14ac:dyDescent="0.25">
      <c r="A818" s="149"/>
      <c r="B818" s="23" t="s">
        <v>825</v>
      </c>
      <c r="C818" s="23"/>
      <c r="D818" s="23"/>
      <c r="E818" s="23"/>
      <c r="F818" s="23"/>
      <c r="G818" s="146"/>
      <c r="H818" s="21"/>
      <c r="I818" s="22"/>
    </row>
    <row r="819" spans="1:9" ht="18.75" customHeight="1" x14ac:dyDescent="0.25">
      <c r="A819" s="149"/>
      <c r="B819" s="148" t="s">
        <v>19</v>
      </c>
      <c r="C819" s="23"/>
      <c r="D819" s="13" t="s">
        <v>502</v>
      </c>
      <c r="E819" s="21" t="s">
        <v>48</v>
      </c>
      <c r="F819" s="13" t="s">
        <v>827</v>
      </c>
      <c r="G819" s="146"/>
      <c r="H819" s="21"/>
      <c r="I819" s="22"/>
    </row>
    <row r="820" spans="1:9" ht="18.75" customHeight="1" x14ac:dyDescent="0.25">
      <c r="A820" s="149"/>
      <c r="B820" s="23"/>
      <c r="C820" s="23"/>
      <c r="D820" s="12">
        <f>'Input &amp; Process'!D501</f>
        <v>200</v>
      </c>
      <c r="E820" s="21" t="str">
        <f>IF(D820&lt;=F820,"≤","&gt;")</f>
        <v>≤</v>
      </c>
      <c r="F820" s="12">
        <f>'Input &amp; Process'!F501</f>
        <v>226.27416997969522</v>
      </c>
      <c r="G820" s="149" t="s">
        <v>14</v>
      </c>
      <c r="H820" s="149" t="str">
        <f>IF(D820&lt;=F820,"[ OK ]","[ NOT OK ]")</f>
        <v>[ OK ]</v>
      </c>
      <c r="I820" s="22"/>
    </row>
    <row r="821" spans="1:9" ht="18.75" customHeight="1" x14ac:dyDescent="0.25">
      <c r="A821" s="149"/>
      <c r="B821" s="23"/>
      <c r="C821" s="23"/>
      <c r="D821" s="70"/>
      <c r="E821" s="21"/>
      <c r="F821" s="70"/>
      <c r="G821" s="149"/>
      <c r="H821" s="149"/>
      <c r="I821" s="22"/>
    </row>
    <row r="822" spans="1:9" ht="18.75" customHeight="1" x14ac:dyDescent="0.25">
      <c r="A822" s="149"/>
      <c r="B822" s="23" t="s">
        <v>510</v>
      </c>
      <c r="C822" s="23"/>
      <c r="D822" s="23"/>
      <c r="E822" s="23"/>
      <c r="F822" s="23"/>
      <c r="G822" s="146" t="s">
        <v>523</v>
      </c>
      <c r="H822" s="13">
        <f>'Input &amp; Process'!H503</f>
        <v>104</v>
      </c>
      <c r="I822" s="22" t="s">
        <v>9</v>
      </c>
    </row>
    <row r="823" spans="1:9" ht="18.75" customHeight="1" x14ac:dyDescent="0.25">
      <c r="A823" s="149"/>
      <c r="B823" s="23" t="s">
        <v>513</v>
      </c>
      <c r="C823" s="23"/>
      <c r="D823" s="23"/>
      <c r="E823" s="23"/>
      <c r="F823" s="23"/>
      <c r="G823" s="146" t="s">
        <v>524</v>
      </c>
      <c r="H823" s="13">
        <f>'Input &amp; Process'!H504</f>
        <v>6240</v>
      </c>
      <c r="I823" s="22" t="s">
        <v>515</v>
      </c>
    </row>
    <row r="824" spans="1:9" ht="18.75" customHeight="1" x14ac:dyDescent="0.25">
      <c r="A824" s="149"/>
      <c r="B824" s="23" t="s">
        <v>516</v>
      </c>
      <c r="C824" s="23"/>
      <c r="D824" s="23"/>
      <c r="E824" s="23"/>
      <c r="F824" s="23"/>
      <c r="G824" s="146" t="s">
        <v>525</v>
      </c>
      <c r="H824" s="16">
        <f>'Input &amp; Process'!H505</f>
        <v>3144.96</v>
      </c>
      <c r="I824" s="22" t="s">
        <v>148</v>
      </c>
    </row>
    <row r="825" spans="1:9" ht="18.75" customHeight="1" x14ac:dyDescent="0.25">
      <c r="A825" s="149"/>
      <c r="B825" s="23" t="s">
        <v>517</v>
      </c>
      <c r="C825" s="23"/>
      <c r="D825" s="23"/>
      <c r="E825" s="23"/>
      <c r="F825" s="23"/>
      <c r="G825" s="146" t="s">
        <v>526</v>
      </c>
      <c r="H825" s="16">
        <f>'Input &amp; Process'!H506</f>
        <v>2633.2775712471116</v>
      </c>
      <c r="I825" s="22" t="s">
        <v>148</v>
      </c>
    </row>
    <row r="826" spans="1:9" ht="18.75" customHeight="1" x14ac:dyDescent="0.25">
      <c r="A826" s="149"/>
      <c r="B826" s="23" t="s">
        <v>518</v>
      </c>
      <c r="C826" s="23"/>
      <c r="D826" s="23"/>
      <c r="E826" s="23"/>
      <c r="F826" s="23"/>
      <c r="G826" s="168" t="s">
        <v>519</v>
      </c>
      <c r="H826" s="12">
        <f>'Input &amp; Process'!H507</f>
        <v>1</v>
      </c>
      <c r="I826" s="22"/>
    </row>
    <row r="827" spans="1:9" ht="18.75" customHeight="1" x14ac:dyDescent="0.25">
      <c r="A827" s="149"/>
      <c r="B827" s="23" t="s">
        <v>495</v>
      </c>
      <c r="C827" s="23"/>
      <c r="D827" s="23"/>
      <c r="E827" s="23"/>
      <c r="F827" s="23"/>
      <c r="G827" s="146"/>
      <c r="H827" s="21"/>
      <c r="I827" s="22"/>
    </row>
    <row r="828" spans="1:9" ht="18.75" customHeight="1" x14ac:dyDescent="0.25">
      <c r="A828" s="149"/>
      <c r="B828" s="148" t="s">
        <v>19</v>
      </c>
      <c r="C828" s="23"/>
      <c r="D828" s="240" t="s">
        <v>901</v>
      </c>
      <c r="E828" s="21" t="s">
        <v>48</v>
      </c>
      <c r="F828" s="240" t="s">
        <v>902</v>
      </c>
      <c r="G828" s="146"/>
      <c r="H828" s="21"/>
      <c r="I828" s="22"/>
    </row>
    <row r="829" spans="1:9" ht="18.75" customHeight="1" x14ac:dyDescent="0.25">
      <c r="A829" s="149"/>
      <c r="B829" s="23"/>
      <c r="C829" s="23"/>
      <c r="D829" s="237">
        <f>'Input &amp; Process'!D510</f>
        <v>2633.2775712471116</v>
      </c>
      <c r="E829" s="21" t="str">
        <f>IF(D829&lt;=F829,"≤","&gt;")</f>
        <v>≤</v>
      </c>
      <c r="F829" s="237">
        <f>'Input &amp; Process'!F510</f>
        <v>3144.96</v>
      </c>
      <c r="G829" s="149" t="s">
        <v>14</v>
      </c>
      <c r="H829" s="149" t="str">
        <f>IF(D829&lt;=F829,"[ OK ]","[ NOT OK ]")</f>
        <v>[ OK ]</v>
      </c>
      <c r="I829" s="22"/>
    </row>
    <row r="830" spans="1:9" ht="18.75" customHeight="1" x14ac:dyDescent="0.25">
      <c r="A830" s="149"/>
      <c r="B830" s="23"/>
      <c r="C830" s="23"/>
      <c r="D830" s="23"/>
      <c r="E830" s="23"/>
      <c r="F830" s="23"/>
      <c r="G830" s="146"/>
      <c r="H830" s="21"/>
      <c r="I830" s="22"/>
    </row>
    <row r="831" spans="1:9" ht="18.75" customHeight="1" x14ac:dyDescent="0.25">
      <c r="A831" s="149"/>
      <c r="B831" s="23" t="s">
        <v>527</v>
      </c>
      <c r="C831" s="23"/>
      <c r="D831" s="23"/>
      <c r="E831" s="23"/>
      <c r="F831" s="23"/>
      <c r="G831" s="146" t="s">
        <v>528</v>
      </c>
      <c r="H831" s="187">
        <f>'Input &amp; Process'!H512</f>
        <v>400</v>
      </c>
      <c r="I831" s="22" t="s">
        <v>9</v>
      </c>
    </row>
    <row r="832" spans="1:9" ht="18.75" customHeight="1" x14ac:dyDescent="0.25">
      <c r="A832" s="149"/>
      <c r="B832" s="23" t="s">
        <v>529</v>
      </c>
      <c r="C832" s="23"/>
      <c r="D832" s="23"/>
      <c r="E832" s="23"/>
      <c r="F832" s="23"/>
      <c r="G832" s="146" t="s">
        <v>530</v>
      </c>
      <c r="H832" s="13">
        <f>'Input &amp; Process'!H513</f>
        <v>2.1</v>
      </c>
      <c r="I832" s="22"/>
    </row>
    <row r="833" spans="1:9" ht="18.75" customHeight="1" x14ac:dyDescent="0.25">
      <c r="A833" s="149"/>
      <c r="B833" s="23" t="s">
        <v>531</v>
      </c>
      <c r="C833" s="23"/>
      <c r="D833" s="23"/>
      <c r="E833" s="23"/>
      <c r="F833" s="23"/>
      <c r="G833" s="146" t="s">
        <v>215</v>
      </c>
      <c r="H833" s="187">
        <f>'Input &amp; Process'!H514</f>
        <v>150</v>
      </c>
      <c r="I833" s="22" t="s">
        <v>9</v>
      </c>
    </row>
    <row r="834" spans="1:9" ht="18.75" customHeight="1" x14ac:dyDescent="0.25">
      <c r="A834" s="149"/>
      <c r="B834" s="23" t="s">
        <v>532</v>
      </c>
      <c r="C834" s="23"/>
      <c r="D834" s="23"/>
      <c r="E834" s="23"/>
      <c r="F834" s="23"/>
      <c r="G834" s="146" t="s">
        <v>533</v>
      </c>
      <c r="H834" s="13">
        <f>'Input &amp; Process'!H515</f>
        <v>534</v>
      </c>
      <c r="I834" s="22" t="s">
        <v>9</v>
      </c>
    </row>
    <row r="835" spans="1:9" ht="18.75" customHeight="1" x14ac:dyDescent="0.25">
      <c r="A835" s="149"/>
      <c r="B835" s="23" t="s">
        <v>534</v>
      </c>
      <c r="C835" s="23"/>
      <c r="D835" s="23"/>
      <c r="E835" s="23"/>
      <c r="F835" s="23"/>
    </row>
    <row r="836" spans="1:9" ht="18.75" customHeight="1" x14ac:dyDescent="0.25">
      <c r="A836" s="149"/>
      <c r="B836" s="23"/>
      <c r="C836" s="23"/>
      <c r="D836" s="23"/>
      <c r="E836" s="23"/>
      <c r="F836" s="23"/>
      <c r="G836" s="146" t="s">
        <v>546</v>
      </c>
      <c r="H836" s="13">
        <f>'Input &amp; Process'!H516</f>
        <v>20544</v>
      </c>
      <c r="I836" s="22" t="s">
        <v>514</v>
      </c>
    </row>
    <row r="837" spans="1:9" ht="18.75" customHeight="1" x14ac:dyDescent="0.25">
      <c r="A837" s="149"/>
      <c r="B837" s="23" t="s">
        <v>535</v>
      </c>
      <c r="C837" s="23"/>
      <c r="D837" s="23"/>
      <c r="E837" s="23"/>
      <c r="F837" s="23"/>
      <c r="G837" s="146"/>
      <c r="H837" s="21"/>
      <c r="I837" s="22"/>
    </row>
    <row r="838" spans="1:9" ht="18.75" customHeight="1" x14ac:dyDescent="0.25">
      <c r="A838" s="149"/>
      <c r="B838" s="23"/>
      <c r="C838" s="23"/>
      <c r="D838" s="23"/>
      <c r="E838" s="23"/>
      <c r="F838" s="23"/>
      <c r="G838" s="146" t="s">
        <v>536</v>
      </c>
      <c r="H838" s="18">
        <f>'Input &amp; Process'!H518</f>
        <v>86838272</v>
      </c>
      <c r="I838" s="22" t="s">
        <v>537</v>
      </c>
    </row>
    <row r="839" spans="1:9" ht="18.75" customHeight="1" x14ac:dyDescent="0.25">
      <c r="A839" s="149"/>
      <c r="B839" s="23" t="s">
        <v>538</v>
      </c>
      <c r="C839" s="23"/>
      <c r="D839" s="23"/>
      <c r="E839" s="23"/>
      <c r="F839" s="23"/>
      <c r="G839" s="146" t="s">
        <v>545</v>
      </c>
      <c r="H839" s="12">
        <f>'Input &amp; Process'!H519</f>
        <v>65.01492759335234</v>
      </c>
      <c r="I839" s="22" t="s">
        <v>9</v>
      </c>
    </row>
    <row r="840" spans="1:9" ht="18.75" customHeight="1" x14ac:dyDescent="0.25">
      <c r="A840" s="149"/>
      <c r="B840" s="23" t="s">
        <v>682</v>
      </c>
      <c r="C840" s="23"/>
      <c r="D840" s="23"/>
      <c r="E840" s="23"/>
      <c r="F840" s="23"/>
      <c r="G840" s="146" t="s">
        <v>539</v>
      </c>
      <c r="H840" s="16">
        <f>'Input &amp; Process'!H520</f>
        <v>3.0444241995763552E-2</v>
      </c>
      <c r="I840" s="22"/>
    </row>
    <row r="841" spans="1:9" ht="18.75" customHeight="1" x14ac:dyDescent="0.25">
      <c r="A841" s="149"/>
      <c r="B841" s="23" t="s">
        <v>540</v>
      </c>
      <c r="C841" s="23"/>
      <c r="D841" s="23"/>
      <c r="E841" s="23"/>
      <c r="F841" s="23"/>
      <c r="G841" s="146"/>
      <c r="H841" s="21"/>
      <c r="I841" s="22"/>
    </row>
    <row r="842" spans="1:9" ht="18.75" customHeight="1" x14ac:dyDescent="0.25">
      <c r="A842" s="149"/>
      <c r="B842" s="307" t="s">
        <v>541</v>
      </c>
      <c r="C842" s="88"/>
      <c r="D842" s="88"/>
      <c r="E842" s="88"/>
      <c r="F842" s="88"/>
      <c r="G842" s="98" t="s">
        <v>543</v>
      </c>
      <c r="H842" s="12">
        <f>'Input &amp; Process'!H522</f>
        <v>7302.8715019874644</v>
      </c>
      <c r="I842" s="22" t="s">
        <v>148</v>
      </c>
    </row>
    <row r="843" spans="1:9" ht="18.75" customHeight="1" x14ac:dyDescent="0.25">
      <c r="A843" s="149"/>
      <c r="B843" s="307" t="s">
        <v>542</v>
      </c>
      <c r="C843" s="88"/>
      <c r="D843" s="88"/>
      <c r="E843" s="88"/>
      <c r="F843" s="88"/>
      <c r="G843" s="98" t="s">
        <v>544</v>
      </c>
      <c r="H843" s="12" t="str">
        <f>'Input &amp; Process'!H523</f>
        <v/>
      </c>
      <c r="I843" s="22" t="s">
        <v>148</v>
      </c>
    </row>
    <row r="844" spans="1:9" ht="18.75" customHeight="1" x14ac:dyDescent="0.25">
      <c r="A844" s="149"/>
      <c r="B844" s="23"/>
      <c r="C844" s="23"/>
      <c r="D844" s="23"/>
      <c r="E844" s="23"/>
      <c r="F844" s="23"/>
      <c r="G844" s="146" t="s">
        <v>547</v>
      </c>
      <c r="H844" s="12">
        <f>'Input &amp; Process'!H524</f>
        <v>7302.8715019874644</v>
      </c>
      <c r="I844" s="22" t="s">
        <v>148</v>
      </c>
    </row>
    <row r="845" spans="1:9" ht="18.75" customHeight="1" x14ac:dyDescent="0.25">
      <c r="A845" s="149"/>
      <c r="B845" s="23" t="s">
        <v>548</v>
      </c>
      <c r="C845" s="23"/>
      <c r="D845" s="23"/>
      <c r="E845" s="23"/>
      <c r="F845" s="23"/>
      <c r="G845" s="168" t="s">
        <v>549</v>
      </c>
      <c r="H845" s="12">
        <f>'Input &amp; Process'!H525</f>
        <v>0.9</v>
      </c>
      <c r="I845" s="22"/>
    </row>
    <row r="846" spans="1:9" ht="18.75" customHeight="1" x14ac:dyDescent="0.25">
      <c r="A846" s="149"/>
      <c r="B846" s="23" t="s">
        <v>877</v>
      </c>
      <c r="C846" s="23"/>
      <c r="D846" s="23"/>
      <c r="E846" s="23"/>
      <c r="F846" s="23"/>
      <c r="G846" s="146"/>
      <c r="H846" s="21"/>
      <c r="I846" s="22"/>
    </row>
    <row r="847" spans="1:9" ht="18.75" customHeight="1" x14ac:dyDescent="0.25">
      <c r="A847" s="149"/>
      <c r="B847" s="148" t="s">
        <v>19</v>
      </c>
      <c r="C847" s="23"/>
      <c r="D847" s="240" t="s">
        <v>566</v>
      </c>
      <c r="E847" s="21" t="s">
        <v>48</v>
      </c>
      <c r="F847" s="239" t="s">
        <v>900</v>
      </c>
      <c r="G847" s="146"/>
      <c r="H847" s="21"/>
      <c r="I847" s="22"/>
    </row>
    <row r="848" spans="1:9" ht="18.75" customHeight="1" x14ac:dyDescent="0.25">
      <c r="A848" s="149"/>
      <c r="B848" s="23"/>
      <c r="C848" s="23"/>
      <c r="D848" s="237">
        <f>'Input &amp; Process'!D528</f>
        <v>2633.2775712471116</v>
      </c>
      <c r="E848" s="21" t="str">
        <f>IF(D848&lt;=F848,"≤","&gt;")</f>
        <v>≤</v>
      </c>
      <c r="F848" s="237">
        <f>'Input &amp; Process'!F528</f>
        <v>6572.5843517887179</v>
      </c>
      <c r="G848" s="149" t="s">
        <v>14</v>
      </c>
      <c r="H848" s="149" t="str">
        <f>IF(D848&lt;=F848,"[ OK ]","[ NOT OK ]")</f>
        <v>[ OK ]</v>
      </c>
      <c r="I848" s="22"/>
    </row>
    <row r="849" spans="1:9" ht="18.75" customHeight="1" x14ac:dyDescent="0.25">
      <c r="A849" s="149"/>
      <c r="B849" s="23"/>
      <c r="C849" s="23"/>
      <c r="D849" s="70"/>
      <c r="E849" s="21"/>
      <c r="F849" s="70"/>
      <c r="G849" s="149"/>
      <c r="H849" s="149"/>
      <c r="I849" s="22"/>
    </row>
    <row r="850" spans="1:9" ht="18.75" customHeight="1" x14ac:dyDescent="0.25">
      <c r="A850" s="273" t="s">
        <v>811</v>
      </c>
      <c r="B850" s="138" t="s">
        <v>809</v>
      </c>
      <c r="C850" s="139"/>
      <c r="D850" s="139"/>
      <c r="E850" s="139"/>
      <c r="F850" s="139"/>
      <c r="G850" s="140"/>
      <c r="H850" s="139"/>
      <c r="I850" s="269"/>
    </row>
    <row r="851" spans="1:9" ht="18.75" customHeight="1" x14ac:dyDescent="0.25">
      <c r="A851" s="149"/>
      <c r="B851" s="169" t="s">
        <v>554</v>
      </c>
      <c r="C851" s="23"/>
      <c r="D851" s="23"/>
      <c r="E851" s="23"/>
      <c r="F851" s="23"/>
      <c r="G851" s="146" t="s">
        <v>30</v>
      </c>
      <c r="H851" s="13">
        <f>'Input &amp; Process'!H532</f>
        <v>360</v>
      </c>
      <c r="I851" s="22" t="s">
        <v>23</v>
      </c>
    </row>
    <row r="852" spans="1:9" ht="18.75" customHeight="1" x14ac:dyDescent="0.25">
      <c r="A852" s="174"/>
      <c r="B852" s="169" t="s">
        <v>422</v>
      </c>
      <c r="C852" s="169"/>
      <c r="D852" s="85"/>
      <c r="E852" s="170"/>
      <c r="F852" s="86"/>
      <c r="G852" s="168" t="s">
        <v>423</v>
      </c>
      <c r="H852" s="68">
        <f>'Input &amp; Process'!H533</f>
        <v>1</v>
      </c>
      <c r="I852" s="166"/>
    </row>
    <row r="853" spans="1:9" ht="18.75" customHeight="1" x14ac:dyDescent="0.25">
      <c r="A853" s="149"/>
      <c r="B853" s="169" t="s">
        <v>551</v>
      </c>
      <c r="C853" s="23"/>
      <c r="D853" s="23"/>
      <c r="E853" s="23"/>
      <c r="F853" s="23"/>
      <c r="G853" s="146" t="s">
        <v>563</v>
      </c>
      <c r="H853" s="16">
        <f>'Input &amp; Process'!H534</f>
        <v>9870.7739999999994</v>
      </c>
      <c r="I853" s="22" t="s">
        <v>137</v>
      </c>
    </row>
    <row r="854" spans="1:9" ht="18.75" customHeight="1" x14ac:dyDescent="0.25">
      <c r="A854" s="149"/>
      <c r="B854" s="169" t="s">
        <v>552</v>
      </c>
      <c r="C854" s="23"/>
      <c r="D854" s="23"/>
      <c r="E854" s="23"/>
      <c r="F854" s="23"/>
      <c r="G854" s="146" t="s">
        <v>564</v>
      </c>
      <c r="H854" s="16">
        <f>'Input &amp; Process'!H535</f>
        <v>2942.734375</v>
      </c>
      <c r="I854" s="22" t="s">
        <v>137</v>
      </c>
    </row>
    <row r="855" spans="1:9" ht="18.75" customHeight="1" x14ac:dyDescent="0.25">
      <c r="A855" s="149"/>
      <c r="B855" s="169" t="s">
        <v>553</v>
      </c>
      <c r="C855" s="23"/>
      <c r="D855" s="23"/>
      <c r="E855" s="23"/>
      <c r="F855" s="23"/>
      <c r="G855" s="146" t="s">
        <v>565</v>
      </c>
      <c r="H855" s="16">
        <f>'Input &amp; Process'!H536</f>
        <v>14139.125</v>
      </c>
      <c r="I855" s="22" t="s">
        <v>137</v>
      </c>
    </row>
    <row r="856" spans="1:9" ht="18.75" customHeight="1" x14ac:dyDescent="0.25">
      <c r="A856" s="149"/>
      <c r="B856" s="169"/>
      <c r="C856" s="23"/>
      <c r="D856" s="23"/>
      <c r="E856" s="23"/>
      <c r="F856" s="23"/>
      <c r="G856" s="146"/>
      <c r="H856" s="21"/>
      <c r="I856" s="22"/>
    </row>
    <row r="857" spans="1:9" ht="18.75" customHeight="1" x14ac:dyDescent="0.25">
      <c r="A857" s="149"/>
      <c r="B857" s="169" t="s">
        <v>555</v>
      </c>
      <c r="C857" s="23"/>
      <c r="D857" s="23"/>
      <c r="E857" s="23"/>
      <c r="F857" s="23"/>
    </row>
    <row r="858" spans="1:9" ht="18.75" customHeight="1" x14ac:dyDescent="0.25">
      <c r="A858" s="149"/>
      <c r="B858" s="169"/>
      <c r="C858" s="23"/>
      <c r="D858" s="23"/>
      <c r="E858" s="23"/>
      <c r="F858" s="23"/>
      <c r="G858" s="146" t="s">
        <v>556</v>
      </c>
      <c r="H858" s="16">
        <f>'Input &amp; Process'!H538</f>
        <v>234.08638717564651</v>
      </c>
      <c r="I858" s="22" t="s">
        <v>23</v>
      </c>
    </row>
    <row r="859" spans="1:9" ht="18.75" customHeight="1" x14ac:dyDescent="0.25">
      <c r="A859" s="149"/>
      <c r="B859" s="169" t="s">
        <v>557</v>
      </c>
      <c r="C859" s="23"/>
      <c r="D859" s="23"/>
      <c r="E859" s="23"/>
      <c r="F859" s="23"/>
    </row>
    <row r="860" spans="1:9" ht="18.75" customHeight="1" x14ac:dyDescent="0.25">
      <c r="A860" s="149"/>
      <c r="B860" s="169"/>
      <c r="C860" s="23"/>
      <c r="D860" s="23"/>
      <c r="E860" s="23"/>
      <c r="F860" s="23"/>
      <c r="G860" s="146" t="s">
        <v>558</v>
      </c>
      <c r="H860" s="16">
        <f>'Input &amp; Process'!H539</f>
        <v>260.14549010429141</v>
      </c>
      <c r="I860" s="22" t="s">
        <v>23</v>
      </c>
    </row>
    <row r="861" spans="1:9" ht="18.75" customHeight="1" x14ac:dyDescent="0.25">
      <c r="A861" s="149"/>
      <c r="B861" s="169" t="s">
        <v>559</v>
      </c>
      <c r="C861" s="23"/>
      <c r="D861" s="23"/>
      <c r="E861" s="23"/>
      <c r="F861" s="23"/>
      <c r="G861" s="146" t="s">
        <v>560</v>
      </c>
      <c r="H861" s="16">
        <f>'Input &amp; Process'!H540</f>
        <v>260.14549010429141</v>
      </c>
      <c r="I861" s="22" t="s">
        <v>23</v>
      </c>
    </row>
    <row r="862" spans="1:9" ht="18.75" customHeight="1" x14ac:dyDescent="0.25">
      <c r="A862" s="149"/>
      <c r="B862" s="169"/>
      <c r="C862" s="23"/>
      <c r="D862" s="23"/>
      <c r="E862" s="23"/>
      <c r="F862" s="23"/>
      <c r="G862" s="146"/>
      <c r="H862" s="21"/>
      <c r="I862" s="22"/>
    </row>
    <row r="863" spans="1:9" ht="18.75" customHeight="1" x14ac:dyDescent="0.25">
      <c r="A863" s="149"/>
      <c r="B863" s="23" t="s">
        <v>561</v>
      </c>
      <c r="C863" s="23"/>
      <c r="D863" s="23"/>
      <c r="E863" s="23"/>
      <c r="F863" s="23"/>
      <c r="G863" s="146"/>
      <c r="H863" s="21"/>
      <c r="I863" s="22"/>
    </row>
    <row r="864" spans="1:9" ht="18.75" customHeight="1" x14ac:dyDescent="0.25">
      <c r="A864" s="149"/>
      <c r="B864" s="148" t="s">
        <v>19</v>
      </c>
      <c r="C864" s="23"/>
      <c r="D864" s="323" t="s">
        <v>945</v>
      </c>
      <c r="E864" s="21" t="s">
        <v>48</v>
      </c>
      <c r="F864" s="322" t="s">
        <v>944</v>
      </c>
      <c r="G864" s="146"/>
      <c r="H864" s="21"/>
      <c r="I864" s="22"/>
    </row>
    <row r="865" spans="1:9" ht="18.75" customHeight="1" x14ac:dyDescent="0.25">
      <c r="A865" s="149"/>
      <c r="B865" s="23"/>
      <c r="C865" s="23"/>
      <c r="D865" s="237">
        <f>'Input &amp; Process'!D544</f>
        <v>260.14549010429141</v>
      </c>
      <c r="E865" s="21" t="str">
        <f>IF(D865&lt;=F865,"≤","&gt;")</f>
        <v>≤</v>
      </c>
      <c r="F865" s="237">
        <f>'Input &amp; Process'!F544</f>
        <v>342</v>
      </c>
      <c r="G865" s="149" t="s">
        <v>14</v>
      </c>
      <c r="H865" s="149" t="str">
        <f>IF(D865&lt;=F865,"[ OK ]","[ NOT OK ]")</f>
        <v>[ OK ]</v>
      </c>
      <c r="I865" s="22"/>
    </row>
    <row r="866" spans="1:9" ht="18.75" customHeight="1" x14ac:dyDescent="0.25">
      <c r="A866" s="149"/>
      <c r="B866" s="23"/>
      <c r="C866" s="23"/>
      <c r="D866" s="70"/>
      <c r="E866" s="21"/>
      <c r="F866" s="70"/>
      <c r="G866" s="149"/>
      <c r="H866" s="149"/>
      <c r="I866" s="22"/>
    </row>
    <row r="867" spans="1:9" ht="18.75" customHeight="1" x14ac:dyDescent="0.25">
      <c r="A867" s="149"/>
      <c r="B867" s="169"/>
      <c r="C867" s="23"/>
      <c r="D867" s="23"/>
      <c r="E867" s="23"/>
      <c r="F867" s="23"/>
      <c r="G867" s="146"/>
      <c r="H867" s="21"/>
      <c r="I867" s="22"/>
    </row>
    <row r="868" spans="1:9" ht="18.75" customHeight="1" x14ac:dyDescent="0.25">
      <c r="A868" s="273" t="s">
        <v>813</v>
      </c>
      <c r="B868" s="138" t="s">
        <v>810</v>
      </c>
      <c r="C868" s="139"/>
      <c r="D868" s="139"/>
      <c r="E868" s="139"/>
      <c r="F868" s="139"/>
      <c r="G868" s="140"/>
      <c r="H868" s="139"/>
      <c r="I868" s="269"/>
    </row>
    <row r="869" spans="1:9" ht="18.75" customHeight="1" x14ac:dyDescent="0.25">
      <c r="A869" s="149"/>
      <c r="B869" s="169" t="s">
        <v>554</v>
      </c>
      <c r="C869" s="169"/>
      <c r="D869" s="169"/>
      <c r="E869" s="169"/>
      <c r="F869" s="169"/>
      <c r="G869" s="146" t="s">
        <v>30</v>
      </c>
      <c r="H869" s="73">
        <f>'Input &amp; Process'!H548</f>
        <v>360</v>
      </c>
      <c r="I869" s="22" t="s">
        <v>23</v>
      </c>
    </row>
    <row r="870" spans="1:9" ht="18.75" customHeight="1" x14ac:dyDescent="0.25">
      <c r="A870" s="149"/>
      <c r="B870" s="169" t="s">
        <v>568</v>
      </c>
      <c r="C870" s="169"/>
      <c r="D870" s="169"/>
      <c r="E870" s="169"/>
      <c r="F870" s="169"/>
      <c r="G870" s="168" t="s">
        <v>571</v>
      </c>
      <c r="H870" s="87">
        <f>'Input &amp; Process'!H549</f>
        <v>6562.5</v>
      </c>
      <c r="I870" s="272" t="s">
        <v>137</v>
      </c>
    </row>
    <row r="871" spans="1:9" ht="18.75" customHeight="1" x14ac:dyDescent="0.25">
      <c r="A871" s="149"/>
      <c r="B871" s="169" t="s">
        <v>569</v>
      </c>
      <c r="C871" s="169"/>
      <c r="D871" s="169"/>
      <c r="E871" s="169"/>
      <c r="F871" s="169"/>
      <c r="G871" s="168" t="s">
        <v>572</v>
      </c>
      <c r="H871" s="87">
        <f>'Input &amp; Process'!H550</f>
        <v>2876.7599999999998</v>
      </c>
      <c r="I871" s="272" t="s">
        <v>137</v>
      </c>
    </row>
    <row r="872" spans="1:9" ht="18.75" customHeight="1" x14ac:dyDescent="0.25">
      <c r="A872" s="149"/>
      <c r="B872" s="169" t="s">
        <v>570</v>
      </c>
      <c r="C872" s="169"/>
      <c r="D872" s="169"/>
      <c r="E872" s="169"/>
      <c r="F872" s="169"/>
      <c r="G872" s="168" t="s">
        <v>573</v>
      </c>
      <c r="H872" s="87">
        <f>'Input &amp; Process'!H551</f>
        <v>431.51399999999995</v>
      </c>
      <c r="I872" s="272" t="s">
        <v>137</v>
      </c>
    </row>
    <row r="873" spans="1:9" ht="18.75" customHeight="1" x14ac:dyDescent="0.25">
      <c r="A873" s="149"/>
      <c r="B873" s="169" t="s">
        <v>552</v>
      </c>
      <c r="C873" s="169"/>
      <c r="D873" s="169"/>
      <c r="E873" s="169"/>
      <c r="F873" s="169"/>
      <c r="G873" s="168" t="s">
        <v>574</v>
      </c>
      <c r="H873" s="87">
        <f>'Input &amp; Process'!H552</f>
        <v>2942.7343750000005</v>
      </c>
      <c r="I873" s="272" t="s">
        <v>137</v>
      </c>
    </row>
    <row r="874" spans="1:9" ht="18.75" customHeight="1" x14ac:dyDescent="0.25">
      <c r="A874" s="149"/>
      <c r="B874" s="169" t="s">
        <v>576</v>
      </c>
      <c r="C874" s="169"/>
      <c r="D874" s="169"/>
      <c r="E874" s="169"/>
      <c r="F874" s="169"/>
      <c r="G874" s="169"/>
      <c r="H874" s="170"/>
      <c r="I874" s="272"/>
    </row>
    <row r="875" spans="1:9" ht="18.75" customHeight="1" x14ac:dyDescent="0.25">
      <c r="A875" s="149"/>
      <c r="B875" s="169"/>
      <c r="C875" s="169"/>
      <c r="D875" s="169"/>
      <c r="E875" s="169"/>
      <c r="F875" s="169"/>
      <c r="G875" s="168" t="s">
        <v>575</v>
      </c>
      <c r="H875" s="87">
        <f>'Input &amp; Process'!H554</f>
        <v>12170.3514</v>
      </c>
      <c r="I875" s="272" t="s">
        <v>137</v>
      </c>
    </row>
    <row r="876" spans="1:9" ht="18.75" customHeight="1" x14ac:dyDescent="0.25">
      <c r="A876" s="149"/>
      <c r="B876" s="169" t="s">
        <v>577</v>
      </c>
      <c r="C876" s="169"/>
      <c r="D876" s="169"/>
      <c r="E876" s="169"/>
      <c r="F876" s="169"/>
      <c r="G876" s="168"/>
      <c r="H876" s="170"/>
      <c r="I876" s="272"/>
    </row>
    <row r="877" spans="1:9" ht="18.75" customHeight="1" x14ac:dyDescent="0.25">
      <c r="A877" s="149"/>
      <c r="B877" s="169"/>
      <c r="C877" s="169"/>
      <c r="D877" s="169"/>
      <c r="E877" s="169"/>
      <c r="F877" s="169"/>
      <c r="G877" s="168" t="s">
        <v>578</v>
      </c>
      <c r="H877" s="87">
        <f>'Input &amp; Process'!H556</f>
        <v>4119.828125</v>
      </c>
      <c r="I877" s="272" t="s">
        <v>137</v>
      </c>
    </row>
    <row r="878" spans="1:9" ht="18.75" customHeight="1" x14ac:dyDescent="0.25">
      <c r="A878" s="149"/>
      <c r="B878" s="169" t="s">
        <v>555</v>
      </c>
      <c r="C878" s="23"/>
      <c r="D878" s="23"/>
      <c r="E878" s="23"/>
      <c r="F878" s="23"/>
      <c r="G878" s="146" t="s">
        <v>695</v>
      </c>
      <c r="H878" s="100">
        <f>'Input &amp; Process'!H557</f>
        <v>201.17252691300075</v>
      </c>
      <c r="I878" s="22" t="s">
        <v>23</v>
      </c>
    </row>
    <row r="879" spans="1:9" ht="18.75" customHeight="1" x14ac:dyDescent="0.25">
      <c r="A879" s="149"/>
      <c r="B879" s="169" t="s">
        <v>557</v>
      </c>
      <c r="C879" s="23"/>
      <c r="D879" s="23"/>
      <c r="E879" s="23"/>
      <c r="F879" s="23"/>
      <c r="G879" s="146" t="s">
        <v>696</v>
      </c>
      <c r="H879" s="16">
        <f>'Input &amp; Process'!H558</f>
        <v>140.98548190605743</v>
      </c>
      <c r="I879" s="22" t="s">
        <v>23</v>
      </c>
    </row>
    <row r="880" spans="1:9" ht="18.75" customHeight="1" x14ac:dyDescent="0.25">
      <c r="A880" s="149"/>
      <c r="B880" s="169"/>
      <c r="C880" s="169"/>
      <c r="D880" s="169"/>
      <c r="E880" s="169"/>
      <c r="F880" s="169"/>
      <c r="G880" s="168"/>
      <c r="H880" s="85"/>
      <c r="I880" s="272"/>
    </row>
    <row r="881" spans="1:9" ht="18.75" customHeight="1" x14ac:dyDescent="0.25">
      <c r="A881" s="149"/>
      <c r="B881" s="169"/>
      <c r="C881" s="169"/>
      <c r="D881" s="169"/>
      <c r="E881" s="169"/>
      <c r="F881" s="169"/>
      <c r="G881" s="168"/>
      <c r="H881" s="85"/>
      <c r="I881" s="272"/>
    </row>
    <row r="882" spans="1:9" ht="18.75" customHeight="1" x14ac:dyDescent="0.25">
      <c r="A882" s="149"/>
      <c r="B882" s="169"/>
      <c r="C882" s="169"/>
      <c r="D882" s="169"/>
      <c r="E882" s="169"/>
      <c r="F882" s="169"/>
      <c r="G882" s="168"/>
      <c r="H882" s="85"/>
      <c r="I882" s="272"/>
    </row>
    <row r="883" spans="1:9" ht="18.75" customHeight="1" x14ac:dyDescent="0.25">
      <c r="A883" s="149"/>
      <c r="B883" s="243" t="s">
        <v>607</v>
      </c>
      <c r="C883" s="244"/>
      <c r="D883" s="244"/>
      <c r="E883" s="244"/>
      <c r="F883" s="244"/>
      <c r="G883" s="245"/>
      <c r="H883" s="246"/>
      <c r="I883" s="296"/>
    </row>
    <row r="884" spans="1:9" ht="18.75" customHeight="1" x14ac:dyDescent="0.25">
      <c r="A884" s="149"/>
      <c r="B884" s="169" t="s">
        <v>601</v>
      </c>
      <c r="C884" s="169"/>
      <c r="D884" s="169"/>
      <c r="E884" s="169"/>
      <c r="F884" s="169"/>
      <c r="G884" s="168" t="s">
        <v>630</v>
      </c>
      <c r="H884" s="68">
        <f>'Input &amp; Process'!H561</f>
        <v>4.4000000000000004</v>
      </c>
      <c r="I884" s="272" t="s">
        <v>2</v>
      </c>
    </row>
    <row r="885" spans="1:9" ht="18.75" customHeight="1" x14ac:dyDescent="0.25">
      <c r="A885" s="149"/>
      <c r="B885" s="169" t="s">
        <v>584</v>
      </c>
      <c r="C885" s="169"/>
      <c r="D885" s="169"/>
      <c r="E885" s="169"/>
      <c r="F885" s="169"/>
      <c r="G885" s="168" t="s">
        <v>64</v>
      </c>
      <c r="H885" s="68">
        <f>'Input &amp; Process'!H562</f>
        <v>0.25</v>
      </c>
      <c r="I885" s="272" t="s">
        <v>2</v>
      </c>
    </row>
    <row r="886" spans="1:9" ht="18.75" customHeight="1" x14ac:dyDescent="0.25">
      <c r="A886" s="149"/>
      <c r="B886" s="169" t="s">
        <v>582</v>
      </c>
      <c r="C886" s="169"/>
      <c r="D886" s="169"/>
      <c r="E886" s="169"/>
      <c r="F886" s="169"/>
      <c r="G886" s="168" t="s">
        <v>591</v>
      </c>
      <c r="H886" s="78">
        <f>'Input &amp; Process'!H563</f>
        <v>1.2</v>
      </c>
      <c r="I886" s="272" t="s">
        <v>2</v>
      </c>
    </row>
    <row r="887" spans="1:9" ht="18.75" customHeight="1" x14ac:dyDescent="0.25">
      <c r="A887" s="149"/>
      <c r="B887" s="169" t="s">
        <v>583</v>
      </c>
      <c r="C887" s="169"/>
      <c r="D887" s="169"/>
      <c r="E887" s="169"/>
      <c r="F887" s="169"/>
      <c r="G887" s="168" t="s">
        <v>592</v>
      </c>
      <c r="H887" s="68">
        <f>'Input &amp; Process'!H564</f>
        <v>3.5999999999999996</v>
      </c>
      <c r="I887" s="272" t="s">
        <v>585</v>
      </c>
    </row>
    <row r="888" spans="1:9" ht="18.75" customHeight="1" x14ac:dyDescent="0.25">
      <c r="A888" s="149"/>
      <c r="B888" s="169" t="s">
        <v>586</v>
      </c>
      <c r="C888" s="169"/>
      <c r="D888" s="169"/>
      <c r="E888" s="169"/>
      <c r="F888" s="169"/>
      <c r="G888" s="168" t="s">
        <v>593</v>
      </c>
      <c r="H888" s="78">
        <f>'Input &amp; Process'!H565</f>
        <v>0.6</v>
      </c>
      <c r="I888" s="272" t="s">
        <v>585</v>
      </c>
    </row>
    <row r="889" spans="1:9" ht="18.75" customHeight="1" x14ac:dyDescent="0.25">
      <c r="A889" s="149"/>
      <c r="B889" s="169" t="s">
        <v>587</v>
      </c>
      <c r="C889" s="169"/>
      <c r="D889" s="169"/>
      <c r="E889" s="169"/>
      <c r="F889" s="169"/>
      <c r="G889" s="168" t="s">
        <v>594</v>
      </c>
      <c r="H889" s="78">
        <f>'Input &amp; Process'!H566</f>
        <v>1.5</v>
      </c>
      <c r="I889" s="272" t="s">
        <v>585</v>
      </c>
    </row>
    <row r="890" spans="1:9" ht="18.75" customHeight="1" x14ac:dyDescent="0.25">
      <c r="A890" s="149"/>
      <c r="B890" s="169" t="s">
        <v>588</v>
      </c>
      <c r="C890" s="169"/>
      <c r="D890" s="169"/>
      <c r="E890" s="169"/>
      <c r="F890" s="169"/>
      <c r="G890" s="168" t="s">
        <v>595</v>
      </c>
      <c r="H890" s="78">
        <f>'Input &amp; Process'!H567</f>
        <v>0.5</v>
      </c>
      <c r="I890" s="272" t="s">
        <v>585</v>
      </c>
    </row>
    <row r="891" spans="1:9" ht="18.75" customHeight="1" x14ac:dyDescent="0.25">
      <c r="A891" s="149"/>
      <c r="B891" s="169" t="s">
        <v>589</v>
      </c>
      <c r="C891" s="169"/>
      <c r="D891" s="169"/>
      <c r="E891" s="169"/>
      <c r="F891" s="169"/>
      <c r="G891" s="168" t="s">
        <v>596</v>
      </c>
      <c r="H891" s="78">
        <f>'Input &amp; Process'!H568</f>
        <v>2</v>
      </c>
      <c r="I891" s="272" t="s">
        <v>585</v>
      </c>
    </row>
    <row r="892" spans="1:9" ht="18.75" customHeight="1" x14ac:dyDescent="0.25">
      <c r="A892" s="149"/>
      <c r="B892" s="169" t="s">
        <v>590</v>
      </c>
      <c r="C892" s="169"/>
      <c r="D892" s="169"/>
      <c r="E892" s="169"/>
      <c r="F892" s="169"/>
      <c r="G892" s="168" t="s">
        <v>597</v>
      </c>
      <c r="H892" s="78">
        <f>'Input &amp; Process'!H569</f>
        <v>13</v>
      </c>
      <c r="I892" s="272" t="s">
        <v>585</v>
      </c>
    </row>
    <row r="893" spans="1:9" ht="18.75" customHeight="1" x14ac:dyDescent="0.25">
      <c r="A893" s="149"/>
      <c r="B893" s="169"/>
      <c r="C893" s="169"/>
      <c r="D893" s="169"/>
      <c r="E893" s="169"/>
      <c r="F893" s="169"/>
      <c r="G893" s="168"/>
      <c r="H893" s="170"/>
      <c r="I893" s="272"/>
    </row>
    <row r="894" spans="1:9" ht="18.75" customHeight="1" x14ac:dyDescent="0.25">
      <c r="A894" s="149"/>
      <c r="B894" s="169" t="s">
        <v>598</v>
      </c>
      <c r="C894" s="169"/>
      <c r="D894" s="169"/>
      <c r="E894" s="169"/>
      <c r="F894" s="169"/>
      <c r="G894" s="168" t="s">
        <v>599</v>
      </c>
      <c r="H894" s="71">
        <f>'Input &amp; Process'!H571</f>
        <v>9.2799999999999994</v>
      </c>
      <c r="I894" s="272" t="s">
        <v>585</v>
      </c>
    </row>
    <row r="895" spans="1:9" ht="18.75" customHeight="1" x14ac:dyDescent="0.25">
      <c r="A895" s="149"/>
      <c r="B895" s="169" t="s">
        <v>581</v>
      </c>
      <c r="C895" s="169"/>
      <c r="D895" s="169"/>
      <c r="E895" s="169"/>
      <c r="F895" s="169"/>
      <c r="G895" s="168" t="s">
        <v>6</v>
      </c>
      <c r="H895" s="68">
        <f>'Input &amp; Process'!H572</f>
        <v>2.1</v>
      </c>
      <c r="I895" s="272" t="s">
        <v>2</v>
      </c>
    </row>
    <row r="896" spans="1:9" ht="18.75" customHeight="1" x14ac:dyDescent="0.25">
      <c r="A896" s="149"/>
      <c r="B896" s="169" t="s">
        <v>580</v>
      </c>
      <c r="C896" s="169"/>
      <c r="D896" s="169"/>
      <c r="E896" s="169"/>
      <c r="F896" s="169"/>
      <c r="G896" s="168" t="s">
        <v>604</v>
      </c>
      <c r="H896" s="87">
        <f>'Input &amp; Process'!H573</f>
        <v>5.3028571428571425</v>
      </c>
      <c r="I896" s="272" t="s">
        <v>585</v>
      </c>
    </row>
    <row r="897" spans="1:9" ht="18.75" customHeight="1" x14ac:dyDescent="0.25">
      <c r="A897" s="149"/>
      <c r="B897" s="169" t="s">
        <v>600</v>
      </c>
      <c r="C897" s="169"/>
      <c r="D897" s="169"/>
      <c r="E897" s="169"/>
      <c r="F897" s="169"/>
      <c r="G897" s="168" t="s">
        <v>691</v>
      </c>
      <c r="H897" s="87">
        <f>'Input &amp; Process'!H574</f>
        <v>12.832914285714287</v>
      </c>
      <c r="I897" s="272" t="s">
        <v>137</v>
      </c>
    </row>
    <row r="898" spans="1:9" ht="18.75" customHeight="1" x14ac:dyDescent="0.25">
      <c r="A898" s="149"/>
      <c r="B898" s="169" t="s">
        <v>579</v>
      </c>
      <c r="C898" s="169"/>
      <c r="D898" s="169"/>
      <c r="E898" s="169"/>
      <c r="F898" s="169"/>
      <c r="G898" s="168" t="s">
        <v>623</v>
      </c>
      <c r="H898" s="87">
        <f>'Input &amp; Process'!H575</f>
        <v>26.66117926394935</v>
      </c>
      <c r="I898" s="272" t="s">
        <v>23</v>
      </c>
    </row>
    <row r="899" spans="1:9" ht="18.75" customHeight="1" x14ac:dyDescent="0.25">
      <c r="A899" s="149"/>
      <c r="B899" s="23"/>
      <c r="C899" s="23"/>
      <c r="D899" s="23"/>
      <c r="E899" s="23"/>
      <c r="F899" s="23"/>
      <c r="G899" s="146"/>
      <c r="H899" s="21"/>
      <c r="I899" s="22"/>
    </row>
    <row r="900" spans="1:9" ht="18.75" customHeight="1" x14ac:dyDescent="0.25">
      <c r="A900" s="149"/>
      <c r="B900" s="169" t="s">
        <v>602</v>
      </c>
      <c r="C900" s="169"/>
      <c r="D900" s="169"/>
      <c r="E900" s="169"/>
      <c r="F900" s="169"/>
      <c r="G900" s="168" t="s">
        <v>605</v>
      </c>
      <c r="H900" s="16">
        <f>'Input &amp; Process'!H577</f>
        <v>7.4285714285714279</v>
      </c>
      <c r="I900" s="272" t="s">
        <v>585</v>
      </c>
    </row>
    <row r="901" spans="1:9" ht="18.75" customHeight="1" x14ac:dyDescent="0.25">
      <c r="A901" s="149"/>
      <c r="B901" s="169" t="s">
        <v>600</v>
      </c>
      <c r="C901" s="169"/>
      <c r="D901" s="169"/>
      <c r="E901" s="169"/>
      <c r="F901" s="169"/>
      <c r="G901" s="168" t="s">
        <v>692</v>
      </c>
      <c r="H901" s="87">
        <f>'Input &amp; Process'!H578</f>
        <v>17.977142857142859</v>
      </c>
      <c r="I901" s="272" t="s">
        <v>137</v>
      </c>
    </row>
    <row r="902" spans="1:9" ht="18.75" customHeight="1" x14ac:dyDescent="0.25">
      <c r="A902" s="149"/>
      <c r="B902" s="169" t="s">
        <v>579</v>
      </c>
      <c r="C902" s="169"/>
      <c r="D902" s="169"/>
      <c r="E902" s="169"/>
      <c r="F902" s="169"/>
      <c r="G902" s="168" t="s">
        <v>622</v>
      </c>
      <c r="H902" s="87">
        <f>'Input &amp; Process'!H579</f>
        <v>37.348634744756637</v>
      </c>
      <c r="I902" s="272" t="s">
        <v>23</v>
      </c>
    </row>
    <row r="903" spans="1:9" ht="18.75" customHeight="1" x14ac:dyDescent="0.25">
      <c r="A903" s="149"/>
      <c r="B903" s="169"/>
      <c r="C903" s="169"/>
      <c r="D903" s="169"/>
      <c r="E903" s="169"/>
      <c r="F903" s="169"/>
      <c r="G903" s="168"/>
      <c r="H903" s="170"/>
      <c r="I903" s="272"/>
    </row>
    <row r="904" spans="1:9" ht="18.75" customHeight="1" x14ac:dyDescent="0.25">
      <c r="A904" s="149"/>
      <c r="B904" s="169" t="s">
        <v>603</v>
      </c>
      <c r="C904" s="169"/>
      <c r="D904" s="169"/>
      <c r="E904" s="169"/>
      <c r="F904" s="169"/>
      <c r="G904" s="168" t="s">
        <v>606</v>
      </c>
      <c r="H904" s="87">
        <f>'Input &amp; Process'!H581</f>
        <v>64.009814008705987</v>
      </c>
      <c r="I904" s="272" t="s">
        <v>23</v>
      </c>
    </row>
    <row r="905" spans="1:9" ht="18.75" customHeight="1" x14ac:dyDescent="0.25">
      <c r="A905" s="149"/>
      <c r="B905" s="169"/>
      <c r="C905" s="169"/>
      <c r="D905" s="169"/>
      <c r="E905" s="169"/>
      <c r="F905" s="169"/>
      <c r="G905" s="168"/>
      <c r="H905" s="170"/>
      <c r="I905" s="272"/>
    </row>
    <row r="906" spans="1:9" ht="18.75" customHeight="1" x14ac:dyDescent="0.25">
      <c r="A906" s="149"/>
      <c r="B906" s="243" t="s">
        <v>608</v>
      </c>
      <c r="C906" s="244"/>
      <c r="D906" s="244"/>
      <c r="E906" s="244"/>
      <c r="F906" s="244"/>
      <c r="G906" s="245"/>
      <c r="H906" s="246"/>
      <c r="I906" s="296"/>
    </row>
    <row r="907" spans="1:9" ht="18.75" customHeight="1" x14ac:dyDescent="0.25">
      <c r="A907" s="149"/>
      <c r="B907" s="169" t="s">
        <v>609</v>
      </c>
      <c r="C907" s="169"/>
      <c r="D907" s="169"/>
      <c r="E907" s="169"/>
      <c r="F907" s="169"/>
      <c r="G907" s="168" t="s">
        <v>615</v>
      </c>
      <c r="H907" s="87">
        <f>'Input &amp; Process'!H584</f>
        <v>525</v>
      </c>
      <c r="I907" s="272" t="s">
        <v>148</v>
      </c>
    </row>
    <row r="908" spans="1:9" ht="18.75" customHeight="1" x14ac:dyDescent="0.25">
      <c r="A908" s="149"/>
      <c r="B908" s="169" t="s">
        <v>610</v>
      </c>
      <c r="C908" s="169"/>
      <c r="D908" s="169"/>
      <c r="E908" s="169"/>
      <c r="F908" s="169"/>
      <c r="G908" s="168" t="s">
        <v>616</v>
      </c>
      <c r="H908" s="87">
        <f>'Input &amp; Process'!H585</f>
        <v>230.14079999999998</v>
      </c>
      <c r="I908" s="272" t="s">
        <v>148</v>
      </c>
    </row>
    <row r="909" spans="1:9" ht="18.75" customHeight="1" x14ac:dyDescent="0.25">
      <c r="A909" s="149"/>
      <c r="B909" s="169" t="s">
        <v>611</v>
      </c>
      <c r="C909" s="169"/>
      <c r="D909" s="169"/>
      <c r="E909" s="169"/>
      <c r="F909" s="169"/>
      <c r="G909" s="168" t="s">
        <v>617</v>
      </c>
      <c r="H909" s="87">
        <f>'Input &amp; Process'!H586</f>
        <v>34.521119999999996</v>
      </c>
      <c r="I909" s="272" t="s">
        <v>148</v>
      </c>
    </row>
    <row r="910" spans="1:9" ht="18.75" customHeight="1" x14ac:dyDescent="0.25">
      <c r="A910" s="149"/>
      <c r="B910" s="169" t="s">
        <v>612</v>
      </c>
      <c r="C910" s="169"/>
      <c r="D910" s="169"/>
      <c r="E910" s="169"/>
      <c r="F910" s="169"/>
      <c r="G910" s="168" t="s">
        <v>618</v>
      </c>
      <c r="H910" s="87">
        <f>'Input &amp; Process'!H587</f>
        <v>192.50000000000003</v>
      </c>
      <c r="I910" s="272" t="s">
        <v>148</v>
      </c>
    </row>
    <row r="911" spans="1:9" ht="18.75" customHeight="1" x14ac:dyDescent="0.25">
      <c r="A911" s="149"/>
      <c r="B911" s="169" t="s">
        <v>613</v>
      </c>
      <c r="C911" s="169"/>
      <c r="D911" s="169"/>
      <c r="E911" s="169"/>
      <c r="F911" s="169"/>
      <c r="G911" s="169"/>
      <c r="H911" s="170"/>
      <c r="I911" s="272"/>
    </row>
    <row r="912" spans="1:9" ht="18.75" customHeight="1" x14ac:dyDescent="0.25">
      <c r="A912" s="149"/>
      <c r="B912" s="169"/>
      <c r="C912" s="169"/>
      <c r="D912" s="169"/>
      <c r="E912" s="169"/>
      <c r="F912" s="169"/>
      <c r="G912" s="168" t="s">
        <v>619</v>
      </c>
      <c r="H912" s="87">
        <f>'Input &amp; Process'!H589</f>
        <v>973.6281120000001</v>
      </c>
      <c r="I912" s="272" t="s">
        <v>148</v>
      </c>
    </row>
    <row r="913" spans="1:9" ht="18.75" customHeight="1" x14ac:dyDescent="0.25">
      <c r="A913" s="149"/>
      <c r="B913" s="169" t="s">
        <v>614</v>
      </c>
      <c r="C913" s="169"/>
      <c r="D913" s="169"/>
      <c r="E913" s="169"/>
      <c r="F913" s="169"/>
      <c r="G913" s="168"/>
      <c r="H913" s="170"/>
      <c r="I913" s="272"/>
    </row>
    <row r="914" spans="1:9" ht="18.75" customHeight="1" x14ac:dyDescent="0.25">
      <c r="A914" s="149"/>
      <c r="B914" s="169"/>
      <c r="C914" s="169"/>
      <c r="D914" s="169"/>
      <c r="E914" s="169"/>
      <c r="F914" s="169"/>
      <c r="G914" s="168" t="s">
        <v>620</v>
      </c>
      <c r="H914" s="87">
        <f>'Input &amp; Process'!H591</f>
        <v>269.5</v>
      </c>
      <c r="I914" s="272" t="s">
        <v>148</v>
      </c>
    </row>
    <row r="915" spans="1:9" ht="18.75" customHeight="1" x14ac:dyDescent="0.25">
      <c r="A915" s="149"/>
      <c r="B915" s="169" t="s">
        <v>621</v>
      </c>
      <c r="C915" s="169"/>
      <c r="D915" s="169"/>
      <c r="E915" s="169"/>
      <c r="F915" s="169"/>
      <c r="G915" s="168" t="s">
        <v>629</v>
      </c>
      <c r="H915" s="87">
        <f>'Input &amp; Process'!H592</f>
        <v>38.945124480000004</v>
      </c>
      <c r="I915" s="272" t="s">
        <v>148</v>
      </c>
    </row>
    <row r="916" spans="1:9" ht="18.75" customHeight="1" x14ac:dyDescent="0.25">
      <c r="A916" s="149"/>
      <c r="B916" s="169" t="s">
        <v>624</v>
      </c>
      <c r="C916" s="169"/>
      <c r="D916" s="169"/>
      <c r="E916" s="169"/>
      <c r="F916" s="169"/>
      <c r="G916" s="168" t="s">
        <v>626</v>
      </c>
      <c r="H916" s="78">
        <f>'Input &amp; Process'!H593</f>
        <v>0</v>
      </c>
      <c r="I916" s="297" t="s">
        <v>625</v>
      </c>
    </row>
    <row r="917" spans="1:9" ht="18.75" customHeight="1" x14ac:dyDescent="0.25">
      <c r="A917" s="149"/>
      <c r="B917" s="169" t="s">
        <v>627</v>
      </c>
      <c r="C917" s="169"/>
      <c r="D917" s="169"/>
      <c r="E917" s="169"/>
      <c r="F917" s="169"/>
      <c r="G917" s="168" t="s">
        <v>628</v>
      </c>
      <c r="H917" s="71">
        <f>'Input &amp; Process'!H594</f>
        <v>0</v>
      </c>
      <c r="I917" s="272" t="s">
        <v>148</v>
      </c>
    </row>
    <row r="918" spans="1:9" ht="18.75" customHeight="1" x14ac:dyDescent="0.25">
      <c r="A918" s="149"/>
      <c r="B918" s="169" t="s">
        <v>600</v>
      </c>
      <c r="C918" s="169"/>
      <c r="D918" s="169"/>
      <c r="E918" s="169"/>
      <c r="F918" s="169"/>
      <c r="G918" s="168" t="s">
        <v>693</v>
      </c>
      <c r="H918" s="87">
        <f>'Input &amp; Process'!H595</f>
        <v>0</v>
      </c>
      <c r="I918" s="272" t="s">
        <v>137</v>
      </c>
    </row>
    <row r="919" spans="1:9" ht="18.75" customHeight="1" x14ac:dyDescent="0.25">
      <c r="A919" s="149"/>
      <c r="B919" s="169" t="s">
        <v>579</v>
      </c>
      <c r="C919" s="169"/>
      <c r="D919" s="169"/>
      <c r="E919" s="169"/>
      <c r="F919" s="169"/>
      <c r="G919" s="168" t="s">
        <v>631</v>
      </c>
      <c r="H919" s="87">
        <f>'Input &amp; Process'!H596</f>
        <v>0</v>
      </c>
      <c r="I919" s="272" t="s">
        <v>23</v>
      </c>
    </row>
    <row r="920" spans="1:9" ht="18.75" customHeight="1" x14ac:dyDescent="0.25">
      <c r="A920" s="149"/>
      <c r="B920" s="169" t="s">
        <v>632</v>
      </c>
      <c r="C920" s="169"/>
      <c r="D920" s="169"/>
      <c r="E920" s="169"/>
      <c r="F920" s="169"/>
      <c r="G920" s="168" t="s">
        <v>641</v>
      </c>
      <c r="H920" s="68">
        <f>'Input &amp; Process'!H598</f>
        <v>4.4000000000000004</v>
      </c>
      <c r="I920" s="272" t="s">
        <v>2</v>
      </c>
    </row>
    <row r="921" spans="1:9" ht="18.75" customHeight="1" x14ac:dyDescent="0.25">
      <c r="A921" s="149"/>
      <c r="B921" s="169" t="s">
        <v>633</v>
      </c>
      <c r="C921" s="169"/>
      <c r="D921" s="169"/>
      <c r="E921" s="169"/>
      <c r="F921" s="169"/>
      <c r="G921" s="168" t="s">
        <v>642</v>
      </c>
      <c r="H921" s="87">
        <f>'Input &amp; Process'!H599</f>
        <v>1.2346994535519125</v>
      </c>
      <c r="I921" s="272" t="s">
        <v>2</v>
      </c>
    </row>
    <row r="922" spans="1:9" ht="18.75" customHeight="1" x14ac:dyDescent="0.25">
      <c r="A922" s="174"/>
      <c r="B922" s="151" t="s">
        <v>634</v>
      </c>
      <c r="C922" s="151"/>
      <c r="D922" s="151"/>
      <c r="E922" s="151"/>
      <c r="F922" s="151"/>
      <c r="G922" s="159" t="s">
        <v>643</v>
      </c>
      <c r="H922" s="104">
        <f>'Input &amp; Process'!H600</f>
        <v>1.2146994535519124</v>
      </c>
      <c r="I922" s="166"/>
    </row>
    <row r="923" spans="1:9" ht="18.75" customHeight="1" x14ac:dyDescent="0.25">
      <c r="A923" s="174"/>
      <c r="B923" s="151" t="s">
        <v>635</v>
      </c>
      <c r="C923" s="151"/>
      <c r="D923" s="151"/>
      <c r="E923" s="151"/>
      <c r="F923" s="151"/>
      <c r="G923" s="159" t="s">
        <v>644</v>
      </c>
      <c r="H923" s="78">
        <f>'Input &amp; Process'!H601</f>
        <v>148.47836369466563</v>
      </c>
      <c r="I923" s="166" t="s">
        <v>9</v>
      </c>
    </row>
    <row r="924" spans="1:9" ht="18.75" customHeight="1" x14ac:dyDescent="0.25">
      <c r="A924" s="174"/>
      <c r="B924" s="151" t="s">
        <v>636</v>
      </c>
      <c r="C924" s="151"/>
      <c r="D924" s="151"/>
      <c r="E924" s="151"/>
      <c r="F924" s="151"/>
      <c r="G924" s="159" t="s">
        <v>645</v>
      </c>
      <c r="H924" s="78">
        <f>'Input &amp; Process'!H602</f>
        <v>3.4996685942660188</v>
      </c>
      <c r="I924" s="166" t="s">
        <v>2</v>
      </c>
    </row>
    <row r="925" spans="1:9" ht="18.75" customHeight="1" x14ac:dyDescent="0.25">
      <c r="A925" s="174"/>
      <c r="B925" s="151" t="s">
        <v>638</v>
      </c>
      <c r="C925" s="151"/>
      <c r="D925" s="151"/>
      <c r="E925" s="151"/>
      <c r="F925" s="151"/>
      <c r="G925" s="159" t="s">
        <v>646</v>
      </c>
      <c r="H925" s="105">
        <f>'Input &amp; Process'!H603</f>
        <v>1</v>
      </c>
      <c r="I925" s="166"/>
    </row>
    <row r="926" spans="1:9" ht="18.75" customHeight="1" x14ac:dyDescent="0.25">
      <c r="A926" s="174"/>
      <c r="B926" s="151" t="s">
        <v>639</v>
      </c>
      <c r="C926" s="151"/>
      <c r="D926" s="151"/>
      <c r="E926" s="151"/>
      <c r="F926" s="151"/>
      <c r="G926" s="159" t="s">
        <v>647</v>
      </c>
      <c r="H926" s="105">
        <f>'Input &amp; Process'!H604</f>
        <v>1</v>
      </c>
      <c r="I926" s="166"/>
    </row>
    <row r="927" spans="1:9" ht="18.75" customHeight="1" x14ac:dyDescent="0.25">
      <c r="A927" s="174"/>
      <c r="B927" s="151"/>
      <c r="C927" s="151"/>
      <c r="D927" s="151"/>
      <c r="E927" s="151"/>
      <c r="F927" s="151"/>
      <c r="G927" s="159"/>
      <c r="H927" s="177"/>
      <c r="I927" s="166"/>
    </row>
    <row r="928" spans="1:9" ht="18.75" customHeight="1" x14ac:dyDescent="0.25">
      <c r="A928" s="174"/>
      <c r="B928" s="151" t="s">
        <v>637</v>
      </c>
      <c r="C928" s="151"/>
      <c r="D928" s="151"/>
      <c r="E928" s="151"/>
      <c r="F928" s="151"/>
      <c r="G928" s="159" t="s">
        <v>694</v>
      </c>
      <c r="H928" s="79">
        <f>'Input &amp; Process'!H606</f>
        <v>5.617913927980914</v>
      </c>
      <c r="I928" s="166" t="s">
        <v>2</v>
      </c>
    </row>
    <row r="929" spans="1:9" ht="18.75" customHeight="1" x14ac:dyDescent="0.25">
      <c r="A929" s="174"/>
      <c r="B929" s="151" t="s">
        <v>640</v>
      </c>
      <c r="C929" s="151"/>
      <c r="D929" s="151"/>
      <c r="E929" s="151"/>
      <c r="F929" s="151"/>
      <c r="G929" s="159" t="s">
        <v>652</v>
      </c>
      <c r="H929" s="78">
        <f>'Input &amp; Process'!H607</f>
        <v>2247.7641153635896</v>
      </c>
      <c r="I929" s="166" t="s">
        <v>23</v>
      </c>
    </row>
    <row r="930" spans="1:9" ht="18.75" customHeight="1" x14ac:dyDescent="0.25">
      <c r="A930" s="174"/>
      <c r="B930" s="151" t="s">
        <v>653</v>
      </c>
      <c r="C930" s="151"/>
      <c r="D930" s="151"/>
      <c r="E930" s="151"/>
      <c r="F930" s="151"/>
      <c r="G930" s="159"/>
      <c r="H930" s="162"/>
      <c r="I930" s="166"/>
    </row>
    <row r="931" spans="1:9" ht="18.75" customHeight="1" x14ac:dyDescent="0.25">
      <c r="A931" s="174"/>
      <c r="B931" s="306" t="s">
        <v>658</v>
      </c>
      <c r="C931" s="102"/>
      <c r="D931" s="102"/>
      <c r="E931" s="102"/>
      <c r="F931" s="102"/>
      <c r="G931" s="103" t="s">
        <v>656</v>
      </c>
      <c r="H931" s="78" t="str">
        <f>'Input &amp; Process'!H609</f>
        <v/>
      </c>
      <c r="I931" s="166"/>
    </row>
    <row r="932" spans="1:9" ht="18.75" customHeight="1" x14ac:dyDescent="0.25">
      <c r="A932" s="174"/>
      <c r="B932" s="306" t="s">
        <v>657</v>
      </c>
      <c r="C932" s="102"/>
      <c r="D932" s="102"/>
      <c r="E932" s="102"/>
      <c r="F932" s="102"/>
      <c r="G932" s="103" t="s">
        <v>655</v>
      </c>
      <c r="H932" s="78">
        <f>'Input &amp; Process'!H610</f>
        <v>1</v>
      </c>
      <c r="I932" s="166"/>
    </row>
    <row r="933" spans="1:9" ht="18.75" customHeight="1" x14ac:dyDescent="0.25">
      <c r="A933" s="174"/>
      <c r="B933" s="151"/>
      <c r="C933" s="151"/>
      <c r="D933" s="151"/>
      <c r="E933" s="151"/>
      <c r="F933" s="151"/>
      <c r="G933" s="159" t="s">
        <v>654</v>
      </c>
      <c r="H933" s="106">
        <f>'Input &amp; Process'!H611</f>
        <v>1</v>
      </c>
      <c r="I933" s="166"/>
    </row>
    <row r="934" spans="1:9" ht="18.75" customHeight="1" x14ac:dyDescent="0.25">
      <c r="A934" s="174"/>
      <c r="B934" s="151" t="s">
        <v>659</v>
      </c>
      <c r="C934" s="151"/>
      <c r="D934" s="151"/>
      <c r="E934" s="151"/>
      <c r="F934" s="151"/>
      <c r="G934" s="159" t="s">
        <v>660</v>
      </c>
      <c r="H934" s="79">
        <f>'Input &amp; Process'!H612</f>
        <v>64.009814008705987</v>
      </c>
      <c r="I934" s="166" t="s">
        <v>23</v>
      </c>
    </row>
    <row r="935" spans="1:9" ht="18.75" customHeight="1" x14ac:dyDescent="0.25">
      <c r="A935" s="149"/>
      <c r="B935" s="169" t="s">
        <v>662</v>
      </c>
      <c r="C935" s="169"/>
      <c r="D935" s="169"/>
      <c r="E935" s="169"/>
      <c r="F935" s="169"/>
      <c r="G935" s="168" t="s">
        <v>673</v>
      </c>
      <c r="H935" s="71">
        <f>'Input &amp; Process'!H613</f>
        <v>180</v>
      </c>
      <c r="I935" s="166" t="s">
        <v>23</v>
      </c>
    </row>
    <row r="936" spans="1:9" ht="18.75" customHeight="1" x14ac:dyDescent="0.25">
      <c r="A936" s="174"/>
      <c r="B936" s="151"/>
      <c r="C936" s="151"/>
      <c r="D936" s="151"/>
      <c r="E936" s="151"/>
      <c r="F936" s="151"/>
      <c r="G936" s="159"/>
      <c r="H936" s="162"/>
      <c r="I936" s="166"/>
    </row>
    <row r="937" spans="1:9" ht="18.75" customHeight="1" x14ac:dyDescent="0.25">
      <c r="A937" s="174"/>
      <c r="B937" s="243" t="s">
        <v>680</v>
      </c>
      <c r="C937" s="244"/>
      <c r="D937" s="244"/>
      <c r="E937" s="244"/>
      <c r="F937" s="244"/>
      <c r="G937" s="245"/>
      <c r="H937" s="246"/>
      <c r="I937" s="296"/>
    </row>
    <row r="938" spans="1:9" ht="18.75" customHeight="1" x14ac:dyDescent="0.25">
      <c r="A938" s="174"/>
      <c r="B938" s="151" t="s">
        <v>683</v>
      </c>
      <c r="C938" s="151"/>
      <c r="D938" s="151"/>
      <c r="E938" s="151"/>
      <c r="F938" s="151"/>
      <c r="G938" s="159" t="s">
        <v>685</v>
      </c>
      <c r="H938" s="79">
        <f>'Input &amp; Process'!H616</f>
        <v>9.5</v>
      </c>
      <c r="I938" s="166"/>
    </row>
    <row r="939" spans="1:9" ht="18.75" customHeight="1" x14ac:dyDescent="0.25">
      <c r="A939" s="174"/>
      <c r="B939" s="151" t="s">
        <v>678</v>
      </c>
      <c r="C939" s="151"/>
      <c r="D939" s="151"/>
      <c r="E939" s="151"/>
      <c r="F939" s="151"/>
      <c r="G939" s="159" t="s">
        <v>686</v>
      </c>
      <c r="H939" s="79">
        <f>'Input &amp; Process'!H617</f>
        <v>8.9566858950296027</v>
      </c>
      <c r="I939" s="166"/>
    </row>
    <row r="940" spans="1:9" ht="18.75" customHeight="1" x14ac:dyDescent="0.25">
      <c r="A940" s="174"/>
      <c r="B940" s="151" t="s">
        <v>789</v>
      </c>
      <c r="C940" s="151"/>
      <c r="D940" s="151"/>
      <c r="E940" s="151"/>
      <c r="F940" s="151"/>
      <c r="G940" s="159" t="s">
        <v>687</v>
      </c>
      <c r="H940" s="79">
        <f>'Input &amp; Process'!H618</f>
        <v>13.199326582148888</v>
      </c>
      <c r="I940" s="166"/>
    </row>
    <row r="941" spans="1:9" ht="18.75" customHeight="1" x14ac:dyDescent="0.25">
      <c r="A941" s="174"/>
      <c r="B941" s="169" t="s">
        <v>679</v>
      </c>
      <c r="C941" s="151"/>
      <c r="D941" s="151"/>
      <c r="E941" s="151"/>
      <c r="F941" s="151"/>
      <c r="G941" s="159"/>
      <c r="H941" s="162"/>
      <c r="I941" s="166"/>
    </row>
    <row r="942" spans="1:9" ht="18.75" customHeight="1" x14ac:dyDescent="0.25">
      <c r="A942" s="149"/>
      <c r="B942" s="305" t="s">
        <v>688</v>
      </c>
      <c r="C942" s="107"/>
      <c r="D942" s="107"/>
      <c r="E942" s="107"/>
      <c r="F942" s="107"/>
      <c r="G942" s="108" t="s">
        <v>669</v>
      </c>
      <c r="H942" s="68" t="str">
        <f>'Input &amp; Process'!H620</f>
        <v/>
      </c>
      <c r="I942" s="166" t="s">
        <v>23</v>
      </c>
    </row>
    <row r="943" spans="1:9" ht="18.75" customHeight="1" x14ac:dyDescent="0.25">
      <c r="A943" s="149"/>
      <c r="B943" s="305" t="s">
        <v>689</v>
      </c>
      <c r="C943" s="107"/>
      <c r="D943" s="107"/>
      <c r="E943" s="107"/>
      <c r="F943" s="107"/>
      <c r="G943" s="108" t="s">
        <v>690</v>
      </c>
      <c r="H943" s="68">
        <f>'Input &amp; Process'!H621</f>
        <v>336.94913472366795</v>
      </c>
      <c r="I943" s="166" t="s">
        <v>23</v>
      </c>
    </row>
    <row r="944" spans="1:9" ht="18.75" customHeight="1" x14ac:dyDescent="0.25">
      <c r="A944" s="149"/>
      <c r="B944" s="169"/>
      <c r="C944" s="169"/>
      <c r="D944" s="169"/>
      <c r="E944" s="169"/>
      <c r="F944" s="169"/>
      <c r="G944" s="168" t="s">
        <v>672</v>
      </c>
      <c r="H944" s="68">
        <f>'Input &amp; Process'!H622</f>
        <v>360</v>
      </c>
      <c r="I944" s="166" t="s">
        <v>23</v>
      </c>
    </row>
    <row r="945" spans="1:9" ht="18.75" customHeight="1" x14ac:dyDescent="0.25">
      <c r="A945" s="149"/>
      <c r="B945" s="169"/>
      <c r="C945" s="169"/>
      <c r="D945" s="169"/>
      <c r="E945" s="169"/>
      <c r="F945" s="169"/>
      <c r="G945" s="168" t="s">
        <v>677</v>
      </c>
      <c r="H945" s="68">
        <f>'Input &amp; Process'!H623</f>
        <v>336.94913472366795</v>
      </c>
      <c r="I945" s="166" t="s">
        <v>23</v>
      </c>
    </row>
    <row r="946" spans="1:9" ht="18.75" customHeight="1" x14ac:dyDescent="0.25">
      <c r="A946" s="174"/>
      <c r="B946" s="151"/>
      <c r="C946" s="151"/>
      <c r="D946" s="151"/>
      <c r="E946" s="151"/>
      <c r="F946" s="151"/>
      <c r="G946" s="159"/>
      <c r="H946" s="162"/>
      <c r="I946" s="166"/>
    </row>
    <row r="947" spans="1:9" ht="18.75" customHeight="1" x14ac:dyDescent="0.25">
      <c r="A947" s="149"/>
      <c r="B947" s="243" t="s">
        <v>661</v>
      </c>
      <c r="C947" s="244"/>
      <c r="D947" s="244"/>
      <c r="E947" s="244"/>
      <c r="F947" s="244"/>
      <c r="G947" s="245"/>
      <c r="H947" s="246"/>
      <c r="I947" s="296"/>
    </row>
    <row r="948" spans="1:9" ht="18.75" customHeight="1" x14ac:dyDescent="0.25">
      <c r="A948" s="149"/>
      <c r="B948" s="169" t="s">
        <v>684</v>
      </c>
      <c r="C948" s="169"/>
      <c r="D948" s="169"/>
      <c r="E948" s="169"/>
      <c r="F948" s="169"/>
      <c r="G948" s="168" t="s">
        <v>674</v>
      </c>
      <c r="H948" s="87">
        <f>'Input &amp; Process'!H626</f>
        <v>15.548617886673167</v>
      </c>
      <c r="I948" s="272" t="s">
        <v>2</v>
      </c>
    </row>
    <row r="949" spans="1:9" ht="18.75" customHeight="1" x14ac:dyDescent="0.25">
      <c r="A949" s="149"/>
      <c r="B949" s="169" t="s">
        <v>663</v>
      </c>
      <c r="C949" s="169"/>
      <c r="D949" s="169"/>
      <c r="E949" s="169"/>
      <c r="F949" s="169"/>
      <c r="G949" s="168" t="s">
        <v>675</v>
      </c>
      <c r="H949" s="87">
        <f>'Input &amp; Process'!H627</f>
        <v>3.4996685942660188</v>
      </c>
      <c r="I949" s="272" t="s">
        <v>2</v>
      </c>
    </row>
    <row r="950" spans="1:9" ht="18.75" customHeight="1" x14ac:dyDescent="0.25">
      <c r="A950" s="149"/>
      <c r="B950" s="169" t="s">
        <v>664</v>
      </c>
      <c r="C950" s="169"/>
      <c r="D950" s="169"/>
      <c r="E950" s="169"/>
      <c r="F950" s="169"/>
      <c r="G950" s="168" t="s">
        <v>676</v>
      </c>
      <c r="H950" s="68">
        <f>'Input &amp; Process'!H628</f>
        <v>4.4000000000000004</v>
      </c>
      <c r="I950" s="272" t="s">
        <v>2</v>
      </c>
    </row>
    <row r="951" spans="1:9" ht="18.75" customHeight="1" x14ac:dyDescent="0.25">
      <c r="A951" s="149"/>
      <c r="B951" s="169" t="s">
        <v>665</v>
      </c>
      <c r="C951" s="169"/>
      <c r="D951" s="169"/>
      <c r="E951" s="169"/>
      <c r="F951" s="169"/>
      <c r="G951" s="168"/>
      <c r="H951" s="170"/>
      <c r="I951" s="272"/>
    </row>
    <row r="952" spans="1:9" ht="18.75" customHeight="1" x14ac:dyDescent="0.25">
      <c r="A952" s="149"/>
      <c r="B952" s="324" t="s">
        <v>949</v>
      </c>
      <c r="C952" s="107"/>
      <c r="D952" s="107"/>
      <c r="E952" s="107"/>
      <c r="F952" s="107"/>
      <c r="G952" s="316" t="s">
        <v>946</v>
      </c>
      <c r="H952" s="68" t="str">
        <f>'Input &amp; Process'!H630</f>
        <v/>
      </c>
      <c r="I952" s="166" t="s">
        <v>23</v>
      </c>
    </row>
    <row r="953" spans="1:9" ht="18.75" customHeight="1" x14ac:dyDescent="0.25">
      <c r="A953" s="149"/>
      <c r="B953" s="324" t="s">
        <v>950</v>
      </c>
      <c r="C953" s="107"/>
      <c r="D953" s="107"/>
      <c r="E953" s="107"/>
      <c r="F953" s="107"/>
      <c r="G953" s="316" t="s">
        <v>947</v>
      </c>
      <c r="H953" s="68">
        <f>'Input &amp; Process'!H631</f>
        <v>346.54989334760984</v>
      </c>
      <c r="I953" s="166" t="s">
        <v>23</v>
      </c>
    </row>
    <row r="954" spans="1:9" ht="18.75" customHeight="1" x14ac:dyDescent="0.25">
      <c r="A954" s="149"/>
      <c r="B954" s="324" t="s">
        <v>951</v>
      </c>
      <c r="C954" s="107"/>
      <c r="D954" s="107"/>
      <c r="E954" s="107"/>
      <c r="F954" s="107"/>
      <c r="G954" s="316" t="s">
        <v>948</v>
      </c>
      <c r="H954" s="68" t="str">
        <f>'Input &amp; Process'!H632</f>
        <v/>
      </c>
      <c r="I954" s="166" t="s">
        <v>23</v>
      </c>
    </row>
    <row r="955" spans="1:9" ht="18.75" customHeight="1" x14ac:dyDescent="0.25">
      <c r="A955" s="149"/>
      <c r="B955" s="169"/>
      <c r="C955" s="169"/>
      <c r="D955" s="169"/>
      <c r="E955" s="169"/>
      <c r="F955" s="169"/>
      <c r="G955" s="168" t="s">
        <v>672</v>
      </c>
      <c r="H955" s="68">
        <f>'Input &amp; Process'!H633</f>
        <v>360</v>
      </c>
      <c r="I955" s="166" t="s">
        <v>23</v>
      </c>
    </row>
    <row r="956" spans="1:9" ht="18.75" customHeight="1" x14ac:dyDescent="0.25">
      <c r="A956" s="149"/>
      <c r="B956" s="169"/>
      <c r="C956" s="169"/>
      <c r="D956" s="169"/>
      <c r="E956" s="169"/>
      <c r="F956" s="169"/>
      <c r="G956" s="168" t="s">
        <v>677</v>
      </c>
      <c r="H956" s="68">
        <f>'Input &amp; Process'!H634</f>
        <v>346.54989334760984</v>
      </c>
      <c r="I956" s="166" t="s">
        <v>23</v>
      </c>
    </row>
    <row r="957" spans="1:9" ht="18.75" customHeight="1" x14ac:dyDescent="0.25">
      <c r="A957" s="149"/>
      <c r="B957" s="243" t="s">
        <v>697</v>
      </c>
      <c r="C957" s="244"/>
      <c r="D957" s="244"/>
      <c r="E957" s="244"/>
      <c r="F957" s="244"/>
      <c r="G957" s="245"/>
      <c r="H957" s="246"/>
      <c r="I957" s="296"/>
    </row>
    <row r="958" spans="1:9" ht="18.75" customHeight="1" x14ac:dyDescent="0.25">
      <c r="A958" s="149"/>
      <c r="B958" s="23" t="s">
        <v>701</v>
      </c>
      <c r="C958" s="23"/>
      <c r="D958" s="23"/>
      <c r="E958" s="23"/>
      <c r="F958" s="23"/>
      <c r="G958" s="168" t="s">
        <v>699</v>
      </c>
      <c r="H958" s="12">
        <f>'Input &amp; Process'!H637</f>
        <v>0.9</v>
      </c>
      <c r="I958" s="22"/>
    </row>
    <row r="959" spans="1:9" ht="18.75" customHeight="1" x14ac:dyDescent="0.25">
      <c r="A959" s="149"/>
      <c r="B959" s="23" t="s">
        <v>702</v>
      </c>
      <c r="C959" s="23"/>
      <c r="D959" s="23"/>
      <c r="E959" s="23"/>
      <c r="F959" s="23"/>
      <c r="G959" s="146"/>
      <c r="H959" s="21"/>
      <c r="I959" s="22"/>
    </row>
    <row r="960" spans="1:9" ht="18.75" customHeight="1" x14ac:dyDescent="0.25">
      <c r="A960" s="149"/>
      <c r="B960" s="148" t="s">
        <v>19</v>
      </c>
      <c r="C960" s="23"/>
      <c r="D960" s="240" t="s">
        <v>896</v>
      </c>
      <c r="E960" s="21" t="s">
        <v>48</v>
      </c>
      <c r="F960" s="239" t="s">
        <v>897</v>
      </c>
      <c r="G960" s="146"/>
      <c r="H960" s="21"/>
      <c r="I960" s="22"/>
    </row>
    <row r="961" spans="1:9" ht="18.75" customHeight="1" x14ac:dyDescent="0.25">
      <c r="A961" s="149"/>
      <c r="B961" s="23"/>
      <c r="C961" s="23"/>
      <c r="D961" s="237">
        <f>'Input &amp; Process'!D640</f>
        <v>265.18234092170673</v>
      </c>
      <c r="E961" s="21" t="str">
        <f>IF(D961&lt;=F961,"≤","&gt;")</f>
        <v>≤</v>
      </c>
      <c r="F961" s="237">
        <f>'Input &amp; Process'!F640</f>
        <v>324</v>
      </c>
      <c r="G961" s="149" t="s">
        <v>14</v>
      </c>
      <c r="H961" s="149" t="str">
        <f>IF(D961&lt;=F961,"[ OK ]","[ NOT OK ]")</f>
        <v>[ OK ]</v>
      </c>
      <c r="I961" s="22"/>
    </row>
    <row r="962" spans="1:9" ht="18.75" customHeight="1" x14ac:dyDescent="0.25">
      <c r="A962" s="149"/>
      <c r="B962" s="23" t="s">
        <v>703</v>
      </c>
      <c r="C962" s="23"/>
      <c r="D962" s="23"/>
      <c r="E962" s="23"/>
      <c r="F962" s="23"/>
      <c r="G962" s="146"/>
      <c r="H962" s="21"/>
      <c r="I962" s="272"/>
    </row>
    <row r="963" spans="1:9" ht="18.75" customHeight="1" x14ac:dyDescent="0.25">
      <c r="A963" s="149"/>
      <c r="B963" s="148" t="s">
        <v>19</v>
      </c>
      <c r="C963" s="23"/>
      <c r="D963" s="240" t="s">
        <v>895</v>
      </c>
      <c r="E963" s="21" t="s">
        <v>48</v>
      </c>
      <c r="F963" s="239" t="s">
        <v>894</v>
      </c>
      <c r="G963" s="146"/>
      <c r="H963" s="21"/>
      <c r="I963" s="272"/>
    </row>
    <row r="964" spans="1:9" ht="18.75" customHeight="1" x14ac:dyDescent="0.25">
      <c r="A964" s="149"/>
      <c r="B964" s="23"/>
      <c r="C964" s="23"/>
      <c r="D964" s="237">
        <f>'Input &amp; Process'!D643</f>
        <v>222.50913158256941</v>
      </c>
      <c r="E964" s="21" t="str">
        <f>IF(D964&lt;=F964,"≤","&gt;")</f>
        <v>≤</v>
      </c>
      <c r="F964" s="237">
        <f>'Input &amp; Process'!F643</f>
        <v>303.25422125130115</v>
      </c>
      <c r="G964" s="149" t="s">
        <v>14</v>
      </c>
      <c r="H964" s="149" t="str">
        <f>IF(D964&lt;=F964,"[ OK ]","[ NOT OK ]")</f>
        <v>[ OK ]</v>
      </c>
      <c r="I964" s="272"/>
    </row>
    <row r="965" spans="1:9" ht="18.75" customHeight="1" x14ac:dyDescent="0.25">
      <c r="A965" s="149"/>
      <c r="B965" s="23" t="s">
        <v>704</v>
      </c>
      <c r="C965" s="23"/>
      <c r="D965" s="23"/>
      <c r="E965" s="23"/>
      <c r="F965" s="23"/>
      <c r="G965" s="146"/>
      <c r="H965" s="21"/>
      <c r="I965" s="272"/>
    </row>
    <row r="966" spans="1:9" ht="18.75" customHeight="1" x14ac:dyDescent="0.25">
      <c r="A966" s="149"/>
      <c r="B966" s="148" t="s">
        <v>19</v>
      </c>
      <c r="C966" s="23"/>
      <c r="D966" s="240" t="s">
        <v>893</v>
      </c>
      <c r="E966" s="21" t="s">
        <v>48</v>
      </c>
      <c r="F966" s="239" t="s">
        <v>894</v>
      </c>
      <c r="G966" s="146"/>
      <c r="H966" s="21"/>
      <c r="I966" s="272"/>
    </row>
    <row r="967" spans="1:9" ht="18.75" customHeight="1" x14ac:dyDescent="0.25">
      <c r="A967" s="149"/>
      <c r="B967" s="23"/>
      <c r="C967" s="23"/>
      <c r="D967" s="237">
        <f>'Input &amp; Process'!D646</f>
        <v>222.50913158256941</v>
      </c>
      <c r="E967" s="21" t="str">
        <f>IF(D967&lt;=F967,"≤","&gt;")</f>
        <v>≤</v>
      </c>
      <c r="F967" s="237">
        <f>'Input &amp; Process'!F646</f>
        <v>311.89490401284888</v>
      </c>
      <c r="G967" s="149" t="s">
        <v>14</v>
      </c>
      <c r="H967" s="149" t="str">
        <f>IF(D967&lt;=F967,"[ OK ]","[ NOT OK ]")</f>
        <v>[ OK ]</v>
      </c>
      <c r="I967" s="272"/>
    </row>
    <row r="968" spans="1:9" ht="18.75" customHeight="1" x14ac:dyDescent="0.25">
      <c r="A968" s="149"/>
      <c r="B968" s="23"/>
      <c r="C968" s="23"/>
      <c r="D968" s="70"/>
      <c r="E968" s="21"/>
      <c r="F968" s="70"/>
      <c r="G968" s="149"/>
      <c r="H968" s="149"/>
      <c r="I968" s="272"/>
    </row>
    <row r="969" spans="1:9" ht="18.75" customHeight="1" x14ac:dyDescent="0.25">
      <c r="A969" s="149"/>
      <c r="B969" s="169"/>
      <c r="C969" s="169"/>
      <c r="D969" s="169"/>
      <c r="E969" s="169"/>
      <c r="F969" s="169"/>
      <c r="G969" s="168"/>
      <c r="H969" s="170"/>
      <c r="I969" s="272"/>
    </row>
    <row r="970" spans="1:9" ht="18.75" customHeight="1" x14ac:dyDescent="0.25">
      <c r="A970" s="273" t="s">
        <v>813</v>
      </c>
      <c r="B970" s="138" t="s">
        <v>812</v>
      </c>
      <c r="C970" s="139"/>
      <c r="D970" s="139"/>
      <c r="E970" s="139"/>
      <c r="F970" s="139"/>
      <c r="G970" s="140"/>
      <c r="H970" s="139"/>
      <c r="I970" s="269"/>
    </row>
    <row r="971" spans="1:9" ht="18.75" customHeight="1" x14ac:dyDescent="0.25">
      <c r="A971" s="149"/>
      <c r="B971" s="23" t="s">
        <v>715</v>
      </c>
      <c r="C971" s="23"/>
      <c r="D971" s="23"/>
      <c r="E971" s="23"/>
      <c r="F971" s="23"/>
      <c r="G971" s="146" t="s">
        <v>746</v>
      </c>
      <c r="H971" s="12">
        <f>'Input &amp; Process'!H650</f>
        <v>9870.7739999999994</v>
      </c>
      <c r="I971" s="22" t="s">
        <v>137</v>
      </c>
    </row>
    <row r="972" spans="1:9" ht="18.75" customHeight="1" x14ac:dyDescent="0.25">
      <c r="A972" s="149"/>
      <c r="B972" s="23" t="s">
        <v>716</v>
      </c>
      <c r="C972" s="23"/>
      <c r="D972" s="23"/>
      <c r="E972" s="23"/>
      <c r="F972" s="23"/>
      <c r="G972" s="146" t="s">
        <v>747</v>
      </c>
      <c r="H972" s="12">
        <f>'Input &amp; Process'!H651</f>
        <v>2942.7343750000005</v>
      </c>
      <c r="I972" s="22" t="s">
        <v>137</v>
      </c>
    </row>
    <row r="973" spans="1:9" ht="18.75" customHeight="1" x14ac:dyDescent="0.25">
      <c r="A973" s="149"/>
      <c r="B973" s="23" t="s">
        <v>717</v>
      </c>
      <c r="C973" s="23"/>
      <c r="D973" s="23"/>
      <c r="E973" s="23"/>
      <c r="F973" s="23"/>
      <c r="G973" s="146" t="s">
        <v>718</v>
      </c>
      <c r="H973" s="16">
        <f>'Input &amp; Process'!H652</f>
        <v>5295.2250000000004</v>
      </c>
      <c r="I973" s="22" t="s">
        <v>137</v>
      </c>
    </row>
    <row r="974" spans="1:9" ht="18.75" customHeight="1" x14ac:dyDescent="0.25">
      <c r="A974" s="149"/>
      <c r="B974" s="23"/>
      <c r="C974" s="23"/>
      <c r="D974" s="23"/>
      <c r="E974" s="23"/>
      <c r="F974" s="23"/>
      <c r="G974" s="146"/>
      <c r="H974" s="21"/>
      <c r="I974" s="22"/>
    </row>
    <row r="975" spans="1:9" ht="18.75" customHeight="1" x14ac:dyDescent="0.25">
      <c r="A975" s="149"/>
      <c r="B975" s="23" t="s">
        <v>719</v>
      </c>
      <c r="C975" s="23"/>
      <c r="D975" s="23"/>
      <c r="E975" s="23"/>
      <c r="F975" s="23"/>
      <c r="G975" s="146" t="s">
        <v>720</v>
      </c>
      <c r="H975" s="18">
        <f>'Input &amp; Process'!H654</f>
        <v>74695717420.76503</v>
      </c>
      <c r="I975" s="22" t="s">
        <v>723</v>
      </c>
    </row>
    <row r="976" spans="1:9" ht="18.75" customHeight="1" x14ac:dyDescent="0.25">
      <c r="A976" s="149"/>
      <c r="B976" s="23" t="s">
        <v>721</v>
      </c>
      <c r="C976" s="23"/>
      <c r="D976" s="23"/>
      <c r="E976" s="23"/>
      <c r="F976" s="23"/>
      <c r="G976" s="146" t="s">
        <v>731</v>
      </c>
      <c r="H976" s="12">
        <f>'Input &amp; Process'!H655</f>
        <v>865.30054644808752</v>
      </c>
      <c r="I976" s="22" t="s">
        <v>9</v>
      </c>
    </row>
    <row r="977" spans="1:9" ht="18.75" customHeight="1" x14ac:dyDescent="0.25">
      <c r="A977" s="149"/>
      <c r="B977" s="23" t="s">
        <v>722</v>
      </c>
      <c r="C977" s="23"/>
      <c r="D977" s="23"/>
      <c r="E977" s="23"/>
      <c r="F977" s="23"/>
      <c r="G977" s="146" t="s">
        <v>732</v>
      </c>
      <c r="H977" s="12">
        <f>'Input &amp; Process'!H656</f>
        <v>2100</v>
      </c>
      <c r="I977" s="22" t="s">
        <v>9</v>
      </c>
    </row>
    <row r="978" spans="1:9" ht="18.75" customHeight="1" x14ac:dyDescent="0.25">
      <c r="A978" s="149"/>
      <c r="B978" s="23" t="s">
        <v>16</v>
      </c>
      <c r="C978" s="23"/>
      <c r="D978" s="23"/>
      <c r="E978" s="23"/>
      <c r="F978" s="23"/>
      <c r="G978" s="146" t="s">
        <v>17</v>
      </c>
      <c r="H978" s="12">
        <f>'Input &amp; Process'!H657</f>
        <v>20</v>
      </c>
      <c r="I978" s="22" t="s">
        <v>9</v>
      </c>
    </row>
    <row r="979" spans="1:9" ht="18.75" customHeight="1" x14ac:dyDescent="0.25">
      <c r="A979" s="149"/>
      <c r="B979" s="23" t="s">
        <v>40</v>
      </c>
      <c r="C979" s="23"/>
      <c r="D979" s="23"/>
      <c r="E979" s="23"/>
      <c r="F979" s="23"/>
      <c r="G979" s="146" t="s">
        <v>41</v>
      </c>
      <c r="H979" s="12">
        <f>'Input &amp; Process'!H658</f>
        <v>20</v>
      </c>
      <c r="I979" s="22" t="s">
        <v>9</v>
      </c>
    </row>
    <row r="980" spans="1:9" ht="18.75" customHeight="1" x14ac:dyDescent="0.25">
      <c r="A980" s="149"/>
      <c r="B980" s="23"/>
      <c r="C980" s="23"/>
      <c r="D980" s="23"/>
      <c r="E980" s="23"/>
      <c r="F980" s="23"/>
      <c r="G980" s="146"/>
      <c r="H980" s="21"/>
      <c r="I980" s="22"/>
    </row>
    <row r="981" spans="1:9" ht="18.75" customHeight="1" x14ac:dyDescent="0.25">
      <c r="A981" s="149"/>
      <c r="B981" s="23" t="s">
        <v>724</v>
      </c>
      <c r="C981" s="23"/>
      <c r="D981" s="23"/>
      <c r="E981" s="23"/>
      <c r="F981" s="23"/>
      <c r="G981" s="146" t="s">
        <v>733</v>
      </c>
      <c r="H981" s="12">
        <f>'Input &amp; Process'!H660</f>
        <v>1214.6994535519125</v>
      </c>
      <c r="I981" s="22" t="s">
        <v>9</v>
      </c>
    </row>
    <row r="982" spans="1:9" ht="18.75" customHeight="1" x14ac:dyDescent="0.25">
      <c r="A982" s="149"/>
      <c r="B982" s="23" t="s">
        <v>725</v>
      </c>
      <c r="C982" s="23"/>
      <c r="D982" s="23"/>
      <c r="E982" s="23"/>
      <c r="F982" s="23"/>
      <c r="G982" s="146" t="s">
        <v>734</v>
      </c>
      <c r="H982" s="12">
        <f>'Input &amp; Process'!H661</f>
        <v>845.30054644808752</v>
      </c>
      <c r="I982" s="22" t="s">
        <v>9</v>
      </c>
    </row>
    <row r="983" spans="1:9" ht="18.75" customHeight="1" x14ac:dyDescent="0.25">
      <c r="A983" s="149"/>
      <c r="B983" s="23"/>
      <c r="C983" s="23"/>
      <c r="D983" s="23"/>
      <c r="E983" s="23"/>
      <c r="F983" s="23"/>
      <c r="G983" s="146"/>
      <c r="H983" s="21"/>
      <c r="I983" s="22"/>
    </row>
    <row r="984" spans="1:9" ht="18.75" customHeight="1" x14ac:dyDescent="0.25">
      <c r="A984" s="149"/>
      <c r="B984" s="23" t="s">
        <v>726</v>
      </c>
      <c r="C984" s="23"/>
      <c r="D984" s="23"/>
      <c r="E984" s="23"/>
      <c r="F984" s="23"/>
      <c r="G984" s="146" t="s">
        <v>735</v>
      </c>
      <c r="H984" s="95">
        <f>'Input &amp; Process'!H663</f>
        <v>173032859743.8103</v>
      </c>
      <c r="I984" s="22" t="s">
        <v>723</v>
      </c>
    </row>
    <row r="985" spans="1:9" ht="18.75" customHeight="1" x14ac:dyDescent="0.25">
      <c r="A985" s="149"/>
      <c r="B985" s="23" t="s">
        <v>727</v>
      </c>
      <c r="C985" s="23"/>
      <c r="D985" s="23"/>
      <c r="E985" s="23"/>
      <c r="F985" s="23"/>
      <c r="G985" s="146" t="s">
        <v>736</v>
      </c>
      <c r="H985" s="12">
        <f>'Input &amp; Process'!H664</f>
        <v>1479.6526898444597</v>
      </c>
      <c r="I985" s="22" t="s">
        <v>9</v>
      </c>
    </row>
    <row r="986" spans="1:9" ht="18.75" customHeight="1" x14ac:dyDescent="0.25">
      <c r="A986" s="149"/>
      <c r="B986" s="23" t="s">
        <v>728</v>
      </c>
      <c r="C986" s="23"/>
      <c r="D986" s="23"/>
      <c r="E986" s="23"/>
      <c r="F986" s="23"/>
      <c r="G986" s="146" t="s">
        <v>737</v>
      </c>
      <c r="H986" s="12">
        <f>'Input &amp; Process'!H665</f>
        <v>2350</v>
      </c>
      <c r="I986" s="22" t="s">
        <v>9</v>
      </c>
    </row>
    <row r="987" spans="1:9" ht="18.75" customHeight="1" x14ac:dyDescent="0.25">
      <c r="A987" s="149"/>
      <c r="B987" s="23" t="s">
        <v>62</v>
      </c>
      <c r="C987" s="23"/>
      <c r="D987" s="23"/>
      <c r="E987" s="23"/>
      <c r="F987" s="23"/>
      <c r="G987" s="146" t="s">
        <v>64</v>
      </c>
      <c r="H987" s="13">
        <f>'Input &amp; Process'!H666</f>
        <v>250</v>
      </c>
      <c r="I987" s="22" t="s">
        <v>9</v>
      </c>
    </row>
    <row r="988" spans="1:9" ht="18.75" customHeight="1" x14ac:dyDescent="0.25">
      <c r="A988" s="149"/>
      <c r="B988" s="23"/>
      <c r="C988" s="23"/>
      <c r="D988" s="23"/>
      <c r="E988" s="23"/>
      <c r="F988" s="23"/>
      <c r="G988" s="146"/>
      <c r="H988" s="21"/>
      <c r="I988" s="22"/>
    </row>
    <row r="989" spans="1:9" ht="18.75" customHeight="1" x14ac:dyDescent="0.25">
      <c r="A989" s="149"/>
      <c r="B989" s="23" t="s">
        <v>724</v>
      </c>
      <c r="C989" s="23"/>
      <c r="D989" s="23"/>
      <c r="E989" s="23"/>
      <c r="F989" s="23"/>
      <c r="G989" s="146" t="s">
        <v>738</v>
      </c>
      <c r="H989" s="12">
        <f>'Input &amp; Process'!H668</f>
        <v>600.3473101555403</v>
      </c>
      <c r="I989" s="22" t="s">
        <v>9</v>
      </c>
    </row>
    <row r="990" spans="1:9" ht="18.75" customHeight="1" x14ac:dyDescent="0.25">
      <c r="A990" s="149"/>
      <c r="B990" s="23" t="s">
        <v>725</v>
      </c>
      <c r="C990" s="23"/>
      <c r="D990" s="23"/>
      <c r="E990" s="23"/>
      <c r="F990" s="23"/>
      <c r="G990" s="146" t="s">
        <v>739</v>
      </c>
      <c r="H990" s="12">
        <f>'Input &amp; Process'!H669</f>
        <v>1459.6526898444597</v>
      </c>
      <c r="I990" s="22" t="s">
        <v>9</v>
      </c>
    </row>
    <row r="991" spans="1:9" ht="18.75" customHeight="1" x14ac:dyDescent="0.25">
      <c r="A991" s="149"/>
      <c r="B991" s="23"/>
      <c r="C991" s="23"/>
      <c r="D991" s="23"/>
      <c r="E991" s="23"/>
      <c r="F991" s="23"/>
      <c r="G991" s="146"/>
      <c r="H991" s="21"/>
      <c r="I991" s="22"/>
    </row>
    <row r="992" spans="1:9" ht="18.75" customHeight="1" x14ac:dyDescent="0.25">
      <c r="A992" s="149"/>
      <c r="B992" s="23" t="s">
        <v>729</v>
      </c>
      <c r="C992" s="23"/>
      <c r="D992" s="23"/>
      <c r="E992" s="23"/>
      <c r="F992" s="23"/>
      <c r="G992" s="146" t="s">
        <v>740</v>
      </c>
      <c r="H992" s="95">
        <f>'Input &amp; Process'!H671</f>
        <v>136944386521.73369</v>
      </c>
      <c r="I992" s="22" t="s">
        <v>723</v>
      </c>
    </row>
    <row r="993" spans="1:9" ht="18.75" customHeight="1" x14ac:dyDescent="0.25">
      <c r="A993" s="149"/>
      <c r="B993" s="23" t="s">
        <v>730</v>
      </c>
      <c r="C993" s="23"/>
      <c r="D993" s="23"/>
      <c r="E993" s="23"/>
      <c r="F993" s="23"/>
      <c r="G993" s="146" t="s">
        <v>741</v>
      </c>
      <c r="H993" s="12">
        <f>'Input &amp; Process'!H672</f>
        <v>1158.3597698460674</v>
      </c>
      <c r="I993" s="22" t="s">
        <v>9</v>
      </c>
    </row>
    <row r="994" spans="1:9" ht="18.75" customHeight="1" x14ac:dyDescent="0.25">
      <c r="A994" s="149"/>
      <c r="B994" s="23" t="s">
        <v>724</v>
      </c>
      <c r="C994" s="23"/>
      <c r="D994" s="23"/>
      <c r="E994" s="23"/>
      <c r="F994" s="23"/>
      <c r="G994" s="146" t="s">
        <v>742</v>
      </c>
      <c r="H994" s="12">
        <f>'Input &amp; Process'!H674</f>
        <v>921.64023015393263</v>
      </c>
      <c r="I994" s="22" t="s">
        <v>9</v>
      </c>
    </row>
    <row r="995" spans="1:9" ht="18.75" customHeight="1" x14ac:dyDescent="0.25">
      <c r="A995" s="149"/>
      <c r="B995" s="23" t="s">
        <v>725</v>
      </c>
      <c r="C995" s="23"/>
      <c r="D995" s="23"/>
      <c r="E995" s="23"/>
      <c r="F995" s="23"/>
      <c r="G995" s="146" t="s">
        <v>743</v>
      </c>
      <c r="H995" s="12">
        <f>'Input &amp; Process'!H675</f>
        <v>1138.3597698460674</v>
      </c>
      <c r="I995" s="22" t="s">
        <v>9</v>
      </c>
    </row>
    <row r="996" spans="1:9" ht="18.75" customHeight="1" x14ac:dyDescent="0.25">
      <c r="A996" s="149"/>
      <c r="B996" s="23"/>
      <c r="C996" s="23"/>
      <c r="D996" s="23"/>
      <c r="E996" s="23"/>
      <c r="F996" s="23"/>
      <c r="G996" s="146"/>
      <c r="H996" s="21"/>
      <c r="I996" s="22"/>
    </row>
    <row r="997" spans="1:9" ht="18.75" customHeight="1" x14ac:dyDescent="0.25">
      <c r="A997" s="149"/>
      <c r="B997" s="243" t="s">
        <v>744</v>
      </c>
      <c r="C997" s="248"/>
      <c r="D997" s="248"/>
      <c r="E997" s="248"/>
      <c r="F997" s="248"/>
      <c r="G997" s="249"/>
      <c r="H997" s="250"/>
      <c r="I997" s="298"/>
    </row>
    <row r="998" spans="1:9" ht="18.75" customHeight="1" x14ac:dyDescent="0.25">
      <c r="A998" s="149"/>
      <c r="B998" s="23" t="s">
        <v>745</v>
      </c>
      <c r="C998" s="23"/>
      <c r="D998" s="23"/>
      <c r="E998" s="23"/>
      <c r="F998" s="23"/>
      <c r="G998" s="146" t="s">
        <v>752</v>
      </c>
      <c r="H998" s="16">
        <f>'Input &amp; Process'!H678</f>
        <v>160.51822243561799</v>
      </c>
      <c r="I998" s="22" t="s">
        <v>23</v>
      </c>
    </row>
    <row r="999" spans="1:9" ht="18.75" customHeight="1" x14ac:dyDescent="0.25">
      <c r="A999" s="149"/>
      <c r="B999" s="23" t="s">
        <v>748</v>
      </c>
      <c r="C999" s="23"/>
      <c r="D999" s="23"/>
      <c r="E999" s="23"/>
      <c r="F999" s="23"/>
      <c r="G999" s="146" t="s">
        <v>753</v>
      </c>
      <c r="H999" s="16">
        <f>'Input &amp; Process'!H679</f>
        <v>19.80469923260754</v>
      </c>
      <c r="I999" s="22" t="s">
        <v>23</v>
      </c>
    </row>
    <row r="1000" spans="1:9" ht="18.75" customHeight="1" x14ac:dyDescent="0.25">
      <c r="A1000" s="149"/>
      <c r="B1000" s="23" t="s">
        <v>749</v>
      </c>
      <c r="C1000" s="23"/>
      <c r="D1000" s="23"/>
      <c r="E1000" s="23"/>
      <c r="F1000" s="23"/>
      <c r="G1000" s="146" t="s">
        <v>754</v>
      </c>
      <c r="H1000" s="16">
        <f>'Input &amp; Process'!H680</f>
        <v>18.372083141462895</v>
      </c>
      <c r="I1000" s="22" t="s">
        <v>23</v>
      </c>
    </row>
    <row r="1001" spans="1:9" ht="18.75" customHeight="1" x14ac:dyDescent="0.25">
      <c r="A1001" s="149"/>
      <c r="B1001" s="23"/>
      <c r="C1001" s="23"/>
      <c r="D1001" s="23"/>
      <c r="E1001" s="23"/>
      <c r="F1001" s="23"/>
      <c r="G1001" s="146"/>
      <c r="H1001" s="21"/>
      <c r="I1001" s="22"/>
    </row>
    <row r="1002" spans="1:9" ht="18.75" customHeight="1" x14ac:dyDescent="0.25">
      <c r="A1002" s="149"/>
      <c r="B1002" s="23" t="s">
        <v>750</v>
      </c>
      <c r="C1002" s="23"/>
      <c r="D1002" s="23"/>
      <c r="E1002" s="23"/>
      <c r="F1002" s="23"/>
      <c r="G1002" s="146" t="s">
        <v>755</v>
      </c>
      <c r="H1002" s="16">
        <f>'Input &amp; Process'!H682</f>
        <v>180.32292166822552</v>
      </c>
      <c r="I1002" s="22" t="s">
        <v>23</v>
      </c>
    </row>
    <row r="1003" spans="1:9" ht="18.75" customHeight="1" x14ac:dyDescent="0.25">
      <c r="A1003" s="149"/>
      <c r="B1003" s="23" t="s">
        <v>751</v>
      </c>
      <c r="C1003" s="23"/>
      <c r="D1003" s="23"/>
      <c r="E1003" s="23"/>
      <c r="F1003" s="23"/>
      <c r="G1003" s="146" t="s">
        <v>756</v>
      </c>
      <c r="H1003" s="16">
        <f>'Input &amp; Process'!H683</f>
        <v>36.744166282925789</v>
      </c>
      <c r="I1003" s="22" t="s">
        <v>23</v>
      </c>
    </row>
    <row r="1004" spans="1:9" ht="18.75" customHeight="1" x14ac:dyDescent="0.25">
      <c r="A1004" s="149"/>
      <c r="B1004" s="23"/>
      <c r="C1004" s="23"/>
      <c r="D1004" s="23"/>
      <c r="E1004" s="23"/>
      <c r="F1004" s="23"/>
      <c r="G1004" s="146"/>
      <c r="H1004" s="21"/>
      <c r="I1004" s="22"/>
    </row>
    <row r="1005" spans="1:9" ht="18.75" customHeight="1" x14ac:dyDescent="0.25">
      <c r="A1005" s="149"/>
      <c r="B1005" s="23" t="s">
        <v>757</v>
      </c>
      <c r="C1005" s="23"/>
      <c r="D1005" s="23"/>
      <c r="E1005" s="23"/>
      <c r="F1005" s="23"/>
      <c r="G1005" s="146"/>
      <c r="H1005" s="21"/>
      <c r="I1005" s="22"/>
    </row>
    <row r="1006" spans="1:9" ht="18.75" customHeight="1" x14ac:dyDescent="0.25">
      <c r="A1006" s="149"/>
      <c r="B1006" s="148" t="s">
        <v>19</v>
      </c>
      <c r="C1006" s="23"/>
      <c r="D1006" s="240" t="s">
        <v>908</v>
      </c>
      <c r="E1006" s="21" t="s">
        <v>48</v>
      </c>
      <c r="F1006" s="239" t="s">
        <v>892</v>
      </c>
      <c r="G1006" s="146"/>
      <c r="H1006" s="21"/>
      <c r="I1006" s="22"/>
    </row>
    <row r="1007" spans="1:9" ht="18.75" customHeight="1" x14ac:dyDescent="0.25">
      <c r="A1007" s="149"/>
      <c r="B1007" s="23"/>
      <c r="C1007" s="23"/>
      <c r="D1007" s="237">
        <f>'Input &amp; Process'!D687</f>
        <v>36.744166282925789</v>
      </c>
      <c r="E1007" s="21" t="str">
        <f>IF(D1007&lt;=F1007,"≤","&gt;")</f>
        <v>≤</v>
      </c>
      <c r="F1007" s="237">
        <f>'Input &amp; Process'!F687</f>
        <v>180.32292166822552</v>
      </c>
      <c r="G1007" s="149" t="s">
        <v>14</v>
      </c>
      <c r="H1007" s="149" t="str">
        <f>IF(D1007&lt;=F1007,"[ OK ]","[ NOT OK ]")</f>
        <v>[ OK ]</v>
      </c>
      <c r="I1007" s="22"/>
    </row>
    <row r="1008" spans="1:9" ht="18.75" customHeight="1" x14ac:dyDescent="0.25">
      <c r="A1008" s="149"/>
      <c r="B1008" s="23"/>
      <c r="C1008" s="23"/>
      <c r="D1008" s="23"/>
      <c r="E1008" s="23"/>
      <c r="F1008" s="23"/>
      <c r="G1008" s="146"/>
      <c r="H1008" s="21"/>
      <c r="I1008" s="22"/>
    </row>
    <row r="1009" spans="1:9" ht="18.75" customHeight="1" x14ac:dyDescent="0.25">
      <c r="A1009" s="149"/>
      <c r="B1009" s="243" t="s">
        <v>759</v>
      </c>
      <c r="C1009" s="248"/>
      <c r="D1009" s="248"/>
      <c r="E1009" s="248"/>
      <c r="F1009" s="248"/>
      <c r="G1009" s="249"/>
      <c r="H1009" s="250"/>
      <c r="I1009" s="298"/>
    </row>
    <row r="1010" spans="1:9" ht="18.75" customHeight="1" x14ac:dyDescent="0.25">
      <c r="A1010" s="149"/>
      <c r="B1010" s="23" t="s">
        <v>745</v>
      </c>
      <c r="C1010" s="23"/>
      <c r="D1010" s="23"/>
      <c r="E1010" s="23"/>
      <c r="F1010" s="23"/>
      <c r="G1010" s="146" t="s">
        <v>760</v>
      </c>
      <c r="H1010" s="16">
        <f>'Input &amp; Process'!H690</f>
        <v>111.70346767090624</v>
      </c>
      <c r="I1010" s="22" t="s">
        <v>23</v>
      </c>
    </row>
    <row r="1011" spans="1:9" ht="18.75" customHeight="1" x14ac:dyDescent="0.25">
      <c r="A1011" s="149"/>
      <c r="B1011" s="23" t="s">
        <v>748</v>
      </c>
      <c r="C1011" s="23"/>
      <c r="D1011" s="23"/>
      <c r="E1011" s="23"/>
      <c r="F1011" s="23"/>
      <c r="G1011" s="146" t="s">
        <v>761</v>
      </c>
      <c r="H1011" s="16">
        <f>'Input &amp; Process'!H691</f>
        <v>24.461684855636406</v>
      </c>
      <c r="I1011" s="22" t="s">
        <v>23</v>
      </c>
    </row>
    <row r="1012" spans="1:9" ht="18.75" customHeight="1" x14ac:dyDescent="0.25">
      <c r="A1012" s="149"/>
      <c r="B1012" s="23" t="s">
        <v>749</v>
      </c>
      <c r="C1012" s="23"/>
      <c r="D1012" s="23"/>
      <c r="E1012" s="23"/>
      <c r="F1012" s="23"/>
      <c r="G1012" s="146" t="s">
        <v>762</v>
      </c>
      <c r="H1012" s="16">
        <f>'Input &amp; Process'!H692</f>
        <v>44.668911015083168</v>
      </c>
      <c r="I1012" s="22" t="s">
        <v>23</v>
      </c>
    </row>
    <row r="1013" spans="1:9" ht="18.75" customHeight="1" x14ac:dyDescent="0.25">
      <c r="A1013" s="149"/>
      <c r="B1013" s="23"/>
      <c r="C1013" s="23"/>
      <c r="D1013" s="23"/>
      <c r="E1013" s="23"/>
      <c r="F1013" s="23"/>
      <c r="G1013" s="146"/>
      <c r="H1013" s="21"/>
      <c r="I1013" s="22"/>
    </row>
    <row r="1014" spans="1:9" ht="18.75" customHeight="1" x14ac:dyDescent="0.25">
      <c r="A1014" s="149"/>
      <c r="B1014" s="23" t="s">
        <v>750</v>
      </c>
      <c r="C1014" s="23"/>
      <c r="D1014" s="23"/>
      <c r="E1014" s="23"/>
      <c r="F1014" s="23"/>
      <c r="G1014" s="146" t="s">
        <v>755</v>
      </c>
      <c r="H1014" s="16">
        <f>'Input &amp; Process'!H694</f>
        <v>136.16515252654264</v>
      </c>
      <c r="I1014" s="22" t="s">
        <v>23</v>
      </c>
    </row>
    <row r="1015" spans="1:9" ht="18.75" customHeight="1" x14ac:dyDescent="0.25">
      <c r="A1015" s="149"/>
      <c r="B1015" s="23" t="s">
        <v>751</v>
      </c>
      <c r="C1015" s="23"/>
      <c r="D1015" s="23"/>
      <c r="E1015" s="23"/>
      <c r="F1015" s="23"/>
      <c r="G1015" s="146" t="s">
        <v>756</v>
      </c>
      <c r="H1015" s="16">
        <f>'Input &amp; Process'!H695</f>
        <v>89.337822030166336</v>
      </c>
      <c r="I1015" s="22" t="s">
        <v>23</v>
      </c>
    </row>
    <row r="1016" spans="1:9" ht="18.75" customHeight="1" x14ac:dyDescent="0.25">
      <c r="A1016" s="149"/>
      <c r="B1016" s="23"/>
      <c r="C1016" s="23"/>
      <c r="D1016" s="23"/>
      <c r="E1016" s="23"/>
      <c r="F1016" s="23"/>
      <c r="G1016" s="146"/>
      <c r="H1016" s="21"/>
      <c r="I1016" s="22"/>
    </row>
    <row r="1017" spans="1:9" ht="18.75" customHeight="1" x14ac:dyDescent="0.25">
      <c r="A1017" s="149"/>
      <c r="B1017" s="23" t="s">
        <v>757</v>
      </c>
      <c r="C1017" s="23"/>
      <c r="D1017" s="23"/>
      <c r="E1017" s="23"/>
      <c r="F1017" s="23"/>
      <c r="G1017" s="146"/>
      <c r="H1017" s="21"/>
      <c r="I1017" s="22"/>
    </row>
    <row r="1018" spans="1:9" ht="18.75" customHeight="1" x14ac:dyDescent="0.25">
      <c r="A1018" s="149"/>
      <c r="B1018" s="148" t="s">
        <v>19</v>
      </c>
      <c r="C1018" s="23"/>
      <c r="D1018" s="240" t="s">
        <v>908</v>
      </c>
      <c r="E1018" s="21" t="s">
        <v>48</v>
      </c>
      <c r="F1018" s="239" t="s">
        <v>892</v>
      </c>
      <c r="G1018" s="146"/>
      <c r="H1018" s="21"/>
      <c r="I1018" s="22"/>
    </row>
    <row r="1019" spans="1:9" ht="18.75" customHeight="1" x14ac:dyDescent="0.25">
      <c r="A1019" s="149"/>
      <c r="B1019" s="23"/>
      <c r="C1019" s="23"/>
      <c r="D1019" s="237">
        <f>'Input &amp; Process'!D699</f>
        <v>89.337822030166336</v>
      </c>
      <c r="E1019" s="21" t="str">
        <f>IF(D1019&lt;=F1019,"≤","&gt;")</f>
        <v>≤</v>
      </c>
      <c r="F1019" s="237">
        <f>'Input &amp; Process'!F699</f>
        <v>136.16515252654264</v>
      </c>
      <c r="G1019" s="149" t="s">
        <v>14</v>
      </c>
      <c r="H1019" s="149" t="str">
        <f>IF(D1019&lt;=F1019,"[ OK ]","[ NOT OK ]")</f>
        <v>[ OK ]</v>
      </c>
      <c r="I1019" s="22"/>
    </row>
    <row r="1020" spans="1:9" ht="18.75" customHeight="1" x14ac:dyDescent="0.25">
      <c r="A1020" s="174"/>
      <c r="B1020" s="153"/>
      <c r="C1020" s="153"/>
      <c r="D1020" s="242"/>
      <c r="E1020" s="172"/>
      <c r="F1020" s="242"/>
      <c r="G1020" s="174"/>
      <c r="H1020" s="174"/>
      <c r="I1020" s="285"/>
    </row>
    <row r="1021" spans="1:9" ht="18.75" customHeight="1" x14ac:dyDescent="0.25">
      <c r="A1021" s="149"/>
      <c r="B1021" s="150" t="s">
        <v>763</v>
      </c>
      <c r="C1021" s="149" t="s">
        <v>14</v>
      </c>
      <c r="D1021" s="164" t="str">
        <f>IF(D1007&lt;=F1007,IF(D1019&lt;=F1019,"[OK - Detail analisa terhadap fatik tidak perlu dilakukan]","[Perlu adanya analisa lebih lanjut terhadap fatik]"),"[Perlu adanya analisa lebih lanjut terhadap fatik]")</f>
        <v>[OK - Detail analisa terhadap fatik tidak perlu dilakukan]</v>
      </c>
      <c r="E1021" s="23"/>
      <c r="F1021" s="23"/>
      <c r="G1021" s="146"/>
      <c r="H1021" s="21"/>
      <c r="I1021" s="22"/>
    </row>
    <row r="1022" spans="1:9" ht="18.75" customHeight="1" x14ac:dyDescent="0.25">
      <c r="A1022" s="149"/>
      <c r="B1022" s="23"/>
      <c r="C1022" s="23"/>
      <c r="D1022" s="23"/>
      <c r="E1022" s="23"/>
      <c r="F1022" s="23"/>
      <c r="G1022" s="146"/>
      <c r="H1022" s="21"/>
      <c r="I1022" s="22"/>
    </row>
    <row r="1023" spans="1:9" ht="18.75" customHeight="1" x14ac:dyDescent="0.25">
      <c r="A1023" s="149"/>
      <c r="B1023" s="23"/>
      <c r="C1023" s="23"/>
      <c r="D1023" s="23"/>
      <c r="E1023" s="23"/>
      <c r="F1023" s="23"/>
      <c r="G1023" s="146"/>
      <c r="H1023" s="21"/>
      <c r="I1023" s="22"/>
    </row>
  </sheetData>
  <mergeCells count="29">
    <mergeCell ref="I455:I456"/>
    <mergeCell ref="I498:I499"/>
    <mergeCell ref="B533:B536"/>
    <mergeCell ref="C533:D533"/>
    <mergeCell ref="E533:E534"/>
    <mergeCell ref="F533:F534"/>
    <mergeCell ref="G533:G534"/>
    <mergeCell ref="H533:H534"/>
    <mergeCell ref="I533:I534"/>
    <mergeCell ref="B498:B501"/>
    <mergeCell ref="C498:D498"/>
    <mergeCell ref="E498:E499"/>
    <mergeCell ref="F498:F499"/>
    <mergeCell ref="G498:G499"/>
    <mergeCell ref="H498:H499"/>
    <mergeCell ref="B455:B458"/>
    <mergeCell ref="C455:D455"/>
    <mergeCell ref="E455:E456"/>
    <mergeCell ref="F455:F456"/>
    <mergeCell ref="G455:G456"/>
    <mergeCell ref="H455:H456"/>
    <mergeCell ref="B128:I128"/>
    <mergeCell ref="B123:I123"/>
    <mergeCell ref="A1:I1"/>
    <mergeCell ref="A3:C6"/>
    <mergeCell ref="F3:I3"/>
    <mergeCell ref="F4:I4"/>
    <mergeCell ref="F5:I5"/>
    <mergeCell ref="F6:I6"/>
  </mergeCells>
  <conditionalFormatting sqref="H99">
    <cfRule type="expression" dxfId="15" priority="15">
      <formula>H99="[ NOT OK ]"</formula>
    </cfRule>
    <cfRule type="expression" dxfId="14" priority="16">
      <formula>H99="[ OK ]"</formula>
    </cfRule>
  </conditionalFormatting>
  <conditionalFormatting sqref="H102">
    <cfRule type="expression" dxfId="13" priority="13">
      <formula>H102="[ NOT OK ]"</formula>
    </cfRule>
    <cfRule type="expression" dxfId="12" priority="14">
      <formula>H102="[ OK ]"</formula>
    </cfRule>
  </conditionalFormatting>
  <conditionalFormatting sqref="H105">
    <cfRule type="expression" dxfId="11" priority="11">
      <formula>H105="[ NOT OK ]"</formula>
    </cfRule>
    <cfRule type="expression" dxfId="10" priority="12">
      <formula>H105="[ OK ]"</formula>
    </cfRule>
  </conditionalFormatting>
  <conditionalFormatting sqref="H108:H109">
    <cfRule type="expression" dxfId="9" priority="9">
      <formula>H108="[ NOT OK ]"</formula>
    </cfRule>
    <cfRule type="expression" dxfId="8" priority="10">
      <formula>H108="[ OK ]"</formula>
    </cfRule>
  </conditionalFormatting>
  <conditionalFormatting sqref="H121 H112">
    <cfRule type="expression" dxfId="7" priority="7">
      <formula>H112="[ NOT OK ]"</formula>
    </cfRule>
    <cfRule type="expression" dxfId="6" priority="8">
      <formula>H112="[ OK ]"</formula>
    </cfRule>
  </conditionalFormatting>
  <conditionalFormatting sqref="H166 H156 H119">
    <cfRule type="expression" dxfId="5" priority="5">
      <formula>H119="[ NOT OK ]"</formula>
    </cfRule>
    <cfRule type="expression" dxfId="4" priority="6">
      <formula>H119="[ OK ]"</formula>
    </cfRule>
  </conditionalFormatting>
  <conditionalFormatting sqref="H210:H211 H205 H199 H196 H193 H188 H183 H179 H175 H170 H160 H148 H142 H138 H132 H126">
    <cfRule type="expression" dxfId="3" priority="3">
      <formula>H126="[ NOT OK ]"</formula>
    </cfRule>
    <cfRule type="expression" dxfId="2" priority="4">
      <formula>H126="[ OK ]"</formula>
    </cfRule>
  </conditionalFormatting>
  <conditionalFormatting sqref="H115">
    <cfRule type="expression" dxfId="1" priority="1">
      <formula>H115="[ NOT OK ]"</formula>
    </cfRule>
    <cfRule type="expression" dxfId="0" priority="2">
      <formula>H115="[ OK ]"</formula>
    </cfRule>
  </conditionalFormatting>
  <hyperlinks>
    <hyperlink ref="F6" r:id="rId1" xr:uid="{24C975FC-E9E5-4AFE-BCC1-D7D2816D01F8}"/>
  </hyperlinks>
  <pageMargins left="0.7" right="0.7" top="0.75" bottom="0.75" header="0.3" footer="0.3"/>
  <pageSetup orientation="portrait" r:id="rId2"/>
  <headerFooter>
    <oddHeader>&amp;L&amp;"Calibri,Bold"&amp;K05-024Versi 1.0&amp;C&amp;"Calibri,Bold"&amp;K05-024Page &amp;P</oddHeader>
    <oddFooter xml:space="preserve">&amp;L&amp;"Calibri,Bold"&amp;K05-024Dapatkan program bantu spreadsheet ini hanya di https://www.inpetra.id/ </oddFooter>
  </headerFooter>
  <ignoredErrors>
    <ignoredError sqref="E612 E668 E726 E77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Process - Pembebanan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2022-06-10T09:56:18Z</cp:lastPrinted>
  <dcterms:created xsi:type="dcterms:W3CDTF">2022-05-04T01:54:39Z</dcterms:created>
  <dcterms:modified xsi:type="dcterms:W3CDTF">2022-06-10T10:07:32Z</dcterms:modified>
</cp:coreProperties>
</file>