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[!] Ready to Upload/"/>
    </mc:Choice>
  </mc:AlternateContent>
  <xr:revisionPtr revIDLastSave="98" documentId="8_{565100F0-0B08-4B06-BF0F-CE008B27DECD}" xr6:coauthVersionLast="47" xr6:coauthVersionMax="47" xr10:uidLastSave="{485A35A3-BB74-4EA0-B9B9-0041977B0CBF}"/>
  <bookViews>
    <workbookView xWindow="-120" yWindow="-120" windowWidth="29040" windowHeight="15990" xr2:uid="{2B5FA27B-CD7D-4A4A-AFDC-F72C5039DD4C}"/>
  </bookViews>
  <sheets>
    <sheet name="About" sheetId="8" r:id="rId1"/>
    <sheet name="Input (1)" sheetId="1" r:id="rId2"/>
    <sheet name="Input (2)" sheetId="2" r:id="rId3"/>
    <sheet name="Fondasi Dalam" sheetId="3" r:id="rId4"/>
    <sheet name="Geser &amp; Penulang Pilecap" sheetId="4" r:id="rId5"/>
    <sheet name="Result" sheetId="7" r:id="rId6"/>
    <sheet name="Report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3" l="1"/>
  <c r="E117" i="3"/>
  <c r="H254" i="4"/>
  <c r="H315" i="4"/>
  <c r="G577" i="6"/>
  <c r="G638" i="6" s="1"/>
  <c r="G231" i="6"/>
  <c r="G232" i="6"/>
  <c r="G233" i="6"/>
  <c r="G14" i="7"/>
  <c r="G13" i="7"/>
  <c r="G342" i="4"/>
  <c r="G280" i="4"/>
  <c r="H667" i="6" l="1"/>
  <c r="H635" i="6"/>
  <c r="H619" i="6"/>
  <c r="H602" i="6"/>
  <c r="H574" i="6"/>
  <c r="H559" i="6"/>
  <c r="H548" i="6"/>
  <c r="H542" i="6"/>
  <c r="H502" i="6"/>
  <c r="H450" i="6"/>
  <c r="H423" i="6"/>
  <c r="H421" i="6"/>
  <c r="H354" i="6"/>
  <c r="I211" i="6"/>
  <c r="I210" i="6"/>
  <c r="I171" i="6"/>
  <c r="G171" i="6"/>
  <c r="E171" i="6"/>
  <c r="I170" i="6"/>
  <c r="G170" i="6"/>
  <c r="E170" i="6"/>
  <c r="I169" i="6"/>
  <c r="G169" i="6"/>
  <c r="E169" i="6"/>
  <c r="I168" i="6"/>
  <c r="G168" i="6"/>
  <c r="E168" i="6"/>
  <c r="I167" i="6"/>
  <c r="G167" i="6"/>
  <c r="E167" i="6"/>
  <c r="I166" i="6"/>
  <c r="G166" i="6"/>
  <c r="E166" i="6"/>
  <c r="I165" i="6"/>
  <c r="G165" i="6"/>
  <c r="E165" i="6"/>
  <c r="I164" i="6"/>
  <c r="G164" i="6"/>
  <c r="E164" i="6"/>
  <c r="I163" i="6"/>
  <c r="G163" i="6"/>
  <c r="E163" i="6"/>
  <c r="H62" i="6"/>
  <c r="H61" i="6"/>
  <c r="H64" i="6"/>
  <c r="H63" i="6"/>
  <c r="H58" i="6"/>
  <c r="H57" i="6"/>
  <c r="H54" i="6"/>
  <c r="H53" i="6"/>
  <c r="H52" i="6"/>
  <c r="H51" i="6"/>
  <c r="H50" i="6"/>
  <c r="H46" i="6"/>
  <c r="H45" i="6"/>
  <c r="H44" i="6"/>
  <c r="H43" i="6"/>
  <c r="H42" i="6"/>
  <c r="H41" i="6"/>
  <c r="H40" i="6"/>
  <c r="H14" i="6"/>
  <c r="H17" i="6"/>
  <c r="H16" i="6"/>
  <c r="H12" i="6"/>
  <c r="H11" i="6"/>
  <c r="H10" i="6"/>
  <c r="H47" i="7" l="1"/>
  <c r="H127" i="6" s="1"/>
  <c r="H46" i="7"/>
  <c r="H126" i="6" s="1"/>
  <c r="H45" i="7"/>
  <c r="H125" i="6" s="1"/>
  <c r="H44" i="7"/>
  <c r="H124" i="6" s="1"/>
  <c r="H42" i="7"/>
  <c r="H122" i="6" s="1"/>
  <c r="H41" i="7"/>
  <c r="H121" i="6" s="1"/>
  <c r="H10" i="7"/>
  <c r="H89" i="6" s="1"/>
  <c r="H9" i="7"/>
  <c r="H88" i="6" s="1"/>
  <c r="H6" i="7"/>
  <c r="H85" i="6" s="1"/>
  <c r="H4" i="7"/>
  <c r="H83" i="6" s="1"/>
  <c r="H3" i="7"/>
  <c r="H82" i="6" s="1"/>
  <c r="H7" i="1"/>
  <c r="H13" i="6" s="1"/>
  <c r="H15" i="4"/>
  <c r="H368" i="4"/>
  <c r="H662" i="6" s="1"/>
  <c r="H16" i="4" l="1"/>
  <c r="H311" i="6"/>
  <c r="H84" i="4"/>
  <c r="H380" i="6" s="1"/>
  <c r="H371" i="4"/>
  <c r="H665" i="6" s="1"/>
  <c r="H313" i="4"/>
  <c r="H608" i="6" s="1"/>
  <c r="H251" i="4"/>
  <c r="H250" i="4"/>
  <c r="H546" i="6" s="1"/>
  <c r="H218" i="4"/>
  <c r="H514" i="6" s="1"/>
  <c r="H216" i="4"/>
  <c r="H215" i="4"/>
  <c r="H511" i="6" s="1"/>
  <c r="H196" i="4"/>
  <c r="H493" i="6" s="1"/>
  <c r="H203" i="4"/>
  <c r="H500" i="6" s="1"/>
  <c r="H144" i="4"/>
  <c r="C115" i="4"/>
  <c r="C410" i="6" s="1"/>
  <c r="C49" i="4"/>
  <c r="C45" i="4"/>
  <c r="C341" i="6" s="1"/>
  <c r="H163" i="4" l="1"/>
  <c r="H439" i="6"/>
  <c r="H261" i="4"/>
  <c r="H557" i="6" s="1"/>
  <c r="H547" i="6"/>
  <c r="C229" i="4"/>
  <c r="C527" i="6" s="1"/>
  <c r="H512" i="6"/>
  <c r="D54" i="4"/>
  <c r="D350" i="6" s="1"/>
  <c r="C345" i="6"/>
  <c r="H85" i="4"/>
  <c r="H381" i="6" s="1"/>
  <c r="H312" i="6"/>
  <c r="G92" i="6"/>
  <c r="H311" i="4"/>
  <c r="H606" i="6" s="1"/>
  <c r="H260" i="4"/>
  <c r="H312" i="4"/>
  <c r="H607" i="6" s="1"/>
  <c r="H217" i="4"/>
  <c r="C119" i="4"/>
  <c r="C414" i="6" s="1"/>
  <c r="C230" i="4" l="1"/>
  <c r="H513" i="6"/>
  <c r="D270" i="4"/>
  <c r="D567" i="6" s="1"/>
  <c r="H556" i="6"/>
  <c r="G93" i="6"/>
  <c r="H192" i="4"/>
  <c r="H458" i="6"/>
  <c r="H231" i="4"/>
  <c r="H247" i="4"/>
  <c r="H543" i="6" s="1"/>
  <c r="D124" i="4"/>
  <c r="D419" i="6" s="1"/>
  <c r="H145" i="4"/>
  <c r="H440" i="6" s="1"/>
  <c r="H213" i="4" l="1"/>
  <c r="H232" i="4" s="1"/>
  <c r="H489" i="6"/>
  <c r="H529" i="6"/>
  <c r="H230" i="4"/>
  <c r="C528" i="6"/>
  <c r="H308" i="4"/>
  <c r="H276" i="4"/>
  <c r="H573" i="6" s="1"/>
  <c r="H148" i="4"/>
  <c r="H443" i="6" s="1"/>
  <c r="H164" i="4"/>
  <c r="H459" i="6" s="1"/>
  <c r="H233" i="4" l="1"/>
  <c r="H531" i="6" s="1"/>
  <c r="H528" i="6"/>
  <c r="H338" i="4"/>
  <c r="H603" i="6"/>
  <c r="H530" i="6"/>
  <c r="H248" i="4"/>
  <c r="H509" i="6"/>
  <c r="H193" i="4"/>
  <c r="H490" i="6" s="1"/>
  <c r="H234" i="4" l="1"/>
  <c r="H309" i="4"/>
  <c r="H604" i="6" s="1"/>
  <c r="H544" i="6"/>
  <c r="H373" i="4"/>
  <c r="H634" i="6"/>
  <c r="H194" i="4"/>
  <c r="H377" i="4" l="1"/>
  <c r="H666" i="6"/>
  <c r="H195" i="4"/>
  <c r="H492" i="6" s="1"/>
  <c r="H491" i="6"/>
  <c r="G381" i="4"/>
  <c r="H322" i="4"/>
  <c r="H617" i="6" s="1"/>
  <c r="H255" i="4"/>
  <c r="H551" i="6" s="1"/>
  <c r="F209" i="4"/>
  <c r="H174" i="4"/>
  <c r="H469" i="6" s="1"/>
  <c r="J39" i="3"/>
  <c r="H196" i="6" s="1"/>
  <c r="J38" i="3"/>
  <c r="H195" i="6" s="1"/>
  <c r="J37" i="3"/>
  <c r="H194" i="6" s="1"/>
  <c r="J33" i="3"/>
  <c r="H191" i="6" s="1"/>
  <c r="J34" i="3"/>
  <c r="H192" i="6" s="1"/>
  <c r="J32" i="3"/>
  <c r="H190" i="6" s="1"/>
  <c r="J29" i="3"/>
  <c r="H188" i="6" s="1"/>
  <c r="J28" i="3"/>
  <c r="H187" i="6" s="1"/>
  <c r="J27" i="3"/>
  <c r="H186" i="6" s="1"/>
  <c r="I39" i="3"/>
  <c r="G196" i="6" s="1"/>
  <c r="I38" i="3"/>
  <c r="G195" i="6" s="1"/>
  <c r="I37" i="3"/>
  <c r="G194" i="6" s="1"/>
  <c r="I34" i="3"/>
  <c r="G192" i="6" s="1"/>
  <c r="I33" i="3"/>
  <c r="G191" i="6" s="1"/>
  <c r="I32" i="3"/>
  <c r="G190" i="6" s="1"/>
  <c r="I29" i="3"/>
  <c r="G188" i="6" s="1"/>
  <c r="I28" i="3"/>
  <c r="G187" i="6" s="1"/>
  <c r="I27" i="3"/>
  <c r="G186" i="6" s="1"/>
  <c r="G16" i="7" l="1"/>
  <c r="G95" i="6" s="1"/>
  <c r="G673" i="6"/>
  <c r="F27" i="7"/>
  <c r="F107" i="6" s="1"/>
  <c r="F506" i="6"/>
  <c r="H321" i="4"/>
  <c r="F296" i="4"/>
  <c r="F592" i="6" s="1"/>
  <c r="H266" i="4"/>
  <c r="H563" i="6" s="1"/>
  <c r="H610" i="6"/>
  <c r="H316" i="4"/>
  <c r="H611" i="6" s="1"/>
  <c r="H249" i="4"/>
  <c r="H328" i="4"/>
  <c r="H624" i="6" s="1"/>
  <c r="F358" i="4"/>
  <c r="F653" i="6" s="1"/>
  <c r="H550" i="6"/>
  <c r="H253" i="4"/>
  <c r="H549" i="6" s="1"/>
  <c r="H314" i="4"/>
  <c r="H609" i="6" s="1"/>
  <c r="G380" i="4"/>
  <c r="H310" i="4"/>
  <c r="I95" i="3"/>
  <c r="H253" i="6" s="1"/>
  <c r="I94" i="3"/>
  <c r="H252" i="6" s="1"/>
  <c r="G51" i="3"/>
  <c r="G50" i="3"/>
  <c r="G49" i="3"/>
  <c r="G48" i="3"/>
  <c r="F51" i="3"/>
  <c r="F50" i="3"/>
  <c r="F49" i="3"/>
  <c r="F48" i="3"/>
  <c r="C51" i="3"/>
  <c r="C50" i="3"/>
  <c r="C49" i="3"/>
  <c r="C48" i="3"/>
  <c r="B51" i="3"/>
  <c r="B50" i="3"/>
  <c r="B49" i="3"/>
  <c r="B48" i="3"/>
  <c r="I56" i="3"/>
  <c r="I41" i="3"/>
  <c r="I12" i="3"/>
  <c r="I11" i="3"/>
  <c r="I58" i="3" s="1"/>
  <c r="H214" i="6" s="1"/>
  <c r="I8" i="3"/>
  <c r="I7" i="3"/>
  <c r="I6" i="3"/>
  <c r="I4" i="3"/>
  <c r="I3" i="3"/>
  <c r="I61" i="3" s="1"/>
  <c r="I5" i="3"/>
  <c r="D55" i="4" s="1"/>
  <c r="H217" i="6" l="1"/>
  <c r="G15" i="7"/>
  <c r="G94" i="6" s="1"/>
  <c r="G672" i="6"/>
  <c r="D332" i="4"/>
  <c r="D628" i="6" s="1"/>
  <c r="H616" i="6"/>
  <c r="G198" i="6"/>
  <c r="H43" i="7"/>
  <c r="H123" i="6" s="1"/>
  <c r="B208" i="6"/>
  <c r="B57" i="7"/>
  <c r="B137" i="6" s="1"/>
  <c r="D50" i="3"/>
  <c r="E50" i="3" s="1"/>
  <c r="E207" i="6" s="1"/>
  <c r="H212" i="6"/>
  <c r="B205" i="6"/>
  <c r="B54" i="7"/>
  <c r="B134" i="6" s="1"/>
  <c r="B206" i="6"/>
  <c r="B55" i="7"/>
  <c r="B135" i="6" s="1"/>
  <c r="H369" i="4"/>
  <c r="H663" i="6" s="1"/>
  <c r="H545" i="6"/>
  <c r="D125" i="4"/>
  <c r="D420" i="6" s="1"/>
  <c r="D351" i="6"/>
  <c r="B207" i="6"/>
  <c r="B56" i="7"/>
  <c r="B136" i="6" s="1"/>
  <c r="H370" i="4"/>
  <c r="H605" i="6"/>
  <c r="G208" i="6"/>
  <c r="G57" i="7"/>
  <c r="G137" i="6" s="1"/>
  <c r="F207" i="6"/>
  <c r="F56" i="7"/>
  <c r="F136" i="6" s="1"/>
  <c r="F208" i="6"/>
  <c r="F57" i="7"/>
  <c r="F137" i="6" s="1"/>
  <c r="F206" i="6"/>
  <c r="F55" i="7"/>
  <c r="F135" i="6" s="1"/>
  <c r="C205" i="6"/>
  <c r="C54" i="7"/>
  <c r="C134" i="6" s="1"/>
  <c r="G205" i="6"/>
  <c r="G54" i="7"/>
  <c r="G134" i="6" s="1"/>
  <c r="C208" i="6"/>
  <c r="C57" i="7"/>
  <c r="C137" i="6" s="1"/>
  <c r="C206" i="6"/>
  <c r="C55" i="7"/>
  <c r="C135" i="6" s="1"/>
  <c r="G206" i="6"/>
  <c r="G55" i="7"/>
  <c r="G135" i="6" s="1"/>
  <c r="F205" i="6"/>
  <c r="F54" i="7"/>
  <c r="F134" i="6" s="1"/>
  <c r="C207" i="6"/>
  <c r="C56" i="7"/>
  <c r="C136" i="6" s="1"/>
  <c r="G207" i="6"/>
  <c r="G56" i="7"/>
  <c r="G136" i="6" s="1"/>
  <c r="H50" i="3"/>
  <c r="H51" i="3"/>
  <c r="H317" i="4"/>
  <c r="H256" i="4"/>
  <c r="H167" i="4"/>
  <c r="H462" i="6" s="1"/>
  <c r="H48" i="3"/>
  <c r="D49" i="3"/>
  <c r="D51" i="3"/>
  <c r="H49" i="3"/>
  <c r="D48" i="3"/>
  <c r="G52" i="3"/>
  <c r="I63" i="3"/>
  <c r="H219" i="6" s="1"/>
  <c r="C52" i="3"/>
  <c r="G58" i="3"/>
  <c r="I96" i="3"/>
  <c r="I64" i="3" l="1"/>
  <c r="F214" i="6"/>
  <c r="I59" i="3"/>
  <c r="C135" i="4"/>
  <c r="F135" i="4" s="1"/>
  <c r="F430" i="6" s="1"/>
  <c r="D95" i="4"/>
  <c r="D391" i="6" s="1"/>
  <c r="D206" i="6"/>
  <c r="D55" i="7"/>
  <c r="D135" i="6" s="1"/>
  <c r="H258" i="4"/>
  <c r="H552" i="6"/>
  <c r="H376" i="4"/>
  <c r="H664" i="6"/>
  <c r="H319" i="4"/>
  <c r="H612" i="6"/>
  <c r="D205" i="6"/>
  <c r="D54" i="7"/>
  <c r="D134" i="6" s="1"/>
  <c r="I97" i="3"/>
  <c r="H256" i="6" s="1"/>
  <c r="H254" i="6"/>
  <c r="D96" i="4"/>
  <c r="D392" i="6" s="1"/>
  <c r="D208" i="6"/>
  <c r="D57" i="7"/>
  <c r="D137" i="6" s="1"/>
  <c r="D207" i="6"/>
  <c r="D56" i="7"/>
  <c r="D136" i="6" s="1"/>
  <c r="H208" i="6"/>
  <c r="H57" i="7"/>
  <c r="H137" i="6" s="1"/>
  <c r="D25" i="4"/>
  <c r="D321" i="6" s="1"/>
  <c r="H206" i="6"/>
  <c r="H55" i="7"/>
  <c r="H135" i="6" s="1"/>
  <c r="G209" i="6"/>
  <c r="G58" i="7"/>
  <c r="G138" i="6" s="1"/>
  <c r="H207" i="6"/>
  <c r="H56" i="7"/>
  <c r="H136" i="6" s="1"/>
  <c r="I70" i="3"/>
  <c r="H227" i="6" s="1"/>
  <c r="C209" i="6"/>
  <c r="C58" i="7"/>
  <c r="C138" i="6" s="1"/>
  <c r="D24" i="4"/>
  <c r="D320" i="6" s="1"/>
  <c r="H205" i="6"/>
  <c r="H54" i="7"/>
  <c r="H134" i="6" s="1"/>
  <c r="C133" i="4"/>
  <c r="D93" i="4"/>
  <c r="D389" i="6" s="1"/>
  <c r="C134" i="4"/>
  <c r="D94" i="4"/>
  <c r="D390" i="6" s="1"/>
  <c r="C66" i="4"/>
  <c r="D27" i="4"/>
  <c r="D323" i="6" s="1"/>
  <c r="C65" i="4"/>
  <c r="D26" i="4"/>
  <c r="D322" i="6" s="1"/>
  <c r="H346" i="4"/>
  <c r="I51" i="3"/>
  <c r="I50" i="3"/>
  <c r="E51" i="3"/>
  <c r="E208" i="6" s="1"/>
  <c r="C136" i="4"/>
  <c r="C431" i="6" s="1"/>
  <c r="I53" i="3"/>
  <c r="C64" i="4"/>
  <c r="C63" i="4"/>
  <c r="C359" i="6" s="1"/>
  <c r="H198" i="4"/>
  <c r="H197" i="4"/>
  <c r="H494" i="6" s="1"/>
  <c r="E48" i="3"/>
  <c r="E205" i="6" s="1"/>
  <c r="M57" i="3"/>
  <c r="O57" i="3" s="1"/>
  <c r="Q57" i="3" s="1"/>
  <c r="L57" i="3"/>
  <c r="E49" i="3"/>
  <c r="E206" i="6" s="1"/>
  <c r="L47" i="3"/>
  <c r="I54" i="3"/>
  <c r="I78" i="3"/>
  <c r="H236" i="6" s="1"/>
  <c r="I80" i="3"/>
  <c r="H238" i="6" s="1"/>
  <c r="I49" i="3"/>
  <c r="I77" i="3"/>
  <c r="H235" i="6" s="1"/>
  <c r="M47" i="3"/>
  <c r="O47" i="3" s="1"/>
  <c r="Q47" i="3" s="1"/>
  <c r="I79" i="3"/>
  <c r="H237" i="6" s="1"/>
  <c r="F45" i="4" l="1"/>
  <c r="F341" i="6" s="1"/>
  <c r="C430" i="6"/>
  <c r="I99" i="3"/>
  <c r="H258" i="6" s="1"/>
  <c r="G107" i="3"/>
  <c r="G127" i="3" s="1"/>
  <c r="H379" i="4"/>
  <c r="H670" i="6"/>
  <c r="F134" i="4"/>
  <c r="F429" i="6" s="1"/>
  <c r="C429" i="6"/>
  <c r="H259" i="4"/>
  <c r="H554" i="6"/>
  <c r="H202" i="4"/>
  <c r="H499" i="6" s="1"/>
  <c r="H495" i="6"/>
  <c r="C116" i="4"/>
  <c r="C411" i="6" s="1"/>
  <c r="H211" i="6"/>
  <c r="H8" i="7"/>
  <c r="H87" i="6" s="1"/>
  <c r="I60" i="7"/>
  <c r="I140" i="6" s="1"/>
  <c r="G349" i="4"/>
  <c r="G644" i="6" s="1"/>
  <c r="H642" i="6"/>
  <c r="H133" i="4"/>
  <c r="H428" i="6" s="1"/>
  <c r="C428" i="6"/>
  <c r="H320" i="4"/>
  <c r="H614" i="6"/>
  <c r="E209" i="6"/>
  <c r="F24" i="4"/>
  <c r="G320" i="6" s="1"/>
  <c r="E24" i="4"/>
  <c r="E320" i="6" s="1"/>
  <c r="H210" i="6"/>
  <c r="H7" i="7"/>
  <c r="H86" i="6" s="1"/>
  <c r="I59" i="7"/>
  <c r="I139" i="6" s="1"/>
  <c r="I206" i="6"/>
  <c r="F66" i="4"/>
  <c r="F362" i="6" s="1"/>
  <c r="C362" i="6"/>
  <c r="I208" i="6"/>
  <c r="G24" i="4"/>
  <c r="H320" i="6" s="1"/>
  <c r="I207" i="6"/>
  <c r="I205" i="6"/>
  <c r="F64" i="4"/>
  <c r="F360" i="6" s="1"/>
  <c r="C360" i="6"/>
  <c r="F65" i="4"/>
  <c r="F361" i="6" s="1"/>
  <c r="C361" i="6"/>
  <c r="F133" i="4"/>
  <c r="F428" i="6" s="1"/>
  <c r="F93" i="4"/>
  <c r="G389" i="6" s="1"/>
  <c r="E93" i="4"/>
  <c r="E389" i="6" s="1"/>
  <c r="G93" i="4"/>
  <c r="H389" i="6" s="1"/>
  <c r="N47" i="3"/>
  <c r="P47" i="3" s="1"/>
  <c r="N57" i="3"/>
  <c r="P57" i="3" s="1"/>
  <c r="F115" i="4"/>
  <c r="F410" i="6" s="1"/>
  <c r="C46" i="4"/>
  <c r="C342" i="6" s="1"/>
  <c r="H149" i="4"/>
  <c r="H444" i="6" s="1"/>
  <c r="H63" i="4"/>
  <c r="H359" i="6" s="1"/>
  <c r="F63" i="4"/>
  <c r="F359" i="6" s="1"/>
  <c r="E52" i="3"/>
  <c r="I52" i="3"/>
  <c r="I209" i="6" s="1"/>
  <c r="F136" i="4"/>
  <c r="F431" i="6" s="1"/>
  <c r="I68" i="3"/>
  <c r="H225" i="6" s="1"/>
  <c r="E54" i="4"/>
  <c r="I67" i="3"/>
  <c r="H223" i="6" s="1"/>
  <c r="I69" i="3"/>
  <c r="H226" i="6" s="1"/>
  <c r="G110" i="3" l="1"/>
  <c r="F116" i="4"/>
  <c r="F117" i="4" s="1"/>
  <c r="F412" i="6" s="1"/>
  <c r="C124" i="4"/>
  <c r="I100" i="3"/>
  <c r="H259" i="6" s="1"/>
  <c r="C118" i="4"/>
  <c r="C413" i="6" s="1"/>
  <c r="D80" i="7"/>
  <c r="D167" i="6" s="1"/>
  <c r="E266" i="6"/>
  <c r="G117" i="3"/>
  <c r="E282" i="6" s="1"/>
  <c r="F270" i="4"/>
  <c r="F567" i="6" s="1"/>
  <c r="H555" i="6"/>
  <c r="H69" i="4"/>
  <c r="H365" i="6" s="1"/>
  <c r="E350" i="6"/>
  <c r="C125" i="4"/>
  <c r="C420" i="6" s="1"/>
  <c r="C419" i="6"/>
  <c r="F332" i="4"/>
  <c r="F628" i="6" s="1"/>
  <c r="H615" i="6"/>
  <c r="H671" i="6"/>
  <c r="H381" i="4"/>
  <c r="E292" i="6"/>
  <c r="H80" i="7"/>
  <c r="H167" i="6" s="1"/>
  <c r="G120" i="3"/>
  <c r="E269" i="6"/>
  <c r="D83" i="7"/>
  <c r="D170" i="6" s="1"/>
  <c r="G104" i="3"/>
  <c r="G114" i="3" s="1"/>
  <c r="H284" i="4"/>
  <c r="H372" i="4"/>
  <c r="H168" i="4"/>
  <c r="H463" i="6" s="1"/>
  <c r="C48" i="4"/>
  <c r="C344" i="6" s="1"/>
  <c r="F46" i="4"/>
  <c r="C54" i="4"/>
  <c r="E55" i="4"/>
  <c r="E351" i="6" s="1"/>
  <c r="J74" i="3"/>
  <c r="H232" i="6" s="1"/>
  <c r="J73" i="3"/>
  <c r="H231" i="6" s="1"/>
  <c r="I74" i="3"/>
  <c r="I73" i="3"/>
  <c r="I75" i="3"/>
  <c r="J75" i="3"/>
  <c r="H233" i="6" s="1"/>
  <c r="H86" i="4" l="1"/>
  <c r="E94" i="4" s="1"/>
  <c r="E390" i="6" s="1"/>
  <c r="H147" i="4"/>
  <c r="H442" i="6" s="1"/>
  <c r="F80" i="7"/>
  <c r="F167" i="6" s="1"/>
  <c r="F411" i="6"/>
  <c r="E95" i="4"/>
  <c r="E391" i="6" s="1"/>
  <c r="G287" i="4"/>
  <c r="H581" i="6"/>
  <c r="G583" i="6" s="1"/>
  <c r="H16" i="7"/>
  <c r="H95" i="6" s="1"/>
  <c r="H673" i="6"/>
  <c r="H375" i="4"/>
  <c r="H669" i="6" s="1"/>
  <c r="H668" i="6"/>
  <c r="G124" i="3"/>
  <c r="E289" i="6" s="1"/>
  <c r="G130" i="3"/>
  <c r="E285" i="6"/>
  <c r="F83" i="7"/>
  <c r="F170" i="6" s="1"/>
  <c r="E279" i="6"/>
  <c r="F77" i="7"/>
  <c r="F164" i="6" s="1"/>
  <c r="C55" i="4"/>
  <c r="C351" i="6" s="1"/>
  <c r="C350" i="6"/>
  <c r="N48" i="3"/>
  <c r="F47" i="4"/>
  <c r="F343" i="6" s="1"/>
  <c r="F342" i="6"/>
  <c r="E263" i="6"/>
  <c r="D77" i="7"/>
  <c r="D164" i="6" s="1"/>
  <c r="E96" i="4"/>
  <c r="E392" i="6" s="1"/>
  <c r="L50" i="3"/>
  <c r="L58" i="3"/>
  <c r="L49" i="3"/>
  <c r="L60" i="3"/>
  <c r="L48" i="3"/>
  <c r="L61" i="3"/>
  <c r="L59" i="3"/>
  <c r="M48" i="3"/>
  <c r="M59" i="3"/>
  <c r="H166" i="4"/>
  <c r="H17" i="4"/>
  <c r="M61" i="3"/>
  <c r="M60" i="3"/>
  <c r="O61" i="3"/>
  <c r="O60" i="3"/>
  <c r="N61" i="3"/>
  <c r="N60" i="3"/>
  <c r="Q61" i="3"/>
  <c r="Q60" i="3"/>
  <c r="P60" i="3"/>
  <c r="P61" i="3"/>
  <c r="E104" i="3"/>
  <c r="H199" i="4"/>
  <c r="E124" i="4"/>
  <c r="E419" i="6" s="1"/>
  <c r="F54" i="4"/>
  <c r="Q59" i="3"/>
  <c r="Q58" i="3"/>
  <c r="P58" i="3"/>
  <c r="P59" i="3"/>
  <c r="O59" i="3"/>
  <c r="O58" i="3"/>
  <c r="M58" i="3"/>
  <c r="M49" i="3"/>
  <c r="N59" i="3"/>
  <c r="N58" i="3"/>
  <c r="P50" i="3"/>
  <c r="P51" i="3"/>
  <c r="L51" i="3"/>
  <c r="Q50" i="3"/>
  <c r="Q51" i="3"/>
  <c r="N50" i="3"/>
  <c r="N51" i="3"/>
  <c r="M50" i="3"/>
  <c r="M51" i="3"/>
  <c r="O50" i="3"/>
  <c r="O51" i="3"/>
  <c r="Q48" i="3"/>
  <c r="Q49" i="3"/>
  <c r="J92" i="3"/>
  <c r="J91" i="3"/>
  <c r="J86" i="3"/>
  <c r="J85" i="3"/>
  <c r="J89" i="3"/>
  <c r="J88" i="3"/>
  <c r="O49" i="3"/>
  <c r="O48" i="3"/>
  <c r="I91" i="3"/>
  <c r="P48" i="3"/>
  <c r="E124" i="3"/>
  <c r="I92" i="3"/>
  <c r="P49" i="3"/>
  <c r="I85" i="3"/>
  <c r="I86" i="3"/>
  <c r="E114" i="3"/>
  <c r="N49" i="3"/>
  <c r="I89" i="3"/>
  <c r="I88" i="3"/>
  <c r="H87" i="4" l="1"/>
  <c r="H383" i="6" s="1"/>
  <c r="H89" i="4"/>
  <c r="H385" i="6" s="1"/>
  <c r="H382" i="6"/>
  <c r="H88" i="4"/>
  <c r="H384" i="6" s="1"/>
  <c r="H153" i="4"/>
  <c r="H448" i="6" s="1"/>
  <c r="H151" i="4"/>
  <c r="H446" i="6" s="1"/>
  <c r="H152" i="4"/>
  <c r="H447" i="6" s="1"/>
  <c r="H77" i="7"/>
  <c r="H164" i="6" s="1"/>
  <c r="H380" i="4"/>
  <c r="H243" i="6"/>
  <c r="H64" i="7"/>
  <c r="E27" i="4"/>
  <c r="E323" i="6" s="1"/>
  <c r="H313" i="6"/>
  <c r="H171" i="4"/>
  <c r="H466" i="6" s="1"/>
  <c r="H461" i="6"/>
  <c r="I64" i="7"/>
  <c r="I243" i="6"/>
  <c r="H201" i="4"/>
  <c r="H496" i="6"/>
  <c r="I244" i="6"/>
  <c r="I65" i="7"/>
  <c r="H65" i="7"/>
  <c r="H244" i="6"/>
  <c r="I67" i="7"/>
  <c r="I246" i="6"/>
  <c r="H71" i="7"/>
  <c r="H250" i="6"/>
  <c r="C289" i="6"/>
  <c r="H76" i="7"/>
  <c r="H163" i="6" s="1"/>
  <c r="H247" i="6"/>
  <c r="H68" i="7"/>
  <c r="H249" i="6"/>
  <c r="H70" i="7"/>
  <c r="I71" i="7"/>
  <c r="I250" i="6"/>
  <c r="F55" i="4"/>
  <c r="I68" i="7"/>
  <c r="I247" i="6"/>
  <c r="C263" i="6"/>
  <c r="D76" i="7"/>
  <c r="D163" i="6" s="1"/>
  <c r="H67" i="7"/>
  <c r="H246" i="6"/>
  <c r="I70" i="7"/>
  <c r="I249" i="6"/>
  <c r="C279" i="6"/>
  <c r="F76" i="7"/>
  <c r="F163" i="6" s="1"/>
  <c r="G54" i="4"/>
  <c r="F350" i="6"/>
  <c r="E295" i="6"/>
  <c r="H83" i="7"/>
  <c r="H170" i="6" s="1"/>
  <c r="F25" i="4"/>
  <c r="E25" i="4"/>
  <c r="E321" i="6" s="1"/>
  <c r="F94" i="4"/>
  <c r="F96" i="4"/>
  <c r="F27" i="4"/>
  <c r="L52" i="3"/>
  <c r="F26" i="4"/>
  <c r="F95" i="4"/>
  <c r="H172" i="4"/>
  <c r="H467" i="6" s="1"/>
  <c r="H170" i="4"/>
  <c r="H465" i="6" s="1"/>
  <c r="E26" i="4"/>
  <c r="E322" i="6" s="1"/>
  <c r="H20" i="4"/>
  <c r="H316" i="6" s="1"/>
  <c r="H18" i="4"/>
  <c r="H314" i="6" s="1"/>
  <c r="H19" i="4"/>
  <c r="H315" i="6" s="1"/>
  <c r="H237" i="4"/>
  <c r="M62" i="3"/>
  <c r="Q62" i="3"/>
  <c r="H139" i="4"/>
  <c r="H434" i="6" s="1"/>
  <c r="F124" i="4"/>
  <c r="E125" i="4"/>
  <c r="E127" i="3"/>
  <c r="O62" i="3"/>
  <c r="P62" i="3"/>
  <c r="N62" i="3"/>
  <c r="L62" i="3"/>
  <c r="E107" i="3"/>
  <c r="M52" i="3"/>
  <c r="P52" i="3"/>
  <c r="E120" i="3"/>
  <c r="Q52" i="3"/>
  <c r="I114" i="3"/>
  <c r="F78" i="7" s="1"/>
  <c r="F165" i="6" s="1"/>
  <c r="F114" i="3"/>
  <c r="I104" i="3"/>
  <c r="D78" i="7" s="1"/>
  <c r="D165" i="6" s="1"/>
  <c r="F104" i="3"/>
  <c r="O52" i="3"/>
  <c r="N52" i="3"/>
  <c r="I124" i="3"/>
  <c r="H78" i="7" s="1"/>
  <c r="H165" i="6" s="1"/>
  <c r="F124" i="3"/>
  <c r="H154" i="4" l="1"/>
  <c r="H449" i="6" s="1"/>
  <c r="H15" i="7"/>
  <c r="H94" i="6" s="1"/>
  <c r="H672" i="6"/>
  <c r="C266" i="6"/>
  <c r="D79" i="7"/>
  <c r="D166" i="6" s="1"/>
  <c r="F125" i="4"/>
  <c r="E420" i="6"/>
  <c r="G26" i="4"/>
  <c r="H322" i="6" s="1"/>
  <c r="G322" i="6"/>
  <c r="G124" i="4"/>
  <c r="G419" i="6" s="1"/>
  <c r="F419" i="6"/>
  <c r="G27" i="4"/>
  <c r="H323" i="6" s="1"/>
  <c r="G323" i="6"/>
  <c r="H54" i="4"/>
  <c r="H350" i="6" s="1"/>
  <c r="G350" i="6"/>
  <c r="G263" i="6"/>
  <c r="D263" i="6"/>
  <c r="G96" i="4"/>
  <c r="H392" i="6" s="1"/>
  <c r="G392" i="6"/>
  <c r="G94" i="4"/>
  <c r="H390" i="6" s="1"/>
  <c r="G390" i="6"/>
  <c r="D279" i="6"/>
  <c r="G279" i="6"/>
  <c r="C282" i="6"/>
  <c r="F79" i="7"/>
  <c r="F166" i="6" s="1"/>
  <c r="G55" i="4"/>
  <c r="F351" i="6"/>
  <c r="D289" i="6"/>
  <c r="G289" i="6"/>
  <c r="C292" i="6"/>
  <c r="H79" i="7"/>
  <c r="H166" i="6" s="1"/>
  <c r="G25" i="4"/>
  <c r="H321" i="6" s="1"/>
  <c r="G321" i="6"/>
  <c r="F240" i="4"/>
  <c r="F537" i="6" s="1"/>
  <c r="H534" i="6"/>
  <c r="G95" i="4"/>
  <c r="H391" i="6" s="1"/>
  <c r="G391" i="6"/>
  <c r="H204" i="4"/>
  <c r="H498" i="6"/>
  <c r="H173" i="4"/>
  <c r="F119" i="4"/>
  <c r="F414" i="6" s="1"/>
  <c r="H124" i="4"/>
  <c r="F49" i="4"/>
  <c r="F345" i="6" s="1"/>
  <c r="I117" i="3"/>
  <c r="F81" i="7" s="1"/>
  <c r="F168" i="6" s="1"/>
  <c r="F117" i="3"/>
  <c r="E110" i="3"/>
  <c r="I107" i="3"/>
  <c r="D81" i="7" s="1"/>
  <c r="D168" i="6" s="1"/>
  <c r="F107" i="3"/>
  <c r="E130" i="3"/>
  <c r="I127" i="3"/>
  <c r="H81" i="7" s="1"/>
  <c r="H168" i="6" s="1"/>
  <c r="F127" i="3"/>
  <c r="H156" i="4" l="1"/>
  <c r="D159" i="4" s="1"/>
  <c r="F30" i="7"/>
  <c r="F110" i="6" s="1"/>
  <c r="H324" i="6"/>
  <c r="D282" i="6"/>
  <c r="G282" i="6"/>
  <c r="I120" i="3"/>
  <c r="F84" i="7" s="1"/>
  <c r="F171" i="6" s="1"/>
  <c r="C285" i="6"/>
  <c r="F82" i="7"/>
  <c r="F169" i="6" s="1"/>
  <c r="H501" i="6"/>
  <c r="H206" i="4"/>
  <c r="H214" i="4"/>
  <c r="D292" i="6"/>
  <c r="G292" i="6"/>
  <c r="H175" i="4"/>
  <c r="H468" i="6"/>
  <c r="C295" i="6"/>
  <c r="H82" i="7"/>
  <c r="H169" i="6" s="1"/>
  <c r="G28" i="4"/>
  <c r="H30" i="4" s="1"/>
  <c r="G125" i="4"/>
  <c r="F420" i="6"/>
  <c r="H419" i="6"/>
  <c r="G97" i="4"/>
  <c r="C269" i="6"/>
  <c r="D82" i="7"/>
  <c r="D169" i="6" s="1"/>
  <c r="G351" i="6"/>
  <c r="H55" i="4"/>
  <c r="G56" i="4"/>
  <c r="G352" i="6" s="1"/>
  <c r="D266" i="6"/>
  <c r="G266" i="6"/>
  <c r="H134" i="4"/>
  <c r="H429" i="6" s="1"/>
  <c r="H136" i="4"/>
  <c r="H431" i="6" s="1"/>
  <c r="H66" i="4"/>
  <c r="H362" i="6" s="1"/>
  <c r="H65" i="4"/>
  <c r="H361" i="6" s="1"/>
  <c r="H135" i="4"/>
  <c r="H430" i="6" s="1"/>
  <c r="H64" i="4"/>
  <c r="H360" i="6" s="1"/>
  <c r="F120" i="3"/>
  <c r="I110" i="3"/>
  <c r="D84" i="7" s="1"/>
  <c r="D171" i="6" s="1"/>
  <c r="F110" i="3"/>
  <c r="I130" i="3"/>
  <c r="H84" i="7" s="1"/>
  <c r="H171" i="6" s="1"/>
  <c r="F130" i="3"/>
  <c r="H451" i="6" l="1"/>
  <c r="G295" i="6"/>
  <c r="D295" i="6"/>
  <c r="D209" i="4"/>
  <c r="H503" i="6"/>
  <c r="H99" i="4"/>
  <c r="H393" i="6"/>
  <c r="H510" i="6"/>
  <c r="H235" i="4"/>
  <c r="G269" i="6"/>
  <c r="D269" i="6"/>
  <c r="D178" i="4"/>
  <c r="H470" i="6"/>
  <c r="G285" i="6"/>
  <c r="D285" i="6"/>
  <c r="D21" i="7"/>
  <c r="D100" i="6" s="1"/>
  <c r="D454" i="6"/>
  <c r="H57" i="4"/>
  <c r="H351" i="6"/>
  <c r="H125" i="4"/>
  <c r="G420" i="6"/>
  <c r="G126" i="4"/>
  <c r="G421" i="6" s="1"/>
  <c r="H146" i="4"/>
  <c r="H326" i="6"/>
  <c r="H137" i="4"/>
  <c r="H67" i="4"/>
  <c r="H165" i="4" l="1"/>
  <c r="H395" i="6"/>
  <c r="H432" i="6"/>
  <c r="H420" i="6"/>
  <c r="H127" i="4"/>
  <c r="D24" i="7"/>
  <c r="D474" i="6"/>
  <c r="D27" i="7"/>
  <c r="D506" i="6"/>
  <c r="E209" i="4"/>
  <c r="H209" i="4"/>
  <c r="H236" i="4"/>
  <c r="H532" i="6"/>
  <c r="H441" i="6"/>
  <c r="F159" i="4"/>
  <c r="H363" i="6"/>
  <c r="H353" i="6"/>
  <c r="H59" i="4"/>
  <c r="H355" i="6" s="1"/>
  <c r="H68" i="4" l="1"/>
  <c r="H129" i="4"/>
  <c r="H422" i="6"/>
  <c r="E506" i="6"/>
  <c r="H506" i="6"/>
  <c r="F454" i="6"/>
  <c r="H159" i="4"/>
  <c r="F21" i="7"/>
  <c r="E159" i="4"/>
  <c r="D240" i="4"/>
  <c r="H533" i="6"/>
  <c r="D107" i="6"/>
  <c r="E27" i="7"/>
  <c r="H27" i="7"/>
  <c r="D104" i="6"/>
  <c r="H460" i="6"/>
  <c r="F178" i="4"/>
  <c r="F100" i="6" l="1"/>
  <c r="H21" i="7"/>
  <c r="E21" i="7"/>
  <c r="E454" i="6"/>
  <c r="H454" i="6"/>
  <c r="D30" i="7"/>
  <c r="D537" i="6"/>
  <c r="E240" i="4"/>
  <c r="H240" i="4"/>
  <c r="F24" i="7"/>
  <c r="F474" i="6"/>
  <c r="H178" i="4"/>
  <c r="E178" i="4"/>
  <c r="H424" i="6"/>
  <c r="H138" i="4"/>
  <c r="H107" i="6"/>
  <c r="E107" i="6"/>
  <c r="H70" i="4"/>
  <c r="H364" i="6"/>
  <c r="D110" i="6" l="1"/>
  <c r="E30" i="7"/>
  <c r="H30" i="7"/>
  <c r="H140" i="4"/>
  <c r="H433" i="6"/>
  <c r="H245" i="4"/>
  <c r="H366" i="6"/>
  <c r="E474" i="6"/>
  <c r="H474" i="6"/>
  <c r="F104" i="6"/>
  <c r="E24" i="7"/>
  <c r="H24" i="7"/>
  <c r="E537" i="6"/>
  <c r="H537" i="6"/>
  <c r="E100" i="6"/>
  <c r="H100" i="6"/>
  <c r="H541" i="6" l="1"/>
  <c r="F303" i="4"/>
  <c r="H264" i="4"/>
  <c r="H306" i="4"/>
  <c r="H435" i="6"/>
  <c r="H104" i="6"/>
  <c r="E104" i="6"/>
  <c r="H110" i="6"/>
  <c r="E110" i="6"/>
  <c r="F365" i="4" l="1"/>
  <c r="H601" i="6"/>
  <c r="H325" i="4"/>
  <c r="H265" i="4"/>
  <c r="H560" i="6"/>
  <c r="F35" i="7"/>
  <c r="F115" i="6" s="1"/>
  <c r="F598" i="6"/>
  <c r="H561" i="6" l="1"/>
  <c r="H267" i="4"/>
  <c r="H326" i="4"/>
  <c r="H620" i="6"/>
  <c r="F659" i="6"/>
  <c r="F38" i="7"/>
  <c r="F118" i="6" s="1"/>
  <c r="E270" i="4" l="1"/>
  <c r="H564" i="6"/>
  <c r="H327" i="4"/>
  <c r="H621" i="6"/>
  <c r="H146" i="6"/>
  <c r="I146" i="6"/>
  <c r="H153" i="6"/>
  <c r="H150" i="6"/>
  <c r="I150" i="6"/>
  <c r="I147" i="6"/>
  <c r="I149" i="6"/>
  <c r="H147" i="6"/>
  <c r="H152" i="6"/>
  <c r="I152" i="6"/>
  <c r="I153" i="6"/>
  <c r="H149" i="6"/>
  <c r="H329" i="4" l="1"/>
  <c r="H622" i="6"/>
  <c r="E567" i="6"/>
  <c r="H567" i="6" s="1"/>
  <c r="H272" i="4"/>
  <c r="H270" i="4"/>
  <c r="H274" i="4" l="1"/>
  <c r="H569" i="6"/>
  <c r="E332" i="4"/>
  <c r="H625" i="6"/>
  <c r="E628" i="6" s="1"/>
  <c r="H628" i="6" s="1"/>
  <c r="H334" i="4" l="1"/>
  <c r="H332" i="4"/>
  <c r="H275" i="4"/>
  <c r="H571" i="6"/>
  <c r="H278" i="4" l="1"/>
  <c r="H572" i="6"/>
  <c r="H336" i="4"/>
  <c r="H630" i="6"/>
  <c r="H632" i="6" l="1"/>
  <c r="H337" i="4"/>
  <c r="H279" i="4"/>
  <c r="H575" i="6"/>
  <c r="H340" i="4" l="1"/>
  <c r="H633" i="6"/>
  <c r="H280" i="4"/>
  <c r="H281" i="4" s="1"/>
  <c r="H576" i="6"/>
  <c r="H577" i="6" l="1"/>
  <c r="H13" i="7"/>
  <c r="H92" i="6" s="1"/>
  <c r="H341" i="4"/>
  <c r="H636" i="6"/>
  <c r="H342" i="4" l="1"/>
  <c r="H343" i="4" s="1"/>
  <c r="H637" i="6"/>
  <c r="H291" i="4"/>
  <c r="H587" i="6" s="1"/>
  <c r="H578" i="6"/>
  <c r="H283" i="4"/>
  <c r="H287" i="4" l="1"/>
  <c r="H289" i="4" s="1"/>
  <c r="H580" i="6"/>
  <c r="H583" i="6" s="1"/>
  <c r="H14" i="7"/>
  <c r="H93" i="6" s="1"/>
  <c r="H638" i="6"/>
  <c r="H353" i="4" l="1"/>
  <c r="H648" i="6" s="1"/>
  <c r="H639" i="6"/>
  <c r="H345" i="4"/>
  <c r="D296" i="4"/>
  <c r="H585" i="6"/>
  <c r="H290" i="4"/>
  <c r="H299" i="4" l="1"/>
  <c r="H595" i="6" s="1"/>
  <c r="D592" i="6"/>
  <c r="E296" i="4"/>
  <c r="H297" i="4"/>
  <c r="G299" i="4"/>
  <c r="H300" i="4"/>
  <c r="H586" i="6"/>
  <c r="H349" i="4"/>
  <c r="H641" i="6"/>
  <c r="H351" i="4" l="1"/>
  <c r="H644" i="6"/>
  <c r="D303" i="4"/>
  <c r="H596" i="6"/>
  <c r="G595" i="6"/>
  <c r="H593" i="6"/>
  <c r="E592" i="6"/>
  <c r="D598" i="6" l="1"/>
  <c r="E303" i="4"/>
  <c r="D35" i="7"/>
  <c r="H303" i="4"/>
  <c r="H646" i="6"/>
  <c r="H352" i="4"/>
  <c r="D358" i="4"/>
  <c r="H362" i="4" l="1"/>
  <c r="H656" i="6" s="1"/>
  <c r="H647" i="6"/>
  <c r="D653" i="6"/>
  <c r="H359" i="4"/>
  <c r="E358" i="4"/>
  <c r="H361" i="4"/>
  <c r="G361" i="4"/>
  <c r="D115" i="6"/>
  <c r="H35" i="7"/>
  <c r="E35" i="7"/>
  <c r="H598" i="6"/>
  <c r="E598" i="6"/>
  <c r="G655" i="6" l="1"/>
  <c r="H654" i="6"/>
  <c r="E653" i="6"/>
  <c r="E115" i="6"/>
  <c r="H115" i="6"/>
  <c r="D365" i="4"/>
  <c r="H655" i="6"/>
  <c r="D38" i="7" l="1"/>
  <c r="D659" i="6"/>
  <c r="E365" i="4"/>
  <c r="H365" i="4"/>
  <c r="E659" i="6" l="1"/>
  <c r="H659" i="6"/>
  <c r="D118" i="6"/>
  <c r="E38" i="7"/>
  <c r="H38" i="7"/>
  <c r="E118" i="6" l="1"/>
  <c r="H118" i="6"/>
</calcChain>
</file>

<file path=xl/sharedStrings.xml><?xml version="1.0" encoding="utf-8"?>
<sst xmlns="http://schemas.openxmlformats.org/spreadsheetml/2006/main" count="2309" uniqueCount="664">
  <si>
    <t>NO.</t>
  </si>
  <si>
    <t>EXPLANATORY</t>
  </si>
  <si>
    <t>FORMULA</t>
  </si>
  <si>
    <t>VALUE</t>
  </si>
  <si>
    <t>UNIT</t>
  </si>
  <si>
    <t>A.1.</t>
  </si>
  <si>
    <t>m</t>
  </si>
  <si>
    <r>
      <t>H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</t>
    </r>
  </si>
  <si>
    <t>Tebal tanah di atas pilecap,</t>
  </si>
  <si>
    <r>
      <t>z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</si>
  <si>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Tebal bersih selimut beton,</t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</si>
  <si>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</si>
  <si>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mm</t>
  </si>
  <si>
    <t>A.2.</t>
  </si>
  <si>
    <t>Diameter tiang fondasi dalam pakai,</t>
  </si>
  <si>
    <t>D =</t>
  </si>
  <si>
    <t>Elevasi dasar pilecap dari muka tanah,</t>
  </si>
  <si>
    <t>Elv =</t>
  </si>
  <si>
    <t>Elevasi dasar tiang fondasi dalam dari muka tanah,</t>
  </si>
  <si>
    <t>Jarak tiang fondasi dalam tepi terhadap sisi luar beton,</t>
  </si>
  <si>
    <t>Jumlah baris tiang fondasi dalam,</t>
  </si>
  <si>
    <t>a =</t>
  </si>
  <si>
    <t>Jumlah kolom tiang fondasi dalam,</t>
  </si>
  <si>
    <t>b =</t>
  </si>
  <si>
    <t>Jarak antar tiang fondasi dalam,</t>
  </si>
  <si>
    <t>s =</t>
  </si>
  <si>
    <t>A.3.</t>
  </si>
  <si>
    <t>Kuat tekan beton,</t>
  </si>
  <si>
    <t>MPa</t>
  </si>
  <si>
    <t>A.4.</t>
  </si>
  <si>
    <t>Tegangan leleh baja tulangan ulir (deform),</t>
  </si>
  <si>
    <r>
      <t>f</t>
    </r>
    <r>
      <rPr>
        <vertAlign val="subscript"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charset val="1"/>
        <scheme val="minor"/>
      </rPr>
      <t>=</t>
    </r>
  </si>
  <si>
    <t>Modulus elastis baja,</t>
  </si>
  <si>
    <r>
      <t>E</t>
    </r>
    <r>
      <rPr>
        <vertAlign val="sub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charset val="1"/>
        <scheme val="minor"/>
      </rPr>
      <t>=</t>
    </r>
  </si>
  <si>
    <t>Diameter tulangan utama,</t>
  </si>
  <si>
    <t>Diameter tulangan susut,</t>
  </si>
  <si>
    <t>A.</t>
  </si>
  <si>
    <t>INPUT DATA PERENCANAAN</t>
  </si>
  <si>
    <t>INPUT GAYA REAKSI PADA PILECAP BERDASARKAN PROGRAM BANTU</t>
  </si>
  <si>
    <t>OUTPUT CASE</t>
  </si>
  <si>
    <t>CASE TYPE</t>
  </si>
  <si>
    <t>STEP TYPE</t>
  </si>
  <si>
    <r>
      <t>T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</si>
  <si>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Y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</si>
  <si>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uk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</si>
  <si>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</si>
  <si>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Y</t>
    </r>
  </si>
  <si>
    <t>KN</t>
  </si>
  <si>
    <t>KN-m</t>
  </si>
  <si>
    <t>Combination</t>
  </si>
  <si>
    <t>Max</t>
  </si>
  <si>
    <t>Min</t>
  </si>
  <si>
    <t>EKSTRIM X</t>
  </si>
  <si>
    <t>EKSTRIM Y</t>
  </si>
  <si>
    <t>Komb. Gempa Arah X</t>
  </si>
  <si>
    <t>Komb. Gempa Arah Y</t>
  </si>
  <si>
    <t>Komb. Beban Layan</t>
  </si>
  <si>
    <t>B.</t>
  </si>
  <si>
    <t>D.1.</t>
  </si>
  <si>
    <t>Tebal pilecap,</t>
  </si>
  <si>
    <t>Berat jenis beton bertulang,</t>
  </si>
  <si>
    <r>
      <t>w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 =</t>
    </r>
  </si>
  <si>
    <r>
      <t>kN/m</t>
    </r>
    <r>
      <rPr>
        <vertAlign val="superscript"/>
        <sz val="11"/>
        <rFont val="Calibri"/>
        <family val="2"/>
        <scheme val="minor"/>
      </rPr>
      <t>3</t>
    </r>
  </si>
  <si>
    <t>Berat jenis tanah di atas pilecap,</t>
  </si>
  <si>
    <r>
      <t>w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</si>
  <si>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LAYAN 1</t>
  </si>
  <si>
    <t>MAX</t>
  </si>
  <si>
    <t>MIN</t>
  </si>
  <si>
    <r>
      <t>P</t>
    </r>
    <r>
      <rPr>
        <vertAlign val="subscript"/>
        <sz val="11"/>
        <rFont val="Calibri"/>
        <family val="2"/>
        <scheme val="minor"/>
      </rPr>
      <t>uk-1</t>
    </r>
    <r>
      <rPr>
        <sz val="11"/>
        <rFont val="Calibri"/>
        <family val="2"/>
        <scheme val="minor"/>
      </rPr>
      <t xml:space="preserve"> =</t>
    </r>
  </si>
  <si>
    <t>kN</t>
  </si>
  <si>
    <r>
      <t>M</t>
    </r>
    <r>
      <rPr>
        <vertAlign val="subscript"/>
        <sz val="11"/>
        <rFont val="Calibri"/>
        <family val="2"/>
        <scheme val="minor"/>
      </rPr>
      <t>ux-1</t>
    </r>
    <r>
      <rPr>
        <sz val="11"/>
        <rFont val="Calibri"/>
        <family val="2"/>
        <scheme val="minor"/>
      </rPr>
      <t xml:space="preserve"> =</t>
    </r>
  </si>
  <si>
    <t>kN.m</t>
  </si>
  <si>
    <r>
      <t>M</t>
    </r>
    <r>
      <rPr>
        <vertAlign val="subscript"/>
        <sz val="11"/>
        <rFont val="Calibri"/>
        <family val="2"/>
        <scheme val="minor"/>
      </rPr>
      <t>uy-1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</si>
  <si>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rFont val="Calibri"/>
        <family val="2"/>
        <scheme val="minor"/>
      </rPr>
      <t>uk-x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</si>
  <si>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rFont val="Calibri"/>
        <family val="2"/>
        <scheme val="minor"/>
      </rPr>
      <t>ux-x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</si>
  <si>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rFont val="Calibri"/>
        <family val="2"/>
        <scheme val="minor"/>
      </rPr>
      <t>uy-x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</si>
  <si>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rFont val="Calibri"/>
        <family val="2"/>
        <scheme val="minor"/>
      </rPr>
      <t>uk-y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</si>
  <si>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rFont val="Calibri"/>
        <family val="2"/>
        <scheme val="minor"/>
      </rPr>
      <t>ux-y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</si>
  <si>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rFont val="Calibri"/>
        <family val="2"/>
        <scheme val="minor"/>
      </rPr>
      <t>uy-y</t>
    </r>
    <r>
      <rPr>
        <sz val="11"/>
        <rFont val="Calibri"/>
        <family val="2"/>
        <scheme val="minor"/>
      </rPr>
      <t xml:space="preserve"> =</t>
    </r>
  </si>
  <si>
    <t>L =</t>
  </si>
  <si>
    <t>( BARIS )</t>
  </si>
  <si>
    <t>( KOLOM )</t>
  </si>
  <si>
    <t>Susunan tiang fondasi dalam searah y :            (Memanjang Jembatan)</t>
  </si>
  <si>
    <t>No.</t>
  </si>
  <si>
    <t>Jumlah</t>
  </si>
  <si>
    <t>y</t>
  </si>
  <si>
    <r>
      <t>n * y</t>
    </r>
    <r>
      <rPr>
        <b/>
        <vertAlign val="superscript"/>
        <sz val="11"/>
        <rFont val="Calibri"/>
        <family val="2"/>
        <scheme val="minor"/>
      </rPr>
      <t>2</t>
    </r>
  </si>
  <si>
    <t>x</t>
  </si>
  <si>
    <r>
      <t>n * x</t>
    </r>
    <r>
      <rPr>
        <b/>
        <vertAlign val="superscript"/>
        <sz val="11"/>
        <rFont val="Calibri"/>
        <family val="2"/>
        <scheme val="minor"/>
      </rPr>
      <t>2</t>
    </r>
  </si>
  <si>
    <t>MAKS</t>
  </si>
  <si>
    <t>n</t>
  </si>
  <si>
    <t>(m)</t>
  </si>
  <si>
    <r>
      <t>(m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</si>
  <si>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t>Y =</t>
  </si>
  <si>
    <t>n =</t>
  </si>
  <si>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 xml:space="preserve"> y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</si>
  <si>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 xml:space="preserve"> x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</si>
  <si>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t>TOTAL</t>
  </si>
  <si>
    <t>Lebar pilecap searah x,</t>
  </si>
  <si>
    <r>
      <t>L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=</t>
    </r>
  </si>
  <si>
    <t>Lebar pilecap searah y,</t>
  </si>
  <si>
    <r>
      <t>L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</si>
  <si>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Jarak antar tiang pakai:</t>
  </si>
  <si>
    <t>Syarat jarak tiang (jarak antar As):</t>
  </si>
  <si>
    <t xml:space="preserve">2,5 * D </t>
  </si>
  <si>
    <t xml:space="preserve">&lt;    s    &lt; </t>
  </si>
  <si>
    <t>4,0 * D</t>
  </si>
  <si>
    <t>KET :</t>
  </si>
  <si>
    <t>[OK]</t>
  </si>
  <si>
    <t xml:space="preserve">a    &gt; </t>
  </si>
  <si>
    <t>1,25D</t>
  </si>
  <si>
    <t>Berat tanah di atas pilecap,</t>
  </si>
  <si>
    <r>
      <t>Q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L</t>
    </r>
    <r>
      <rPr>
        <vertAlign val="subscript"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* L</t>
    </r>
    <r>
      <rPr>
        <vertAlign val="subscript"/>
        <sz val="11"/>
        <rFont val="Calibri"/>
        <family val="2"/>
        <scheme val="minor"/>
      </rPr>
      <t xml:space="preserve">y </t>
    </r>
    <r>
      <rPr>
        <sz val="11"/>
        <rFont val="Calibri"/>
        <family val="2"/>
        <scheme val="minor"/>
      </rPr>
      <t>* z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w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</si>
  <si>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Berat pilecap,</t>
  </si>
  <si>
    <r>
      <t>Q</t>
    </r>
    <r>
      <rPr>
        <vertAlign val="subscript"/>
        <sz val="11"/>
        <rFont val="Calibri"/>
        <family val="2"/>
        <scheme val="minor"/>
      </rPr>
      <t>c-1</t>
    </r>
    <r>
      <rPr>
        <sz val="11"/>
        <rFont val="Calibri"/>
        <family val="2"/>
        <scheme val="minor"/>
      </rPr>
      <t xml:space="preserve"> = (L</t>
    </r>
    <r>
      <rPr>
        <vertAlign val="subscript"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* L</t>
    </r>
    <r>
      <rPr>
        <vertAlign val="subscript"/>
        <sz val="11"/>
        <rFont val="Calibri"/>
        <family val="2"/>
        <scheme val="minor"/>
      </rPr>
      <t xml:space="preserve">y </t>
    </r>
    <r>
      <rPr>
        <sz val="11"/>
        <rFont val="Calibri"/>
        <family val="2"/>
        <scheme val="minor"/>
      </rPr>
      <t xml:space="preserve">* h + 0,25 * </t>
    </r>
    <r>
      <rPr>
        <sz val="11"/>
        <rFont val="Calibri"/>
        <family val="2"/>
      </rPr>
      <t>π * D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* L) * w</t>
    </r>
    <r>
      <rPr>
        <vertAlign val="subscript"/>
        <sz val="11"/>
        <rFont val="Calibri"/>
        <family val="2"/>
      </rPr>
      <t>c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=</t>
    </r>
  </si>
  <si>
    <t>Total gaya aksial terfaktor,</t>
  </si>
  <si>
    <r>
      <t>P</t>
    </r>
    <r>
      <rPr>
        <vertAlign val="subscript"/>
        <sz val="11"/>
        <rFont val="Calibri"/>
        <family val="2"/>
        <scheme val="minor"/>
      </rPr>
      <t>u-1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</si>
  <si>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rFont val="Calibri"/>
        <family val="2"/>
        <scheme val="minor"/>
      </rPr>
      <t>u-X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</si>
  <si>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rFont val="Calibri"/>
        <family val="2"/>
        <scheme val="minor"/>
      </rPr>
      <t>u-Y</t>
    </r>
    <r>
      <rPr>
        <sz val="11"/>
        <rFont val="Calibri"/>
        <family val="2"/>
        <scheme val="minor"/>
      </rPr>
      <t xml:space="preserve"> =</t>
    </r>
  </si>
  <si>
    <r>
      <t>x</t>
    </r>
    <r>
      <rPr>
        <vertAlign val="subscript"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 =</t>
    </r>
  </si>
  <si>
    <r>
      <t>y</t>
    </r>
    <r>
      <rPr>
        <vertAlign val="subscript"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 =</t>
    </r>
  </si>
  <si>
    <r>
      <t>x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</t>
    </r>
  </si>
  <si>
    <r>
      <t>y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</si>
  <si>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rFont val="Calibri"/>
        <family val="2"/>
        <scheme val="minor"/>
      </rPr>
      <t>umax</t>
    </r>
    <r>
      <rPr>
        <sz val="11"/>
        <rFont val="Calibri"/>
        <family val="2"/>
        <scheme val="minor"/>
      </rPr>
      <t xml:space="preserve">  =  P</t>
    </r>
    <r>
      <rPr>
        <vertAlign val="subscript"/>
        <sz val="11"/>
        <rFont val="Calibri"/>
        <family val="2"/>
        <scheme val="minor"/>
      </rPr>
      <t xml:space="preserve">u </t>
    </r>
    <r>
      <rPr>
        <sz val="11"/>
        <rFont val="Calibri"/>
        <family val="2"/>
        <scheme val="minor"/>
      </rPr>
      <t>/ n   +   M</t>
    </r>
    <r>
      <rPr>
        <vertAlign val="subscript"/>
        <sz val="11"/>
        <rFont val="Calibri"/>
        <family val="2"/>
        <scheme val="minor"/>
      </rPr>
      <t>ux</t>
    </r>
    <r>
      <rPr>
        <sz val="11"/>
        <rFont val="Calibri"/>
        <family val="2"/>
        <scheme val="minor"/>
      </rPr>
      <t>* y</t>
    </r>
    <r>
      <rPr>
        <vertAlign val="subscript"/>
        <sz val="11"/>
        <rFont val="Calibri"/>
        <family val="2"/>
        <scheme val="minor"/>
      </rPr>
      <t xml:space="preserve">max </t>
    </r>
    <r>
      <rPr>
        <sz val="11"/>
        <rFont val="Calibri"/>
        <family val="2"/>
        <scheme val="minor"/>
      </rPr>
      <t xml:space="preserve">/ </t>
    </r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>y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+  M</t>
    </r>
    <r>
      <rPr>
        <vertAlign val="subscript"/>
        <sz val="11"/>
        <rFont val="Calibri"/>
        <family val="2"/>
        <scheme val="minor"/>
      </rPr>
      <t>uy</t>
    </r>
    <r>
      <rPr>
        <sz val="11"/>
        <rFont val="Calibri"/>
        <family val="2"/>
        <scheme val="minor"/>
      </rPr>
      <t>* x</t>
    </r>
    <r>
      <rPr>
        <vertAlign val="subscript"/>
        <sz val="11"/>
        <rFont val="Calibri"/>
        <family val="2"/>
        <scheme val="minor"/>
      </rPr>
      <t xml:space="preserve">max </t>
    </r>
    <r>
      <rPr>
        <sz val="11"/>
        <rFont val="Calibri"/>
        <family val="2"/>
        <scheme val="minor"/>
      </rPr>
      <t xml:space="preserve">/ </t>
    </r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>x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</si>
  <si>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rFont val="Calibri"/>
        <family val="2"/>
        <scheme val="minor"/>
      </rPr>
      <t>umin</t>
    </r>
    <r>
      <rPr>
        <sz val="11"/>
        <rFont val="Calibri"/>
        <family val="2"/>
        <scheme val="minor"/>
      </rPr>
      <t xml:space="preserve">  =  P</t>
    </r>
    <r>
      <rPr>
        <vertAlign val="subscript"/>
        <sz val="11"/>
        <rFont val="Calibri"/>
        <family val="2"/>
        <scheme val="minor"/>
      </rPr>
      <t xml:space="preserve">u </t>
    </r>
    <r>
      <rPr>
        <sz val="11"/>
        <rFont val="Calibri"/>
        <family val="2"/>
        <scheme val="minor"/>
      </rPr>
      <t>/ n   +   M</t>
    </r>
    <r>
      <rPr>
        <vertAlign val="subscript"/>
        <sz val="11"/>
        <rFont val="Calibri"/>
        <family val="2"/>
        <scheme val="minor"/>
      </rPr>
      <t>ux</t>
    </r>
    <r>
      <rPr>
        <sz val="11"/>
        <rFont val="Calibri"/>
        <family val="2"/>
        <scheme val="minor"/>
      </rPr>
      <t>* y</t>
    </r>
    <r>
      <rPr>
        <vertAlign val="subscript"/>
        <sz val="11"/>
        <rFont val="Calibri"/>
        <family val="2"/>
        <scheme val="minor"/>
      </rPr>
      <t xml:space="preserve">min </t>
    </r>
    <r>
      <rPr>
        <sz val="11"/>
        <rFont val="Calibri"/>
        <family val="2"/>
        <scheme val="minor"/>
      </rPr>
      <t xml:space="preserve">/ </t>
    </r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>y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 +   M</t>
    </r>
    <r>
      <rPr>
        <vertAlign val="subscript"/>
        <sz val="11"/>
        <rFont val="Calibri"/>
        <family val="2"/>
        <scheme val="minor"/>
      </rPr>
      <t>uy</t>
    </r>
    <r>
      <rPr>
        <sz val="11"/>
        <rFont val="Calibri"/>
        <family val="2"/>
        <scheme val="minor"/>
      </rPr>
      <t>* x</t>
    </r>
    <r>
      <rPr>
        <vertAlign val="subscript"/>
        <sz val="11"/>
        <rFont val="Calibri"/>
        <family val="2"/>
        <scheme val="minor"/>
      </rPr>
      <t xml:space="preserve">min </t>
    </r>
    <r>
      <rPr>
        <sz val="11"/>
        <rFont val="Calibri"/>
        <family val="2"/>
        <scheme val="minor"/>
      </rPr>
      <t xml:space="preserve">/ </t>
    </r>
    <r>
      <rPr>
        <sz val="11"/>
        <rFont val="Calibri"/>
        <family val="2"/>
      </rPr>
      <t>∑</t>
    </r>
    <r>
      <rPr>
        <sz val="11"/>
        <rFont val="Calibri"/>
        <family val="2"/>
        <scheme val="minor"/>
      </rPr>
      <t>x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</si>
  <si>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t>Jumlah tiang dalam satu baris:</t>
  </si>
  <si>
    <t>tiang</t>
  </si>
  <si>
    <t>Jumlah tiang dalam satu kolom:</t>
  </si>
  <si>
    <r>
      <t xml:space="preserve">φ </t>
    </r>
    <r>
      <rPr>
        <sz val="11"/>
        <color theme="1"/>
        <rFont val="Calibri"/>
        <family val="2"/>
        <scheme val="minor"/>
      </rPr>
      <t>= arc tan ( D / s ) =</t>
    </r>
  </si>
  <si>
    <t>Faktor effisien tiang group:</t>
  </si>
  <si>
    <t>Nilai gaya ijin dengan faktor effisien untuk kondisi layan:</t>
  </si>
  <si>
    <r>
      <t>P</t>
    </r>
    <r>
      <rPr>
        <vertAlign val="subscript"/>
        <sz val="11"/>
        <color theme="1"/>
        <rFont val="Calibri"/>
        <family val="2"/>
        <scheme val="minor"/>
      </rPr>
      <t>ijin</t>
    </r>
    <r>
      <rPr>
        <sz val="11"/>
        <color theme="1"/>
        <rFont val="Calibri"/>
        <family val="2"/>
        <scheme val="minor"/>
      </rPr>
      <t xml:space="preserve"> = Q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/ FS + 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/ FS *C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</t>
    </r>
  </si>
  <si>
    <t>Nilai gaya ijin tiang group kondisi layan:</t>
  </si>
  <si>
    <r>
      <t>P</t>
    </r>
    <r>
      <rPr>
        <vertAlign val="subscript"/>
        <sz val="11"/>
        <color theme="1"/>
        <rFont val="Calibri"/>
        <family val="2"/>
        <scheme val="minor"/>
      </rPr>
      <t>group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ijin</t>
    </r>
    <r>
      <rPr>
        <sz val="11"/>
        <color theme="1"/>
        <rFont val="Calibri"/>
        <family val="2"/>
        <scheme val="minor"/>
      </rPr>
      <t xml:space="preserve"> * n =</t>
    </r>
  </si>
  <si>
    <t>Syarat :</t>
  </si>
  <si>
    <r>
      <t>p</t>
    </r>
    <r>
      <rPr>
        <vertAlign val="subscript"/>
        <sz val="11"/>
        <rFont val="Calibri"/>
        <family val="2"/>
        <scheme val="minor"/>
      </rPr>
      <t>u</t>
    </r>
  </si>
  <si>
    <t>≤</t>
  </si>
  <si>
    <r>
      <t>P</t>
    </r>
    <r>
      <rPr>
        <vertAlign val="subscript"/>
        <sz val="11"/>
        <rFont val="Calibri"/>
        <family val="2"/>
        <scheme val="minor"/>
      </rPr>
      <t>group</t>
    </r>
  </si>
  <si>
    <t>→</t>
  </si>
  <si>
    <r>
      <t>p</t>
    </r>
    <r>
      <rPr>
        <vertAlign val="subscript"/>
        <sz val="11"/>
        <rFont val="Calibri"/>
        <family val="2"/>
        <scheme val="minor"/>
      </rPr>
      <t>umin</t>
    </r>
  </si>
  <si>
    <t>&gt;</t>
  </si>
  <si>
    <r>
      <t>- C</t>
    </r>
    <r>
      <rPr>
        <vertAlign val="sub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* Q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/ SF</t>
    </r>
  </si>
  <si>
    <r>
      <t>p</t>
    </r>
    <r>
      <rPr>
        <vertAlign val="subscript"/>
        <sz val="11"/>
        <rFont val="Calibri"/>
        <family val="2"/>
        <scheme val="minor"/>
      </rPr>
      <t>umax</t>
    </r>
    <r>
      <rPr>
        <sz val="14"/>
        <rFont val="Arial"/>
        <family val="2"/>
      </rPr>
      <t/>
    </r>
  </si>
  <si>
    <r>
      <t>P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</t>
    </r>
  </si>
  <si>
    <r>
      <t>kN/m</t>
    </r>
    <r>
      <rPr>
        <vertAlign val="superscript"/>
        <sz val="11"/>
        <rFont val="Calibri"/>
        <family val="2"/>
        <scheme val="minor"/>
      </rPr>
      <t>2</t>
    </r>
  </si>
  <si>
    <t>Berat beban mati dan beban hidup per luas di atas pilecap (1,0 D + 1,0 L)</t>
  </si>
  <si>
    <t>Ukuran kolom di atas fondasi pilecap,</t>
  </si>
  <si>
    <t>w =</t>
  </si>
  <si>
    <t>Berat volume tanah di atas pilecap,</t>
  </si>
  <si>
    <t>Berat volume beton bertulang,</t>
  </si>
  <si>
    <r>
      <t>w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</si>
  <si>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A.6.</t>
  </si>
  <si>
    <r>
      <t>Q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</t>
    </r>
  </si>
  <si>
    <r>
      <t>Q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</si>
  <si>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SF =</t>
  </si>
  <si>
    <t>A.7.</t>
  </si>
  <si>
    <t>m (m.t.a)</t>
  </si>
  <si>
    <t>*m (m.t.a) : meter dari muka tanah asli</t>
  </si>
  <si>
    <t>Susunan tiang fondasi dalam searah x :          (Melintang Jembatan)</t>
  </si>
  <si>
    <t>Safety Factor tahanan ujung tiang,</t>
  </si>
  <si>
    <t>Safety Factor tahanan friksi tiang,</t>
  </si>
  <si>
    <t>Berat beban mati dan hidup per luas di atas pilecap (1,0 D + 1,0 L)</t>
  </si>
  <si>
    <t>Berat beban mati dan hidup di atas pilecap (1,0 D + 1,0 L)</t>
  </si>
  <si>
    <r>
      <t>Q(</t>
    </r>
    <r>
      <rPr>
        <vertAlign val="subscript"/>
        <sz val="11"/>
        <rFont val="Calibri"/>
        <family val="2"/>
        <scheme val="minor"/>
      </rPr>
      <t>D+L)</t>
    </r>
    <r>
      <rPr>
        <sz val="11"/>
        <rFont val="Calibri"/>
        <family val="2"/>
        <scheme val="minor"/>
      </rPr>
      <t xml:space="preserve"> = L</t>
    </r>
    <r>
      <rPr>
        <vertAlign val="subscript"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* L</t>
    </r>
    <r>
      <rPr>
        <vertAlign val="subscript"/>
        <sz val="11"/>
        <rFont val="Calibri"/>
        <family val="2"/>
        <scheme val="minor"/>
      </rPr>
      <t xml:space="preserve">y </t>
    </r>
    <r>
      <rPr>
        <sz val="11"/>
        <rFont val="Calibri"/>
        <family val="2"/>
        <scheme val="minor"/>
      </rPr>
      <t>* q =</t>
    </r>
  </si>
  <si>
    <r>
      <t>P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P</t>
    </r>
    <r>
      <rPr>
        <vertAlign val="subscript"/>
        <sz val="11"/>
        <rFont val="Calibri"/>
        <family val="2"/>
        <scheme val="minor"/>
      </rPr>
      <t>uk</t>
    </r>
    <r>
      <rPr>
        <sz val="11"/>
        <rFont val="Calibri"/>
        <family val="2"/>
        <scheme val="minor"/>
      </rPr>
      <t xml:space="preserve"> + 1,0 * (Q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+ Q</t>
    </r>
    <r>
      <rPr>
        <vertAlign val="subscript"/>
        <sz val="11"/>
        <rFont val="Calibri"/>
        <family val="2"/>
        <scheme val="minor"/>
      </rPr>
      <t>(D+L)</t>
    </r>
    <r>
      <rPr>
        <sz val="11"/>
        <rFont val="Calibri"/>
        <family val="2"/>
        <scheme val="minor"/>
      </rPr>
      <t xml:space="preserve"> + Q</t>
    </r>
    <r>
      <rPr>
        <vertAlign val="subscript"/>
        <sz val="11"/>
        <rFont val="Calibri"/>
        <family val="2"/>
        <scheme val="minor"/>
      </rPr>
      <t>c-1</t>
    </r>
    <r>
      <rPr>
        <sz val="11"/>
        <rFont val="Calibri"/>
        <family val="2"/>
        <scheme val="minor"/>
      </rPr>
      <t xml:space="preserve"> + Q</t>
    </r>
    <r>
      <rPr>
        <vertAlign val="subscript"/>
        <sz val="11"/>
        <rFont val="Calibri"/>
        <family val="2"/>
        <scheme val="minor"/>
      </rPr>
      <t>c-2</t>
    </r>
    <r>
      <rPr>
        <sz val="11"/>
        <rFont val="Calibri"/>
        <family val="2"/>
        <scheme val="minor"/>
      </rPr>
      <t>)</t>
    </r>
  </si>
  <si>
    <r>
      <t>Q</t>
    </r>
    <r>
      <rPr>
        <vertAlign val="subscript"/>
        <sz val="11"/>
        <rFont val="Calibri"/>
        <family val="2"/>
        <scheme val="minor"/>
      </rPr>
      <t>c-2</t>
    </r>
    <r>
      <rPr>
        <sz val="11"/>
        <rFont val="Calibri"/>
        <family val="2"/>
        <scheme val="minor"/>
      </rPr>
      <t xml:space="preserve"> = ( n * 0,25 * </t>
    </r>
    <r>
      <rPr>
        <sz val="11"/>
        <rFont val="Calibri"/>
        <family val="2"/>
      </rPr>
      <t>π * D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* L ) * w</t>
    </r>
    <r>
      <rPr>
        <vertAlign val="subscript"/>
        <sz val="11"/>
        <rFont val="Calibri"/>
        <family val="2"/>
      </rPr>
      <t>c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=</t>
    </r>
  </si>
  <si>
    <t>KONDISI</t>
  </si>
  <si>
    <t>KETERANGAN</t>
  </si>
  <si>
    <t>X=</t>
  </si>
  <si>
    <t>D</t>
  </si>
  <si>
    <t>KONTROL GESER PADA PILECAP</t>
  </si>
  <si>
    <t>Tinjauan Geser Arah X</t>
  </si>
  <si>
    <t>Jarak pusat tulangan terhadap sisi luar beton,</t>
  </si>
  <si>
    <r>
      <t>d' =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+ 3/2 * D =</t>
    </r>
  </si>
  <si>
    <t>Tebal efektif pilecap,</t>
  </si>
  <si>
    <t>d = h - d' =</t>
  </si>
  <si>
    <t>Jarak bid. kritis terhadap sisi luar,</t>
  </si>
  <si>
    <t xml:space="preserve">kN </t>
  </si>
  <si>
    <t>Gaya geser arah x,</t>
  </si>
  <si>
    <t>Lebar bidang geser untuk tinjauan arah x,</t>
  </si>
  <si>
    <r>
      <t>b = L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</si>
  <si>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d =</t>
  </si>
  <si>
    <t>Rasio sisi panjang thd. sisi pendek kolom,</t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</si>
  <si>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1 / 3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* b * d  * 10</t>
    </r>
    <r>
      <rPr>
        <vertAlign val="superscript"/>
        <sz val="11"/>
        <rFont val="Calibri"/>
        <family val="2"/>
        <scheme val="minor"/>
      </rPr>
      <t>-3</t>
    </r>
    <r>
      <rPr>
        <sz val="11"/>
        <rFont val="Calibri"/>
        <family val="2"/>
        <scheme val="minor"/>
      </rPr>
      <t xml:space="preserve"> =</t>
    </r>
  </si>
  <si>
    <t>Diambil, kuat geser pilecap,</t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</si>
  <si>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</si>
  <si>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Faktor reduksi kekuatan geser,</t>
  </si>
  <si>
    <r>
      <rPr>
        <sz val="11"/>
        <rFont val="Calibri"/>
        <family val="2"/>
      </rPr>
      <t>φ</t>
    </r>
    <r>
      <rPr>
        <sz val="11"/>
        <rFont val="Calibri"/>
        <family val="2"/>
        <scheme val="minor"/>
      </rPr>
      <t xml:space="preserve">  =</t>
    </r>
  </si>
  <si>
    <t>Kuat geser pilecap,</t>
  </si>
  <si>
    <r>
      <rPr>
        <sz val="11"/>
        <rFont val="Calibri"/>
        <family val="2"/>
      </rPr>
      <t>φ</t>
    </r>
    <r>
      <rPr>
        <sz val="11"/>
        <rFont val="Calibri"/>
        <family val="2"/>
        <scheme val="minor"/>
      </rPr>
      <t xml:space="preserve"> * 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</si>
  <si>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rPr>
        <sz val="11"/>
        <rFont val="Calibri"/>
        <family val="2"/>
      </rPr>
      <t>φ</t>
    </r>
    <r>
      <rPr>
        <sz val="11"/>
        <rFont val="Calibri"/>
        <family val="2"/>
        <scheme val="minor"/>
      </rPr>
      <t xml:space="preserve"> * V</t>
    </r>
    <r>
      <rPr>
        <vertAlign val="subscript"/>
        <sz val="11"/>
        <rFont val="Calibri"/>
        <family val="2"/>
        <scheme val="minor"/>
      </rPr>
      <t>c</t>
    </r>
  </si>
  <si>
    <t>≥</t>
  </si>
  <si>
    <r>
      <t>V</t>
    </r>
    <r>
      <rPr>
        <vertAlign val="subscript"/>
        <sz val="11"/>
        <rFont val="Calibri"/>
        <family val="2"/>
        <scheme val="minor"/>
      </rPr>
      <t xml:space="preserve">ux  </t>
    </r>
  </si>
  <si>
    <t>Tinjauan Geser Arah Y</t>
  </si>
  <si>
    <t>Gaya geser arah y,</t>
  </si>
  <si>
    <t>Lebar bidang geser untuk tinjauan arah y,</t>
  </si>
  <si>
    <r>
      <t>b = L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=</t>
    </r>
  </si>
  <si>
    <t>Tinjauan Geser Dua Arah (Pons)</t>
  </si>
  <si>
    <t>Lebar bidang geser pons arah x,</t>
  </si>
  <si>
    <t>Lebar bidang geser pons arah y,</t>
  </si>
  <si>
    <t>Gaya geser pons akibat beban terfaktor pada kolom,</t>
  </si>
  <si>
    <r>
      <t>P</t>
    </r>
    <r>
      <rPr>
        <vertAlign val="subscript"/>
        <sz val="11"/>
        <rFont val="Calibri"/>
        <family val="2"/>
        <scheme val="minor"/>
      </rPr>
      <t>uk</t>
    </r>
    <r>
      <rPr>
        <sz val="11"/>
        <rFont val="Calibri"/>
        <family val="2"/>
        <scheme val="minor"/>
      </rPr>
      <t xml:space="preserve"> = </t>
    </r>
  </si>
  <si>
    <t>Luas bidang geser pons,</t>
  </si>
  <si>
    <r>
      <t>A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2 * ( B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+ B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) * d =</t>
    </r>
  </si>
  <si>
    <r>
      <t>m</t>
    </r>
    <r>
      <rPr>
        <vertAlign val="superscript"/>
        <sz val="11"/>
        <rFont val="Calibri"/>
        <family val="2"/>
        <scheme val="minor"/>
      </rPr>
      <t>2</t>
    </r>
  </si>
  <si>
    <t>Lebar bidang geser pons,</t>
  </si>
  <si>
    <r>
      <t>b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2 * ( B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+ B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) =</t>
    </r>
  </si>
  <si>
    <t xml:space="preserve">m </t>
  </si>
  <si>
    <t>Tegangan geser pons yang disyaratkan,</t>
  </si>
  <si>
    <t>Faktor reduksi kekuatan geser pons,</t>
  </si>
  <si>
    <t>Kuat geser pons,</t>
  </si>
  <si>
    <r>
      <t>φ * V</t>
    </r>
    <r>
      <rPr>
        <vertAlign val="subscript"/>
        <sz val="11"/>
        <rFont val="Calibri"/>
        <family val="2"/>
        <scheme val="minor"/>
      </rPr>
      <t>np</t>
    </r>
  </si>
  <si>
    <r>
      <t>P</t>
    </r>
    <r>
      <rPr>
        <vertAlign val="subscript"/>
        <sz val="11"/>
        <rFont val="Calibri"/>
        <family val="2"/>
        <scheme val="minor"/>
      </rPr>
      <t>uk</t>
    </r>
  </si>
  <si>
    <t>PEMBESIAN PILECAP</t>
  </si>
  <si>
    <t>Tulangan Lentur Arah X</t>
  </si>
  <si>
    <t>Momen yang terjadi pada pilecap,</t>
  </si>
  <si>
    <t>kNm</t>
  </si>
  <si>
    <t>Lebar pilecap yang ditinjau,</t>
  </si>
  <si>
    <t>Jarak pusat tulangan thd. sisi luar beton,</t>
  </si>
  <si>
    <t>Tebal efektif plat,</t>
  </si>
  <si>
    <t xml:space="preserve">Kuat tekan beton,         </t>
  </si>
  <si>
    <r>
      <t>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</si>
  <si>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t xml:space="preserve">Kuat leleh baja tulangan,  </t>
  </si>
  <si>
    <r>
      <t>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</si>
  <si>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r>
      <t>E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</si>
  <si>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Untuk   :  17  ≤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 ≤  28 MPa,</t>
    </r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</si>
  <si>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         </t>
    </r>
  </si>
  <si>
    <r>
      <t>Untuk   :  28  &lt;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 &lt;  55 MPa,</t>
    </r>
  </si>
  <si>
    <r>
      <t>Untuk   : 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'  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 xml:space="preserve">  55 MPa,</t>
    </r>
  </si>
  <si>
    <t xml:space="preserve">Faktor bentuk distribusi tegangan beton,            </t>
  </si>
  <si>
    <r>
      <t xml:space="preserve">Rasio tulangan pada kondisi </t>
    </r>
    <r>
      <rPr>
        <i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>,</t>
    </r>
  </si>
  <si>
    <r>
      <t>ρ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* 0,85 *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'/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* 600 / ( 600 +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)  =                  </t>
    </r>
  </si>
  <si>
    <t>Rasio tulangan maksimum,</t>
  </si>
  <si>
    <r>
      <t>ρ</t>
    </r>
    <r>
      <rPr>
        <vertAlign val="subscript"/>
        <sz val="11"/>
        <rFont val="Calibri"/>
        <family val="2"/>
        <scheme val="minor"/>
      </rPr>
      <t>maks</t>
    </r>
    <r>
      <rPr>
        <sz val="11"/>
        <rFont val="Calibri"/>
        <family val="2"/>
        <scheme val="minor"/>
      </rPr>
      <t xml:space="preserve"> = 0,75 * ρ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 =                  </t>
    </r>
  </si>
  <si>
    <t>Rasio tulangan minimum,</t>
  </si>
  <si>
    <t>syarat 1 :</t>
  </si>
  <si>
    <r>
      <t>ρ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/ ( 4 *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) = </t>
    </r>
  </si>
  <si>
    <t>syarat 2 :</t>
  </si>
  <si>
    <r>
      <t>ρ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 1,4 /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 =                  </t>
    </r>
  </si>
  <si>
    <t>Asumsi faktor reduksi kekuatan gaya momen,</t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</si>
  <si>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=</t>
    </r>
  </si>
  <si>
    <t>Nilai momen maksimum pada daerah tumpuan,</t>
  </si>
  <si>
    <r>
      <t>M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M</t>
    </r>
    <r>
      <rPr>
        <vertAlign val="subscript"/>
        <sz val="11"/>
        <rFont val="Calibri"/>
        <family val="2"/>
        <scheme val="minor"/>
      </rPr>
      <t>uy</t>
    </r>
    <r>
      <rPr>
        <sz val="11"/>
        <rFont val="Calibri"/>
        <family val="2"/>
        <scheme val="minor"/>
      </rPr>
      <t xml:space="preserve"> =</t>
    </r>
  </si>
  <si>
    <t>Nilai minimum momen rencana pada daerah tumpuan,</t>
  </si>
  <si>
    <r>
      <t>M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M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/ </t>
    </r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=</t>
    </r>
  </si>
  <si>
    <t>faktor tahanan momen,</t>
  </si>
  <si>
    <r>
      <t>R</t>
    </r>
    <r>
      <rPr>
        <i/>
        <vertAlign val="subscript"/>
        <sz val="11"/>
        <rFont val="Calibri"/>
        <family val="2"/>
        <scheme val="minor"/>
      </rPr>
      <t>n</t>
    </r>
    <r>
      <rPr>
        <i/>
        <sz val="11"/>
        <rFont val="Calibri"/>
        <family val="2"/>
        <scheme val="minor"/>
      </rPr>
      <t xml:space="preserve">  = M</t>
    </r>
    <r>
      <rPr>
        <i/>
        <vertAlign val="subscript"/>
        <sz val="11"/>
        <rFont val="Calibri"/>
        <family val="2"/>
        <scheme val="minor"/>
      </rPr>
      <t>n</t>
    </r>
    <r>
      <rPr>
        <i/>
        <sz val="11"/>
        <rFont val="Calibri"/>
        <family val="2"/>
        <scheme val="minor"/>
      </rPr>
      <t xml:space="preserve"> / (</t>
    </r>
    <r>
      <rPr>
        <sz val="11"/>
        <rFont val="Calibri"/>
        <family val="2"/>
        <scheme val="minor"/>
      </rPr>
      <t xml:space="preserve"> b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 =</t>
    </r>
  </si>
  <si>
    <t>Rasio tegangan leleh baja dengan kuat tekan efektif beton,</t>
  </si>
  <si>
    <r>
      <t>m =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/ ( 0,85 *f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) =</t>
    </r>
  </si>
  <si>
    <t>Rasio tulangan perlu,</t>
  </si>
  <si>
    <r>
      <t>ρ</t>
    </r>
    <r>
      <rPr>
        <sz val="11"/>
        <rFont val="Calibri"/>
        <family val="2"/>
        <scheme val="minor"/>
      </rPr>
      <t xml:space="preserve"> = 1 / m * ( 1 - [ 1 - 2 * m * Rn / fy ]</t>
    </r>
    <r>
      <rPr>
        <vertAlign val="superscript"/>
        <sz val="11"/>
        <rFont val="Calibri"/>
        <family val="2"/>
        <scheme val="minor"/>
      </rPr>
      <t>0,5</t>
    </r>
    <r>
      <rPr>
        <sz val="11"/>
        <rFont val="Calibri"/>
        <family val="2"/>
        <scheme val="minor"/>
      </rPr>
      <t xml:space="preserve"> ) =</t>
    </r>
  </si>
  <si>
    <t>Kontrol nilai rasio tulangan perlu,</t>
  </si>
  <si>
    <r>
      <t>ρ</t>
    </r>
    <r>
      <rPr>
        <vertAlign val="subscript"/>
        <sz val="11"/>
        <rFont val="Calibri"/>
        <family val="2"/>
        <scheme val="minor"/>
      </rPr>
      <t>min</t>
    </r>
  </si>
  <si>
    <t>ρ</t>
  </si>
  <si>
    <r>
      <t>ρ</t>
    </r>
    <r>
      <rPr>
        <vertAlign val="subscript"/>
        <sz val="11"/>
        <rFont val="Calibri"/>
        <family val="2"/>
        <scheme val="minor"/>
      </rPr>
      <t>maks</t>
    </r>
  </si>
  <si>
    <t>Nilai rasio tulangan pakai,</t>
  </si>
  <si>
    <t>ρ =</t>
  </si>
  <si>
    <t>Luas tulangan yang diperlukan,</t>
  </si>
  <si>
    <r>
      <t>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 ρ * b * d = </t>
    </r>
  </si>
  <si>
    <r>
      <t>mm</t>
    </r>
    <r>
      <rPr>
        <vertAlign val="superscript"/>
        <sz val="11"/>
        <rFont val="Calibri"/>
        <family val="2"/>
        <scheme val="minor"/>
      </rPr>
      <t>2</t>
    </r>
  </si>
  <si>
    <t>Jarak tulangan yang diperlukan,</t>
  </si>
  <si>
    <r>
      <t xml:space="preserve">s = 1 / 4 * </t>
    </r>
    <r>
      <rPr>
        <sz val="11"/>
        <rFont val="Calibri"/>
        <family val="2"/>
      </rPr>
      <t>π</t>
    </r>
    <r>
      <rPr>
        <sz val="11"/>
        <rFont val="Calibri"/>
        <family val="2"/>
        <scheme val="minor"/>
      </rPr>
      <t xml:space="preserve"> 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* b /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</si>
  <si>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Jarak tulangan maksimum,</t>
  </si>
  <si>
    <r>
      <t>s</t>
    </r>
    <r>
      <rPr>
        <vertAlign val="subscript"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 = </t>
    </r>
  </si>
  <si>
    <t>Jarak sengkang yang  harus digunakan,</t>
  </si>
  <si>
    <t>Diambil jarak sengkang :</t>
  </si>
  <si>
    <t>Digunakan tulangan,</t>
  </si>
  <si>
    <t>Luas tulangan terpakai,</t>
  </si>
  <si>
    <r>
      <t xml:space="preserve">    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1 / 4 * </t>
    </r>
    <r>
      <rPr>
        <sz val="11"/>
        <rFont val="Calibri"/>
        <family val="2"/>
      </rPr>
      <t xml:space="preserve">π </t>
    </r>
    <r>
      <rPr>
        <sz val="11"/>
        <rFont val="Calibri"/>
        <family val="2"/>
        <scheme val="minor"/>
      </rPr>
      <t>* D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* b / s</t>
    </r>
    <r>
      <rPr>
        <vertAlign val="sub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=</t>
    </r>
  </si>
  <si>
    <t>Gaya dalam kondisi tarik pada tulangan tarik sudah leleh,</t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</si>
  <si>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</si>
  <si>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Gaya dalam kondisi tekan pada beton,</t>
  </si>
  <si>
    <r>
      <t>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 0,85 * fc' *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* c * b =</t>
    </r>
  </si>
  <si>
    <t>Kesetimbangan gaya dalam,</t>
  </si>
  <si>
    <t>Cc =</t>
  </si>
  <si>
    <t xml:space="preserve"> Ts</t>
  </si>
  <si>
    <t>Nilai c berdasarkan persamaan linier,</t>
  </si>
  <si>
    <t>c =</t>
  </si>
  <si>
    <r>
      <t>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</si>
  <si>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</si>
  <si>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Pengecekan hasil perhitungan terhadap asumsi awal,</t>
  </si>
  <si>
    <t>Syarat untuk tulangan tarik:</t>
  </si>
  <si>
    <r>
      <t>ε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' = (d - c)/c * ε</t>
    </r>
    <r>
      <rPr>
        <vertAlign val="subscript"/>
        <sz val="11"/>
        <rFont val="Calibri"/>
        <family val="2"/>
        <scheme val="minor"/>
      </rPr>
      <t>cu</t>
    </r>
  </si>
  <si>
    <r>
      <t>ε</t>
    </r>
    <r>
      <rPr>
        <vertAlign val="subscript"/>
        <sz val="11"/>
        <rFont val="Calibri"/>
        <family val="2"/>
        <scheme val="minor"/>
      </rPr>
      <t>s-yield</t>
    </r>
    <r>
      <rPr>
        <sz val="11"/>
        <rFont val="Calibri"/>
        <family val="2"/>
        <scheme val="minor"/>
      </rPr>
      <t xml:space="preserve"> = 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/ E</t>
    </r>
    <r>
      <rPr>
        <vertAlign val="subscript"/>
        <sz val="11"/>
        <rFont val="Calibri"/>
        <family val="2"/>
        <scheme val="minor"/>
      </rPr>
      <t>s</t>
    </r>
  </si>
  <si>
    <t>Klasifikasi regangan tarik netto,</t>
  </si>
  <si>
    <t>Faktor reduksi kekuatan gaya momen,</t>
  </si>
  <si>
    <t>Kapasitas momen terhadap T,</t>
  </si>
  <si>
    <r>
      <t>M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C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* (d -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* c/2) =</t>
    </r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</si>
  <si>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* M</t>
    </r>
    <r>
      <rPr>
        <vertAlign val="subscript"/>
        <sz val="11"/>
        <rFont val="Calibri"/>
        <family val="2"/>
        <scheme val="minor"/>
      </rPr>
      <t>n</t>
    </r>
  </si>
  <si>
    <r>
      <t>M</t>
    </r>
    <r>
      <rPr>
        <vertAlign val="subscript"/>
        <sz val="11"/>
        <rFont val="Calibri"/>
        <family val="2"/>
        <scheme val="minor"/>
      </rPr>
      <t>u</t>
    </r>
  </si>
  <si>
    <t>D.2.</t>
  </si>
  <si>
    <t>D.3.</t>
  </si>
  <si>
    <t>Rasio tulangan susut minimum,</t>
  </si>
  <si>
    <r>
      <rPr>
        <sz val="11"/>
        <rFont val="Calibri"/>
        <family val="2"/>
      </rPr>
      <t>ρ</t>
    </r>
    <r>
      <rPr>
        <vertAlign val="subscript"/>
        <sz val="11"/>
        <rFont val="Calibri"/>
        <family val="2"/>
        <scheme val="minor"/>
      </rPr>
      <t>smin</t>
    </r>
    <r>
      <rPr>
        <sz val="11"/>
        <rFont val="Calibri"/>
        <family val="2"/>
        <scheme val="minor"/>
      </rPr>
      <t xml:space="preserve"> = </t>
    </r>
  </si>
  <si>
    <t>Luas tulangan susut arah x,</t>
  </si>
  <si>
    <r>
      <t xml:space="preserve">     A</t>
    </r>
    <r>
      <rPr>
        <vertAlign val="subscript"/>
        <sz val="11"/>
        <rFont val="Calibri"/>
        <family val="2"/>
        <scheme val="minor"/>
      </rPr>
      <t>sx</t>
    </r>
    <r>
      <rPr>
        <sz val="11"/>
        <rFont val="Calibri"/>
        <family val="2"/>
        <scheme val="minor"/>
      </rPr>
      <t xml:space="preserve"> = </t>
    </r>
    <r>
      <rPr>
        <sz val="11"/>
        <rFont val="Calibri"/>
        <family val="2"/>
      </rPr>
      <t>ρ</t>
    </r>
    <r>
      <rPr>
        <vertAlign val="subscript"/>
        <sz val="11"/>
        <rFont val="Calibri"/>
        <family val="2"/>
        <scheme val="minor"/>
      </rPr>
      <t>smin</t>
    </r>
    <r>
      <rPr>
        <sz val="11"/>
        <rFont val="Calibri"/>
        <family val="2"/>
        <scheme val="minor"/>
      </rPr>
      <t>* b * d =</t>
    </r>
  </si>
  <si>
    <t>Luas tulangan susut arah y,</t>
  </si>
  <si>
    <r>
      <t xml:space="preserve">     A</t>
    </r>
    <r>
      <rPr>
        <vertAlign val="subscript"/>
        <sz val="11"/>
        <rFont val="Calibri"/>
        <family val="2"/>
        <scheme val="minor"/>
      </rPr>
      <t>sy</t>
    </r>
    <r>
      <rPr>
        <sz val="11"/>
        <rFont val="Calibri"/>
        <family val="2"/>
        <scheme val="minor"/>
      </rPr>
      <t xml:space="preserve"> = </t>
    </r>
    <r>
      <rPr>
        <sz val="11"/>
        <rFont val="Calibri"/>
        <family val="2"/>
      </rPr>
      <t>ρ</t>
    </r>
    <r>
      <rPr>
        <vertAlign val="subscript"/>
        <sz val="11"/>
        <rFont val="Calibri"/>
        <family val="2"/>
        <scheme val="minor"/>
      </rPr>
      <t>smin</t>
    </r>
    <r>
      <rPr>
        <sz val="11"/>
        <rFont val="Calibri"/>
        <family val="2"/>
        <scheme val="minor"/>
      </rPr>
      <t>* b * d =</t>
    </r>
  </si>
  <si>
    <t>Diameter tulangan yang digunakan,</t>
  </si>
  <si>
    <t>P</t>
  </si>
  <si>
    <t>Jarak tulangan susut arah x,</t>
  </si>
  <si>
    <r>
      <t xml:space="preserve">     s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= </t>
    </r>
    <r>
      <rPr>
        <sz val="11"/>
        <rFont val="Calibri"/>
        <family val="2"/>
      </rPr>
      <t>π</t>
    </r>
    <r>
      <rPr>
        <sz val="11"/>
        <rFont val="Calibri"/>
        <family val="2"/>
        <scheme val="minor"/>
      </rPr>
      <t xml:space="preserve"> / 4 * P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* b / A</t>
    </r>
    <r>
      <rPr>
        <vertAlign val="subscript"/>
        <sz val="11"/>
        <rFont val="Calibri"/>
        <family val="2"/>
        <scheme val="minor"/>
      </rPr>
      <t>sx</t>
    </r>
    <r>
      <rPr>
        <sz val="11"/>
        <rFont val="Calibri"/>
        <family val="2"/>
        <scheme val="minor"/>
      </rPr>
      <t xml:space="preserve"> =</t>
    </r>
  </si>
  <si>
    <t>Jarak tulangan susut maksimum arah x,</t>
  </si>
  <si>
    <t>Jarak tulangan susut arah x yang digunakan,</t>
  </si>
  <si>
    <r>
      <t>s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= </t>
    </r>
  </si>
  <si>
    <t>Jarak tulangan susut arah y,</t>
  </si>
  <si>
    <r>
      <t xml:space="preserve">     s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 </t>
    </r>
    <r>
      <rPr>
        <sz val="11"/>
        <rFont val="Calibri"/>
        <family val="2"/>
      </rPr>
      <t>π</t>
    </r>
    <r>
      <rPr>
        <sz val="11"/>
        <rFont val="Calibri"/>
        <family val="2"/>
        <scheme val="minor"/>
      </rPr>
      <t xml:space="preserve"> / 4 * P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* b / A</t>
    </r>
    <r>
      <rPr>
        <vertAlign val="subscript"/>
        <sz val="11"/>
        <rFont val="Calibri"/>
        <family val="2"/>
        <scheme val="minor"/>
      </rPr>
      <t>sy</t>
    </r>
    <r>
      <rPr>
        <sz val="11"/>
        <rFont val="Calibri"/>
        <family val="2"/>
        <scheme val="minor"/>
      </rPr>
      <t xml:space="preserve"> =</t>
    </r>
  </si>
  <si>
    <t>Jarak tulangan susut maksimum arah y,</t>
  </si>
  <si>
    <r>
      <t>s</t>
    </r>
    <r>
      <rPr>
        <vertAlign val="subscript"/>
        <sz val="11"/>
        <rFont val="Calibri"/>
        <family val="2"/>
        <scheme val="minor"/>
      </rPr>
      <t>y,max</t>
    </r>
    <r>
      <rPr>
        <sz val="11"/>
        <rFont val="Calibri"/>
        <family val="2"/>
        <scheme val="minor"/>
      </rPr>
      <t xml:space="preserve"> = </t>
    </r>
  </si>
  <si>
    <t>Jarak tulangan susut arah y yang digunakan,</t>
  </si>
  <si>
    <r>
      <t>s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 </t>
    </r>
  </si>
  <si>
    <t>Digunakan tulangan susut arah x,</t>
  </si>
  <si>
    <t>Digunakan tulangan susut arah y,</t>
  </si>
  <si>
    <t>E.1.</t>
  </si>
  <si>
    <t>Gaya ultimit maksimum (rencana) tiang bor</t>
  </si>
  <si>
    <t>E.2.</t>
  </si>
  <si>
    <t>KODE</t>
  </si>
  <si>
    <t>PARAMETER BERAT BAGIAN BETON</t>
  </si>
  <si>
    <t>VOLUME</t>
  </si>
  <si>
    <t>BERAT</t>
  </si>
  <si>
    <t>MOMEN</t>
  </si>
  <si>
    <t>h</t>
  </si>
  <si>
    <t>(kN)</t>
  </si>
  <si>
    <t>(kNm)</t>
  </si>
  <si>
    <t>Faktor beban ultimit</t>
  </si>
  <si>
    <t>K =</t>
  </si>
  <si>
    <t>Momen ultimit akibat berat pile cap</t>
  </si>
  <si>
    <t>Jarak tiang terhadap pusat</t>
  </si>
  <si>
    <t>Lengan thd. Sisi luar dinding</t>
  </si>
  <si>
    <t>X (m)</t>
  </si>
  <si>
    <t>Momen max. pada pile-cap akibat reaksi tiang bor</t>
  </si>
  <si>
    <t>Momen ultimit rencana Pile Cap</t>
  </si>
  <si>
    <t>Momen ultimit rencana per meter lebar</t>
  </si>
  <si>
    <r>
      <t>P</t>
    </r>
    <r>
      <rPr>
        <vertAlign val="subscript"/>
        <sz val="11"/>
        <color theme="1"/>
        <rFont val="Calibri"/>
        <family val="2"/>
        <scheme val="minor"/>
      </rPr>
      <t>umax</t>
    </r>
    <r>
      <rPr>
        <sz val="11"/>
        <color theme="1"/>
        <rFont val="Calibri"/>
        <family val="2"/>
        <scheme val="minor"/>
      </rPr>
      <t xml:space="preserve"> =</t>
    </r>
  </si>
  <si>
    <r>
      <t>X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</si>
  <si>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</si>
  <si>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X</t>
    </r>
    <r>
      <rPr>
        <vertAlign val="subscript"/>
        <sz val="11"/>
        <color theme="1"/>
        <rFont val="Calibri"/>
        <family val="2"/>
        <scheme val="minor"/>
      </rPr>
      <t>w1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</si>
  <si>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</si>
  <si>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X</t>
    </r>
    <r>
      <rPr>
        <vertAlign val="subscript"/>
        <sz val="11"/>
        <color theme="1"/>
        <rFont val="Calibri"/>
        <family val="2"/>
        <scheme val="minor"/>
      </rPr>
      <t>w2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</si>
  <si>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</si>
  <si>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1</t>
    </r>
  </si>
  <si>
    <r>
      <t>w</t>
    </r>
    <r>
      <rPr>
        <vertAlign val="subscript"/>
        <sz val="11"/>
        <color theme="1"/>
        <rFont val="Calibri"/>
        <family val="2"/>
        <scheme val="minor"/>
      </rPr>
      <t>2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</si>
  <si>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 xml:space="preserve">s </t>
    </r>
    <r>
      <rPr>
        <b/>
        <sz val="11"/>
        <color theme="1"/>
        <rFont val="Calibri"/>
        <family val="2"/>
        <scheme val="minor"/>
      </rPr>
      <t>=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</si>
  <si>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 xml:space="preserve"> =</t>
    </r>
  </si>
  <si>
    <r>
      <t xml:space="preserve">M = </t>
    </r>
    <r>
      <rPr>
        <sz val="11"/>
        <color theme="1"/>
        <rFont val="Calibri"/>
        <family val="2"/>
      </rPr>
      <t>∑</t>
    </r>
    <r>
      <rPr>
        <sz val="11"/>
        <color theme="1"/>
        <rFont val="Calibri"/>
        <family val="2"/>
        <scheme val="minor"/>
      </rPr>
      <t xml:space="preserve"> P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* X</t>
    </r>
    <r>
      <rPr>
        <vertAlign val="subscript"/>
        <sz val="11"/>
        <color theme="1"/>
        <rFont val="Calibri"/>
        <family val="2"/>
        <scheme val="minor"/>
      </rPr>
      <t>p</t>
    </r>
  </si>
  <si>
    <r>
      <t>X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(m)</t>
    </r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</si>
  <si>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</si>
  <si>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ur</t>
    </r>
    <r>
      <rPr>
        <sz val="11"/>
        <color theme="1"/>
        <rFont val="Calibri"/>
        <family val="2"/>
        <scheme val="minor"/>
      </rPr>
      <t xml:space="preserve"> = 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- M</t>
    </r>
    <r>
      <rPr>
        <vertAlign val="subscript"/>
        <sz val="11"/>
        <color theme="1"/>
        <rFont val="Calibri"/>
        <family val="2"/>
        <scheme val="minor"/>
      </rPr>
      <t>us</t>
    </r>
    <r>
      <rPr>
        <sz val="11"/>
        <color theme="1"/>
        <rFont val="Calibri"/>
        <family val="2"/>
        <scheme val="minor"/>
      </rPr>
      <t xml:space="preserve"> =</t>
    </r>
  </si>
  <si>
    <t>(kN.m)</t>
  </si>
  <si>
    <t>Berat beban mati dan beban hidup per luas di atas pilecap (1,2 D + 1,6 L)</t>
  </si>
  <si>
    <r>
      <t>q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</si>
  <si>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r>
      <t>q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</si>
  <si>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X</t>
    </r>
    <r>
      <rPr>
        <vertAlign val="subscript"/>
        <sz val="11"/>
        <rFont val="Calibri"/>
        <family val="2"/>
        <scheme val="minor"/>
      </rPr>
      <t>p1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- b / 2 =</t>
    </r>
  </si>
  <si>
    <r>
      <t>X</t>
    </r>
    <r>
      <rPr>
        <vertAlign val="subscript"/>
        <sz val="11"/>
        <rFont val="Calibri"/>
        <family val="2"/>
        <scheme val="minor"/>
      </rPr>
      <t>p2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- b / 2 =</t>
    </r>
  </si>
  <si>
    <r>
      <t>X</t>
    </r>
    <r>
      <rPr>
        <vertAlign val="subscript"/>
        <sz val="11"/>
        <rFont val="Calibri"/>
        <family val="2"/>
        <scheme val="minor"/>
      </rPr>
      <t>p3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- b / 2 =</t>
    </r>
  </si>
  <si>
    <r>
      <t>X</t>
    </r>
    <r>
      <rPr>
        <vertAlign val="subscript"/>
        <sz val="11"/>
        <rFont val="Calibri"/>
        <family val="2"/>
        <scheme val="minor"/>
      </rPr>
      <t>p4</t>
    </r>
    <r>
      <rPr>
        <sz val="11"/>
        <rFont val="Calibri"/>
        <family val="2"/>
        <scheme val="minor"/>
      </rPr>
      <t xml:space="preserve"> = X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- b / 2 =</t>
    </r>
  </si>
  <si>
    <r>
      <t>untuk lebar pile-cap (L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) =</t>
    </r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</si>
  <si>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 M</t>
    </r>
    <r>
      <rPr>
        <vertAlign val="subscript"/>
        <sz val="11"/>
        <color theme="1"/>
        <rFont val="Calibri"/>
        <family val="2"/>
        <scheme val="minor"/>
      </rPr>
      <t xml:space="preserve">ur </t>
    </r>
    <r>
      <rPr>
        <sz val="11"/>
        <color theme="1"/>
        <rFont val="Calibri"/>
        <family val="2"/>
        <scheme val="minor"/>
      </rPr>
      <t>/ L</t>
    </r>
    <r>
      <rPr>
        <vertAlign val="subscript"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</si>
  <si>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Calibri"/>
        <family val="2"/>
      </rPr>
      <t>Σ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umax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</si>
  <si>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</si>
  <si>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us</t>
    </r>
    <r>
      <rPr>
        <sz val="11"/>
        <color theme="1"/>
        <rFont val="Calibri"/>
        <family val="2"/>
        <scheme val="minor"/>
      </rPr>
      <t xml:space="preserve"> = K * 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+ 0,5 * L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* L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* q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</si>
  <si>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r>
      <t>b (L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</si>
  <si>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Panjang (L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)</t>
    </r>
  </si>
  <si>
    <r>
      <t>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</si>
  <si>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b (L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</si>
  <si>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r>
      <t>Panjang (L</t>
    </r>
    <r>
      <rPr>
        <b/>
        <vertAlign val="subscript"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)</t>
    </r>
  </si>
  <si>
    <t>Y (m)</t>
  </si>
  <si>
    <r>
      <t>Y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(m)</t>
    </r>
  </si>
  <si>
    <r>
      <t>Y</t>
    </r>
    <r>
      <rPr>
        <vertAlign val="subscript"/>
        <sz val="11"/>
        <rFont val="Calibri"/>
        <family val="2"/>
        <scheme val="minor"/>
      </rPr>
      <t>p1</t>
    </r>
    <r>
      <rPr>
        <sz val="11"/>
        <rFont val="Calibri"/>
        <family val="2"/>
        <scheme val="minor"/>
      </rPr>
      <t xml:space="preserve"> = Y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- w / 2 =</t>
    </r>
  </si>
  <si>
    <r>
      <t>Y</t>
    </r>
    <r>
      <rPr>
        <vertAlign val="subscript"/>
        <sz val="11"/>
        <rFont val="Calibri"/>
        <family val="2"/>
        <scheme val="minor"/>
      </rPr>
      <t>p2</t>
    </r>
    <r>
      <rPr>
        <sz val="11"/>
        <rFont val="Calibri"/>
        <family val="2"/>
        <scheme val="minor"/>
      </rPr>
      <t xml:space="preserve"> = Y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- w / 2 =</t>
    </r>
  </si>
  <si>
    <r>
      <t>Y</t>
    </r>
    <r>
      <rPr>
        <vertAlign val="subscript"/>
        <sz val="11"/>
        <rFont val="Calibri"/>
        <family val="2"/>
        <scheme val="minor"/>
      </rPr>
      <t>p3</t>
    </r>
    <r>
      <rPr>
        <sz val="11"/>
        <rFont val="Calibri"/>
        <family val="2"/>
        <scheme val="minor"/>
      </rPr>
      <t xml:space="preserve"> = Y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- w / 2 =</t>
    </r>
  </si>
  <si>
    <r>
      <t>Y</t>
    </r>
    <r>
      <rPr>
        <vertAlign val="subscript"/>
        <sz val="11"/>
        <rFont val="Calibri"/>
        <family val="2"/>
        <scheme val="minor"/>
      </rPr>
      <t>p4</t>
    </r>
    <r>
      <rPr>
        <sz val="11"/>
        <rFont val="Calibri"/>
        <family val="2"/>
        <scheme val="minor"/>
      </rPr>
      <t xml:space="preserve"> = Y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- w / 2 =</t>
    </r>
  </si>
  <si>
    <r>
      <t xml:space="preserve">M = </t>
    </r>
    <r>
      <rPr>
        <sz val="11"/>
        <color theme="1"/>
        <rFont val="Calibri"/>
        <family val="2"/>
      </rPr>
      <t>∑</t>
    </r>
    <r>
      <rPr>
        <sz val="11"/>
        <color theme="1"/>
        <rFont val="Calibri"/>
        <family val="2"/>
        <scheme val="minor"/>
      </rPr>
      <t xml:space="preserve"> P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* Y</t>
    </r>
    <r>
      <rPr>
        <vertAlign val="subscript"/>
        <sz val="11"/>
        <color theme="1"/>
        <rFont val="Calibri"/>
        <family val="2"/>
        <scheme val="minor"/>
      </rPr>
      <t>p</t>
    </r>
  </si>
  <si>
    <r>
      <t>Y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</si>
  <si>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w1</t>
    </r>
    <r>
      <rPr>
        <sz val="11"/>
        <color theme="1"/>
        <rFont val="Calibri"/>
        <family val="2"/>
        <scheme val="minor"/>
      </rPr>
      <t xml:space="preserve"> =</t>
    </r>
  </si>
  <si>
    <r>
      <t>Y</t>
    </r>
    <r>
      <rPr>
        <vertAlign val="subscript"/>
        <sz val="11"/>
        <color theme="1"/>
        <rFont val="Calibri"/>
        <family val="2"/>
        <scheme val="minor"/>
      </rPr>
      <t>w2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</si>
  <si>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</si>
  <si>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us</t>
    </r>
    <r>
      <rPr>
        <sz val="11"/>
        <color theme="1"/>
        <rFont val="Calibri"/>
        <family val="2"/>
        <scheme val="minor"/>
      </rPr>
      <t xml:space="preserve"> = K * M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+ 0,5 * L</t>
    </r>
    <r>
      <rPr>
        <vertAlign val="subscript"/>
        <sz val="11"/>
        <color theme="1"/>
        <rFont val="Calibri"/>
        <family val="2"/>
        <scheme val="minor"/>
      </rPr>
      <t>2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* L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* q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</si>
  <si>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r>
      <t>untuk lebar pile-cap (L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) =</t>
    </r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</si>
  <si>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 M</t>
    </r>
    <r>
      <rPr>
        <vertAlign val="subscript"/>
        <sz val="11"/>
        <color theme="1"/>
        <rFont val="Calibri"/>
        <family val="2"/>
        <scheme val="minor"/>
      </rPr>
      <t xml:space="preserve">ur </t>
    </r>
    <r>
      <rPr>
        <sz val="11"/>
        <color theme="1"/>
        <rFont val="Calibri"/>
        <family val="2"/>
        <scheme val="minor"/>
      </rPr>
      <t>/ L</t>
    </r>
    <r>
      <rPr>
        <vertAlign val="subscript"/>
        <sz val="11"/>
        <color theme="1"/>
        <rFont val="Calibri"/>
        <family val="2"/>
        <scheme val="minor"/>
      </rPr>
      <t xml:space="preserve">x </t>
    </r>
    <r>
      <rPr>
        <sz val="11"/>
        <color theme="1"/>
        <rFont val="Calibri"/>
        <family val="2"/>
        <scheme val="minor"/>
      </rPr>
      <t>=</t>
    </r>
  </si>
  <si>
    <t>Kuat geser pons yang disyaratkan</t>
  </si>
  <si>
    <t>Faktor reduksi kekuatan geser</t>
  </si>
  <si>
    <t>ɸ =</t>
  </si>
  <si>
    <t>Jarak antara tiang bor arah x</t>
  </si>
  <si>
    <t>X =</t>
  </si>
  <si>
    <t>Jarak antara tiang bor arah y</t>
  </si>
  <si>
    <t>Jarak tiang bor terhadap tepi</t>
  </si>
  <si>
    <t>r = X/2 =</t>
  </si>
  <si>
    <t>r = Y/2 =</t>
  </si>
  <si>
    <t>r =</t>
  </si>
  <si>
    <t>Tebal bidang kritis geser pons</t>
  </si>
  <si>
    <t>Tebal efektif bidang kritis geser pons</t>
  </si>
  <si>
    <t>Panjang total bidang kritis</t>
  </si>
  <si>
    <r>
      <t>L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 [ 2 * (r + a) + π / 2 * r ]*10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</si>
  <si>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t>Luas bidang kritis geser pons</t>
  </si>
  <si>
    <r>
      <t>A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 L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* h =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</si>
  <si>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</si>
  <si>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Gaya geser pons nominal</t>
  </si>
  <si>
    <t>Kapasitas geser pons</t>
  </si>
  <si>
    <r>
      <t>ɸ * P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</si>
  <si>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t>Reaksi ultimit satu tiang bor</t>
  </si>
  <si>
    <r>
      <t>P</t>
    </r>
    <r>
      <rPr>
        <vertAlign val="subscript"/>
        <sz val="11"/>
        <color theme="1"/>
        <rFont val="Calibri"/>
        <family val="2"/>
        <scheme val="minor"/>
      </rPr>
      <t>umax</t>
    </r>
  </si>
  <si>
    <r>
      <t>ɸ * P</t>
    </r>
    <r>
      <rPr>
        <vertAlign val="subscript"/>
        <sz val="11"/>
        <color theme="1"/>
        <rFont val="Calibri"/>
        <family val="2"/>
        <scheme val="minor"/>
      </rPr>
      <t>n</t>
    </r>
  </si>
  <si>
    <r>
      <t>c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= ( L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- b - d ) / 2 =</t>
    </r>
  </si>
  <si>
    <t>Berat beton pilecap,</t>
  </si>
  <si>
    <t>Berat beban operasional di atas pilecap,</t>
  </si>
  <si>
    <r>
      <t>W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= c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* L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* q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</si>
  <si>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W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c</t>
    </r>
    <r>
      <rPr>
        <vertAlign val="subscript"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* L</t>
    </r>
    <r>
      <rPr>
        <vertAlign val="subscript"/>
        <sz val="11"/>
        <rFont val="Calibri"/>
        <family val="2"/>
        <scheme val="minor"/>
      </rPr>
      <t xml:space="preserve">y </t>
    </r>
    <r>
      <rPr>
        <sz val="11"/>
        <rFont val="Calibri"/>
        <family val="2"/>
        <scheme val="minor"/>
      </rPr>
      <t>* h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* w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</si>
  <si>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t>W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 c</t>
    </r>
    <r>
      <rPr>
        <vertAlign val="subscript"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* L</t>
    </r>
    <r>
      <rPr>
        <vertAlign val="subscript"/>
        <sz val="11"/>
        <rFont val="Calibri"/>
        <family val="2"/>
        <scheme val="minor"/>
      </rPr>
      <t xml:space="preserve">y </t>
    </r>
    <r>
      <rPr>
        <sz val="11"/>
        <rFont val="Calibri"/>
        <family val="2"/>
        <scheme val="minor"/>
      </rPr>
      <t>* z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w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</si>
  <si>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</si>
  <si>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fc' =</t>
  </si>
  <si>
    <r>
      <t>W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= c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* L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* q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</si>
  <si>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 ( L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- w - d ) / 2 =</t>
    </r>
  </si>
  <si>
    <t xml:space="preserve">Syarat : </t>
  </si>
  <si>
    <t>Komb. Beban Ultimit</t>
  </si>
  <si>
    <r>
      <t>W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c</t>
    </r>
    <r>
      <rPr>
        <vertAlign val="subscript"/>
        <sz val="11"/>
        <rFont val="Calibri"/>
        <family val="2"/>
        <scheme val="minor"/>
      </rPr>
      <t xml:space="preserve">y </t>
    </r>
    <r>
      <rPr>
        <sz val="11"/>
        <rFont val="Calibri"/>
        <family val="2"/>
        <scheme val="minor"/>
      </rPr>
      <t>* L</t>
    </r>
    <r>
      <rPr>
        <vertAlign val="subscript"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* h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* w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</si>
  <si>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t>W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 c</t>
    </r>
    <r>
      <rPr>
        <vertAlign val="subscript"/>
        <sz val="11"/>
        <rFont val="Calibri"/>
        <family val="2"/>
        <scheme val="minor"/>
      </rPr>
      <t xml:space="preserve">y </t>
    </r>
    <r>
      <rPr>
        <sz val="11"/>
        <rFont val="Calibri"/>
        <family val="2"/>
        <scheme val="minor"/>
      </rPr>
      <t>* L</t>
    </r>
    <r>
      <rPr>
        <vertAlign val="subscript"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* z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w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</si>
  <si>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 xml:space="preserve"> =</t>
    </r>
  </si>
  <si>
    <r>
      <t>h = h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</si>
  <si>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t>Kontrol kapasitas geser terhadap gaya geser ultimit arah x,</t>
  </si>
  <si>
    <t>Kontrol kapasitas geser terhadap gaya geser ultimit arah y,</t>
  </si>
  <si>
    <r>
      <t>M</t>
    </r>
    <r>
      <rPr>
        <vertAlign val="subscript"/>
        <sz val="11"/>
        <rFont val="Calibri"/>
        <family val="2"/>
        <scheme val="minor"/>
      </rPr>
      <t>ux</t>
    </r>
    <r>
      <rPr>
        <sz val="11"/>
        <rFont val="Calibri"/>
        <family val="2"/>
        <scheme val="minor"/>
      </rPr>
      <t xml:space="preserve"> =</t>
    </r>
  </si>
  <si>
    <r>
      <t>h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</t>
    </r>
  </si>
  <si>
    <r>
      <t>d = h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- d' =</t>
    </r>
  </si>
  <si>
    <t>Nilai minimum momen rencana,</t>
  </si>
  <si>
    <r>
      <t>M</t>
    </r>
    <r>
      <rPr>
        <vertAlign val="subscript"/>
        <sz val="11"/>
        <rFont val="Calibri"/>
        <family val="2"/>
        <scheme val="minor"/>
      </rPr>
      <t>uy</t>
    </r>
    <r>
      <rPr>
        <sz val="11"/>
        <rFont val="Calibri"/>
        <family val="2"/>
        <scheme val="minor"/>
      </rPr>
      <t xml:space="preserve"> =</t>
    </r>
  </si>
  <si>
    <t>Nilai geser pada pilecap untuk arah X</t>
  </si>
  <si>
    <t>Nilai momen pada pilecap untuk arah X</t>
  </si>
  <si>
    <t>NILAI GESER DAN MOMEN ARAH X DAN ARAH Y</t>
  </si>
  <si>
    <t>D.4.</t>
  </si>
  <si>
    <t>Nilai geser pada pilecap untuk arah Y</t>
  </si>
  <si>
    <t>Nilai momen pada pilecap untuk arah Y</t>
  </si>
  <si>
    <t>E.</t>
  </si>
  <si>
    <t>E.3.</t>
  </si>
  <si>
    <t>E.4.</t>
  </si>
  <si>
    <t>F.</t>
  </si>
  <si>
    <t>F.1.</t>
  </si>
  <si>
    <t>F.2.</t>
  </si>
  <si>
    <t>F.3.</t>
  </si>
  <si>
    <t>Kontrol kapasitas geser pons terhadap gaya geser ultimit pada kolom,</t>
  </si>
  <si>
    <t>Kontrol kapasitas geser pons pada tiang ujung,</t>
  </si>
  <si>
    <r>
      <t>s</t>
    </r>
    <r>
      <rPr>
        <vertAlign val="subscript"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 = 3 * h =</t>
    </r>
  </si>
  <si>
    <t>Besar gaya aksial pada fondasi yang berada di bidang kritis,</t>
  </si>
  <si>
    <r>
      <t>V</t>
    </r>
    <r>
      <rPr>
        <vertAlign val="subscript"/>
        <sz val="11"/>
        <rFont val="Calibri"/>
        <family val="2"/>
        <scheme val="minor"/>
      </rPr>
      <t>ux</t>
    </r>
    <r>
      <rPr>
        <sz val="1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</si>
  <si>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1 / 3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* b * d =</t>
    </r>
  </si>
  <si>
    <r>
      <t>s</t>
    </r>
    <r>
      <rPr>
        <vertAlign val="subscript"/>
        <sz val="11"/>
        <rFont val="Calibri"/>
        <family val="2"/>
        <scheme val="minor"/>
      </rPr>
      <t>x,max</t>
    </r>
    <r>
      <rPr>
        <sz val="11"/>
        <rFont val="Calibri"/>
        <family val="2"/>
        <scheme val="minor"/>
      </rPr>
      <t xml:space="preserve"> = 3 * h =</t>
    </r>
  </si>
  <si>
    <r>
      <t>s</t>
    </r>
    <r>
      <rPr>
        <vertAlign val="subscript"/>
        <sz val="11"/>
        <rFont val="Calibri"/>
        <family val="2"/>
        <scheme val="minor"/>
      </rPr>
      <t>x,max</t>
    </r>
    <r>
      <rPr>
        <sz val="1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</si>
  <si>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rFont val="Calibri"/>
        <family val="2"/>
        <scheme val="minor"/>
      </rPr>
      <t>y,max</t>
    </r>
    <r>
      <rPr>
        <sz val="11"/>
        <rFont val="Calibri"/>
        <family val="2"/>
        <scheme val="minor"/>
      </rPr>
      <t xml:space="preserve"> = 3 * h =</t>
    </r>
  </si>
  <si>
    <r>
      <t>V</t>
    </r>
    <r>
      <rPr>
        <vertAlign val="subscript"/>
        <sz val="11"/>
        <rFont val="Calibri"/>
        <family val="2"/>
        <scheme val="minor"/>
      </rPr>
      <t>uy</t>
    </r>
    <r>
      <rPr>
        <sz val="11"/>
        <rFont val="Calibri"/>
        <family val="2"/>
        <scheme val="minor"/>
      </rPr>
      <t xml:space="preserve"> =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</si>
  <si>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&gt; 0,5 * L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- C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</si>
  <si>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(m)</t>
    </r>
  </si>
  <si>
    <t>Tinggi fondasi pilecap,</t>
  </si>
  <si>
    <t>Lebar arah x fondasi pilecap,</t>
  </si>
  <si>
    <t>Lebar arah y fondasi pilecap,</t>
  </si>
  <si>
    <t>Elevasi dasar fondasi pilecap,</t>
  </si>
  <si>
    <t>Lebar kolom arah x,</t>
  </si>
  <si>
    <t>Lebar kolom arah y,</t>
  </si>
  <si>
    <t>Penulangan utama arah x,</t>
  </si>
  <si>
    <t>Penulangan utama arah y,</t>
  </si>
  <si>
    <t>Penulangan susut arah x,</t>
  </si>
  <si>
    <t>Penulangan susut arah y,</t>
  </si>
  <si>
    <t>Formasi fondasi tiang dalam</t>
  </si>
  <si>
    <t>Dimensi dan penulangan pilecap</t>
  </si>
  <si>
    <t>Rekapitulasi kontrol geser dan geser pons pada pilecap,</t>
  </si>
  <si>
    <t>Kontrol kapasitas geser pilecap terhadap geser ultimit se arah X,</t>
  </si>
  <si>
    <t>Kontrol kapasitas geser pilecap terhadap geser ultimit se arah Y,</t>
  </si>
  <si>
    <t>Kontrol kapasitas geser pons pilecap terhadap aksial ultimit kolom,</t>
  </si>
  <si>
    <t>Kontrol kapasitas geser pons pilecap terhadap aksial fondasi tiang pojok,</t>
  </si>
  <si>
    <t>Rekapitulasi kontrol momen pada pilecap</t>
  </si>
  <si>
    <t>Kontrol kapasitas momen pilecap terhadap momen ultimit arah X,</t>
  </si>
  <si>
    <t>Kontrol kapasitas momen pilecap terhadap momen ultimit arah Y,</t>
  </si>
  <si>
    <t>Tebal selimut beton pada pilecap,</t>
  </si>
  <si>
    <t>Panjang tiang fondasi dalam pakai,</t>
  </si>
  <si>
    <t>Kontrol gaya aksial tiang pada tiang fondasi dalam</t>
  </si>
  <si>
    <t>EV =</t>
  </si>
  <si>
    <t>Gaya aksial maksimum dan minimum pada tiang fondasi dalam</t>
  </si>
  <si>
    <t>( kN )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</si>
  <si>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umax</t>
    </r>
    <r>
      <rPr>
        <b/>
        <sz val="11"/>
        <color theme="1"/>
        <rFont val="Calibri"/>
        <family val="2"/>
        <scheme val="minor"/>
      </rPr>
      <t xml:space="preserve"> &lt; P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</si>
  <si>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min</t>
    </r>
    <r>
      <rPr>
        <b/>
        <sz val="11"/>
        <color theme="1"/>
        <rFont val="Calibri"/>
        <family val="2"/>
        <scheme val="minor"/>
      </rPr>
      <t xml:space="preserve"> &gt; - C</t>
    </r>
    <r>
      <rPr>
        <b/>
        <vertAlign val="subscript"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 * Q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 xml:space="preserve"> / SF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</si>
  <si>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u</t>
    </r>
    <r>
      <rPr>
        <b/>
        <sz val="11"/>
        <color theme="1"/>
        <rFont val="Calibri"/>
        <family val="2"/>
        <scheme val="minor"/>
      </rPr>
      <t xml:space="preserve"> &lt; P</t>
    </r>
    <r>
      <rPr>
        <b/>
        <vertAlign val="subscript"/>
        <sz val="11"/>
        <color theme="1"/>
        <rFont val="Calibri"/>
        <family val="2"/>
        <scheme val="minor"/>
      </rPr>
      <t>group</t>
    </r>
  </si>
  <si>
    <t>HASIL PERHITUNGAN PROGRAM BANTU SPREADSHEET</t>
  </si>
  <si>
    <t>C.</t>
  </si>
  <si>
    <t>C.1.</t>
  </si>
  <si>
    <t>C.2.</t>
  </si>
  <si>
    <t>C.3.</t>
  </si>
  <si>
    <t>DATA PERENCANAAN</t>
  </si>
  <si>
    <t>A.5.</t>
  </si>
  <si>
    <t>Data dimensi fondasi pilecap</t>
  </si>
  <si>
    <t>Data dimensi fondasi tiang dalam</t>
  </si>
  <si>
    <t>Data material</t>
  </si>
  <si>
    <t>Data berat volume material dan tanah</t>
  </si>
  <si>
    <t>Rekapitulasi kontrol geser dan geser pons pada pilecap</t>
  </si>
  <si>
    <t>untuk kondisi maksimum dan minimum pada masing - masing kombinasi beban.</t>
  </si>
  <si>
    <t xml:space="preserve">Pada bagian ini menunjukan hasil rekapitulasi dari kontrol gaya aksial pada tiang fondasi </t>
  </si>
  <si>
    <t>dalam terhadap kapasitasnya untuk masing - masing kombinasi beban.</t>
  </si>
  <si>
    <t>Gaya aksial kolom,</t>
  </si>
  <si>
    <t>Momen arah x,</t>
  </si>
  <si>
    <t>Momen arah y,</t>
  </si>
  <si>
    <r>
      <t>n * y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</si>
  <si>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n * x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</si>
  <si>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t>(m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</si>
  <si>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t>Data beban fondasi</t>
  </si>
  <si>
    <r>
      <t>X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 &gt; 0,5 * L</t>
    </r>
    <r>
      <rPr>
        <b/>
        <vertAlign val="subscript"/>
        <sz val="11"/>
        <color theme="0"/>
        <rFont val="Calibri"/>
        <family val="2"/>
        <scheme val="minor"/>
      </rPr>
      <t>x</t>
    </r>
    <r>
      <rPr>
        <b/>
        <sz val="11"/>
        <color theme="0"/>
        <rFont val="Calibri"/>
        <family val="2"/>
        <scheme val="minor"/>
      </rPr>
      <t xml:space="preserve"> - C</t>
    </r>
    <r>
      <rPr>
        <b/>
        <vertAlign val="subscript"/>
        <sz val="11"/>
        <color theme="0"/>
        <rFont val="Calibri"/>
        <family val="2"/>
        <scheme val="minor"/>
      </rPr>
      <t>x</t>
    </r>
  </si>
  <si>
    <r>
      <t>X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 (m)</t>
    </r>
  </si>
  <si>
    <r>
      <t>b (L</t>
    </r>
    <r>
      <rPr>
        <b/>
        <vertAlign val="subscript"/>
        <sz val="10"/>
        <color theme="0"/>
        <rFont val="Calibri"/>
        <family val="2"/>
        <scheme val="minor"/>
      </rPr>
      <t>1</t>
    </r>
    <r>
      <rPr>
        <b/>
        <sz val="10"/>
        <color theme="0"/>
        <rFont val="Calibri"/>
        <family val="2"/>
        <scheme val="minor"/>
      </rPr>
      <t>)</t>
    </r>
  </si>
  <si>
    <r>
      <t>Panjang (L</t>
    </r>
    <r>
      <rPr>
        <b/>
        <vertAlign val="subscript"/>
        <sz val="10"/>
        <color theme="0"/>
        <rFont val="Calibri"/>
        <family val="2"/>
        <scheme val="minor"/>
      </rPr>
      <t>y</t>
    </r>
    <r>
      <rPr>
        <b/>
        <sz val="10"/>
        <color theme="0"/>
        <rFont val="Calibri"/>
        <family val="2"/>
        <scheme val="minor"/>
      </rPr>
      <t>)</t>
    </r>
  </si>
  <si>
    <r>
      <t>(m</t>
    </r>
    <r>
      <rPr>
        <b/>
        <vertAlign val="superscript"/>
        <sz val="10"/>
        <color theme="0"/>
        <rFont val="Calibri"/>
        <family val="2"/>
        <scheme val="minor"/>
      </rPr>
      <t>3</t>
    </r>
    <r>
      <rPr>
        <b/>
        <sz val="10"/>
        <color theme="0"/>
        <rFont val="Calibri"/>
        <family val="2"/>
        <scheme val="minor"/>
      </rPr>
      <t>)</t>
    </r>
  </si>
  <si>
    <r>
      <t xml:space="preserve">M = </t>
    </r>
    <r>
      <rPr>
        <sz val="10"/>
        <color theme="0"/>
        <rFont val="Calibri"/>
        <family val="2"/>
      </rPr>
      <t>∑</t>
    </r>
    <r>
      <rPr>
        <sz val="10"/>
        <color theme="0"/>
        <rFont val="Calibri"/>
        <family val="2"/>
        <scheme val="minor"/>
      </rPr>
      <t xml:space="preserve"> P</t>
    </r>
    <r>
      <rPr>
        <vertAlign val="subscript"/>
        <sz val="10"/>
        <color theme="0"/>
        <rFont val="Calibri"/>
        <family val="2"/>
        <scheme val="minor"/>
      </rPr>
      <t>u</t>
    </r>
    <r>
      <rPr>
        <sz val="10"/>
        <color theme="0"/>
        <rFont val="Calibri"/>
        <family val="2"/>
        <scheme val="minor"/>
      </rPr>
      <t xml:space="preserve"> * X</t>
    </r>
    <r>
      <rPr>
        <vertAlign val="subscript"/>
        <sz val="10"/>
        <color theme="0"/>
        <rFont val="Calibri"/>
        <family val="2"/>
        <scheme val="minor"/>
      </rPr>
      <t>p</t>
    </r>
  </si>
  <si>
    <r>
      <t>X</t>
    </r>
    <r>
      <rPr>
        <vertAlign val="subscript"/>
        <sz val="10"/>
        <color theme="0"/>
        <rFont val="Calibri"/>
        <family val="2"/>
        <scheme val="minor"/>
      </rPr>
      <t>p</t>
    </r>
    <r>
      <rPr>
        <sz val="10"/>
        <color theme="0"/>
        <rFont val="Calibri"/>
        <family val="2"/>
        <scheme val="minor"/>
      </rPr>
      <t xml:space="preserve"> (m)</t>
    </r>
  </si>
  <si>
    <t>Jarak tiang thdp pusat</t>
  </si>
  <si>
    <r>
      <t>b (L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)</t>
    </r>
  </si>
  <si>
    <r>
      <t>Panjang (L</t>
    </r>
    <r>
      <rPr>
        <b/>
        <vertAlign val="subscript"/>
        <sz val="10"/>
        <color theme="0"/>
        <rFont val="Calibri"/>
        <family val="2"/>
        <scheme val="minor"/>
      </rPr>
      <t>x</t>
    </r>
    <r>
      <rPr>
        <b/>
        <sz val="10"/>
        <color theme="0"/>
        <rFont val="Calibri"/>
        <family val="2"/>
        <scheme val="minor"/>
      </rPr>
      <t>)</t>
    </r>
  </si>
  <si>
    <r>
      <t xml:space="preserve">M = </t>
    </r>
    <r>
      <rPr>
        <sz val="10"/>
        <color theme="0"/>
        <rFont val="Calibri"/>
        <family val="2"/>
      </rPr>
      <t>∑</t>
    </r>
    <r>
      <rPr>
        <sz val="10"/>
        <color theme="0"/>
        <rFont val="Calibri"/>
        <family val="2"/>
        <scheme val="minor"/>
      </rPr>
      <t xml:space="preserve"> P</t>
    </r>
    <r>
      <rPr>
        <vertAlign val="subscript"/>
        <sz val="10"/>
        <color theme="0"/>
        <rFont val="Calibri"/>
        <family val="2"/>
        <scheme val="minor"/>
      </rPr>
      <t>u</t>
    </r>
    <r>
      <rPr>
        <sz val="10"/>
        <color theme="0"/>
        <rFont val="Calibri"/>
        <family val="2"/>
        <scheme val="minor"/>
      </rPr>
      <t xml:space="preserve"> * Y</t>
    </r>
    <r>
      <rPr>
        <vertAlign val="subscript"/>
        <sz val="10"/>
        <color theme="0"/>
        <rFont val="Calibri"/>
        <family val="2"/>
        <scheme val="minor"/>
      </rPr>
      <t>p</t>
    </r>
  </si>
  <si>
    <r>
      <t>Y</t>
    </r>
    <r>
      <rPr>
        <vertAlign val="subscript"/>
        <sz val="10"/>
        <color theme="0"/>
        <rFont val="Calibri"/>
        <family val="2"/>
        <scheme val="minor"/>
      </rPr>
      <t>p</t>
    </r>
    <r>
      <rPr>
        <sz val="10"/>
        <color theme="0"/>
        <rFont val="Calibri"/>
        <family val="2"/>
        <scheme val="minor"/>
      </rPr>
      <t xml:space="preserve"> (m)</t>
    </r>
  </si>
  <si>
    <t>C.4.</t>
  </si>
  <si>
    <t xml:space="preserve"> </t>
  </si>
  <si>
    <t>Berat beban mati dan beban hidup per luas di atas pilecap</t>
  </si>
  <si>
    <t>Kondisi 1 :  (1,0 D + 1,0 L)</t>
  </si>
  <si>
    <t>Kondisi 2 :  (1,2 D + 1,6 L)</t>
  </si>
  <si>
    <t xml:space="preserve">REPORT OUTPUT EXCEL SPREADSHEET </t>
  </si>
  <si>
    <t>• Nama Program</t>
  </si>
  <si>
    <t xml:space="preserve">• Versi </t>
  </si>
  <si>
    <t>1.00</t>
  </si>
  <si>
    <t>• Penyusun</t>
  </si>
  <si>
    <t>Indra K Raj Suweda</t>
  </si>
  <si>
    <t>• email</t>
  </si>
  <si>
    <t>indrakrajsuweda@gmail.com</t>
  </si>
  <si>
    <t>Perencanaan Fondasi Tiang Dalam Struktur Beton Bertulang</t>
  </si>
  <si>
    <r>
      <t>n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</si>
  <si>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</si>
  <si>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r>
      <rPr>
        <sz val="11"/>
        <rFont val="Calibri"/>
        <family val="2"/>
      </rPr>
      <t>a</t>
    </r>
    <r>
      <rPr>
        <sz val="11"/>
        <rFont val="Calibri"/>
        <family val="2"/>
        <scheme val="minor"/>
      </rPr>
      <t xml:space="preserve"> =</t>
    </r>
  </si>
  <si>
    <t>Diameter fondasi tiang dalam pakai,</t>
  </si>
  <si>
    <t>Elevasi dasar fondasi tiang dalam dari muka tanah,</t>
  </si>
  <si>
    <t>Jarak fondasi tiang dalam tepi terhadap sisi luar beton,</t>
  </si>
  <si>
    <t>Jumlah baris fondasi tiang dalam,</t>
  </si>
  <si>
    <t>Jumlah kolom fondasi tiang dalam,</t>
  </si>
  <si>
    <t>Jarak antar fondasi tiang dalam,</t>
  </si>
  <si>
    <t>Tahanan ultimit ujung fondasi tiang dalam,</t>
  </si>
  <si>
    <t>Tahanan ultimit friksi fondasi tiang dalam,</t>
  </si>
  <si>
    <r>
      <t>b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</si>
  <si>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</si>
  <si>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h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</si>
  <si>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</si>
  <si>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L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</si>
  <si>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charset val="1"/>
        <scheme val="minor"/>
      </rPr>
      <t xml:space="preserve"> =</t>
    </r>
  </si>
  <si>
    <r>
      <rPr>
        <sz val="11"/>
        <color theme="1"/>
        <rFont val="Calibri"/>
        <family val="2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</si>
  <si>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</si>
  <si>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</si>
  <si>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1 - φ / 90 * ( (n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-1)*n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+ (n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-1)*n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) / (n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*n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 =</t>
    </r>
  </si>
  <si>
    <t xml:space="preserve">*Ilustrasi </t>
  </si>
  <si>
    <r>
      <t>b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</si>
  <si>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 * P</t>
    </r>
    <r>
      <rPr>
        <b/>
        <vertAlign val="subscript"/>
        <sz val="11"/>
        <color theme="1"/>
        <rFont val="Calibri"/>
        <family val="2"/>
        <scheme val="minor"/>
      </rPr>
      <t>u</t>
    </r>
  </si>
  <si>
    <r>
      <t>P</t>
    </r>
    <r>
      <rPr>
        <b/>
        <vertAlign val="subscript"/>
        <sz val="11"/>
        <color theme="1"/>
        <rFont val="Calibri"/>
        <family val="2"/>
        <scheme val="minor"/>
      </rPr>
      <t>u</t>
    </r>
  </si>
  <si>
    <r>
      <t>Σ (n</t>
    </r>
    <r>
      <rPr>
        <b/>
        <vertAlign val="subscript"/>
        <sz val="11"/>
        <color theme="1"/>
        <rFont val="Calibri"/>
        <family val="2"/>
      </rPr>
      <t>a</t>
    </r>
    <r>
      <rPr>
        <b/>
        <sz val="11"/>
        <color theme="1"/>
        <rFont val="Calibri"/>
        <family val="2"/>
      </rPr>
      <t xml:space="preserve"> * P</t>
    </r>
    <r>
      <rPr>
        <b/>
        <vertAlign val="subscript"/>
        <sz val="11"/>
        <color theme="1"/>
        <rFont val="Calibri"/>
        <family val="2"/>
      </rPr>
      <t>u</t>
    </r>
    <r>
      <rPr>
        <b/>
        <sz val="11"/>
        <color theme="1"/>
        <rFont val="Calibri"/>
        <family val="2"/>
      </rPr>
      <t>) =</t>
    </r>
  </si>
  <si>
    <r>
      <t>V</t>
    </r>
    <r>
      <rPr>
        <vertAlign val="subscript"/>
        <sz val="11"/>
        <rFont val="Calibri"/>
        <family val="2"/>
        <scheme val="minor"/>
      </rPr>
      <t>ux</t>
    </r>
    <r>
      <rPr>
        <sz val="11"/>
        <rFont val="Calibri"/>
        <family val="2"/>
        <scheme val="minor"/>
      </rPr>
      <t xml:space="preserve"> = </t>
    </r>
    <r>
      <rPr>
        <sz val="11"/>
        <rFont val="Calibri"/>
        <family val="2"/>
      </rPr>
      <t>Σ</t>
    </r>
    <r>
      <rPr>
        <sz val="11"/>
        <rFont val="Calibri"/>
        <family val="2"/>
        <scheme val="minor"/>
      </rPr>
      <t>(n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* P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>) - W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- W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- W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</si>
  <si>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u</t>
    </r>
  </si>
  <si>
    <r>
      <t>n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* P</t>
    </r>
    <r>
      <rPr>
        <vertAlign val="subscript"/>
        <sz val="11"/>
        <color theme="1"/>
        <rFont val="Calibri"/>
        <family val="2"/>
        <scheme val="minor"/>
      </rPr>
      <t>u</t>
    </r>
  </si>
  <si>
    <r>
      <t>V</t>
    </r>
    <r>
      <rPr>
        <vertAlign val="subscript"/>
        <sz val="11"/>
        <rFont val="Calibri"/>
        <family val="2"/>
        <scheme val="minor"/>
      </rPr>
      <t>ux</t>
    </r>
    <r>
      <rPr>
        <sz val="11"/>
        <rFont val="Calibri"/>
        <family val="2"/>
        <scheme val="minor"/>
      </rPr>
      <t xml:space="preserve"> = </t>
    </r>
    <r>
      <rPr>
        <sz val="11"/>
        <rFont val="Calibri"/>
        <family val="2"/>
      </rPr>
      <t>Σ</t>
    </r>
    <r>
      <rPr>
        <sz val="11"/>
        <rFont val="Calibri"/>
        <family val="2"/>
        <scheme val="minor"/>
      </rPr>
      <t>(n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* P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>) - W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- W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- W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=</t>
    </r>
  </si>
  <si>
    <r>
      <t>Σ (n</t>
    </r>
    <r>
      <rPr>
        <b/>
        <vertAlign val="subscript"/>
        <sz val="11"/>
        <color theme="1"/>
        <rFont val="Calibri"/>
        <family val="2"/>
      </rPr>
      <t>b</t>
    </r>
    <r>
      <rPr>
        <b/>
        <sz val="11"/>
        <color theme="1"/>
        <rFont val="Calibri"/>
        <family val="2"/>
      </rPr>
      <t xml:space="preserve"> * P</t>
    </r>
    <r>
      <rPr>
        <b/>
        <vertAlign val="subscript"/>
        <sz val="11"/>
        <color theme="1"/>
        <rFont val="Calibri"/>
        <family val="2"/>
      </rPr>
      <t>u</t>
    </r>
    <r>
      <rPr>
        <b/>
        <sz val="11"/>
        <color theme="1"/>
        <rFont val="Calibri"/>
        <family val="2"/>
      </rPr>
      <t>) =</t>
    </r>
  </si>
  <si>
    <t>Judul Program</t>
  </si>
  <si>
    <t>:</t>
  </si>
  <si>
    <t>Versi Program</t>
  </si>
  <si>
    <t>V1.00</t>
  </si>
  <si>
    <t>Update ke 0</t>
  </si>
  <si>
    <t>Mei 2021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</si>
  <si>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</si>
  <si>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</si>
  <si>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</si>
  <si>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</si>
  <si>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</si>
  <si>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</si>
  <si>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</si>
  <si>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</si>
  <si>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>Perencanaan Fondasi Dalam Struktur Beton Bertulang</t>
  </si>
  <si>
    <r>
      <rPr>
        <sz val="11"/>
        <rFont val="Calibri"/>
        <family val="2"/>
      </rPr>
      <t>β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</si>
  <si>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[ 1 + 2 / </t>
    </r>
    <r>
      <rPr>
        <sz val="11"/>
        <rFont val="Calibri"/>
        <family val="2"/>
      </rPr>
      <t>β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* b * d  / 6 * 10</t>
    </r>
    <r>
      <rPr>
        <vertAlign val="superscript"/>
        <sz val="11"/>
        <rFont val="Calibri"/>
        <family val="2"/>
        <scheme val="minor"/>
      </rPr>
      <t>-3</t>
    </r>
    <r>
      <rPr>
        <sz val="11"/>
        <rFont val="Calibri"/>
        <family val="2"/>
        <scheme val="minor"/>
      </rPr>
      <t xml:space="preserve"> =</t>
    </r>
  </si>
  <si>
    <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[ 1 + 2 / </t>
    </r>
    <r>
      <rPr>
        <sz val="11"/>
        <rFont val="Calibri"/>
        <family val="2"/>
      </rPr>
      <t>β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/ 6 =</t>
    </r>
  </si>
  <si>
    <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1 / 3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</si>
  <si>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</t>
    </r>
  </si>
  <si>
    <r>
      <t>φ * V</t>
    </r>
    <r>
      <rPr>
        <vertAlign val="subscript"/>
        <sz val="11"/>
        <rFont val="Calibri"/>
        <family val="2"/>
        <scheme val="minor"/>
      </rPr>
      <t>np</t>
    </r>
    <r>
      <rPr>
        <sz val="11"/>
        <rFont val="Calibri"/>
        <family val="2"/>
        <scheme val="minor"/>
      </rPr>
      <t xml:space="preserve"> = φ * A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* 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* 10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=</t>
    </r>
  </si>
  <si>
    <r>
      <rPr>
        <sz val="11"/>
        <color theme="1"/>
        <rFont val="Calibri"/>
        <family val="2"/>
      </rPr>
      <t>σ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</si>
  <si>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n </t>
    </r>
    <r>
      <rPr>
        <sz val="11"/>
        <color theme="1"/>
        <rFont val="Calibri"/>
        <family val="2"/>
        <scheme val="minor"/>
      </rPr>
      <t>= A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* </t>
    </r>
    <r>
      <rPr>
        <sz val="11"/>
        <color theme="1"/>
        <rFont val="Calibri"/>
        <family val="2"/>
      </rPr>
      <t>σ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</si>
  <si>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ε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(d - c)/c * ε</t>
    </r>
    <r>
      <rPr>
        <vertAlign val="subscript"/>
        <sz val="11"/>
        <rFont val="Calibri"/>
        <family val="2"/>
        <scheme val="minor"/>
      </rPr>
      <t>cu</t>
    </r>
  </si>
  <si>
    <r>
      <t>B</t>
    </r>
    <r>
      <rPr>
        <vertAlign val="subscript"/>
        <sz val="11"/>
        <rFont val="Calibri"/>
        <family val="2"/>
        <scheme val="minor"/>
      </rPr>
      <t>x</t>
    </r>
    <r>
      <rPr>
        <sz val="11"/>
        <rFont val="Calibri"/>
        <family val="2"/>
        <scheme val="minor"/>
      </rPr>
      <t xml:space="preserve"> = b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+ d =</t>
    </r>
  </si>
  <si>
    <r>
      <t>B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 w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+ d =</t>
    </r>
  </si>
  <si>
    <t>Gaya aksial kolom akibat kombinasi beban Layan,</t>
  </si>
  <si>
    <t>Momen arah x akibat kombinasi beban Layan,</t>
  </si>
  <si>
    <t>Momen arah y akibat kombinasi beban Layan,</t>
  </si>
  <si>
    <t>Gaya aksial kolom akibat kombinasi beban Gempa Arah X,</t>
  </si>
  <si>
    <t>Gaya aksial kolom akibat kombinasi beban Gempa Arah Y,</t>
  </si>
  <si>
    <t>Momen arah x akibat kombinasi beban Gempa Arah Y,</t>
  </si>
  <si>
    <t>Momen arah y akibat kombinasi beban Gempa Arah Y,</t>
  </si>
  <si>
    <t>Momen arah x akibat kombinasi beban Gempa Arah X,</t>
  </si>
  <si>
    <t>Momen arah y akibat kombinasi beban Gempa Arah X,</t>
  </si>
  <si>
    <r>
      <t>Y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(m)</t>
    </r>
  </si>
  <si>
    <r>
      <t>Y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&gt; 0,5 * L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- C</t>
    </r>
    <r>
      <rPr>
        <vertAlign val="subscript"/>
        <sz val="11"/>
        <color theme="1"/>
        <rFont val="Calibri"/>
        <family val="2"/>
        <scheme val="minor"/>
      </rPr>
      <t>y</t>
    </r>
  </si>
  <si>
    <r>
      <t>d' = 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+ 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* D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</si>
  <si>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[ </t>
    </r>
    <r>
      <rPr>
        <sz val="11"/>
        <rFont val="Calibri"/>
        <family val="2"/>
      </rPr>
      <t>α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d / b + 2 ]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* b * d  / 12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</si>
  <si>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[ </t>
    </r>
    <r>
      <rPr>
        <sz val="11"/>
        <rFont val="Calibri"/>
        <family val="2"/>
      </rPr>
      <t>α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d / b + 2 ]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* b * d  / 12 * 10</t>
    </r>
    <r>
      <rPr>
        <vertAlign val="superscript"/>
        <sz val="11"/>
        <rFont val="Calibri"/>
        <family val="2"/>
        <scheme val="minor"/>
      </rPr>
      <t>-3</t>
    </r>
    <r>
      <rPr>
        <sz val="11"/>
        <rFont val="Calibri"/>
        <family val="2"/>
        <scheme val="minor"/>
      </rPr>
      <t xml:space="preserve"> =</t>
    </r>
  </si>
  <si>
    <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[ </t>
    </r>
    <r>
      <rPr>
        <sz val="11"/>
        <rFont val="Calibri"/>
        <family val="2"/>
      </rPr>
      <t>α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d / b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+ 2 ]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/ 12 =</t>
    </r>
  </si>
  <si>
    <t>Gempa Arah X</t>
  </si>
  <si>
    <t>Gempa Arah Y</t>
  </si>
  <si>
    <t>Layan</t>
  </si>
  <si>
    <r>
      <t>n</t>
    </r>
    <r>
      <rPr>
        <b/>
        <vertAlign val="sub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* P</t>
    </r>
    <r>
      <rPr>
        <b/>
        <vertAlign val="subscript"/>
        <sz val="11"/>
        <color theme="0"/>
        <rFont val="Calibri"/>
        <family val="2"/>
        <scheme val="minor"/>
      </rPr>
      <t>u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</si>
  <si>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>u</t>
    </r>
  </si>
  <si>
    <r>
      <t>Σ (n</t>
    </r>
    <r>
      <rPr>
        <b/>
        <vertAlign val="subscript"/>
        <sz val="11"/>
        <color theme="0"/>
        <rFont val="Calibri"/>
        <family val="2"/>
      </rPr>
      <t>a</t>
    </r>
    <r>
      <rPr>
        <b/>
        <sz val="11"/>
        <color theme="0"/>
        <rFont val="Calibri"/>
        <family val="2"/>
      </rPr>
      <t xml:space="preserve"> * P</t>
    </r>
    <r>
      <rPr>
        <b/>
        <vertAlign val="subscript"/>
        <sz val="11"/>
        <color theme="0"/>
        <rFont val="Calibri"/>
        <family val="2"/>
      </rPr>
      <t>u</t>
    </r>
    <r>
      <rPr>
        <b/>
        <sz val="11"/>
        <color theme="0"/>
        <rFont val="Calibri"/>
        <family val="2"/>
      </rPr>
      <t>) =</t>
    </r>
  </si>
  <si>
    <r>
      <t>Y</t>
    </r>
    <r>
      <rPr>
        <vertAlign val="subscript"/>
        <sz val="11"/>
        <color theme="0"/>
        <rFont val="Calibri"/>
        <family val="2"/>
        <scheme val="minor"/>
      </rPr>
      <t>i</t>
    </r>
    <r>
      <rPr>
        <sz val="11"/>
        <color theme="0"/>
        <rFont val="Calibri"/>
        <family val="2"/>
        <scheme val="minor"/>
      </rPr>
      <t xml:space="preserve"> (m)</t>
    </r>
  </si>
  <si>
    <r>
      <t>Y</t>
    </r>
    <r>
      <rPr>
        <vertAlign val="subscript"/>
        <sz val="11"/>
        <color theme="0"/>
        <rFont val="Calibri"/>
        <family val="2"/>
        <scheme val="minor"/>
      </rPr>
      <t>i</t>
    </r>
    <r>
      <rPr>
        <sz val="11"/>
        <color theme="0"/>
        <rFont val="Calibri"/>
        <family val="2"/>
        <scheme val="minor"/>
      </rPr>
      <t xml:space="preserve"> &gt; 0,5 * L</t>
    </r>
    <r>
      <rPr>
        <vertAlign val="subscript"/>
        <sz val="11"/>
        <color theme="0"/>
        <rFont val="Calibri"/>
        <family val="2"/>
        <scheme val="minor"/>
      </rPr>
      <t>y</t>
    </r>
    <r>
      <rPr>
        <sz val="11"/>
        <color theme="0"/>
        <rFont val="Calibri"/>
        <family val="2"/>
        <scheme val="minor"/>
      </rPr>
      <t xml:space="preserve"> - C</t>
    </r>
    <r>
      <rPr>
        <vertAlign val="subscript"/>
        <sz val="11"/>
        <color theme="0"/>
        <rFont val="Calibri"/>
        <family val="2"/>
        <scheme val="minor"/>
      </rPr>
      <t>y</t>
    </r>
  </si>
  <si>
    <r>
      <t>P</t>
    </r>
    <r>
      <rPr>
        <vertAlign val="subscript"/>
        <sz val="11"/>
        <color theme="0"/>
        <rFont val="Calibri"/>
        <family val="2"/>
        <scheme val="minor"/>
      </rPr>
      <t>u</t>
    </r>
  </si>
  <si>
    <r>
      <t>n</t>
    </r>
    <r>
      <rPr>
        <vertAlign val="subscript"/>
        <sz val="11"/>
        <color theme="0"/>
        <rFont val="Calibri"/>
        <family val="2"/>
        <scheme val="minor"/>
      </rPr>
      <t>b</t>
    </r>
    <r>
      <rPr>
        <sz val="11"/>
        <color theme="0"/>
        <rFont val="Calibri"/>
        <family val="2"/>
        <scheme val="minor"/>
      </rPr>
      <t xml:space="preserve"> * P</t>
    </r>
    <r>
      <rPr>
        <vertAlign val="subscript"/>
        <sz val="11"/>
        <color theme="0"/>
        <rFont val="Calibri"/>
        <family val="2"/>
        <scheme val="minor"/>
      </rPr>
      <t>u</t>
    </r>
  </si>
  <si>
    <r>
      <t>Σ (n</t>
    </r>
    <r>
      <rPr>
        <b/>
        <vertAlign val="subscript"/>
        <sz val="11"/>
        <color theme="0"/>
        <rFont val="Calibri"/>
        <family val="2"/>
      </rPr>
      <t>b</t>
    </r>
    <r>
      <rPr>
        <b/>
        <sz val="11"/>
        <color theme="0"/>
        <rFont val="Calibri"/>
        <family val="2"/>
      </rPr>
      <t xml:space="preserve"> * P</t>
    </r>
    <r>
      <rPr>
        <b/>
        <vertAlign val="subscript"/>
        <sz val="11"/>
        <color theme="0"/>
        <rFont val="Calibri"/>
        <family val="2"/>
      </rPr>
      <t>u</t>
    </r>
    <r>
      <rPr>
        <b/>
        <sz val="11"/>
        <color theme="0"/>
        <rFont val="Calibri"/>
        <family val="2"/>
      </rPr>
      <t>)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</si>
  <si>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[ 1 + 2 / </t>
    </r>
    <r>
      <rPr>
        <sz val="11"/>
        <rFont val="Calibri"/>
        <family val="2"/>
      </rPr>
      <t>β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* b * d  / 6 =</t>
    </r>
  </si>
  <si>
    <r>
      <rPr>
        <sz val="11"/>
        <rFont val="Calibri"/>
        <family val="2"/>
      </rP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[ 1 + 2 / </t>
    </r>
    <r>
      <rPr>
        <sz val="11"/>
        <rFont val="Calibri"/>
        <family val="2"/>
      </rPr>
      <t>β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/ 6 =</t>
    </r>
  </si>
  <si>
    <r>
      <rPr>
        <sz val="11"/>
        <rFont val="Calibri"/>
        <family val="2"/>
      </rP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[ </t>
    </r>
    <r>
      <rPr>
        <sz val="11"/>
        <rFont val="Calibri"/>
        <family val="2"/>
      </rPr>
      <t>α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* d / b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+ 2 ]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/ 12 =</t>
    </r>
  </si>
  <si>
    <r>
      <rPr>
        <sz val="11"/>
        <rFont val="Calibri"/>
        <family val="2"/>
      </rP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1 / 3 * √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</si>
  <si>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r>
      <rPr>
        <sz val="11"/>
        <rFont val="Calibri"/>
        <family val="2"/>
      </rP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 </t>
    </r>
  </si>
  <si>
    <r>
      <t>φ * V</t>
    </r>
    <r>
      <rPr>
        <vertAlign val="subscript"/>
        <sz val="11"/>
        <rFont val="Calibri"/>
        <family val="2"/>
        <scheme val="minor"/>
      </rPr>
      <t>np</t>
    </r>
    <r>
      <rPr>
        <sz val="11"/>
        <rFont val="Calibri"/>
        <family val="2"/>
        <scheme val="minor"/>
      </rPr>
      <t xml:space="preserve"> = φ * A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* </t>
    </r>
    <r>
      <rPr>
        <sz val="11"/>
        <rFont val="Calibri"/>
        <family val="2"/>
      </rPr>
      <t>σ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* 10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</si>
  <si>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n </t>
    </r>
    <r>
      <rPr>
        <sz val="11"/>
        <color theme="1"/>
        <rFont val="Calibri"/>
        <family val="2"/>
        <scheme val="minor"/>
      </rPr>
      <t>=  L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* h * </t>
    </r>
    <r>
      <rPr>
        <sz val="11"/>
        <color theme="1"/>
        <rFont val="Calibri"/>
        <family val="2"/>
      </rPr>
      <t>σ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</si>
  <si>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0,85 - 0,05 * ( 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- 28) / 7 =</t>
    </r>
  </si>
  <si>
    <r>
      <t>E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charset val="1"/>
        <scheme val="minor"/>
      </rPr>
      <t xml:space="preserve"> =</t>
    </r>
  </si>
  <si>
    <t xml:space="preserve">Tegangan geser pons, </t>
  </si>
  <si>
    <t>Kuat geser pilecap arah y,</t>
  </si>
  <si>
    <t>Kuat geser pilecap arah x,</t>
  </si>
  <si>
    <t>Tegangan geser pons,</t>
  </si>
  <si>
    <t>Data daya dukung fondasi tiang dalam</t>
  </si>
  <si>
    <t>Panjang fondasi tiang dalam pakai,</t>
  </si>
  <si>
    <t>Susunan fondasi tiang dalam searah y :            (Memanjang Jembatan)</t>
  </si>
  <si>
    <t>Susunan fondasi tiang dalam searah x :          (Melintang Jembatan)</t>
  </si>
  <si>
    <t>Gaya aksial maksimum dan minimum pada fondasi tiang dalam</t>
  </si>
  <si>
    <t>Pada bagian ini menunjukan hasil rekapitulasi dari gaya aksial pada fondasi tiang dalam</t>
  </si>
  <si>
    <t>Kontrol gaya aksial tiang pada fondasi tiang dalam</t>
  </si>
  <si>
    <t>Panjang fondasi tiang dalam,</t>
  </si>
  <si>
    <t>Data susunan fondasi tiang dalam</t>
  </si>
  <si>
    <t>Kontrol gaya aksial pada fondasi tiang dalam</t>
  </si>
  <si>
    <t>Berat fondasi tiang dalam,</t>
  </si>
  <si>
    <t>Lengan maksimum fondasi tiang dalam searah x thd. pusat,</t>
  </si>
  <si>
    <t>Lengan maksimum fondasi tiang dalam searah y thd. pusat,</t>
  </si>
  <si>
    <t>Lengan minimum fondasi tiang dalam searah x thd. pusat,</t>
  </si>
  <si>
    <t>Lengan minimum fondasi tiang dalam searah y thd. pusat,</t>
  </si>
  <si>
    <t>Gaya aksial maksimum dan minimum pada fondasi tiang dalam,</t>
  </si>
  <si>
    <t>Tinjauan geser arah X</t>
  </si>
  <si>
    <t>Tinjauan geser arah Y</t>
  </si>
  <si>
    <t>Tinjauan geser pons dua arah</t>
  </si>
  <si>
    <t>Tinjauan geser pons pada fondasi tiang dalam pojok</t>
  </si>
  <si>
    <t>Tulangan lentur arah X</t>
  </si>
  <si>
    <t>Tulangan lentur arah Y</t>
  </si>
  <si>
    <t>Tulangan susut</t>
  </si>
  <si>
    <t>ANALISA GAYA AKSIAL PADA FONDASI TIANG DALAM</t>
  </si>
  <si>
    <t>Input data dimensi fondasi pilecap</t>
  </si>
  <si>
    <t>Input data dimensi fondasi tiang dalam</t>
  </si>
  <si>
    <t>Input data material</t>
  </si>
  <si>
    <t xml:space="preserve">Input data berat volume material </t>
  </si>
  <si>
    <t>Input data hasil lab tanah dan daya dukung fondasi tiang dalam</t>
  </si>
  <si>
    <t>C.5.</t>
  </si>
  <si>
    <t>D.</t>
  </si>
  <si>
    <t>E</t>
  </si>
  <si>
    <t>F.4.</t>
  </si>
  <si>
    <t>G.</t>
  </si>
  <si>
    <t>G.1.</t>
  </si>
  <si>
    <t>G.2.</t>
  </si>
  <si>
    <t>G.3.</t>
  </si>
  <si>
    <t>Data dimensi fondasi</t>
  </si>
  <si>
    <t>Data beban pada fondasi pilecap</t>
  </si>
  <si>
    <t>kontrol gaya aksial pada fondasi tiang dalam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</si>
</sst>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9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7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</font>
    <font>
      <vertAlign val="subscript"/>
      <sz val="11"/>
      <name val="Calibri"/>
      <family val="2"/>
    </font>
    <font>
      <i/>
      <sz val="11"/>
      <color theme="1"/>
      <name val="Calibri"/>
      <family val="2"/>
      <scheme val="minor"/>
    </font>
    <font>
      <sz val="14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i/>
      <vertAlign val="subscript"/>
      <sz val="11"/>
      <name val="Calibri"/>
      <family val="2"/>
      <scheme val="minor"/>
    </font>
    <font>
      <b/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2"/>
      <color theme="0"/>
      <name val="Calibri Light"/>
      <family val="2"/>
      <charset val="1"/>
      <scheme val="major"/>
    </font>
    <font>
      <b/>
      <sz val="11"/>
      <color theme="1"/>
      <name val="Calibri"/>
      <family val="2"/>
    </font>
    <font>
      <b/>
      <sz val="11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vertAlign val="subscript"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"/>
      <family val="2"/>
    </font>
    <font>
      <vertAlign val="subscript"/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vertAlign val="subscript"/>
      <sz val="11"/>
      <color theme="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thin">
        <color theme="0" tint="-0.24994659260841701"/>
      </bottom>
      <diagonal/>
    </border>
    <border>
      <left style="double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double">
        <color theme="0" tint="-0.34998626667073579"/>
      </right>
      <top style="thin">
        <color theme="0" tint="-0.24994659260841701"/>
      </top>
      <bottom/>
      <diagonal/>
    </border>
    <border>
      <left style="double">
        <color theme="0" tint="-0.499984740745262"/>
      </left>
      <right style="thin">
        <color theme="0" tint="-0.24994659260841701"/>
      </right>
      <top style="double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499984740745262"/>
      </right>
      <top style="double">
        <color theme="0" tint="-0.499984740745262"/>
      </top>
      <bottom style="thin">
        <color theme="0" tint="-0.24994659260841701"/>
      </bottom>
      <diagonal/>
    </border>
    <border>
      <left style="double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double">
        <color theme="0" tint="-0.499984740745262"/>
      </bottom>
      <diagonal/>
    </border>
    <border>
      <left style="thin">
        <color theme="0" tint="-0.24994659260841701"/>
      </left>
      <right style="double">
        <color theme="0" tint="-0.499984740745262"/>
      </right>
      <top style="thin">
        <color theme="0" tint="-0.24994659260841701"/>
      </top>
      <bottom style="double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 style="dashDotDot">
        <color theme="0" tint="-0.24994659260841701"/>
      </diagonal>
    </border>
    <border>
      <left/>
      <right/>
      <top/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" fillId="0" borderId="0"/>
    <xf numFmtId="0" fontId="56" fillId="0" borderId="0" applyNumberFormat="0" applyFill="0" applyBorder="0" applyAlignment="0" applyProtection="0"/>
  </cellStyleXfs>
  <cellXfs count="542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2" fontId="6" fillId="3" borderId="2" xfId="1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6" fillId="3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2" fontId="13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vertical="center" indent="1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5" borderId="0" xfId="0" applyFill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Fill="1"/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2" fontId="17" fillId="0" borderId="5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" fontId="4" fillId="0" borderId="7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2" fontId="4" fillId="0" borderId="11" xfId="0" applyNumberFormat="1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center" vertical="center"/>
    </xf>
    <xf numFmtId="2" fontId="4" fillId="10" borderId="1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21" fillId="0" borderId="0" xfId="0" applyFont="1" applyAlignment="1">
      <alignment horizontal="right" vertical="center"/>
    </xf>
    <xf numFmtId="2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2" fontId="23" fillId="11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5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9" fillId="5" borderId="16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inden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horizontal="left" vertical="center" indent="1"/>
    </xf>
    <xf numFmtId="0" fontId="4" fillId="4" borderId="0" xfId="0" applyFont="1" applyFill="1" applyBorder="1" applyAlignment="1">
      <alignment horizontal="right" vertical="center"/>
    </xf>
    <xf numFmtId="1" fontId="4" fillId="4" borderId="12" xfId="0" applyNumberFormat="1" applyFont="1" applyFill="1" applyBorder="1" applyAlignment="1" applyProtection="1">
      <alignment horizontal="left" vertical="center" indent="1"/>
      <protection locked="0"/>
    </xf>
    <xf numFmtId="0" fontId="3" fillId="0" borderId="0" xfId="0" applyFont="1" applyBorder="1" applyAlignment="1">
      <alignment vertical="center"/>
    </xf>
    <xf numFmtId="1" fontId="4" fillId="0" borderId="12" xfId="0" applyNumberFormat="1" applyFont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9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right" vertical="center"/>
    </xf>
    <xf numFmtId="0" fontId="0" fillId="4" borderId="12" xfId="0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2" fillId="4" borderId="12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2" fontId="4" fillId="0" borderId="0" xfId="0" applyNumberFormat="1" applyFont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>
      <alignment horizontal="left" vertical="center" inden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 indent="1"/>
    </xf>
    <xf numFmtId="0" fontId="0" fillId="8" borderId="1" xfId="0" applyFill="1" applyBorder="1" applyAlignment="1">
      <alignment horizontal="center"/>
    </xf>
    <xf numFmtId="49" fontId="0" fillId="8" borderId="1" xfId="0" applyNumberFormat="1" applyFill="1" applyBorder="1" applyAlignment="1">
      <alignment horizontal="left" vertical="center" indent="1"/>
    </xf>
    <xf numFmtId="49" fontId="0" fillId="8" borderId="1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49" fontId="0" fillId="10" borderId="1" xfId="0" applyNumberFormat="1" applyFill="1" applyBorder="1" applyAlignment="1">
      <alignment horizontal="left" vertical="center" indent="1"/>
    </xf>
    <xf numFmtId="49" fontId="0" fillId="10" borderId="1" xfId="0" applyNumberFormat="1" applyFill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1" fontId="4" fillId="10" borderId="2" xfId="0" applyNumberFormat="1" applyFont="1" applyFill="1" applyBorder="1" applyAlignment="1">
      <alignment horizontal="center" vertical="center"/>
    </xf>
    <xf numFmtId="164" fontId="4" fillId="10" borderId="2" xfId="0" applyNumberFormat="1" applyFont="1" applyFill="1" applyBorder="1" applyAlignment="1" applyProtection="1">
      <alignment horizontal="center" vertical="center"/>
      <protection locked="0"/>
    </xf>
    <xf numFmtId="2" fontId="4" fillId="10" borderId="2" xfId="0" applyNumberFormat="1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2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33" fillId="0" borderId="14" xfId="1" applyFont="1" applyBorder="1" applyAlignment="1">
      <alignment horizontal="left" vertical="center" indent="1"/>
    </xf>
    <xf numFmtId="164" fontId="4" fillId="0" borderId="1" xfId="1" applyNumberFormat="1" applyFont="1" applyBorder="1" applyAlignment="1">
      <alignment horizontal="center" vertical="center"/>
    </xf>
    <xf numFmtId="0" fontId="34" fillId="0" borderId="14" xfId="1" applyFont="1" applyBorder="1" applyAlignment="1">
      <alignment horizontal="left" vertical="center" indent="1"/>
    </xf>
    <xf numFmtId="165" fontId="4" fillId="0" borderId="1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34" fillId="0" borderId="12" xfId="1" applyFont="1" applyBorder="1" applyAlignment="1">
      <alignment horizontal="left" vertical="center" indent="1"/>
    </xf>
    <xf numFmtId="0" fontId="37" fillId="0" borderId="14" xfId="1" applyFont="1" applyBorder="1" applyAlignment="1">
      <alignment horizontal="center" vertical="center"/>
    </xf>
    <xf numFmtId="1" fontId="4" fillId="13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2" fontId="4" fillId="0" borderId="1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 vertical="center" indent="1"/>
    </xf>
    <xf numFmtId="164" fontId="11" fillId="0" borderId="0" xfId="1" applyNumberFormat="1" applyFont="1" applyAlignment="1">
      <alignment vertical="center"/>
    </xf>
    <xf numFmtId="2" fontId="11" fillId="0" borderId="0" xfId="1" applyNumberFormat="1" applyFont="1" applyAlignment="1">
      <alignment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" fontId="4" fillId="0" borderId="15" xfId="0" applyNumberFormat="1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164" fontId="12" fillId="10" borderId="1" xfId="0" applyNumberFormat="1" applyFont="1" applyFill="1" applyBorder="1" applyAlignment="1">
      <alignment horizontal="center" vertical="center"/>
    </xf>
    <xf numFmtId="0" fontId="12" fillId="8" borderId="1" xfId="0" applyNumberFormat="1" applyFont="1" applyFill="1" applyBorder="1" applyAlignment="1">
      <alignment horizontal="center" vertical="center"/>
    </xf>
    <xf numFmtId="164" fontId="12" fillId="8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right" vertical="center"/>
    </xf>
    <xf numFmtId="164" fontId="9" fillId="9" borderId="15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right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2" fontId="12" fillId="0" borderId="11" xfId="0" applyNumberFormat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34" fillId="0" borderId="0" xfId="1" applyFont="1" applyAlignment="1">
      <alignment vertical="center"/>
    </xf>
    <xf numFmtId="0" fontId="40" fillId="0" borderId="0" xfId="1" applyFont="1" applyAlignment="1">
      <alignment vertical="center"/>
    </xf>
    <xf numFmtId="0" fontId="12" fillId="0" borderId="0" xfId="0" applyFont="1" applyBorder="1" applyAlignment="1">
      <alignment horizontal="right" vertical="center"/>
    </xf>
    <xf numFmtId="2" fontId="4" fillId="13" borderId="1" xfId="1" applyNumberFormat="1" applyFont="1" applyFill="1" applyBorder="1" applyAlignment="1">
      <alignment horizontal="center" vertical="center"/>
    </xf>
    <xf numFmtId="1" fontId="4" fillId="14" borderId="4" xfId="1" applyNumberFormat="1" applyFont="1" applyFill="1" applyBorder="1" applyAlignment="1">
      <alignment horizontal="center" vertical="center"/>
    </xf>
    <xf numFmtId="0" fontId="9" fillId="5" borderId="0" xfId="0" applyFont="1" applyFill="1" applyBorder="1"/>
    <xf numFmtId="0" fontId="0" fillId="5" borderId="0" xfId="0" applyFill="1" applyBorder="1"/>
    <xf numFmtId="0" fontId="0" fillId="5" borderId="12" xfId="0" applyFill="1" applyBorder="1"/>
    <xf numFmtId="0" fontId="12" fillId="0" borderId="12" xfId="0" applyFont="1" applyBorder="1" applyAlignment="1">
      <alignment vertical="center"/>
    </xf>
    <xf numFmtId="164" fontId="12" fillId="0" borderId="12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vertical="center"/>
    </xf>
    <xf numFmtId="164" fontId="9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indent="1"/>
    </xf>
    <xf numFmtId="0" fontId="0" fillId="0" borderId="0" xfId="0" applyBorder="1"/>
    <xf numFmtId="0" fontId="0" fillId="0" borderId="12" xfId="0" applyBorder="1"/>
    <xf numFmtId="0" fontId="3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2" fontId="4" fillId="5" borderId="0" xfId="0" applyNumberFormat="1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1" fontId="31" fillId="0" borderId="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4" fillId="4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1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4" fillId="0" borderId="0" xfId="1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" fontId="4" fillId="0" borderId="0" xfId="1" applyNumberFormat="1" applyFont="1" applyBorder="1" applyAlignment="1">
      <alignment horizontal="right" vertical="center"/>
    </xf>
    <xf numFmtId="0" fontId="35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left" vertical="center" indent="1"/>
    </xf>
    <xf numFmtId="1" fontId="4" fillId="0" borderId="0" xfId="1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0" fontId="11" fillId="0" borderId="12" xfId="1" applyFont="1" applyBorder="1" applyAlignment="1">
      <alignment vertical="center"/>
    </xf>
    <xf numFmtId="11" fontId="4" fillId="0" borderId="0" xfId="1" applyNumberFormat="1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1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1" fillId="2" borderId="0" xfId="1" applyFont="1" applyFill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5" borderId="14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 indent="1"/>
    </xf>
    <xf numFmtId="0" fontId="4" fillId="0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indent="1"/>
    </xf>
    <xf numFmtId="0" fontId="4" fillId="0" borderId="0" xfId="0" quotePrefix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right" vertical="center"/>
    </xf>
    <xf numFmtId="2" fontId="12" fillId="3" borderId="1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left" vertical="center" indent="3"/>
    </xf>
    <xf numFmtId="0" fontId="4" fillId="0" borderId="12" xfId="0" applyFont="1" applyBorder="1" applyAlignment="1">
      <alignment horizontal="right" vertical="center"/>
    </xf>
    <xf numFmtId="2" fontId="4" fillId="11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indent="2"/>
    </xf>
    <xf numFmtId="0" fontId="4" fillId="0" borderId="2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left" vertical="center" indent="3"/>
    </xf>
    <xf numFmtId="1" fontId="0" fillId="0" borderId="19" xfId="0" applyNumberFormat="1" applyBorder="1" applyAlignment="1">
      <alignment horizontal="left" vertical="center" indent="3"/>
    </xf>
    <xf numFmtId="1" fontId="0" fillId="0" borderId="20" xfId="0" applyNumberFormat="1" applyBorder="1" applyAlignment="1">
      <alignment horizontal="left" vertical="center" indent="3"/>
    </xf>
    <xf numFmtId="0" fontId="43" fillId="0" borderId="0" xfId="0" applyFont="1" applyBorder="1" applyAlignment="1">
      <alignment vertical="center"/>
    </xf>
    <xf numFmtId="2" fontId="12" fillId="0" borderId="0" xfId="0" applyNumberFormat="1" applyFont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0" fontId="4" fillId="9" borderId="5" xfId="0" applyFont="1" applyFill="1" applyBorder="1" applyAlignment="1">
      <alignment vertical="center"/>
    </xf>
    <xf numFmtId="0" fontId="4" fillId="9" borderId="4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9" fillId="4" borderId="0" xfId="0" applyFont="1" applyFill="1" applyAlignment="1">
      <alignment vertical="center"/>
    </xf>
    <xf numFmtId="2" fontId="4" fillId="0" borderId="1" xfId="1" applyNumberFormat="1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1" fontId="4" fillId="4" borderId="0" xfId="0" applyNumberFormat="1" applyFont="1" applyFill="1" applyBorder="1" applyAlignment="1" applyProtection="1">
      <alignment horizontal="left" vertical="center" indent="1"/>
      <protection locked="0"/>
    </xf>
    <xf numFmtId="1" fontId="4" fillId="0" borderId="0" xfId="0" applyNumberFormat="1" applyFont="1" applyBorder="1" applyAlignment="1" applyProtection="1">
      <alignment horizontal="left" vertical="center" indent="1"/>
      <protection locked="0"/>
    </xf>
    <xf numFmtId="0" fontId="7" fillId="0" borderId="0" xfId="0" applyFont="1" applyBorder="1" applyAlignment="1">
      <alignment horizontal="left" vertical="center" wrapText="1" indent="1"/>
    </xf>
    <xf numFmtId="0" fontId="0" fillId="4" borderId="0" xfId="0" applyFill="1" applyBorder="1" applyAlignment="1">
      <alignment horizontal="left" vertical="center" indent="1"/>
    </xf>
    <xf numFmtId="0" fontId="12" fillId="4" borderId="0" xfId="0" applyFont="1" applyFill="1" applyBorder="1" applyAlignment="1">
      <alignment horizontal="left" vertical="center" indent="1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horizontal="left" vertical="center" wrapText="1" indent="1"/>
    </xf>
    <xf numFmtId="1" fontId="4" fillId="0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19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7" fillId="15" borderId="9" xfId="0" applyFont="1" applyFill="1" applyBorder="1" applyAlignment="1">
      <alignment horizontal="center" vertical="center"/>
    </xf>
    <xf numFmtId="2" fontId="27" fillId="15" borderId="9" xfId="0" applyNumberFormat="1" applyFont="1" applyFill="1" applyBorder="1" applyAlignment="1">
      <alignment horizontal="center" vertical="center"/>
    </xf>
    <xf numFmtId="0" fontId="27" fillId="15" borderId="10" xfId="0" applyFont="1" applyFill="1" applyBorder="1" applyAlignment="1">
      <alignment horizontal="center" vertical="center"/>
    </xf>
    <xf numFmtId="2" fontId="27" fillId="15" borderId="10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8" borderId="4" xfId="0" applyFont="1" applyFill="1" applyBorder="1" applyAlignment="1">
      <alignment vertical="center"/>
    </xf>
    <xf numFmtId="0" fontId="4" fillId="10" borderId="3" xfId="0" applyFont="1" applyFill="1" applyBorder="1" applyAlignment="1">
      <alignment vertical="center"/>
    </xf>
    <xf numFmtId="0" fontId="4" fillId="10" borderId="5" xfId="0" applyFont="1" applyFill="1" applyBorder="1" applyAlignment="1">
      <alignment vertical="center"/>
    </xf>
    <xf numFmtId="0" fontId="4" fillId="10" borderId="4" xfId="0" applyFont="1" applyFill="1" applyBorder="1" applyAlignment="1">
      <alignment vertical="center"/>
    </xf>
    <xf numFmtId="0" fontId="4" fillId="0" borderId="19" xfId="0" applyFont="1" applyBorder="1" applyAlignment="1">
      <alignment horizontal="left" vertical="center" indent="1"/>
    </xf>
    <xf numFmtId="164" fontId="12" fillId="0" borderId="0" xfId="0" applyNumberFormat="1" applyFont="1" applyBorder="1" applyAlignment="1">
      <alignment horizontal="center" vertical="center"/>
    </xf>
    <xf numFmtId="0" fontId="4" fillId="10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27" fillId="15" borderId="2" xfId="0" applyFont="1" applyFill="1" applyBorder="1" applyAlignment="1">
      <alignment horizontal="center" vertical="center" wrapText="1"/>
    </xf>
    <xf numFmtId="0" fontId="27" fillId="15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3" fillId="0" borderId="19" xfId="1" applyFont="1" applyBorder="1" applyAlignment="1">
      <alignment horizontal="left" vertical="center" indent="1"/>
    </xf>
    <xf numFmtId="0" fontId="34" fillId="0" borderId="19" xfId="1" applyFont="1" applyBorder="1" applyAlignment="1">
      <alignment horizontal="left" vertical="center" indent="1"/>
    </xf>
    <xf numFmtId="0" fontId="34" fillId="0" borderId="0" xfId="1" applyFont="1" applyBorder="1" applyAlignment="1">
      <alignment horizontal="left" vertical="center" indent="1"/>
    </xf>
    <xf numFmtId="164" fontId="4" fillId="0" borderId="0" xfId="1" applyNumberFormat="1" applyFont="1" applyBorder="1" applyAlignment="1">
      <alignment horizontal="left" vertical="center" indent="1"/>
    </xf>
    <xf numFmtId="0" fontId="11" fillId="0" borderId="0" xfId="1" applyFont="1" applyBorder="1" applyAlignment="1">
      <alignment vertical="center"/>
    </xf>
    <xf numFmtId="0" fontId="28" fillId="4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7" fillId="0" borderId="0" xfId="1" applyFont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45" fillId="15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10" borderId="2" xfId="0" applyNumberFormat="1" applyFont="1" applyFill="1" applyBorder="1" applyAlignment="1">
      <alignment horizontal="center" vertical="center"/>
    </xf>
    <xf numFmtId="0" fontId="12" fillId="8" borderId="2" xfId="0" applyNumberFormat="1" applyFont="1" applyFill="1" applyBorder="1" applyAlignment="1">
      <alignment horizontal="center" vertical="center"/>
    </xf>
    <xf numFmtId="164" fontId="12" fillId="8" borderId="2" xfId="0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right" vertical="center"/>
    </xf>
    <xf numFmtId="164" fontId="9" fillId="9" borderId="2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right" vertical="center"/>
    </xf>
    <xf numFmtId="164" fontId="9" fillId="7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 indent="1"/>
    </xf>
    <xf numFmtId="0" fontId="47" fillId="15" borderId="2" xfId="0" applyFont="1" applyFill="1" applyBorder="1" applyAlignment="1">
      <alignment horizontal="center" vertical="center" wrapText="1"/>
    </xf>
    <xf numFmtId="0" fontId="47" fillId="15" borderId="2" xfId="0" applyFont="1" applyFill="1" applyBorder="1" applyAlignment="1">
      <alignment horizontal="center" vertical="center"/>
    </xf>
    <xf numFmtId="0" fontId="55" fillId="16" borderId="2" xfId="0" applyFont="1" applyFill="1" applyBorder="1" applyAlignment="1">
      <alignment horizontal="right" vertical="center"/>
    </xf>
    <xf numFmtId="0" fontId="55" fillId="15" borderId="2" xfId="0" applyFont="1" applyFill="1" applyBorder="1" applyAlignment="1">
      <alignment horizontal="right" vertical="center"/>
    </xf>
    <xf numFmtId="2" fontId="12" fillId="4" borderId="2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 applyProtection="1">
      <alignment horizontal="left" vertical="center" indent="3"/>
      <protection locked="0"/>
    </xf>
    <xf numFmtId="1" fontId="4" fillId="0" borderId="4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8" borderId="34" xfId="0" applyNumberFormat="1" applyFill="1" applyBorder="1" applyAlignment="1">
      <alignment horizontal="center" vertical="center"/>
    </xf>
    <xf numFmtId="2" fontId="0" fillId="10" borderId="34" xfId="0" applyNumberFormat="1" applyFill="1" applyBorder="1" applyAlignment="1">
      <alignment horizontal="center" vertical="center"/>
    </xf>
    <xf numFmtId="2" fontId="0" fillId="0" borderId="0" xfId="0" applyNumberFormat="1"/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" fontId="4" fillId="0" borderId="12" xfId="0" applyNumberFormat="1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Alignment="1">
      <alignment horizontal="left" vertical="center"/>
    </xf>
    <xf numFmtId="0" fontId="27" fillId="17" borderId="0" xfId="0" applyFont="1" applyFill="1" applyBorder="1" applyAlignment="1">
      <alignment horizontal="center" vertical="center"/>
    </xf>
    <xf numFmtId="0" fontId="27" fillId="17" borderId="0" xfId="0" applyFont="1" applyFill="1" applyBorder="1" applyAlignment="1">
      <alignment vertical="center"/>
    </xf>
    <xf numFmtId="0" fontId="27" fillId="17" borderId="0" xfId="1" applyFont="1" applyFill="1" applyAlignment="1">
      <alignment horizontal="center" vertical="center"/>
    </xf>
    <xf numFmtId="0" fontId="27" fillId="17" borderId="0" xfId="1" applyFont="1" applyFill="1" applyAlignment="1">
      <alignment vertical="center"/>
    </xf>
    <xf numFmtId="0" fontId="47" fillId="17" borderId="0" xfId="1" applyFont="1" applyFill="1" applyAlignment="1">
      <alignment vertical="center"/>
    </xf>
    <xf numFmtId="0" fontId="47" fillId="17" borderId="0" xfId="1" applyFont="1" applyFill="1" applyAlignment="1">
      <alignment horizontal="right" vertical="center"/>
    </xf>
    <xf numFmtId="0" fontId="47" fillId="17" borderId="0" xfId="1" applyFont="1" applyFill="1" applyAlignment="1">
      <alignment horizontal="center" vertical="center"/>
    </xf>
    <xf numFmtId="0" fontId="47" fillId="17" borderId="0" xfId="1" applyFont="1" applyFill="1" applyAlignment="1">
      <alignment horizontal="left" vertical="center" indent="1"/>
    </xf>
    <xf numFmtId="0" fontId="4" fillId="10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10" borderId="0" xfId="0" applyFill="1" applyAlignment="1">
      <alignment vertical="center"/>
    </xf>
    <xf numFmtId="0" fontId="27" fillId="18" borderId="17" xfId="0" applyFont="1" applyFill="1" applyBorder="1" applyAlignment="1">
      <alignment vertical="center"/>
    </xf>
    <xf numFmtId="0" fontId="27" fillId="18" borderId="1" xfId="0" applyFont="1" applyFill="1" applyBorder="1" applyAlignment="1">
      <alignment horizontal="center" vertical="center"/>
    </xf>
    <xf numFmtId="0" fontId="47" fillId="17" borderId="0" xfId="0" applyFont="1" applyFill="1" applyBorder="1" applyAlignment="1">
      <alignment vertical="center"/>
    </xf>
    <xf numFmtId="2" fontId="47" fillId="17" borderId="0" xfId="0" applyNumberFormat="1" applyFont="1" applyFill="1" applyBorder="1" applyAlignment="1">
      <alignment horizontal="center" vertical="center"/>
    </xf>
    <xf numFmtId="0" fontId="47" fillId="17" borderId="0" xfId="0" applyFont="1" applyFill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9" fillId="0" borderId="0" xfId="0" applyFont="1" applyBorder="1" applyAlignment="1">
      <alignment vertical="center"/>
    </xf>
    <xf numFmtId="0" fontId="47" fillId="17" borderId="0" xfId="0" applyFont="1" applyFill="1" applyBorder="1"/>
    <xf numFmtId="0" fontId="28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61" fillId="19" borderId="0" xfId="0" applyFont="1" applyFill="1" applyAlignment="1">
      <alignment vertical="center"/>
    </xf>
    <xf numFmtId="0" fontId="62" fillId="19" borderId="0" xfId="0" applyFont="1" applyFill="1" applyAlignment="1">
      <alignment horizontal="center" vertical="center"/>
    </xf>
    <xf numFmtId="0" fontId="62" fillId="19" borderId="0" xfId="0" applyFont="1" applyFill="1" applyAlignment="1">
      <alignment vertical="center"/>
    </xf>
    <xf numFmtId="0" fontId="62" fillId="19" borderId="0" xfId="0" quotePrefix="1" applyFont="1" applyFill="1" applyAlignment="1">
      <alignment vertical="center"/>
    </xf>
    <xf numFmtId="0" fontId="63" fillId="19" borderId="0" xfId="2" quotePrefix="1" applyFont="1" applyFill="1" applyAlignment="1">
      <alignment vertical="center"/>
    </xf>
    <xf numFmtId="0" fontId="2" fillId="19" borderId="0" xfId="0" applyFont="1" applyFill="1" applyAlignment="1">
      <alignment vertical="center"/>
    </xf>
    <xf numFmtId="0" fontId="64" fillId="19" borderId="0" xfId="0" applyFont="1" applyFill="1" applyAlignment="1">
      <alignment vertical="center"/>
    </xf>
    <xf numFmtId="0" fontId="2" fillId="19" borderId="0" xfId="0" applyFont="1" applyFill="1" applyAlignment="1">
      <alignment vertical="center" wrapText="1"/>
    </xf>
    <xf numFmtId="0" fontId="65" fillId="19" borderId="0" xfId="2" applyFont="1" applyFill="1" applyAlignment="1">
      <alignment vertical="center"/>
    </xf>
    <xf numFmtId="0" fontId="66" fillId="19" borderId="0" xfId="0" applyFont="1" applyFill="1" applyAlignment="1">
      <alignment vertical="center"/>
    </xf>
    <xf numFmtId="0" fontId="4" fillId="0" borderId="3" xfId="0" applyFont="1" applyBorder="1" applyAlignment="1">
      <alignment horizontal="right" vertical="center" indent="1"/>
    </xf>
    <xf numFmtId="1" fontId="4" fillId="0" borderId="4" xfId="0" applyNumberFormat="1" applyFont="1" applyBorder="1" applyAlignment="1" applyProtection="1">
      <alignment horizontal="left" vertical="center" indent="1"/>
      <protection locked="0"/>
    </xf>
    <xf numFmtId="0" fontId="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67" fillId="0" borderId="0" xfId="0" applyFont="1" applyBorder="1" applyAlignment="1">
      <alignment vertical="center"/>
    </xf>
    <xf numFmtId="1" fontId="4" fillId="14" borderId="3" xfId="1" applyNumberFormat="1" applyFont="1" applyFill="1" applyBorder="1" applyAlignment="1">
      <alignment horizontal="left" vertical="center" indent="3"/>
    </xf>
    <xf numFmtId="0" fontId="4" fillId="0" borderId="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 vertical="center" indent="1"/>
    </xf>
    <xf numFmtId="49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/>
    <xf numFmtId="0" fontId="27" fillId="17" borderId="0" xfId="0" applyFont="1" applyFill="1" applyAlignment="1">
      <alignment horizontal="center" vertical="center"/>
    </xf>
    <xf numFmtId="0" fontId="27" fillId="17" borderId="0" xfId="0" applyFont="1" applyFill="1" applyAlignment="1">
      <alignment vertical="center"/>
    </xf>
    <xf numFmtId="0" fontId="47" fillId="17" borderId="0" xfId="0" applyFont="1" applyFill="1"/>
    <xf numFmtId="0" fontId="9" fillId="0" borderId="0" xfId="0" applyFont="1" applyFill="1" applyBorder="1" applyAlignment="1">
      <alignment horizontal="right" vertical="center" indent="2"/>
    </xf>
    <xf numFmtId="0" fontId="44" fillId="0" borderId="0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27" fillId="12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4" fillId="10" borderId="3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left" vertical="center"/>
    </xf>
    <xf numFmtId="0" fontId="4" fillId="10" borderId="4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9" fillId="6" borderId="1" xfId="0" applyFont="1" applyFill="1" applyBorder="1" applyAlignment="1">
      <alignment horizontal="right" vertical="center" indent="2"/>
    </xf>
    <xf numFmtId="0" fontId="9" fillId="6" borderId="3" xfId="0" applyFont="1" applyFill="1" applyBorder="1" applyAlignment="1">
      <alignment horizontal="right" vertical="center" indent="2"/>
    </xf>
    <xf numFmtId="0" fontId="4" fillId="3" borderId="1" xfId="0" quotePrefix="1" applyFont="1" applyFill="1" applyBorder="1" applyAlignment="1">
      <alignment horizontal="right" vertical="center" indent="2"/>
    </xf>
    <xf numFmtId="0" fontId="4" fillId="3" borderId="3" xfId="0" quotePrefix="1" applyFont="1" applyFill="1" applyBorder="1" applyAlignment="1">
      <alignment horizontal="right" vertical="center" indent="2"/>
    </xf>
    <xf numFmtId="0" fontId="4" fillId="3" borderId="1" xfId="0" applyFont="1" applyFill="1" applyBorder="1" applyAlignment="1">
      <alignment horizontal="right" vertical="center" indent="2"/>
    </xf>
    <xf numFmtId="0" fontId="4" fillId="3" borderId="3" xfId="0" applyFont="1" applyFill="1" applyBorder="1" applyAlignment="1">
      <alignment horizontal="right" vertical="center" indent="2"/>
    </xf>
    <xf numFmtId="0" fontId="44" fillId="10" borderId="25" xfId="0" applyFont="1" applyFill="1" applyBorder="1" applyAlignment="1">
      <alignment horizontal="center" vertical="center"/>
    </xf>
    <xf numFmtId="0" fontId="44" fillId="10" borderId="26" xfId="0" applyFont="1" applyFill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44" fillId="10" borderId="31" xfId="0" applyFont="1" applyFill="1" applyBorder="1" applyAlignment="1">
      <alignment horizontal="center" vertical="center"/>
    </xf>
    <xf numFmtId="0" fontId="44" fillId="10" borderId="32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 vertical="center" wrapText="1"/>
    </xf>
    <xf numFmtId="0" fontId="27" fillId="15" borderId="7" xfId="0" applyFont="1" applyFill="1" applyBorder="1" applyAlignment="1">
      <alignment horizontal="center" vertical="center" wrapText="1"/>
    </xf>
    <xf numFmtId="0" fontId="27" fillId="15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 indent="2"/>
    </xf>
    <xf numFmtId="0" fontId="4" fillId="5" borderId="3" xfId="0" applyFont="1" applyFill="1" applyBorder="1" applyAlignment="1">
      <alignment horizontal="right" vertical="center" indent="2"/>
    </xf>
    <xf numFmtId="2" fontId="0" fillId="0" borderId="33" xfId="0" applyNumberFormat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/>
    </xf>
    <xf numFmtId="0" fontId="27" fillId="15" borderId="13" xfId="0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right" vertical="center" indent="2"/>
    </xf>
    <xf numFmtId="0" fontId="4" fillId="5" borderId="3" xfId="0" quotePrefix="1" applyFont="1" applyFill="1" applyBorder="1" applyAlignment="1">
      <alignment horizontal="right" vertical="center" indent="2"/>
    </xf>
    <xf numFmtId="0" fontId="9" fillId="5" borderId="1" xfId="0" applyFont="1" applyFill="1" applyBorder="1" applyAlignment="1">
      <alignment horizontal="right" vertical="center" indent="2"/>
    </xf>
    <xf numFmtId="0" fontId="9" fillId="5" borderId="3" xfId="0" applyFont="1" applyFill="1" applyBorder="1" applyAlignment="1">
      <alignment horizontal="right" vertical="center" indent="2"/>
    </xf>
    <xf numFmtId="0" fontId="44" fillId="10" borderId="33" xfId="0" applyFont="1" applyFill="1" applyBorder="1" applyAlignment="1">
      <alignment horizontal="center" vertical="center"/>
    </xf>
    <xf numFmtId="0" fontId="52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5" fillId="15" borderId="2" xfId="0" applyFont="1" applyFill="1" applyBorder="1" applyAlignment="1">
      <alignment horizontal="center" vertical="center"/>
    </xf>
    <xf numFmtId="0" fontId="47" fillId="15" borderId="2" xfId="0" applyFont="1" applyFill="1" applyBorder="1" applyAlignment="1">
      <alignment horizontal="center" vertical="center"/>
    </xf>
    <xf numFmtId="0" fontId="27" fillId="18" borderId="17" xfId="0" applyFont="1" applyFill="1" applyBorder="1" applyAlignment="1">
      <alignment horizontal="center" vertical="center"/>
    </xf>
    <xf numFmtId="49" fontId="9" fillId="3" borderId="36" xfId="0" applyNumberFormat="1" applyFont="1" applyFill="1" applyBorder="1" applyAlignment="1">
      <alignment horizontal="center" vertical="center"/>
    </xf>
    <xf numFmtId="49" fontId="9" fillId="3" borderId="16" xfId="0" applyNumberFormat="1" applyFont="1" applyFill="1" applyBorder="1" applyAlignment="1">
      <alignment horizontal="center" vertical="center"/>
    </xf>
    <xf numFmtId="49" fontId="9" fillId="3" borderId="20" xfId="0" applyNumberFormat="1" applyFont="1" applyFill="1" applyBorder="1" applyAlignment="1">
      <alignment horizontal="center" vertical="center"/>
    </xf>
    <xf numFmtId="49" fontId="9" fillId="3" borderId="18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20" fontId="0" fillId="0" borderId="3" xfId="0" quotePrefix="1" applyNumberForma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56" fillId="0" borderId="3" xfId="2" applyBorder="1" applyAlignment="1">
      <alignment horizontal="left" vertical="center" indent="1"/>
    </xf>
    <xf numFmtId="2" fontId="4" fillId="0" borderId="2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ACFAB3C-7635-4338-9230-3FA631703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2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B31370-7F34-49DD-A65F-9F9AFA2C53FD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797C79-C715-4A8B-A5C4-B67294CB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48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12</xdr:row>
      <xdr:rowOff>66675</xdr:rowOff>
    </xdr:from>
    <xdr:to>
      <xdr:col>8</xdr:col>
      <xdr:colOff>12525</xdr:colOff>
      <xdr:row>33</xdr:row>
      <xdr:rowOff>231055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3AF65B85-0E1E-40B3-A5E1-521E18B64EF0}"/>
            </a:ext>
          </a:extLst>
        </xdr:cNvPr>
        <xdr:cNvGrpSpPr/>
      </xdr:nvGrpSpPr>
      <xdr:grpSpPr>
        <a:xfrm>
          <a:off x="600075" y="2924175"/>
          <a:ext cx="6480000" cy="5165005"/>
          <a:chOff x="600075" y="2924175"/>
          <a:chExt cx="6480000" cy="5165005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E642635-2809-485F-A605-E31004FB70E6}"/>
              </a:ext>
            </a:extLst>
          </xdr:cNvPr>
          <xdr:cNvGrpSpPr>
            <a:grpSpLocks noChangeAspect="1"/>
          </xdr:cNvGrpSpPr>
        </xdr:nvGrpSpPr>
        <xdr:grpSpPr>
          <a:xfrm>
            <a:off x="600075" y="5915025"/>
            <a:ext cx="6480000" cy="2174155"/>
            <a:chOff x="8296275" y="2124075"/>
            <a:chExt cx="7267575" cy="24384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CC0A2BB0-6FA7-4315-9146-78EA19FC0C5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9172" t="8877" r="10042" b="15670"/>
            <a:stretch/>
          </xdr:blipFill>
          <xdr:spPr>
            <a:xfrm>
              <a:off x="8296275" y="2124075"/>
              <a:ext cx="4362450" cy="2428875"/>
            </a:xfrm>
            <a:prstGeom prst="rect">
              <a:avLst/>
            </a:prstGeom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AC913889-A9C0-48E0-966C-27E8613A12E8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29633" t="9741" r="16745" b="14688"/>
            <a:stretch/>
          </xdr:blipFill>
          <xdr:spPr>
            <a:xfrm>
              <a:off x="12668249" y="2124075"/>
              <a:ext cx="2895601" cy="2438400"/>
            </a:xfrm>
            <a:prstGeom prst="rect">
              <a:avLst/>
            </a:prstGeom>
          </xdr:spPr>
        </xdr:pic>
      </xdr:grp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92EF0A08-5ED8-4B28-8CFF-353E7995BB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9708" b="8458"/>
          <a:stretch/>
        </xdr:blipFill>
        <xdr:spPr>
          <a:xfrm>
            <a:off x="962025" y="2924175"/>
            <a:ext cx="5760000" cy="280987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2</xdr:row>
      <xdr:rowOff>28574</xdr:rowOff>
    </xdr:from>
    <xdr:to>
      <xdr:col>7</xdr:col>
      <xdr:colOff>206925</xdr:colOff>
      <xdr:row>11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BAC351-1985-40F9-836F-57928A898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318" b="17302"/>
        <a:stretch/>
      </xdr:blipFill>
      <xdr:spPr>
        <a:xfrm>
          <a:off x="876300" y="523874"/>
          <a:ext cx="5760000" cy="2286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15</xdr:row>
      <xdr:rowOff>0</xdr:rowOff>
    </xdr:from>
    <xdr:to>
      <xdr:col>9</xdr:col>
      <xdr:colOff>187875</xdr:colOff>
      <xdr:row>24</xdr:row>
      <xdr:rowOff>142876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2BEC712-091C-4A82-BD01-CE56A45B30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318" b="17302"/>
        <a:stretch/>
      </xdr:blipFill>
      <xdr:spPr>
        <a:xfrm>
          <a:off x="1371600" y="3571875"/>
          <a:ext cx="5760000" cy="22860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346710</xdr:colOff>
      <xdr:row>294</xdr:row>
      <xdr:rowOff>0</xdr:rowOff>
    </xdr:from>
    <xdr:to>
      <xdr:col>4</xdr:col>
      <xdr:colOff>744855</xdr:colOff>
      <xdr:row>295</xdr:row>
      <xdr:rowOff>30481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9ED9CB1-D021-421D-8192-9BBBC8938147}"/>
            </a:ext>
          </a:extLst>
        </xdr:cNvPr>
        <xdr:cNvSpPr txBox="1"/>
      </xdr:nvSpPr>
      <xdr:spPr>
        <a:xfrm>
          <a:off x="3509010" y="6977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4</xdr:col>
      <xdr:colOff>337185</xdr:colOff>
      <xdr:row>356</xdr:row>
      <xdr:rowOff>0</xdr:rowOff>
    </xdr:from>
    <xdr:to>
      <xdr:col>4</xdr:col>
      <xdr:colOff>735330</xdr:colOff>
      <xdr:row>357</xdr:row>
      <xdr:rowOff>30481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1C014CC-794A-49F6-BB89-916D63B187F3}"/>
            </a:ext>
          </a:extLst>
        </xdr:cNvPr>
        <xdr:cNvSpPr txBox="1"/>
      </xdr:nvSpPr>
      <xdr:spPr>
        <a:xfrm>
          <a:off x="3499485" y="8501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267</xdr:row>
      <xdr:rowOff>175260</xdr:rowOff>
    </xdr:from>
    <xdr:to>
      <xdr:col>4</xdr:col>
      <xdr:colOff>154305</xdr:colOff>
      <xdr:row>269</xdr:row>
      <xdr:rowOff>15240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EDA4603-DA6B-49BA-9A39-ECC444FBBF94}"/>
            </a:ext>
          </a:extLst>
        </xdr:cNvPr>
        <xdr:cNvSpPr txBox="1"/>
      </xdr:nvSpPr>
      <xdr:spPr>
        <a:xfrm>
          <a:off x="3387090" y="71679435"/>
          <a:ext cx="19621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268</xdr:row>
      <xdr:rowOff>0</xdr:rowOff>
    </xdr:from>
    <xdr:to>
      <xdr:col>5</xdr:col>
      <xdr:colOff>127635</xdr:colOff>
      <xdr:row>269</xdr:row>
      <xdr:rowOff>22860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868DA53-319F-4A9C-BF5E-5F1A813AA0F3}"/>
            </a:ext>
          </a:extLst>
        </xdr:cNvPr>
        <xdr:cNvSpPr txBox="1"/>
      </xdr:nvSpPr>
      <xdr:spPr>
        <a:xfrm>
          <a:off x="4179570" y="71694675"/>
          <a:ext cx="139065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268</xdr:row>
      <xdr:rowOff>190500</xdr:rowOff>
    </xdr:from>
    <xdr:to>
      <xdr:col>4</xdr:col>
      <xdr:colOff>139065</xdr:colOff>
      <xdr:row>270</xdr:row>
      <xdr:rowOff>32385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33FDB04-2633-4D40-B821-97AB7D5141EC}"/>
            </a:ext>
          </a:extLst>
        </xdr:cNvPr>
        <xdr:cNvSpPr txBox="1"/>
      </xdr:nvSpPr>
      <xdr:spPr>
        <a:xfrm>
          <a:off x="3381375" y="71885175"/>
          <a:ext cx="18669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268</xdr:row>
      <xdr:rowOff>198120</xdr:rowOff>
    </xdr:from>
    <xdr:to>
      <xdr:col>5</xdr:col>
      <xdr:colOff>112395</xdr:colOff>
      <xdr:row>270</xdr:row>
      <xdr:rowOff>40005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B29769A-6702-434B-9BA9-E84A4BE382EA}"/>
            </a:ext>
          </a:extLst>
        </xdr:cNvPr>
        <xdr:cNvSpPr txBox="1"/>
      </xdr:nvSpPr>
      <xdr:spPr>
        <a:xfrm>
          <a:off x="4067175" y="64015620"/>
          <a:ext cx="112395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283</xdr:row>
      <xdr:rowOff>0</xdr:rowOff>
    </xdr:from>
    <xdr:to>
      <xdr:col>8</xdr:col>
      <xdr:colOff>95250</xdr:colOff>
      <xdr:row>283</xdr:row>
      <xdr:rowOff>30481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8F2288C-088C-44CE-A112-11FD6C361C28}"/>
            </a:ext>
          </a:extLst>
        </xdr:cNvPr>
        <xdr:cNvSpPr txBox="1"/>
      </xdr:nvSpPr>
      <xdr:spPr>
        <a:xfrm>
          <a:off x="6296025" y="75104625"/>
          <a:ext cx="752475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499110</xdr:colOff>
      <xdr:row>282</xdr:row>
      <xdr:rowOff>234315</xdr:rowOff>
    </xdr:from>
    <xdr:to>
      <xdr:col>8</xdr:col>
      <xdr:colOff>0</xdr:colOff>
      <xdr:row>284</xdr:row>
      <xdr:rowOff>66676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2DDE34D-1FBB-40BD-8662-D015BD21F8EC}"/>
            </a:ext>
          </a:extLst>
        </xdr:cNvPr>
        <xdr:cNvSpPr txBox="1"/>
      </xdr:nvSpPr>
      <xdr:spPr>
        <a:xfrm>
          <a:off x="6090285" y="68099940"/>
          <a:ext cx="358140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493395</xdr:colOff>
      <xdr:row>285</xdr:row>
      <xdr:rowOff>232410</xdr:rowOff>
    </xdr:from>
    <xdr:to>
      <xdr:col>7</xdr:col>
      <xdr:colOff>135255</xdr:colOff>
      <xdr:row>287</xdr:row>
      <xdr:rowOff>95250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248F2C2-808D-4128-93D5-66D8FDBA664F}"/>
            </a:ext>
          </a:extLst>
        </xdr:cNvPr>
        <xdr:cNvSpPr txBox="1"/>
      </xdr:nvSpPr>
      <xdr:spPr>
        <a:xfrm>
          <a:off x="5227320" y="68812410"/>
          <a:ext cx="49911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3</xdr:col>
      <xdr:colOff>720090</xdr:colOff>
      <xdr:row>329</xdr:row>
      <xdr:rowOff>175260</xdr:rowOff>
    </xdr:from>
    <xdr:to>
      <xdr:col>4</xdr:col>
      <xdr:colOff>154305</xdr:colOff>
      <xdr:row>331</xdr:row>
      <xdr:rowOff>15240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2CECA6C-B540-49F2-AA43-AF2003E5E172}"/>
            </a:ext>
          </a:extLst>
        </xdr:cNvPr>
        <xdr:cNvSpPr txBox="1"/>
      </xdr:nvSpPr>
      <xdr:spPr>
        <a:xfrm>
          <a:off x="3387090" y="90262710"/>
          <a:ext cx="196215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330</xdr:row>
      <xdr:rowOff>0</xdr:rowOff>
    </xdr:from>
    <xdr:to>
      <xdr:col>5</xdr:col>
      <xdr:colOff>127635</xdr:colOff>
      <xdr:row>331</xdr:row>
      <xdr:rowOff>22860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89215E1-4E29-4849-8D04-99674C093440}"/>
            </a:ext>
          </a:extLst>
        </xdr:cNvPr>
        <xdr:cNvSpPr txBox="1"/>
      </xdr:nvSpPr>
      <xdr:spPr>
        <a:xfrm>
          <a:off x="4179570" y="90277950"/>
          <a:ext cx="139065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714375</xdr:colOff>
      <xdr:row>330</xdr:row>
      <xdr:rowOff>190500</xdr:rowOff>
    </xdr:from>
    <xdr:to>
      <xdr:col>4</xdr:col>
      <xdr:colOff>139065</xdr:colOff>
      <xdr:row>332</xdr:row>
      <xdr:rowOff>32385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55E922D-DE4C-49F7-9E48-348054A6DEEB}"/>
            </a:ext>
          </a:extLst>
        </xdr:cNvPr>
        <xdr:cNvSpPr txBox="1"/>
      </xdr:nvSpPr>
      <xdr:spPr>
        <a:xfrm>
          <a:off x="3381375" y="90468450"/>
          <a:ext cx="186690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5</xdr:col>
      <xdr:colOff>0</xdr:colOff>
      <xdr:row>330</xdr:row>
      <xdr:rowOff>198120</xdr:rowOff>
    </xdr:from>
    <xdr:to>
      <xdr:col>5</xdr:col>
      <xdr:colOff>112395</xdr:colOff>
      <xdr:row>332</xdr:row>
      <xdr:rowOff>40005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CEC2DB76-E643-44E3-BA47-AB79E89A691F}"/>
            </a:ext>
          </a:extLst>
        </xdr:cNvPr>
        <xdr:cNvSpPr txBox="1"/>
      </xdr:nvSpPr>
      <xdr:spPr>
        <a:xfrm>
          <a:off x="4183380" y="90476070"/>
          <a:ext cx="120015" cy="260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7</xdr:col>
      <xdr:colOff>390525</xdr:colOff>
      <xdr:row>345</xdr:row>
      <xdr:rowOff>0</xdr:rowOff>
    </xdr:from>
    <xdr:to>
      <xdr:col>8</xdr:col>
      <xdr:colOff>95250</xdr:colOff>
      <xdr:row>345</xdr:row>
      <xdr:rowOff>30481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7F3009E-BCD3-42A1-9149-D8FA7821826E}"/>
            </a:ext>
          </a:extLst>
        </xdr:cNvPr>
        <xdr:cNvSpPr txBox="1"/>
      </xdr:nvSpPr>
      <xdr:spPr>
        <a:xfrm>
          <a:off x="6296025" y="93687900"/>
          <a:ext cx="752475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461010</xdr:colOff>
      <xdr:row>344</xdr:row>
      <xdr:rowOff>234315</xdr:rowOff>
    </xdr:from>
    <xdr:to>
      <xdr:col>7</xdr:col>
      <xdr:colOff>819150</xdr:colOff>
      <xdr:row>346</xdr:row>
      <xdr:rowOff>66676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B3654E2-0BFA-4B54-830F-E778F2CD92AE}"/>
            </a:ext>
          </a:extLst>
        </xdr:cNvPr>
        <xdr:cNvSpPr txBox="1"/>
      </xdr:nvSpPr>
      <xdr:spPr>
        <a:xfrm>
          <a:off x="6052185" y="86435565"/>
          <a:ext cx="358140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483870</xdr:colOff>
      <xdr:row>347</xdr:row>
      <xdr:rowOff>232410</xdr:rowOff>
    </xdr:from>
    <xdr:to>
      <xdr:col>7</xdr:col>
      <xdr:colOff>125730</xdr:colOff>
      <xdr:row>349</xdr:row>
      <xdr:rowOff>57150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E2BEB50-1322-47C3-A5B3-3B569C0A1A4B}"/>
            </a:ext>
          </a:extLst>
        </xdr:cNvPr>
        <xdr:cNvSpPr txBox="1"/>
      </xdr:nvSpPr>
      <xdr:spPr>
        <a:xfrm>
          <a:off x="6075045" y="87148035"/>
          <a:ext cx="499110" cy="30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 editAs="oneCell">
    <xdr:from>
      <xdr:col>1</xdr:col>
      <xdr:colOff>381000</xdr:colOff>
      <xdr:row>3</xdr:row>
      <xdr:rowOff>76200</xdr:rowOff>
    </xdr:from>
    <xdr:to>
      <xdr:col>7</xdr:col>
      <xdr:colOff>711750</xdr:colOff>
      <xdr:row>13</xdr:row>
      <xdr:rowOff>180975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45C333D-7E14-4736-B57B-F899E8086A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467" b="12916"/>
        <a:stretch/>
      </xdr:blipFill>
      <xdr:spPr>
        <a:xfrm>
          <a:off x="828675" y="790575"/>
          <a:ext cx="5760000" cy="2486025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72</xdr:row>
      <xdr:rowOff>95250</xdr:rowOff>
    </xdr:from>
    <xdr:to>
      <xdr:col>7</xdr:col>
      <xdr:colOff>797475</xdr:colOff>
      <xdr:row>82</xdr:row>
      <xdr:rowOff>123826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E765F3E-1FD2-482C-88AD-81B90320B6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5234" b="14687"/>
        <a:stretch/>
      </xdr:blipFill>
      <xdr:spPr>
        <a:xfrm>
          <a:off x="914400" y="17240250"/>
          <a:ext cx="5760000" cy="240982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32</xdr:row>
      <xdr:rowOff>76200</xdr:rowOff>
    </xdr:from>
    <xdr:to>
      <xdr:col>7</xdr:col>
      <xdr:colOff>445050</xdr:colOff>
      <xdr:row>42</xdr:row>
      <xdr:rowOff>104775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A215E8F-0991-429D-B6BF-12EA2E1D1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5257" b="14561"/>
        <a:stretch/>
      </xdr:blipFill>
      <xdr:spPr>
        <a:xfrm>
          <a:off x="561975" y="7696200"/>
          <a:ext cx="5760000" cy="2409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102</xdr:row>
      <xdr:rowOff>114300</xdr:rowOff>
    </xdr:from>
    <xdr:to>
      <xdr:col>7</xdr:col>
      <xdr:colOff>902250</xdr:colOff>
      <xdr:row>112</xdr:row>
      <xdr:rowOff>219075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DE9249F-52D9-438D-B4CE-0BF1C93FC5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4147" b="13451"/>
        <a:stretch/>
      </xdr:blipFill>
      <xdr:spPr>
        <a:xfrm>
          <a:off x="1019175" y="24403050"/>
          <a:ext cx="5760000" cy="248602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6</xdr:col>
      <xdr:colOff>398145</xdr:colOff>
      <xdr:row>380</xdr:row>
      <xdr:rowOff>30481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284CF77-2029-4033-A272-FB4539DBAD7E}"/>
            </a:ext>
          </a:extLst>
        </xdr:cNvPr>
        <xdr:cNvSpPr txBox="1"/>
      </xdr:nvSpPr>
      <xdr:spPr>
        <a:xfrm>
          <a:off x="4972050" y="90487500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</a:t>
          </a:r>
          <a:endParaRPr lang="id-ID" sz="1100"/>
        </a:p>
      </xdr:txBody>
    </xdr:sp>
    <xdr:clientData/>
  </xdr:twoCellAnchor>
  <xdr:twoCellAnchor>
    <xdr:from>
      <xdr:col>7</xdr:col>
      <xdr:colOff>0</xdr:colOff>
      <xdr:row>379</xdr:row>
      <xdr:rowOff>0</xdr:rowOff>
    </xdr:from>
    <xdr:to>
      <xdr:col>7</xdr:col>
      <xdr:colOff>409575</xdr:colOff>
      <xdr:row>380</xdr:row>
      <xdr:rowOff>30481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97F43B6-B8F1-45FF-B026-7A235429769F}"/>
            </a:ext>
          </a:extLst>
        </xdr:cNvPr>
        <xdr:cNvSpPr txBox="1"/>
      </xdr:nvSpPr>
      <xdr:spPr>
        <a:xfrm>
          <a:off x="5876925" y="90487500"/>
          <a:ext cx="40957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380</xdr:row>
      <xdr:rowOff>0</xdr:rowOff>
    </xdr:from>
    <xdr:to>
      <xdr:col>6</xdr:col>
      <xdr:colOff>398145</xdr:colOff>
      <xdr:row>381</xdr:row>
      <xdr:rowOff>30481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D4CAE1E-2361-4CEC-811B-5CD7048FD0C6}"/>
            </a:ext>
          </a:extLst>
        </xdr:cNvPr>
        <xdr:cNvSpPr txBox="1"/>
      </xdr:nvSpPr>
      <xdr:spPr>
        <a:xfrm>
          <a:off x="4972050" y="90725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</a:t>
          </a:r>
          <a:endParaRPr lang="id-ID" sz="1100"/>
        </a:p>
      </xdr:txBody>
    </xdr:sp>
    <xdr:clientData/>
  </xdr:twoCellAnchor>
  <xdr:twoCellAnchor>
    <xdr:from>
      <xdr:col>7</xdr:col>
      <xdr:colOff>0</xdr:colOff>
      <xdr:row>380</xdr:row>
      <xdr:rowOff>0</xdr:rowOff>
    </xdr:from>
    <xdr:to>
      <xdr:col>7</xdr:col>
      <xdr:colOff>409575</xdr:colOff>
      <xdr:row>381</xdr:row>
      <xdr:rowOff>30481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5FD29A1-363F-498A-9950-82243EC86F22}"/>
            </a:ext>
          </a:extLst>
        </xdr:cNvPr>
        <xdr:cNvSpPr txBox="1"/>
      </xdr:nvSpPr>
      <xdr:spPr>
        <a:xfrm>
          <a:off x="5876925" y="90725625"/>
          <a:ext cx="40957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 editAs="oneCell">
    <xdr:from>
      <xdr:col>1</xdr:col>
      <xdr:colOff>514350</xdr:colOff>
      <xdr:row>180</xdr:row>
      <xdr:rowOff>123825</xdr:rowOff>
    </xdr:from>
    <xdr:to>
      <xdr:col>7</xdr:col>
      <xdr:colOff>845100</xdr:colOff>
      <xdr:row>190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58747C-6C21-4824-B5CF-6584DA2BEB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538" b="12617"/>
        <a:stretch/>
      </xdr:blipFill>
      <xdr:spPr>
        <a:xfrm>
          <a:off x="962025" y="42986325"/>
          <a:ext cx="576000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218</xdr:row>
      <xdr:rowOff>47625</xdr:rowOff>
    </xdr:from>
    <xdr:to>
      <xdr:col>8</xdr:col>
      <xdr:colOff>54525</xdr:colOff>
      <xdr:row>227</xdr:row>
      <xdr:rowOff>152400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D57C2BD-067D-41AD-9880-5D71F4694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9043" b="8471"/>
        <a:stretch/>
      </xdr:blipFill>
      <xdr:spPr>
        <a:xfrm>
          <a:off x="1076325" y="51958875"/>
          <a:ext cx="5760000" cy="22479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6</xdr:col>
      <xdr:colOff>398145</xdr:colOff>
      <xdr:row>342</xdr:row>
      <xdr:rowOff>30481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8A4D80F-0E22-49CB-90D9-83D88A1B50E0}"/>
            </a:ext>
          </a:extLst>
        </xdr:cNvPr>
        <xdr:cNvSpPr txBox="1"/>
      </xdr:nvSpPr>
      <xdr:spPr>
        <a:xfrm>
          <a:off x="4972050" y="8120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341</xdr:row>
      <xdr:rowOff>0</xdr:rowOff>
    </xdr:from>
    <xdr:to>
      <xdr:col>7</xdr:col>
      <xdr:colOff>398145</xdr:colOff>
      <xdr:row>342</xdr:row>
      <xdr:rowOff>30481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CA5FE178-4A00-44ED-BC72-CB56B5CD5175}"/>
            </a:ext>
          </a:extLst>
        </xdr:cNvPr>
        <xdr:cNvSpPr txBox="1"/>
      </xdr:nvSpPr>
      <xdr:spPr>
        <a:xfrm>
          <a:off x="5876925" y="8120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279</xdr:row>
      <xdr:rowOff>0</xdr:rowOff>
    </xdr:from>
    <xdr:to>
      <xdr:col>6</xdr:col>
      <xdr:colOff>398145</xdr:colOff>
      <xdr:row>280</xdr:row>
      <xdr:rowOff>30481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E249867F-53CC-4CDB-8CB6-8297F3437BEE}"/>
            </a:ext>
          </a:extLst>
        </xdr:cNvPr>
        <xdr:cNvSpPr txBox="1"/>
      </xdr:nvSpPr>
      <xdr:spPr>
        <a:xfrm>
          <a:off x="4972050" y="664368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7</xdr:col>
      <xdr:colOff>0</xdr:colOff>
      <xdr:row>279</xdr:row>
      <xdr:rowOff>0</xdr:rowOff>
    </xdr:from>
    <xdr:to>
      <xdr:col>7</xdr:col>
      <xdr:colOff>398145</xdr:colOff>
      <xdr:row>280</xdr:row>
      <xdr:rowOff>30481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B5691BE-CC38-4795-B393-1429141C145B}"/>
            </a:ext>
          </a:extLst>
        </xdr:cNvPr>
        <xdr:cNvSpPr txBox="1"/>
      </xdr:nvSpPr>
      <xdr:spPr>
        <a:xfrm>
          <a:off x="5876925" y="664368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45983</xdr:colOff>
      <xdr:row>12</xdr:row>
      <xdr:rowOff>223345</xdr:rowOff>
    </xdr:from>
    <xdr:to>
      <xdr:col>6</xdr:col>
      <xdr:colOff>331733</xdr:colOff>
      <xdr:row>14</xdr:row>
      <xdr:rowOff>53537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55ADC6-6954-4F23-B7A2-611678EA2E9D}"/>
            </a:ext>
          </a:extLst>
        </xdr:cNvPr>
        <xdr:cNvSpPr txBox="1"/>
      </xdr:nvSpPr>
      <xdr:spPr>
        <a:xfrm>
          <a:off x="4236983" y="3061138"/>
          <a:ext cx="285750" cy="3031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45983</xdr:colOff>
      <xdr:row>13</xdr:row>
      <xdr:rowOff>223345</xdr:rowOff>
    </xdr:from>
    <xdr:to>
      <xdr:col>6</xdr:col>
      <xdr:colOff>331733</xdr:colOff>
      <xdr:row>15</xdr:row>
      <xdr:rowOff>53537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C5CC809-1F4C-41C0-A59C-A4F12A6815BF}"/>
            </a:ext>
          </a:extLst>
        </xdr:cNvPr>
        <xdr:cNvSpPr txBox="1"/>
      </xdr:nvSpPr>
      <xdr:spPr>
        <a:xfrm>
          <a:off x="4236983" y="3297621"/>
          <a:ext cx="285750" cy="303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45983</xdr:colOff>
      <xdr:row>14</xdr:row>
      <xdr:rowOff>223344</xdr:rowOff>
    </xdr:from>
    <xdr:to>
      <xdr:col>6</xdr:col>
      <xdr:colOff>331733</xdr:colOff>
      <xdr:row>16</xdr:row>
      <xdr:rowOff>53537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5090F62-B6CE-41C4-9E90-99AB29FE910C}"/>
            </a:ext>
          </a:extLst>
        </xdr:cNvPr>
        <xdr:cNvSpPr txBox="1"/>
      </xdr:nvSpPr>
      <xdr:spPr>
        <a:xfrm>
          <a:off x="4236983" y="3534103"/>
          <a:ext cx="285750" cy="3031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604345</xdr:colOff>
      <xdr:row>12</xdr:row>
      <xdr:rowOff>216776</xdr:rowOff>
    </xdr:from>
    <xdr:to>
      <xdr:col>7</xdr:col>
      <xdr:colOff>128095</xdr:colOff>
      <xdr:row>14</xdr:row>
      <xdr:rowOff>45325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69CE004-A1EE-482D-B1C9-AEF1FA00B655}"/>
            </a:ext>
          </a:extLst>
        </xdr:cNvPr>
        <xdr:cNvSpPr txBox="1"/>
      </xdr:nvSpPr>
      <xdr:spPr>
        <a:xfrm>
          <a:off x="4795345" y="3054569"/>
          <a:ext cx="285750" cy="301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604345</xdr:colOff>
      <xdr:row>13</xdr:row>
      <xdr:rowOff>216776</xdr:rowOff>
    </xdr:from>
    <xdr:to>
      <xdr:col>7</xdr:col>
      <xdr:colOff>128095</xdr:colOff>
      <xdr:row>15</xdr:row>
      <xdr:rowOff>45325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54E92D6-72B7-467C-B28B-20A20E982B92}"/>
            </a:ext>
          </a:extLst>
        </xdr:cNvPr>
        <xdr:cNvSpPr txBox="1"/>
      </xdr:nvSpPr>
      <xdr:spPr>
        <a:xfrm>
          <a:off x="4795345" y="3291052"/>
          <a:ext cx="285750" cy="301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604345</xdr:colOff>
      <xdr:row>14</xdr:row>
      <xdr:rowOff>216775</xdr:rowOff>
    </xdr:from>
    <xdr:to>
      <xdr:col>7</xdr:col>
      <xdr:colOff>128095</xdr:colOff>
      <xdr:row>16</xdr:row>
      <xdr:rowOff>45326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B74AF44-414E-4387-B7A8-633430CD8635}"/>
            </a:ext>
          </a:extLst>
        </xdr:cNvPr>
        <xdr:cNvSpPr txBox="1"/>
      </xdr:nvSpPr>
      <xdr:spPr>
        <a:xfrm>
          <a:off x="4795345" y="3527534"/>
          <a:ext cx="285750" cy="3015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45983</xdr:colOff>
      <xdr:row>11</xdr:row>
      <xdr:rowOff>223345</xdr:rowOff>
    </xdr:from>
    <xdr:to>
      <xdr:col>6</xdr:col>
      <xdr:colOff>331733</xdr:colOff>
      <xdr:row>13</xdr:row>
      <xdr:rowOff>53537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BC31EB3-FE4A-4166-8B4F-CC259F0B465A}"/>
            </a:ext>
          </a:extLst>
        </xdr:cNvPr>
        <xdr:cNvSpPr txBox="1"/>
      </xdr:nvSpPr>
      <xdr:spPr>
        <a:xfrm>
          <a:off x="4236983" y="2824655"/>
          <a:ext cx="285750" cy="3031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604345</xdr:colOff>
      <xdr:row>11</xdr:row>
      <xdr:rowOff>216776</xdr:rowOff>
    </xdr:from>
    <xdr:to>
      <xdr:col>7</xdr:col>
      <xdr:colOff>128095</xdr:colOff>
      <xdr:row>13</xdr:row>
      <xdr:rowOff>45325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EDC0B0E-2D1C-438E-8EFD-662FCD3F9496}"/>
            </a:ext>
          </a:extLst>
        </xdr:cNvPr>
        <xdr:cNvSpPr txBox="1"/>
      </xdr:nvSpPr>
      <xdr:spPr>
        <a:xfrm>
          <a:off x="4795345" y="2818086"/>
          <a:ext cx="285750" cy="301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45983</xdr:colOff>
      <xdr:row>91</xdr:row>
      <xdr:rowOff>223345</xdr:rowOff>
    </xdr:from>
    <xdr:to>
      <xdr:col>6</xdr:col>
      <xdr:colOff>331733</xdr:colOff>
      <xdr:row>93</xdr:row>
      <xdr:rowOff>53537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6E3F018-CA26-446D-B8A3-0EB5AB66C102}"/>
            </a:ext>
          </a:extLst>
        </xdr:cNvPr>
        <xdr:cNvSpPr txBox="1"/>
      </xdr:nvSpPr>
      <xdr:spPr>
        <a:xfrm>
          <a:off x="4236983" y="3080845"/>
          <a:ext cx="285750" cy="306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45983</xdr:colOff>
      <xdr:row>92</xdr:row>
      <xdr:rowOff>223345</xdr:rowOff>
    </xdr:from>
    <xdr:to>
      <xdr:col>6</xdr:col>
      <xdr:colOff>331733</xdr:colOff>
      <xdr:row>94</xdr:row>
      <xdr:rowOff>53537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EF2ADA4-3988-413E-9A2C-D3EE3F48B7BD}"/>
            </a:ext>
          </a:extLst>
        </xdr:cNvPr>
        <xdr:cNvSpPr txBox="1"/>
      </xdr:nvSpPr>
      <xdr:spPr>
        <a:xfrm>
          <a:off x="4236983" y="3318970"/>
          <a:ext cx="285750" cy="306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45983</xdr:colOff>
      <xdr:row>93</xdr:row>
      <xdr:rowOff>223344</xdr:rowOff>
    </xdr:from>
    <xdr:to>
      <xdr:col>6</xdr:col>
      <xdr:colOff>331733</xdr:colOff>
      <xdr:row>95</xdr:row>
      <xdr:rowOff>53537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7E1DD9F-5797-4F8C-838E-B68A23D6F7F6}"/>
            </a:ext>
          </a:extLst>
        </xdr:cNvPr>
        <xdr:cNvSpPr txBox="1"/>
      </xdr:nvSpPr>
      <xdr:spPr>
        <a:xfrm>
          <a:off x="4236983" y="3557094"/>
          <a:ext cx="285750" cy="306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604345</xdr:colOff>
      <xdr:row>91</xdr:row>
      <xdr:rowOff>216776</xdr:rowOff>
    </xdr:from>
    <xdr:to>
      <xdr:col>7</xdr:col>
      <xdr:colOff>128095</xdr:colOff>
      <xdr:row>93</xdr:row>
      <xdr:rowOff>45325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24F81AC-131C-4FFC-8F62-CFB2D0A92C89}"/>
            </a:ext>
          </a:extLst>
        </xdr:cNvPr>
        <xdr:cNvSpPr txBox="1"/>
      </xdr:nvSpPr>
      <xdr:spPr>
        <a:xfrm>
          <a:off x="4795345" y="3074276"/>
          <a:ext cx="28575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604345</xdr:colOff>
      <xdr:row>92</xdr:row>
      <xdr:rowOff>216776</xdr:rowOff>
    </xdr:from>
    <xdr:to>
      <xdr:col>7</xdr:col>
      <xdr:colOff>128095</xdr:colOff>
      <xdr:row>94</xdr:row>
      <xdr:rowOff>45325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A54097A-300D-4322-9248-BC4711203B52}"/>
            </a:ext>
          </a:extLst>
        </xdr:cNvPr>
        <xdr:cNvSpPr txBox="1"/>
      </xdr:nvSpPr>
      <xdr:spPr>
        <a:xfrm>
          <a:off x="4795345" y="3312401"/>
          <a:ext cx="28575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604345</xdr:colOff>
      <xdr:row>93</xdr:row>
      <xdr:rowOff>216775</xdr:rowOff>
    </xdr:from>
    <xdr:to>
      <xdr:col>7</xdr:col>
      <xdr:colOff>128095</xdr:colOff>
      <xdr:row>95</xdr:row>
      <xdr:rowOff>45326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55F8E48-C618-4FC1-ADE4-B16CCA1434A5}"/>
            </a:ext>
          </a:extLst>
        </xdr:cNvPr>
        <xdr:cNvSpPr txBox="1"/>
      </xdr:nvSpPr>
      <xdr:spPr>
        <a:xfrm>
          <a:off x="4795345" y="3550525"/>
          <a:ext cx="285750" cy="304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45983</xdr:colOff>
      <xdr:row>90</xdr:row>
      <xdr:rowOff>223345</xdr:rowOff>
    </xdr:from>
    <xdr:to>
      <xdr:col>6</xdr:col>
      <xdr:colOff>331733</xdr:colOff>
      <xdr:row>92</xdr:row>
      <xdr:rowOff>53537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CD215FD-1A8E-444A-99E6-97FF70BA2289}"/>
            </a:ext>
          </a:extLst>
        </xdr:cNvPr>
        <xdr:cNvSpPr txBox="1"/>
      </xdr:nvSpPr>
      <xdr:spPr>
        <a:xfrm>
          <a:off x="4236983" y="2842720"/>
          <a:ext cx="285750" cy="306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604345</xdr:colOff>
      <xdr:row>90</xdr:row>
      <xdr:rowOff>216776</xdr:rowOff>
    </xdr:from>
    <xdr:to>
      <xdr:col>7</xdr:col>
      <xdr:colOff>128095</xdr:colOff>
      <xdr:row>92</xdr:row>
      <xdr:rowOff>45325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D5DE7A-DC85-4AD9-B9F0-4AF8BB9429F6}"/>
            </a:ext>
          </a:extLst>
        </xdr:cNvPr>
        <xdr:cNvSpPr txBox="1"/>
      </xdr:nvSpPr>
      <xdr:spPr>
        <a:xfrm>
          <a:off x="4795345" y="2836151"/>
          <a:ext cx="28575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4</xdr:col>
      <xdr:colOff>232410</xdr:colOff>
      <xdr:row>590</xdr:row>
      <xdr:rowOff>0</xdr:rowOff>
    </xdr:from>
    <xdr:to>
      <xdr:col>4</xdr:col>
      <xdr:colOff>582930</xdr:colOff>
      <xdr:row>591</xdr:row>
      <xdr:rowOff>30481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D70737-55BD-4484-87CF-29C91B0A1400}"/>
            </a:ext>
          </a:extLst>
        </xdr:cNvPr>
        <xdr:cNvSpPr txBox="1"/>
      </xdr:nvSpPr>
      <xdr:spPr>
        <a:xfrm>
          <a:off x="2613660" y="141208125"/>
          <a:ext cx="35052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4</xdr:col>
      <xdr:colOff>270510</xdr:colOff>
      <xdr:row>651</xdr:row>
      <xdr:rowOff>0</xdr:rowOff>
    </xdr:from>
    <xdr:to>
      <xdr:col>4</xdr:col>
      <xdr:colOff>668655</xdr:colOff>
      <xdr:row>652</xdr:row>
      <xdr:rowOff>30481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28A782E-835A-4DCA-9A14-B8238D8F0E51}"/>
            </a:ext>
          </a:extLst>
        </xdr:cNvPr>
        <xdr:cNvSpPr txBox="1"/>
      </xdr:nvSpPr>
      <xdr:spPr>
        <a:xfrm>
          <a:off x="3432810" y="9310687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7</xdr:col>
      <xdr:colOff>390525</xdr:colOff>
      <xdr:row>580</xdr:row>
      <xdr:rowOff>0</xdr:rowOff>
    </xdr:from>
    <xdr:to>
      <xdr:col>8</xdr:col>
      <xdr:colOff>95250</xdr:colOff>
      <xdr:row>580</xdr:row>
      <xdr:rowOff>30481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5282788-0E39-4816-BE14-132FC3624B24}"/>
            </a:ext>
          </a:extLst>
        </xdr:cNvPr>
        <xdr:cNvSpPr txBox="1"/>
      </xdr:nvSpPr>
      <xdr:spPr>
        <a:xfrm>
          <a:off x="6267450" y="72151875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7</xdr:col>
      <xdr:colOff>384810</xdr:colOff>
      <xdr:row>579</xdr:row>
      <xdr:rowOff>234315</xdr:rowOff>
    </xdr:from>
    <xdr:to>
      <xdr:col>8</xdr:col>
      <xdr:colOff>66675</xdr:colOff>
      <xdr:row>581</xdr:row>
      <xdr:rowOff>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2A30B86-07B1-40C9-A78D-896708899D08}"/>
            </a:ext>
          </a:extLst>
        </xdr:cNvPr>
        <xdr:cNvSpPr txBox="1"/>
      </xdr:nvSpPr>
      <xdr:spPr>
        <a:xfrm>
          <a:off x="4852035" y="138584940"/>
          <a:ext cx="377190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340995</xdr:colOff>
      <xdr:row>581</xdr:row>
      <xdr:rowOff>232410</xdr:rowOff>
    </xdr:from>
    <xdr:to>
      <xdr:col>7</xdr:col>
      <xdr:colOff>104775</xdr:colOff>
      <xdr:row>583</xdr:row>
      <xdr:rowOff>66675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C9D60A99-90BD-4362-ACA4-A082FD3420E8}"/>
            </a:ext>
          </a:extLst>
        </xdr:cNvPr>
        <xdr:cNvSpPr txBox="1"/>
      </xdr:nvSpPr>
      <xdr:spPr>
        <a:xfrm>
          <a:off x="4112895" y="139297410"/>
          <a:ext cx="459105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7</xdr:col>
      <xdr:colOff>390525</xdr:colOff>
      <xdr:row>641</xdr:row>
      <xdr:rowOff>0</xdr:rowOff>
    </xdr:from>
    <xdr:to>
      <xdr:col>8</xdr:col>
      <xdr:colOff>95250</xdr:colOff>
      <xdr:row>641</xdr:row>
      <xdr:rowOff>30481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9EC6861-C2AF-43BB-9D2B-5016564D6C51}"/>
            </a:ext>
          </a:extLst>
        </xdr:cNvPr>
        <xdr:cNvSpPr txBox="1"/>
      </xdr:nvSpPr>
      <xdr:spPr>
        <a:xfrm>
          <a:off x="6267450" y="90487500"/>
          <a:ext cx="609600" cy="304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(c - d') / c</a:t>
          </a:r>
          <a:endParaRPr lang="id-ID" sz="1100"/>
        </a:p>
      </xdr:txBody>
    </xdr:sp>
    <xdr:clientData/>
  </xdr:twoCellAnchor>
  <xdr:twoCellAnchor>
    <xdr:from>
      <xdr:col>6</xdr:col>
      <xdr:colOff>321945</xdr:colOff>
      <xdr:row>642</xdr:row>
      <xdr:rowOff>232410</xdr:rowOff>
    </xdr:from>
    <xdr:to>
      <xdr:col>7</xdr:col>
      <xdr:colOff>209550</xdr:colOff>
      <xdr:row>644</xdr:row>
      <xdr:rowOff>57150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DC0743D0-B9FE-4C6A-A5C5-48588969886B}"/>
            </a:ext>
          </a:extLst>
        </xdr:cNvPr>
        <xdr:cNvSpPr txBox="1"/>
      </xdr:nvSpPr>
      <xdr:spPr>
        <a:xfrm>
          <a:off x="4093845" y="156918660"/>
          <a:ext cx="582930" cy="30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 =</a:t>
          </a:r>
          <a:endParaRPr lang="id-ID" sz="1100"/>
        </a:p>
      </xdr:txBody>
    </xdr:sp>
    <xdr:clientData/>
  </xdr:twoCellAnchor>
  <xdr:twoCellAnchor>
    <xdr:from>
      <xdr:col>7</xdr:col>
      <xdr:colOff>394335</xdr:colOff>
      <xdr:row>640</xdr:row>
      <xdr:rowOff>234315</xdr:rowOff>
    </xdr:from>
    <xdr:to>
      <xdr:col>8</xdr:col>
      <xdr:colOff>95250</xdr:colOff>
      <xdr:row>642</xdr:row>
      <xdr:rowOff>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94656A7-66E5-4F1F-8951-2A9AAE14F19D}"/>
            </a:ext>
          </a:extLst>
        </xdr:cNvPr>
        <xdr:cNvSpPr txBox="1"/>
      </xdr:nvSpPr>
      <xdr:spPr>
        <a:xfrm>
          <a:off x="4861560" y="156206190"/>
          <a:ext cx="396240" cy="30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 c</a:t>
          </a:r>
          <a:endParaRPr lang="id-ID" sz="1100"/>
        </a:p>
      </xdr:txBody>
    </xdr:sp>
    <xdr:clientData/>
  </xdr:twoCellAnchor>
  <xdr:twoCellAnchor>
    <xdr:from>
      <xdr:col>6</xdr:col>
      <xdr:colOff>428625</xdr:colOff>
      <xdr:row>671</xdr:row>
      <xdr:rowOff>0</xdr:rowOff>
    </xdr:from>
    <xdr:to>
      <xdr:col>7</xdr:col>
      <xdr:colOff>316230</xdr:colOff>
      <xdr:row>672</xdr:row>
      <xdr:rowOff>62865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990F103-4D14-428D-BF0D-34AF70C3A2E2}"/>
            </a:ext>
          </a:extLst>
        </xdr:cNvPr>
        <xdr:cNvSpPr txBox="1"/>
      </xdr:nvSpPr>
      <xdr:spPr>
        <a:xfrm>
          <a:off x="4200525" y="164306250"/>
          <a:ext cx="582930" cy="30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428625</xdr:colOff>
      <xdr:row>672</xdr:row>
      <xdr:rowOff>0</xdr:rowOff>
    </xdr:from>
    <xdr:to>
      <xdr:col>7</xdr:col>
      <xdr:colOff>316230</xdr:colOff>
      <xdr:row>673</xdr:row>
      <xdr:rowOff>62865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FCB8A65-5A87-4E47-A72A-37E947758A78}"/>
            </a:ext>
          </a:extLst>
        </xdr:cNvPr>
        <xdr:cNvSpPr txBox="1"/>
      </xdr:nvSpPr>
      <xdr:spPr>
        <a:xfrm>
          <a:off x="4200525" y="164544375"/>
          <a:ext cx="582930" cy="30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5</xdr:col>
      <xdr:colOff>590550</xdr:colOff>
      <xdr:row>671</xdr:row>
      <xdr:rowOff>228600</xdr:rowOff>
    </xdr:from>
    <xdr:to>
      <xdr:col>6</xdr:col>
      <xdr:colOff>478155</xdr:colOff>
      <xdr:row>673</xdr:row>
      <xdr:rowOff>53340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FEE46083-B76D-46A6-93CE-0DC25A74E141}"/>
            </a:ext>
          </a:extLst>
        </xdr:cNvPr>
        <xdr:cNvSpPr txBox="1"/>
      </xdr:nvSpPr>
      <xdr:spPr>
        <a:xfrm>
          <a:off x="3667125" y="164534850"/>
          <a:ext cx="582930" cy="30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5</xdr:col>
      <xdr:colOff>590550</xdr:colOff>
      <xdr:row>670</xdr:row>
      <xdr:rowOff>228600</xdr:rowOff>
    </xdr:from>
    <xdr:to>
      <xdr:col>6</xdr:col>
      <xdr:colOff>478155</xdr:colOff>
      <xdr:row>672</xdr:row>
      <xdr:rowOff>53340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CBFC5596-7CDA-4E5A-AAF1-D6DA15D387FB}"/>
            </a:ext>
          </a:extLst>
        </xdr:cNvPr>
        <xdr:cNvSpPr txBox="1"/>
      </xdr:nvSpPr>
      <xdr:spPr>
        <a:xfrm>
          <a:off x="3667125" y="164296725"/>
          <a:ext cx="582930" cy="30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D</a:t>
          </a:r>
          <a:endParaRPr lang="id-ID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51319</xdr:colOff>
      <xdr:row>4</xdr:row>
      <xdr:rowOff>59625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B6767BD-D428-4BB6-95A2-475927F68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1851544" cy="774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19050</xdr:rowOff>
    </xdr:from>
    <xdr:to>
      <xdr:col>8</xdr:col>
      <xdr:colOff>372419</xdr:colOff>
      <xdr:row>37</xdr:row>
      <xdr:rowOff>142875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C82F4928-72BA-4145-97D9-9430D435043A}"/>
            </a:ext>
          </a:extLst>
        </xdr:cNvPr>
        <xdr:cNvGrpSpPr/>
      </xdr:nvGrpSpPr>
      <xdr:grpSpPr>
        <a:xfrm>
          <a:off x="314325" y="4781550"/>
          <a:ext cx="5573069" cy="4410075"/>
          <a:chOff x="600075" y="2924175"/>
          <a:chExt cx="6480000" cy="5165005"/>
        </a:xfrm>
      </xdr:grpSpPr>
      <xdr:grpSp>
        <xdr:nvGrpSpPr>
          <xdr:cNvPr id="62" name="Group 61">
            <a:extLst>
              <a:ext uri="{FF2B5EF4-FFF2-40B4-BE49-F238E27FC236}">
                <a16:creationId xmlns:a16="http://schemas.microsoft.com/office/drawing/2014/main" id="{66670E37-A61F-49D6-B7F4-0B1CECB966E5}"/>
              </a:ext>
            </a:extLst>
          </xdr:cNvPr>
          <xdr:cNvGrpSpPr>
            <a:grpSpLocks noChangeAspect="1"/>
          </xdr:cNvGrpSpPr>
        </xdr:nvGrpSpPr>
        <xdr:grpSpPr>
          <a:xfrm>
            <a:off x="600075" y="5915025"/>
            <a:ext cx="6480000" cy="2174155"/>
            <a:chOff x="8296275" y="2124075"/>
            <a:chExt cx="7267575" cy="2438400"/>
          </a:xfrm>
        </xdr:grpSpPr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4BF1B00B-F9C6-4FC0-9096-D2FF8E4BFC1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9172" t="8877" r="10042" b="15670"/>
            <a:stretch/>
          </xdr:blipFill>
          <xdr:spPr>
            <a:xfrm>
              <a:off x="8296275" y="2124075"/>
              <a:ext cx="4362450" cy="2428875"/>
            </a:xfrm>
            <a:prstGeom prst="rect">
              <a:avLst/>
            </a:prstGeom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299AD3B3-6CF7-43AB-8E00-651D6252E519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/>
            <a:srcRect l="29633" t="9741" r="16745" b="14688"/>
            <a:stretch/>
          </xdr:blipFill>
          <xdr:spPr>
            <a:xfrm>
              <a:off x="12668249" y="2124075"/>
              <a:ext cx="2895601" cy="2438400"/>
            </a:xfrm>
            <a:prstGeom prst="rect">
              <a:avLst/>
            </a:prstGeom>
          </xdr:spPr>
        </xdr:pic>
      </xdr:grpSp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C2FBE1E1-0E6B-4ECF-A65B-A360542584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t="9708" b="8458"/>
          <a:stretch/>
        </xdr:blipFill>
        <xdr:spPr>
          <a:xfrm>
            <a:off x="962025" y="2924175"/>
            <a:ext cx="5760000" cy="280987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0</xdr:colOff>
      <xdr:row>174</xdr:row>
      <xdr:rowOff>0</xdr:rowOff>
    </xdr:from>
    <xdr:to>
      <xdr:col>8</xdr:col>
      <xdr:colOff>559350</xdr:colOff>
      <xdr:row>183</xdr:row>
      <xdr:rowOff>142876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4C7C56C9-BC69-464E-8663-16A09A269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6318" b="17302"/>
        <a:stretch/>
      </xdr:blipFill>
      <xdr:spPr>
        <a:xfrm>
          <a:off x="314325" y="38338125"/>
          <a:ext cx="5760000" cy="22860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299</xdr:row>
      <xdr:rowOff>85725</xdr:rowOff>
    </xdr:from>
    <xdr:to>
      <xdr:col>8</xdr:col>
      <xdr:colOff>559350</xdr:colOff>
      <xdr:row>309</xdr:row>
      <xdr:rowOff>190500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B1F7B088-78DA-4C50-9A9B-12EAA9E14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4467" b="12916"/>
        <a:stretch/>
      </xdr:blipFill>
      <xdr:spPr>
        <a:xfrm>
          <a:off x="314325" y="67236975"/>
          <a:ext cx="5760000" cy="2486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368</xdr:row>
      <xdr:rowOff>123825</xdr:rowOff>
    </xdr:from>
    <xdr:to>
      <xdr:col>8</xdr:col>
      <xdr:colOff>559350</xdr:colOff>
      <xdr:row>378</xdr:row>
      <xdr:rowOff>152401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834F478E-A085-4D90-84B5-90E584424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234" b="14687"/>
        <a:stretch/>
      </xdr:blipFill>
      <xdr:spPr>
        <a:xfrm>
          <a:off x="314325" y="86086950"/>
          <a:ext cx="5760000" cy="24098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328</xdr:row>
      <xdr:rowOff>0</xdr:rowOff>
    </xdr:from>
    <xdr:to>
      <xdr:col>8</xdr:col>
      <xdr:colOff>559350</xdr:colOff>
      <xdr:row>338</xdr:row>
      <xdr:rowOff>28575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AE4E7029-4155-4BDE-85B0-B4E15222C6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15257" b="14561"/>
        <a:stretch/>
      </xdr:blipFill>
      <xdr:spPr>
        <a:xfrm>
          <a:off x="314325" y="74056875"/>
          <a:ext cx="5760000" cy="2409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397</xdr:row>
      <xdr:rowOff>0</xdr:rowOff>
    </xdr:from>
    <xdr:to>
      <xdr:col>8</xdr:col>
      <xdr:colOff>559350</xdr:colOff>
      <xdr:row>407</xdr:row>
      <xdr:rowOff>104775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2D241AB-C58D-4B52-A75D-E4EA8912E2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4147" b="13451"/>
        <a:stretch/>
      </xdr:blipFill>
      <xdr:spPr>
        <a:xfrm>
          <a:off x="314325" y="93583125"/>
          <a:ext cx="5760000" cy="2486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477</xdr:row>
      <xdr:rowOff>47625</xdr:rowOff>
    </xdr:from>
    <xdr:to>
      <xdr:col>8</xdr:col>
      <xdr:colOff>559350</xdr:colOff>
      <xdr:row>486</xdr:row>
      <xdr:rowOff>190500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B9C3310-2320-4013-A8F1-04B2BAD68C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13538" b="12617"/>
        <a:stretch/>
      </xdr:blipFill>
      <xdr:spPr>
        <a:xfrm>
          <a:off x="314325" y="114585750"/>
          <a:ext cx="576000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516</xdr:row>
      <xdr:rowOff>19050</xdr:rowOff>
    </xdr:from>
    <xdr:to>
      <xdr:col>8</xdr:col>
      <xdr:colOff>559350</xdr:colOff>
      <xdr:row>525</xdr:row>
      <xdr:rowOff>123825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808966C-7659-445A-B5F6-89B05E4C57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19043" b="8471"/>
        <a:stretch/>
      </xdr:blipFill>
      <xdr:spPr>
        <a:xfrm>
          <a:off x="314325" y="124082175"/>
          <a:ext cx="5760000" cy="22479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576</xdr:row>
      <xdr:rowOff>0</xdr:rowOff>
    </xdr:from>
    <xdr:to>
      <xdr:col>6</xdr:col>
      <xdr:colOff>398145</xdr:colOff>
      <xdr:row>577</xdr:row>
      <xdr:rowOff>30481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1A48C099-F329-428D-8AAD-1E2FB383BE57}"/>
            </a:ext>
          </a:extLst>
        </xdr:cNvPr>
        <xdr:cNvSpPr txBox="1"/>
      </xdr:nvSpPr>
      <xdr:spPr>
        <a:xfrm>
          <a:off x="4029075" y="13835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714376</xdr:colOff>
      <xdr:row>576</xdr:row>
      <xdr:rowOff>0</xdr:rowOff>
    </xdr:from>
    <xdr:to>
      <xdr:col>7</xdr:col>
      <xdr:colOff>238126</xdr:colOff>
      <xdr:row>577</xdr:row>
      <xdr:rowOff>30481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CC51A317-A2FB-4815-AE60-90D2C56537B9}"/>
            </a:ext>
          </a:extLst>
        </xdr:cNvPr>
        <xdr:cNvSpPr txBox="1"/>
      </xdr:nvSpPr>
      <xdr:spPr>
        <a:xfrm>
          <a:off x="4743451" y="138350625"/>
          <a:ext cx="26670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6</xdr:col>
      <xdr:colOff>0</xdr:colOff>
      <xdr:row>637</xdr:row>
      <xdr:rowOff>0</xdr:rowOff>
    </xdr:from>
    <xdr:to>
      <xdr:col>6</xdr:col>
      <xdr:colOff>398145</xdr:colOff>
      <xdr:row>638</xdr:row>
      <xdr:rowOff>30481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98E98696-F54E-4D9B-ACAE-E34874F555CF}"/>
            </a:ext>
          </a:extLst>
        </xdr:cNvPr>
        <xdr:cNvSpPr txBox="1"/>
      </xdr:nvSpPr>
      <xdr:spPr>
        <a:xfrm>
          <a:off x="4029075" y="153590625"/>
          <a:ext cx="398145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</a:t>
          </a:r>
          <a:endParaRPr lang="id-ID" sz="1100"/>
        </a:p>
      </xdr:txBody>
    </xdr:sp>
    <xdr:clientData/>
  </xdr:twoCellAnchor>
  <xdr:twoCellAnchor>
    <xdr:from>
      <xdr:col>6</xdr:col>
      <xdr:colOff>714376</xdr:colOff>
      <xdr:row>637</xdr:row>
      <xdr:rowOff>0</xdr:rowOff>
    </xdr:from>
    <xdr:to>
      <xdr:col>7</xdr:col>
      <xdr:colOff>238126</xdr:colOff>
      <xdr:row>638</xdr:row>
      <xdr:rowOff>30481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696F3BC5-C7DF-49A4-B200-C12317502200}"/>
            </a:ext>
          </a:extLst>
        </xdr:cNvPr>
        <xdr:cNvSpPr txBox="1"/>
      </xdr:nvSpPr>
      <xdr:spPr>
        <a:xfrm>
          <a:off x="4743451" y="153590625"/>
          <a:ext cx="26670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</a:t>
          </a:r>
          <a:endParaRPr lang="id-ID" sz="1100"/>
        </a:p>
      </xdr:txBody>
    </xdr:sp>
    <xdr:clientData/>
  </xdr:twoCellAnchor>
  <xdr:twoCellAnchor>
    <xdr:from>
      <xdr:col>3</xdr:col>
      <xdr:colOff>624840</xdr:colOff>
      <xdr:row>626</xdr:row>
      <xdr:rowOff>0</xdr:rowOff>
    </xdr:from>
    <xdr:to>
      <xdr:col>4</xdr:col>
      <xdr:colOff>59055</xdr:colOff>
      <xdr:row>627</xdr:row>
      <xdr:rowOff>78105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372BF48A-2A36-462B-9F46-7E4CBD779098}"/>
            </a:ext>
          </a:extLst>
        </xdr:cNvPr>
        <xdr:cNvSpPr txBox="1"/>
      </xdr:nvSpPr>
      <xdr:spPr>
        <a:xfrm>
          <a:off x="2425065" y="150733125"/>
          <a:ext cx="177165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619125</xdr:colOff>
      <xdr:row>627</xdr:row>
      <xdr:rowOff>15240</xdr:rowOff>
    </xdr:from>
    <xdr:to>
      <xdr:col>4</xdr:col>
      <xdr:colOff>43815</xdr:colOff>
      <xdr:row>628</xdr:row>
      <xdr:rowOff>95250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227980F2-E9F7-42A8-8E09-6CF8D4070567}"/>
            </a:ext>
          </a:extLst>
        </xdr:cNvPr>
        <xdr:cNvSpPr txBox="1"/>
      </xdr:nvSpPr>
      <xdr:spPr>
        <a:xfrm>
          <a:off x="2419350" y="150986490"/>
          <a:ext cx="167640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662940</xdr:colOff>
      <xdr:row>626</xdr:row>
      <xdr:rowOff>0</xdr:rowOff>
    </xdr:from>
    <xdr:to>
      <xdr:col>5</xdr:col>
      <xdr:colOff>97155</xdr:colOff>
      <xdr:row>627</xdr:row>
      <xdr:rowOff>78105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CAE068FF-C863-4ED4-AFC1-3716C24563C3}"/>
            </a:ext>
          </a:extLst>
        </xdr:cNvPr>
        <xdr:cNvSpPr txBox="1"/>
      </xdr:nvSpPr>
      <xdr:spPr>
        <a:xfrm>
          <a:off x="3206115" y="150733125"/>
          <a:ext cx="177165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657225</xdr:colOff>
      <xdr:row>627</xdr:row>
      <xdr:rowOff>15240</xdr:rowOff>
    </xdr:from>
    <xdr:to>
      <xdr:col>5</xdr:col>
      <xdr:colOff>81915</xdr:colOff>
      <xdr:row>628</xdr:row>
      <xdr:rowOff>95250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C8BA9A24-B089-496A-81AE-2EB9DCD0FA0F}"/>
            </a:ext>
          </a:extLst>
        </xdr:cNvPr>
        <xdr:cNvSpPr txBox="1"/>
      </xdr:nvSpPr>
      <xdr:spPr>
        <a:xfrm>
          <a:off x="3200400" y="150986490"/>
          <a:ext cx="167640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634365</xdr:colOff>
      <xdr:row>565</xdr:row>
      <xdr:rowOff>0</xdr:rowOff>
    </xdr:from>
    <xdr:to>
      <xdr:col>4</xdr:col>
      <xdr:colOff>68580</xdr:colOff>
      <xdr:row>566</xdr:row>
      <xdr:rowOff>78105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76673017-7946-4D37-B250-D20ECCF22441}"/>
            </a:ext>
          </a:extLst>
        </xdr:cNvPr>
        <xdr:cNvSpPr txBox="1"/>
      </xdr:nvSpPr>
      <xdr:spPr>
        <a:xfrm>
          <a:off x="2434590" y="135731250"/>
          <a:ext cx="177165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628650</xdr:colOff>
      <xdr:row>566</xdr:row>
      <xdr:rowOff>15240</xdr:rowOff>
    </xdr:from>
    <xdr:to>
      <xdr:col>4</xdr:col>
      <xdr:colOff>53340</xdr:colOff>
      <xdr:row>567</xdr:row>
      <xdr:rowOff>95250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A768C0B7-96F1-410B-8448-DF0853116444}"/>
            </a:ext>
          </a:extLst>
        </xdr:cNvPr>
        <xdr:cNvSpPr txBox="1"/>
      </xdr:nvSpPr>
      <xdr:spPr>
        <a:xfrm>
          <a:off x="2428875" y="135984615"/>
          <a:ext cx="167640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634365</xdr:colOff>
      <xdr:row>565</xdr:row>
      <xdr:rowOff>0</xdr:rowOff>
    </xdr:from>
    <xdr:to>
      <xdr:col>5</xdr:col>
      <xdr:colOff>68580</xdr:colOff>
      <xdr:row>566</xdr:row>
      <xdr:rowOff>78105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C534420-5A69-435A-A7D0-E25D8828D062}"/>
            </a:ext>
          </a:extLst>
        </xdr:cNvPr>
        <xdr:cNvSpPr txBox="1"/>
      </xdr:nvSpPr>
      <xdr:spPr>
        <a:xfrm>
          <a:off x="3177540" y="135731250"/>
          <a:ext cx="177165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628650</xdr:colOff>
      <xdr:row>566</xdr:row>
      <xdr:rowOff>15240</xdr:rowOff>
    </xdr:from>
    <xdr:to>
      <xdr:col>5</xdr:col>
      <xdr:colOff>53340</xdr:colOff>
      <xdr:row>567</xdr:row>
      <xdr:rowOff>95250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7924D1B8-F103-4CA9-AF6E-49120660F1BF}"/>
            </a:ext>
          </a:extLst>
        </xdr:cNvPr>
        <xdr:cNvSpPr txBox="1"/>
      </xdr:nvSpPr>
      <xdr:spPr>
        <a:xfrm>
          <a:off x="3171825" y="135984615"/>
          <a:ext cx="167640" cy="318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675E-3503-4453-97D3-527BF162D64E}">
  <sheetPr>
    <tabColor rgb="FFFFFF00"/>
  </sheetPr>
  <dimension ref="B2:J27"/>
  <sheetViews>
    <sheetView tabSelected="1" workbookViewId="0"/>
  </sheetViews>
  <sheetFormatPr defaultRowHeight="18.75" customHeight="1" x14ac:dyDescent="0.25"/>
  <cols>
    <col min="1" max="1" width="4.28515625" style="413" customWidth="1"/>
    <col min="2" max="2" width="16.7109375" style="413" customWidth="1"/>
    <col min="3" max="3" width="2.85546875" style="412" customWidth="1"/>
    <col min="4" max="16384" width="9.140625" style="413"/>
  </cols>
  <sheetData>
    <row r="2" spans="2:10" ht="15.75" x14ac:dyDescent="0.25">
      <c r="B2" s="411" t="s">
        <v>559</v>
      </c>
      <c r="C2" s="412" t="s">
        <v>560</v>
      </c>
      <c r="D2" s="413" t="s">
        <v>573</v>
      </c>
    </row>
    <row r="3" spans="2:10" ht="15.75" x14ac:dyDescent="0.25">
      <c r="B3" s="411" t="s">
        <v>561</v>
      </c>
      <c r="C3" s="412" t="s">
        <v>560</v>
      </c>
      <c r="D3" s="413" t="s">
        <v>562</v>
      </c>
    </row>
    <row r="4" spans="2:10" ht="15.75" x14ac:dyDescent="0.25">
      <c r="B4" s="411" t="s">
        <v>563</v>
      </c>
      <c r="C4" s="412" t="s">
        <v>560</v>
      </c>
      <c r="D4" s="414" t="s">
        <v>564</v>
      </c>
    </row>
    <row r="5" spans="2:10" ht="15.75" x14ac:dyDescent="0.25">
      <c r="B5" s="411"/>
    </row>
    <row r="6" spans="2:10" ht="15.75" x14ac:dyDescent="0.25">
      <c r="B6" s="411" t="s">
        <v>565</v>
      </c>
      <c r="C6" s="412" t="s">
        <v>560</v>
      </c>
      <c r="D6" s="413" t="s">
        <v>566</v>
      </c>
    </row>
    <row r="7" spans="2:10" ht="15.75" x14ac:dyDescent="0.25">
      <c r="B7" s="411" t="s">
        <v>567</v>
      </c>
      <c r="C7" s="412" t="s">
        <v>560</v>
      </c>
      <c r="D7" s="415" t="s">
        <v>526</v>
      </c>
    </row>
    <row r="8" spans="2:10" ht="15.75" x14ac:dyDescent="0.25">
      <c r="C8" s="413"/>
      <c r="J8" s="416"/>
    </row>
    <row r="10" spans="2:10" ht="15.75" x14ac:dyDescent="0.25">
      <c r="B10" s="417" t="s">
        <v>568</v>
      </c>
      <c r="C10" s="418"/>
      <c r="D10" s="418"/>
      <c r="E10" s="418"/>
      <c r="F10" s="418"/>
      <c r="G10" s="418"/>
      <c r="H10" s="418"/>
      <c r="I10" s="418"/>
    </row>
    <row r="12" spans="2:10" ht="15.75" x14ac:dyDescent="0.25"/>
    <row r="23" spans="2:10" ht="15.75" x14ac:dyDescent="0.25">
      <c r="B23" s="413" t="s">
        <v>569</v>
      </c>
    </row>
    <row r="24" spans="2:10" ht="15.75" x14ac:dyDescent="0.25">
      <c r="B24" s="413" t="s">
        <v>570</v>
      </c>
    </row>
    <row r="26" spans="2:10" ht="15.75" x14ac:dyDescent="0.25">
      <c r="B26" s="413" t="s">
        <v>571</v>
      </c>
      <c r="C26" s="413"/>
    </row>
    <row r="27" spans="2:10" ht="15.75" x14ac:dyDescent="0.25">
      <c r="B27" s="419" t="s">
        <v>572</v>
      </c>
      <c r="C27" s="420"/>
      <c r="D27" s="420"/>
      <c r="E27" s="420"/>
      <c r="F27" s="420"/>
      <c r="G27" s="420"/>
      <c r="H27" s="420"/>
      <c r="I27" s="420"/>
      <c r="J27" s="420"/>
    </row>
  </sheetData>
  <sheetProtection algorithmName="SHA-512" hashValue="sfbP78xirHTovLOxV9EDHhTrj9RrHJ8bVZIHh9AUfB0DcWIw8eAkbFoMu0NQ7mW6W1MqXsbkc2cbhI4794OuOQ==" saltValue="n+kcgcgbATR10fMlk5/Bug==" spinCount="100000" sheet="1" objects="1" scenarios="1"/>
  <hyperlinks>
    <hyperlink ref="D7" r:id="rId1" xr:uid="{B377A514-1C65-4E7E-AFA8-72CE232B120E}"/>
    <hyperlink ref="B27" r:id="rId2" xr:uid="{4BB1A9BD-2385-4DF2-93AD-2AC75B737366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9196-5D37-401E-80EB-1F37E45F7C99}">
  <sheetPr>
    <tabColor theme="9"/>
  </sheetPr>
  <dimension ref="A1:K62"/>
  <sheetViews>
    <sheetView showGridLines="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B58" sqref="B58"/>
    </sheetView>
  </sheetViews>
  <sheetFormatPr defaultRowHeight="18.75" customHeight="1" x14ac:dyDescent="0.25"/>
  <cols>
    <col min="1" max="1" width="6.7109375" style="12" customWidth="1"/>
    <col min="2" max="6" width="13.5703125" style="12" customWidth="1"/>
    <col min="7" max="7" width="14.28515625" style="12" customWidth="1"/>
    <col min="8" max="8" width="17.140625" style="12" customWidth="1"/>
    <col min="9" max="9" width="11.42578125" style="12" customWidth="1"/>
    <col min="10" max="16384" width="9.140625" style="12"/>
  </cols>
  <sheetData>
    <row r="1" spans="1:11" ht="18.75" customHeight="1" x14ac:dyDescent="0.25">
      <c r="A1" s="1" t="s">
        <v>0</v>
      </c>
      <c r="B1" s="441" t="s">
        <v>1</v>
      </c>
      <c r="C1" s="441"/>
      <c r="D1" s="441"/>
      <c r="E1" s="441"/>
      <c r="F1" s="441"/>
      <c r="G1" s="1" t="s">
        <v>2</v>
      </c>
      <c r="H1" s="1" t="s">
        <v>3</v>
      </c>
      <c r="I1" s="1" t="s">
        <v>4</v>
      </c>
    </row>
    <row r="2" spans="1:11" ht="18.75" customHeight="1" x14ac:dyDescent="0.25">
      <c r="A2" s="77" t="s">
        <v>36</v>
      </c>
      <c r="B2" s="86" t="s">
        <v>37</v>
      </c>
      <c r="C2" s="86"/>
      <c r="D2" s="86"/>
      <c r="E2" s="86"/>
      <c r="F2" s="86"/>
      <c r="G2" s="86"/>
      <c r="H2" s="86"/>
      <c r="I2" s="87"/>
    </row>
    <row r="3" spans="1:11" ht="18.75" customHeight="1" x14ac:dyDescent="0.25">
      <c r="A3" s="78" t="s">
        <v>5</v>
      </c>
      <c r="B3" s="88" t="s">
        <v>648</v>
      </c>
      <c r="C3" s="89"/>
      <c r="D3" s="89"/>
      <c r="E3" s="89"/>
      <c r="F3" s="89"/>
      <c r="G3" s="89"/>
      <c r="H3" s="89"/>
      <c r="I3" s="90"/>
      <c r="J3" s="17"/>
    </row>
    <row r="4" spans="1:11" ht="18.75" customHeight="1" x14ac:dyDescent="0.25">
      <c r="A4" s="79"/>
      <c r="B4" s="91" t="s">
        <v>146</v>
      </c>
      <c r="C4" s="91"/>
      <c r="D4" s="91"/>
      <c r="E4" s="91"/>
      <c r="F4" s="91"/>
      <c r="G4" s="92" t="s">
        <v>409</v>
      </c>
      <c r="H4" s="8">
        <v>0.4</v>
      </c>
      <c r="I4" s="93" t="s">
        <v>6</v>
      </c>
    </row>
    <row r="5" spans="1:11" ht="18.75" customHeight="1" x14ac:dyDescent="0.25">
      <c r="A5" s="79"/>
      <c r="B5" s="91"/>
      <c r="C5" s="91"/>
      <c r="D5" s="91"/>
      <c r="E5" s="91"/>
      <c r="F5" s="91"/>
      <c r="G5" s="92" t="s">
        <v>150</v>
      </c>
      <c r="H5" s="8">
        <v>0.6</v>
      </c>
      <c r="I5" s="93" t="s">
        <v>6</v>
      </c>
    </row>
    <row r="6" spans="1:11" ht="18.75" customHeight="1" x14ac:dyDescent="0.25">
      <c r="A6" s="79"/>
      <c r="B6" s="91" t="s">
        <v>451</v>
      </c>
      <c r="C6" s="91"/>
      <c r="D6" s="91"/>
      <c r="E6" s="91"/>
      <c r="F6" s="91"/>
      <c r="G6" s="92" t="s">
        <v>7</v>
      </c>
      <c r="H6" s="8">
        <v>0.4</v>
      </c>
      <c r="I6" s="93" t="s">
        <v>6</v>
      </c>
    </row>
    <row r="7" spans="1:11" ht="18.75" customHeight="1" x14ac:dyDescent="0.25">
      <c r="A7" s="79"/>
      <c r="B7" s="91" t="s">
        <v>8</v>
      </c>
      <c r="C7" s="91"/>
      <c r="D7" s="91"/>
      <c r="E7" s="91"/>
      <c r="F7" s="91"/>
      <c r="G7" s="92" t="s">
        <v>9</v>
      </c>
      <c r="H7" s="269">
        <f>H37-H6</f>
        <v>2.1</v>
      </c>
      <c r="I7" s="93" t="s">
        <v>6</v>
      </c>
    </row>
    <row r="8" spans="1:11" ht="18.75" customHeight="1" x14ac:dyDescent="0.25">
      <c r="A8" s="79"/>
      <c r="B8" s="91" t="s">
        <v>145</v>
      </c>
      <c r="C8" s="91"/>
      <c r="D8" s="91"/>
      <c r="E8" s="91"/>
      <c r="F8" s="91"/>
      <c r="G8" s="92" t="s">
        <v>351</v>
      </c>
      <c r="H8" s="8">
        <v>5</v>
      </c>
      <c r="I8" s="93" t="s">
        <v>144</v>
      </c>
    </row>
    <row r="9" spans="1:11" ht="18.75" customHeight="1" x14ac:dyDescent="0.25">
      <c r="A9" s="79"/>
      <c r="B9" s="91" t="s">
        <v>349</v>
      </c>
      <c r="C9" s="91"/>
      <c r="D9" s="91"/>
      <c r="E9" s="91"/>
      <c r="F9" s="91"/>
      <c r="G9" s="92" t="s">
        <v>350</v>
      </c>
      <c r="H9" s="8">
        <v>16</v>
      </c>
      <c r="I9" s="93" t="s">
        <v>144</v>
      </c>
    </row>
    <row r="10" spans="1:11" ht="18.75" customHeight="1" x14ac:dyDescent="0.25">
      <c r="A10" s="80"/>
      <c r="B10" s="94" t="s">
        <v>10</v>
      </c>
      <c r="C10" s="94"/>
      <c r="D10" s="95"/>
      <c r="E10" s="96"/>
      <c r="F10" s="97"/>
      <c r="G10" s="98" t="s">
        <v>11</v>
      </c>
      <c r="H10" s="9">
        <v>100</v>
      </c>
      <c r="I10" s="99" t="s">
        <v>12</v>
      </c>
    </row>
    <row r="11" spans="1:11" ht="18.75" customHeight="1" x14ac:dyDescent="0.25">
      <c r="A11" s="81"/>
      <c r="B11" s="100"/>
      <c r="C11" s="100"/>
      <c r="D11" s="100"/>
      <c r="E11" s="100"/>
      <c r="F11" s="100"/>
      <c r="G11" s="100"/>
      <c r="H11" s="100"/>
      <c r="I11" s="101"/>
    </row>
    <row r="12" spans="1:11" ht="18.75" customHeight="1" x14ac:dyDescent="0.25">
      <c r="A12" s="78" t="s">
        <v>13</v>
      </c>
      <c r="B12" s="88" t="s">
        <v>649</v>
      </c>
      <c r="C12" s="89"/>
      <c r="D12" s="89"/>
      <c r="E12" s="89"/>
      <c r="F12" s="89"/>
      <c r="G12" s="89"/>
      <c r="H12" s="102"/>
      <c r="I12" s="103"/>
      <c r="J12" s="17"/>
      <c r="K12" s="4"/>
    </row>
    <row r="13" spans="1:11" s="246" customFormat="1" ht="18.75" customHeight="1" x14ac:dyDescent="0.25">
      <c r="A13" s="382"/>
      <c r="B13" s="383"/>
      <c r="C13" s="255"/>
      <c r="D13" s="255"/>
      <c r="E13" s="255"/>
      <c r="F13" s="255"/>
      <c r="G13" s="255"/>
      <c r="H13" s="257"/>
      <c r="I13" s="384"/>
      <c r="J13" s="385"/>
      <c r="K13" s="317"/>
    </row>
    <row r="14" spans="1:11" s="246" customFormat="1" ht="18.75" customHeight="1" x14ac:dyDescent="0.25">
      <c r="A14" s="382"/>
      <c r="B14" s="383"/>
      <c r="C14" s="255"/>
      <c r="D14" s="255"/>
      <c r="E14" s="255"/>
      <c r="F14" s="255"/>
      <c r="G14" s="255"/>
      <c r="H14" s="257"/>
      <c r="I14" s="384"/>
      <c r="J14" s="385"/>
      <c r="K14" s="317"/>
    </row>
    <row r="15" spans="1:11" s="246" customFormat="1" ht="18.75" customHeight="1" x14ac:dyDescent="0.25">
      <c r="A15" s="382"/>
      <c r="B15" s="383"/>
      <c r="C15" s="255"/>
      <c r="D15" s="255"/>
      <c r="E15" s="255"/>
      <c r="F15" s="255"/>
      <c r="G15" s="255"/>
      <c r="H15" s="257"/>
      <c r="I15" s="384"/>
      <c r="J15" s="385"/>
      <c r="K15" s="317"/>
    </row>
    <row r="16" spans="1:11" s="246" customFormat="1" ht="18.75" customHeight="1" x14ac:dyDescent="0.25">
      <c r="A16" s="382"/>
      <c r="B16" s="383"/>
      <c r="C16" s="255"/>
      <c r="D16" s="255"/>
      <c r="E16" s="255"/>
      <c r="F16" s="255"/>
      <c r="G16" s="255"/>
      <c r="H16" s="257"/>
      <c r="I16" s="384"/>
      <c r="J16" s="385"/>
      <c r="K16" s="317"/>
    </row>
    <row r="17" spans="1:11" s="246" customFormat="1" ht="18.75" customHeight="1" x14ac:dyDescent="0.25">
      <c r="A17" s="382"/>
      <c r="B17" s="383"/>
      <c r="C17" s="255"/>
      <c r="D17" s="255"/>
      <c r="E17" s="255"/>
      <c r="F17" s="255"/>
      <c r="G17" s="255"/>
      <c r="H17" s="257"/>
      <c r="I17" s="384"/>
      <c r="J17" s="385"/>
      <c r="K17" s="317"/>
    </row>
    <row r="18" spans="1:11" s="246" customFormat="1" ht="18.75" customHeight="1" x14ac:dyDescent="0.25">
      <c r="A18" s="382"/>
      <c r="B18" s="383"/>
      <c r="C18" s="255"/>
      <c r="D18" s="255"/>
      <c r="E18" s="255"/>
      <c r="F18" s="255"/>
      <c r="G18" s="255"/>
      <c r="H18" s="257"/>
      <c r="I18" s="384"/>
      <c r="J18" s="385"/>
      <c r="K18" s="317"/>
    </row>
    <row r="19" spans="1:11" s="246" customFormat="1" ht="18.75" customHeight="1" x14ac:dyDescent="0.25">
      <c r="A19" s="382"/>
      <c r="B19" s="383"/>
      <c r="C19" s="255"/>
      <c r="D19" s="255"/>
      <c r="E19" s="255"/>
      <c r="F19" s="255"/>
      <c r="G19" s="255"/>
      <c r="H19" s="257"/>
      <c r="I19" s="384"/>
      <c r="J19" s="385"/>
      <c r="K19" s="317"/>
    </row>
    <row r="20" spans="1:11" s="246" customFormat="1" ht="18.75" customHeight="1" x14ac:dyDescent="0.25">
      <c r="A20" s="382"/>
      <c r="B20" s="383"/>
      <c r="C20" s="255"/>
      <c r="D20" s="255"/>
      <c r="E20" s="255"/>
      <c r="F20" s="255"/>
      <c r="G20" s="255"/>
      <c r="H20" s="257"/>
      <c r="I20" s="384"/>
      <c r="J20" s="385"/>
      <c r="K20" s="317"/>
    </row>
    <row r="21" spans="1:11" s="246" customFormat="1" ht="18.75" customHeight="1" x14ac:dyDescent="0.25">
      <c r="A21" s="382"/>
      <c r="B21" s="383"/>
      <c r="C21" s="255"/>
      <c r="D21" s="255"/>
      <c r="E21" s="255"/>
      <c r="F21" s="255"/>
      <c r="G21" s="255"/>
      <c r="H21" s="257"/>
      <c r="I21" s="384"/>
      <c r="J21" s="385"/>
      <c r="K21" s="317"/>
    </row>
    <row r="22" spans="1:11" s="246" customFormat="1" ht="18.75" customHeight="1" x14ac:dyDescent="0.25">
      <c r="A22" s="382"/>
      <c r="B22" s="383"/>
      <c r="C22" s="255"/>
      <c r="D22" s="255"/>
      <c r="E22" s="255"/>
      <c r="F22" s="255"/>
      <c r="G22" s="255"/>
      <c r="H22" s="257"/>
      <c r="I22" s="384"/>
      <c r="J22" s="385"/>
      <c r="K22" s="317"/>
    </row>
    <row r="23" spans="1:11" s="246" customFormat="1" ht="18.75" customHeight="1" x14ac:dyDescent="0.25">
      <c r="A23" s="382"/>
      <c r="B23" s="383"/>
      <c r="C23" s="255"/>
      <c r="D23" s="255"/>
      <c r="E23" s="255"/>
      <c r="F23" s="255"/>
      <c r="G23" s="255"/>
      <c r="H23" s="257"/>
      <c r="I23" s="384"/>
      <c r="J23" s="385"/>
      <c r="K23" s="317"/>
    </row>
    <row r="24" spans="1:11" s="246" customFormat="1" ht="18.75" customHeight="1" x14ac:dyDescent="0.25">
      <c r="A24" s="382"/>
      <c r="B24" s="383"/>
      <c r="C24" s="255"/>
      <c r="D24" s="255"/>
      <c r="E24" s="255"/>
      <c r="F24" s="255"/>
      <c r="G24" s="255"/>
      <c r="H24" s="257"/>
      <c r="I24" s="384"/>
      <c r="J24" s="385"/>
      <c r="K24" s="317"/>
    </row>
    <row r="25" spans="1:11" ht="18.75" customHeight="1" x14ac:dyDescent="0.25">
      <c r="A25" s="79"/>
      <c r="B25" s="104"/>
      <c r="C25" s="91"/>
      <c r="D25" s="91"/>
      <c r="E25" s="91"/>
      <c r="F25" s="91"/>
      <c r="G25" s="91"/>
      <c r="H25" s="92"/>
      <c r="I25" s="105"/>
      <c r="J25" s="17"/>
      <c r="K25" s="4"/>
    </row>
    <row r="26" spans="1:11" ht="18.75" customHeight="1" x14ac:dyDescent="0.25">
      <c r="A26" s="79"/>
      <c r="B26" s="104"/>
      <c r="C26" s="91"/>
      <c r="D26" s="91"/>
      <c r="E26" s="91"/>
      <c r="F26" s="91"/>
      <c r="G26" s="91"/>
      <c r="H26" s="92"/>
      <c r="I26" s="105"/>
      <c r="J26" s="17"/>
      <c r="K26" s="4"/>
    </row>
    <row r="27" spans="1:11" ht="18.75" customHeight="1" x14ac:dyDescent="0.25">
      <c r="A27" s="79"/>
      <c r="B27" s="104"/>
      <c r="C27" s="91"/>
      <c r="D27" s="91"/>
      <c r="E27" s="91"/>
      <c r="F27" s="91"/>
      <c r="G27" s="91"/>
      <c r="H27" s="92"/>
      <c r="I27" s="105"/>
      <c r="J27" s="17"/>
      <c r="K27" s="4"/>
    </row>
    <row r="28" spans="1:11" ht="18.75" customHeight="1" x14ac:dyDescent="0.25">
      <c r="A28" s="79"/>
      <c r="B28" s="104"/>
      <c r="C28" s="91"/>
      <c r="D28" s="91"/>
      <c r="E28" s="91"/>
      <c r="F28" s="91"/>
      <c r="G28" s="91"/>
      <c r="H28" s="92"/>
      <c r="I28" s="105"/>
      <c r="J28" s="17"/>
      <c r="K28" s="4"/>
    </row>
    <row r="29" spans="1:11" ht="18.75" customHeight="1" x14ac:dyDescent="0.25">
      <c r="A29" s="79"/>
      <c r="B29" s="104"/>
      <c r="C29" s="91"/>
      <c r="D29" s="91"/>
      <c r="E29" s="91"/>
      <c r="F29" s="91"/>
      <c r="G29" s="91"/>
      <c r="H29" s="92"/>
      <c r="I29" s="105"/>
      <c r="J29" s="17"/>
      <c r="K29" s="4"/>
    </row>
    <row r="30" spans="1:11" ht="18.75" customHeight="1" x14ac:dyDescent="0.25">
      <c r="A30" s="79"/>
      <c r="B30" s="104"/>
      <c r="C30" s="91"/>
      <c r="D30" s="91"/>
      <c r="E30" s="91"/>
      <c r="F30" s="91"/>
      <c r="G30" s="91"/>
      <c r="H30" s="92"/>
      <c r="I30" s="105"/>
      <c r="J30" s="17"/>
      <c r="K30" s="4"/>
    </row>
    <row r="31" spans="1:11" ht="18.75" customHeight="1" x14ac:dyDescent="0.25">
      <c r="A31" s="79"/>
      <c r="B31" s="104"/>
      <c r="C31" s="91"/>
      <c r="D31" s="91"/>
      <c r="E31" s="91"/>
      <c r="F31" s="91"/>
      <c r="G31" s="91"/>
      <c r="H31" s="92"/>
      <c r="I31" s="105"/>
      <c r="J31" s="17"/>
      <c r="K31" s="4"/>
    </row>
    <row r="32" spans="1:11" ht="18.75" customHeight="1" x14ac:dyDescent="0.25">
      <c r="A32" s="79"/>
      <c r="B32" s="104"/>
      <c r="C32" s="91"/>
      <c r="D32" s="91"/>
      <c r="E32" s="91"/>
      <c r="F32" s="91"/>
      <c r="G32" s="91"/>
      <c r="H32" s="92"/>
      <c r="I32" s="105"/>
      <c r="J32" s="17"/>
      <c r="K32" s="4"/>
    </row>
    <row r="33" spans="1:11" ht="18.75" customHeight="1" x14ac:dyDescent="0.25">
      <c r="A33" s="79"/>
      <c r="B33" s="104"/>
      <c r="C33" s="91"/>
      <c r="D33" s="91"/>
      <c r="E33" s="91"/>
      <c r="F33" s="91"/>
      <c r="G33" s="91"/>
      <c r="H33" s="92"/>
      <c r="I33" s="105"/>
      <c r="J33" s="17"/>
      <c r="K33" s="4"/>
    </row>
    <row r="34" spans="1:11" ht="18.75" customHeight="1" x14ac:dyDescent="0.25">
      <c r="A34" s="79"/>
      <c r="B34" s="104"/>
      <c r="C34" s="91"/>
      <c r="D34" s="91"/>
      <c r="E34" s="91"/>
      <c r="F34" s="91"/>
      <c r="G34" s="91"/>
      <c r="H34" s="92"/>
      <c r="I34" s="105"/>
      <c r="J34" s="17"/>
      <c r="K34" s="4"/>
    </row>
    <row r="35" spans="1:11" ht="18.75" customHeight="1" x14ac:dyDescent="0.25">
      <c r="A35" s="79"/>
      <c r="B35" s="104"/>
      <c r="C35" s="91"/>
      <c r="D35" s="91"/>
      <c r="E35" s="91"/>
      <c r="F35" s="91"/>
      <c r="G35" s="91"/>
      <c r="H35" s="92"/>
      <c r="I35" s="105"/>
      <c r="J35" s="17"/>
      <c r="K35" s="4"/>
    </row>
    <row r="36" spans="1:11" ht="18.75" customHeight="1" x14ac:dyDescent="0.25">
      <c r="A36" s="79"/>
      <c r="B36" s="91" t="s">
        <v>531</v>
      </c>
      <c r="C36" s="91"/>
      <c r="D36" s="91"/>
      <c r="E36" s="91"/>
      <c r="F36" s="91"/>
      <c r="G36" s="92" t="s">
        <v>15</v>
      </c>
      <c r="H36" s="7">
        <v>0.3</v>
      </c>
      <c r="I36" s="93" t="s">
        <v>6</v>
      </c>
      <c r="K36" s="4"/>
    </row>
    <row r="37" spans="1:11" ht="18.75" customHeight="1" x14ac:dyDescent="0.25">
      <c r="A37" s="79"/>
      <c r="B37" s="91" t="s">
        <v>16</v>
      </c>
      <c r="C37" s="91"/>
      <c r="D37" s="91"/>
      <c r="E37" s="91"/>
      <c r="F37" s="91"/>
      <c r="G37" s="92" t="s">
        <v>17</v>
      </c>
      <c r="H37" s="11">
        <v>2.5</v>
      </c>
      <c r="I37" s="106" t="s">
        <v>156</v>
      </c>
      <c r="K37" s="4"/>
    </row>
    <row r="38" spans="1:11" ht="18.75" customHeight="1" x14ac:dyDescent="0.25">
      <c r="A38" s="79"/>
      <c r="B38" s="91" t="s">
        <v>532</v>
      </c>
      <c r="C38" s="91"/>
      <c r="D38" s="91"/>
      <c r="E38" s="91"/>
      <c r="F38" s="91"/>
      <c r="G38" s="92" t="s">
        <v>17</v>
      </c>
      <c r="H38" s="11">
        <v>7.5</v>
      </c>
      <c r="I38" s="106" t="s">
        <v>156</v>
      </c>
      <c r="K38" s="4"/>
    </row>
    <row r="39" spans="1:11" ht="18.75" customHeight="1" x14ac:dyDescent="0.25">
      <c r="A39" s="79"/>
      <c r="B39" s="91" t="s">
        <v>534</v>
      </c>
      <c r="C39" s="91"/>
      <c r="D39" s="91"/>
      <c r="E39" s="91"/>
      <c r="F39" s="91"/>
      <c r="G39" s="92" t="s">
        <v>528</v>
      </c>
      <c r="H39" s="13">
        <v>2</v>
      </c>
      <c r="I39" s="107"/>
      <c r="K39" s="4"/>
    </row>
    <row r="40" spans="1:11" ht="18.75" customHeight="1" x14ac:dyDescent="0.25">
      <c r="A40" s="79"/>
      <c r="B40" s="91" t="s">
        <v>535</v>
      </c>
      <c r="C40" s="91"/>
      <c r="D40" s="91"/>
      <c r="E40" s="91"/>
      <c r="F40" s="91"/>
      <c r="G40" s="92" t="s">
        <v>529</v>
      </c>
      <c r="H40" s="13">
        <v>2</v>
      </c>
      <c r="I40" s="107"/>
      <c r="K40" s="4"/>
    </row>
    <row r="41" spans="1:11" ht="18.75" customHeight="1" x14ac:dyDescent="0.25">
      <c r="A41" s="79"/>
      <c r="B41" s="91" t="s">
        <v>533</v>
      </c>
      <c r="C41" s="91"/>
      <c r="D41" s="91"/>
      <c r="E41" s="91"/>
      <c r="F41" s="91"/>
      <c r="G41" s="92" t="s">
        <v>530</v>
      </c>
      <c r="H41" s="7">
        <v>0.4</v>
      </c>
      <c r="I41" s="93" t="s">
        <v>6</v>
      </c>
      <c r="K41" s="4"/>
    </row>
    <row r="42" spans="1:11" ht="18.75" customHeight="1" x14ac:dyDescent="0.25">
      <c r="A42" s="79"/>
      <c r="B42" s="91" t="s">
        <v>536</v>
      </c>
      <c r="C42" s="91"/>
      <c r="D42" s="91"/>
      <c r="E42" s="91"/>
      <c r="F42" s="91"/>
      <c r="G42" s="92" t="s">
        <v>25</v>
      </c>
      <c r="H42" s="11">
        <v>1</v>
      </c>
      <c r="I42" s="93" t="s">
        <v>6</v>
      </c>
      <c r="K42" s="4"/>
    </row>
    <row r="43" spans="1:11" s="21" customFormat="1" ht="18.75" customHeight="1" x14ac:dyDescent="0.25">
      <c r="A43" s="82"/>
      <c r="B43" s="91"/>
      <c r="C43" s="91"/>
      <c r="D43" s="91"/>
      <c r="E43" s="91"/>
      <c r="F43" s="91"/>
      <c r="G43" s="92"/>
      <c r="H43" s="22"/>
      <c r="I43" s="93"/>
      <c r="K43" s="4"/>
    </row>
    <row r="44" spans="1:11" ht="18.75" customHeight="1" x14ac:dyDescent="0.25">
      <c r="A44" s="79"/>
      <c r="B44" s="104" t="s">
        <v>157</v>
      </c>
      <c r="C44" s="91"/>
      <c r="D44" s="91"/>
      <c r="E44" s="91"/>
      <c r="F44" s="91"/>
      <c r="G44" s="92"/>
      <c r="H44" s="23"/>
      <c r="I44" s="93"/>
      <c r="K44" s="4"/>
    </row>
    <row r="45" spans="1:11" ht="18.75" customHeight="1" x14ac:dyDescent="0.25">
      <c r="A45" s="81"/>
      <c r="B45" s="100"/>
      <c r="C45" s="100"/>
      <c r="D45" s="100"/>
      <c r="E45" s="100"/>
      <c r="F45" s="100"/>
      <c r="G45" s="100"/>
      <c r="H45" s="100"/>
      <c r="I45" s="101"/>
    </row>
    <row r="46" spans="1:11" ht="18.75" customHeight="1" x14ac:dyDescent="0.25">
      <c r="A46" s="78" t="s">
        <v>26</v>
      </c>
      <c r="B46" s="108" t="s">
        <v>650</v>
      </c>
      <c r="C46" s="109"/>
      <c r="D46" s="109"/>
      <c r="E46" s="109"/>
      <c r="F46" s="109"/>
      <c r="G46" s="110"/>
      <c r="H46" s="109"/>
      <c r="I46" s="111"/>
    </row>
    <row r="47" spans="1:11" ht="18.75" customHeight="1" x14ac:dyDescent="0.25">
      <c r="A47" s="81"/>
      <c r="B47" s="91" t="s">
        <v>27</v>
      </c>
      <c r="C47" s="91"/>
      <c r="D47" s="91"/>
      <c r="E47" s="91"/>
      <c r="F47" s="91"/>
      <c r="G47" s="92" t="s">
        <v>410</v>
      </c>
      <c r="H47" s="11">
        <v>30</v>
      </c>
      <c r="I47" s="93" t="s">
        <v>28</v>
      </c>
    </row>
    <row r="48" spans="1:11" ht="18.75" customHeight="1" x14ac:dyDescent="0.25">
      <c r="A48" s="81"/>
      <c r="B48" s="100" t="s">
        <v>30</v>
      </c>
      <c r="C48" s="100"/>
      <c r="D48" s="100"/>
      <c r="E48" s="100"/>
      <c r="F48" s="100"/>
      <c r="G48" s="112" t="s">
        <v>31</v>
      </c>
      <c r="H48" s="14">
        <v>400</v>
      </c>
      <c r="I48" s="101" t="s">
        <v>28</v>
      </c>
    </row>
    <row r="49" spans="1:11" ht="18.75" customHeight="1" x14ac:dyDescent="0.25">
      <c r="A49" s="81"/>
      <c r="B49" s="94" t="s">
        <v>32</v>
      </c>
      <c r="C49" s="100"/>
      <c r="D49" s="100"/>
      <c r="E49" s="100"/>
      <c r="F49" s="100"/>
      <c r="G49" s="112" t="s">
        <v>33</v>
      </c>
      <c r="H49" s="14">
        <v>200000</v>
      </c>
      <c r="I49" s="101" t="s">
        <v>28</v>
      </c>
    </row>
    <row r="50" spans="1:11" ht="18.75" customHeight="1" x14ac:dyDescent="0.25">
      <c r="A50" s="80"/>
      <c r="B50" s="94" t="s">
        <v>34</v>
      </c>
      <c r="C50" s="95"/>
      <c r="D50" s="95"/>
      <c r="E50" s="96"/>
      <c r="F50" s="97"/>
      <c r="G50" s="98" t="s">
        <v>15</v>
      </c>
      <c r="H50" s="15">
        <v>19</v>
      </c>
      <c r="I50" s="99" t="s">
        <v>12</v>
      </c>
      <c r="K50" s="16"/>
    </row>
    <row r="51" spans="1:11" ht="18.75" customHeight="1" x14ac:dyDescent="0.25">
      <c r="A51" s="80"/>
      <c r="B51" s="94" t="s">
        <v>35</v>
      </c>
      <c r="C51" s="95"/>
      <c r="D51" s="95"/>
      <c r="E51" s="96"/>
      <c r="F51" s="97"/>
      <c r="G51" s="98" t="s">
        <v>15</v>
      </c>
      <c r="H51" s="15">
        <v>13</v>
      </c>
      <c r="I51" s="99" t="s">
        <v>12</v>
      </c>
      <c r="K51" s="16"/>
    </row>
    <row r="52" spans="1:11" ht="18.75" customHeight="1" x14ac:dyDescent="0.25">
      <c r="A52" s="81"/>
      <c r="B52" s="100"/>
      <c r="C52" s="100"/>
      <c r="D52" s="100"/>
      <c r="E52" s="100"/>
      <c r="F52" s="100"/>
      <c r="G52" s="100"/>
      <c r="H52" s="100"/>
      <c r="I52" s="113"/>
    </row>
    <row r="53" spans="1:11" ht="18.75" customHeight="1" x14ac:dyDescent="0.25">
      <c r="A53" s="78" t="s">
        <v>151</v>
      </c>
      <c r="B53" s="108" t="s">
        <v>651</v>
      </c>
      <c r="C53" s="114"/>
      <c r="D53" s="114"/>
      <c r="E53" s="114"/>
      <c r="F53" s="114"/>
      <c r="G53" s="114"/>
      <c r="H53" s="114"/>
      <c r="I53" s="115"/>
      <c r="J53" s="67"/>
    </row>
    <row r="54" spans="1:11" ht="18.75" customHeight="1" x14ac:dyDescent="0.25">
      <c r="A54" s="83"/>
      <c r="B54" s="91" t="s">
        <v>148</v>
      </c>
      <c r="C54" s="116"/>
      <c r="D54" s="116"/>
      <c r="E54" s="116"/>
      <c r="F54" s="116"/>
      <c r="G54" s="92" t="s">
        <v>64</v>
      </c>
      <c r="H54" s="7">
        <v>17.2</v>
      </c>
      <c r="I54" s="93" t="s">
        <v>62</v>
      </c>
    </row>
    <row r="55" spans="1:11" ht="18.75" customHeight="1" x14ac:dyDescent="0.25">
      <c r="A55" s="84"/>
      <c r="B55" s="117" t="s">
        <v>149</v>
      </c>
      <c r="C55" s="117"/>
      <c r="D55" s="117"/>
      <c r="E55" s="117"/>
      <c r="F55" s="117"/>
      <c r="G55" s="92" t="s">
        <v>150</v>
      </c>
      <c r="H55" s="7">
        <v>24</v>
      </c>
      <c r="I55" s="93" t="s">
        <v>62</v>
      </c>
    </row>
    <row r="56" spans="1:11" ht="18.75" customHeight="1" x14ac:dyDescent="0.25">
      <c r="A56" s="84"/>
      <c r="B56" s="117"/>
      <c r="C56" s="117"/>
      <c r="D56" s="117"/>
      <c r="E56" s="117"/>
      <c r="F56" s="117"/>
      <c r="G56" s="92"/>
      <c r="H56" s="118"/>
      <c r="I56" s="93"/>
    </row>
    <row r="57" spans="1:11" ht="18.75" customHeight="1" x14ac:dyDescent="0.25">
      <c r="A57" s="78" t="s">
        <v>155</v>
      </c>
      <c r="B57" s="108" t="s">
        <v>652</v>
      </c>
      <c r="C57" s="114"/>
      <c r="D57" s="114"/>
      <c r="E57" s="114"/>
      <c r="F57" s="114"/>
      <c r="G57" s="114"/>
      <c r="H57" s="114"/>
      <c r="I57" s="119"/>
    </row>
    <row r="58" spans="1:11" ht="18.75" customHeight="1" x14ac:dyDescent="0.25">
      <c r="A58" s="79"/>
      <c r="B58" s="91" t="s">
        <v>537</v>
      </c>
      <c r="C58" s="91"/>
      <c r="D58" s="91"/>
      <c r="E58" s="91"/>
      <c r="F58" s="91"/>
      <c r="G58" s="92" t="s">
        <v>152</v>
      </c>
      <c r="H58" s="11">
        <v>1250</v>
      </c>
      <c r="I58" s="93" t="s">
        <v>69</v>
      </c>
    </row>
    <row r="59" spans="1:11" ht="18.75" customHeight="1" x14ac:dyDescent="0.25">
      <c r="A59" s="81"/>
      <c r="B59" s="91" t="s">
        <v>538</v>
      </c>
      <c r="C59" s="100"/>
      <c r="D59" s="100"/>
      <c r="E59" s="100"/>
      <c r="F59" s="100"/>
      <c r="G59" s="92" t="s">
        <v>153</v>
      </c>
      <c r="H59" s="11">
        <v>450</v>
      </c>
      <c r="I59" s="93" t="s">
        <v>69</v>
      </c>
    </row>
    <row r="60" spans="1:11" ht="18.75" customHeight="1" x14ac:dyDescent="0.25">
      <c r="A60" s="81"/>
      <c r="B60" s="100" t="s">
        <v>159</v>
      </c>
      <c r="C60" s="100"/>
      <c r="D60" s="100"/>
      <c r="E60" s="100"/>
      <c r="F60" s="100"/>
      <c r="G60" s="92" t="s">
        <v>154</v>
      </c>
      <c r="H60" s="13">
        <v>3</v>
      </c>
      <c r="I60" s="93"/>
    </row>
    <row r="61" spans="1:11" ht="18.75" customHeight="1" x14ac:dyDescent="0.25">
      <c r="A61" s="81"/>
      <c r="B61" s="100" t="s">
        <v>160</v>
      </c>
      <c r="C61" s="100"/>
      <c r="D61" s="100"/>
      <c r="E61" s="100"/>
      <c r="F61" s="100"/>
      <c r="G61" s="92" t="s">
        <v>154</v>
      </c>
      <c r="H61" s="13">
        <v>5</v>
      </c>
      <c r="I61" s="93"/>
    </row>
    <row r="62" spans="1:11" ht="18.75" customHeight="1" x14ac:dyDescent="0.25">
      <c r="A62" s="85"/>
      <c r="B62" s="120"/>
      <c r="C62" s="120"/>
      <c r="D62" s="120"/>
      <c r="E62" s="120"/>
      <c r="F62" s="120"/>
      <c r="G62" s="120"/>
      <c r="H62" s="120"/>
      <c r="I62" s="121"/>
    </row>
  </sheetData>
  <mergeCells count="1">
    <mergeCell ref="B1:F1"/>
  </mergeCells>
  <dataValidations count="1">
    <dataValidation type="list" allowBlank="1" showInputMessage="1" showErrorMessage="1" sqref="H39 H40:H41" xr:uid="{41044431-E30A-4C68-9242-7F6DD2E51AAC}">
      <formula1>"2,3,4,"</formula1>
    </dataValidation>
  </dataValidations>
  <pageMargins left="0.7" right="0.7" top="0.75" bottom="0.75" header="0.3" footer="0.3"/>
  <ignoredErrors>
    <ignoredError sqref="H7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DE6F-86C9-4005-BDF3-26DC21FB192D}">
  <sheetPr>
    <tabColor theme="9"/>
  </sheetPr>
  <dimension ref="A1:L23"/>
  <sheetViews>
    <sheetView showGridLines="0" workbookViewId="0">
      <selection activeCell="A13" sqref="A13:XFD23"/>
    </sheetView>
  </sheetViews>
  <sheetFormatPr defaultRowHeight="19.5" customHeight="1" x14ac:dyDescent="0.25"/>
  <cols>
    <col min="1" max="1" width="6.7109375" customWidth="1"/>
    <col min="2" max="2" width="22.28515625" customWidth="1"/>
    <col min="3" max="3" width="20.7109375" customWidth="1"/>
    <col min="4" max="4" width="11.5703125" customWidth="1"/>
    <col min="5" max="9" width="11.7109375" customWidth="1"/>
  </cols>
  <sheetData>
    <row r="1" spans="1:9" ht="19.5" customHeight="1" x14ac:dyDescent="0.25">
      <c r="A1" s="1" t="s">
        <v>0</v>
      </c>
      <c r="B1" s="441" t="s">
        <v>1</v>
      </c>
      <c r="C1" s="441"/>
      <c r="D1" s="441"/>
      <c r="E1" s="441" t="s">
        <v>3</v>
      </c>
      <c r="F1" s="441"/>
      <c r="G1" s="441"/>
      <c r="H1" s="441"/>
      <c r="I1" s="441"/>
    </row>
    <row r="13" spans="1:9" ht="19.5" customHeight="1" x14ac:dyDescent="0.25">
      <c r="A13" s="18" t="s">
        <v>57</v>
      </c>
      <c r="B13" s="19" t="s">
        <v>38</v>
      </c>
      <c r="C13" s="29"/>
      <c r="D13" s="29"/>
      <c r="E13" s="29"/>
      <c r="F13" s="29"/>
      <c r="G13" s="29"/>
      <c r="H13" s="29"/>
      <c r="I13" s="29"/>
    </row>
    <row r="14" spans="1:9" s="32" customFormat="1" ht="19.5" customHeight="1" x14ac:dyDescent="0.25">
      <c r="A14" s="30"/>
      <c r="B14" s="31"/>
    </row>
    <row r="15" spans="1:9" ht="18" x14ac:dyDescent="0.25">
      <c r="A15" s="442" t="s">
        <v>0</v>
      </c>
      <c r="B15" s="443" t="s">
        <v>39</v>
      </c>
      <c r="C15" s="443" t="s">
        <v>40</v>
      </c>
      <c r="D15" s="443" t="s">
        <v>41</v>
      </c>
      <c r="E15" s="24" t="s">
        <v>42</v>
      </c>
      <c r="F15" s="24" t="s">
        <v>43</v>
      </c>
      <c r="G15" s="24" t="s">
        <v>44</v>
      </c>
      <c r="H15" s="24" t="s">
        <v>45</v>
      </c>
      <c r="I15" s="24" t="s">
        <v>46</v>
      </c>
    </row>
    <row r="16" spans="1:9" ht="19.5" customHeight="1" x14ac:dyDescent="0.25">
      <c r="A16" s="442"/>
      <c r="B16" s="443"/>
      <c r="C16" s="443"/>
      <c r="D16" s="443"/>
      <c r="E16" s="24" t="s">
        <v>47</v>
      </c>
      <c r="F16" s="24" t="s">
        <v>47</v>
      </c>
      <c r="G16" s="24" t="s">
        <v>47</v>
      </c>
      <c r="H16" s="24" t="s">
        <v>48</v>
      </c>
      <c r="I16" s="24" t="s">
        <v>48</v>
      </c>
    </row>
    <row r="17" spans="1:12" ht="19.5" customHeight="1" x14ac:dyDescent="0.25">
      <c r="A17" s="25">
        <v>3</v>
      </c>
      <c r="B17" s="26" t="s">
        <v>414</v>
      </c>
      <c r="C17" s="26" t="s">
        <v>49</v>
      </c>
      <c r="D17" s="27" t="s">
        <v>50</v>
      </c>
      <c r="E17" s="378"/>
      <c r="F17" s="378"/>
      <c r="G17" s="28">
        <v>662.68</v>
      </c>
      <c r="H17" s="378"/>
      <c r="I17" s="378"/>
    </row>
    <row r="18" spans="1:12" ht="19.5" customHeight="1" x14ac:dyDescent="0.25">
      <c r="A18" s="25">
        <v>3</v>
      </c>
      <c r="B18" s="26" t="s">
        <v>56</v>
      </c>
      <c r="C18" s="26" t="s">
        <v>49</v>
      </c>
      <c r="D18" s="27" t="s">
        <v>50</v>
      </c>
      <c r="E18" s="378"/>
      <c r="F18" s="378"/>
      <c r="G18" s="28">
        <v>401.17849999999999</v>
      </c>
      <c r="H18" s="28">
        <v>57.660699999999999</v>
      </c>
      <c r="I18" s="28">
        <v>80.337400000000002</v>
      </c>
      <c r="K18" s="381"/>
      <c r="L18" s="381"/>
    </row>
    <row r="19" spans="1:12" ht="19.5" customHeight="1" x14ac:dyDescent="0.25">
      <c r="A19" s="25">
        <v>4</v>
      </c>
      <c r="B19" s="26" t="s">
        <v>56</v>
      </c>
      <c r="C19" s="26" t="s">
        <v>49</v>
      </c>
      <c r="D19" s="27" t="s">
        <v>51</v>
      </c>
      <c r="E19" s="378"/>
      <c r="F19" s="378"/>
      <c r="G19" s="28">
        <v>235.1705</v>
      </c>
      <c r="H19" s="28">
        <v>50.259349999999998</v>
      </c>
      <c r="I19" s="28">
        <v>207.84739999999999</v>
      </c>
      <c r="K19" s="381"/>
      <c r="L19" s="381"/>
    </row>
    <row r="20" spans="1:12" ht="19.5" customHeight="1" x14ac:dyDescent="0.25">
      <c r="A20" s="124">
        <v>5</v>
      </c>
      <c r="B20" s="125" t="s">
        <v>54</v>
      </c>
      <c r="C20" s="125" t="s">
        <v>49</v>
      </c>
      <c r="D20" s="126" t="s">
        <v>50</v>
      </c>
      <c r="E20" s="379"/>
      <c r="F20" s="379"/>
      <c r="G20" s="127">
        <v>388.42349999999999</v>
      </c>
      <c r="H20" s="127">
        <v>126.9393</v>
      </c>
      <c r="I20" s="127">
        <v>228.05889999999999</v>
      </c>
      <c r="K20" s="381"/>
      <c r="L20" s="381"/>
    </row>
    <row r="21" spans="1:12" ht="19.5" customHeight="1" x14ac:dyDescent="0.25">
      <c r="A21" s="124">
        <v>6</v>
      </c>
      <c r="B21" s="125" t="s">
        <v>54</v>
      </c>
      <c r="C21" s="125" t="s">
        <v>49</v>
      </c>
      <c r="D21" s="126" t="s">
        <v>51</v>
      </c>
      <c r="E21" s="379"/>
      <c r="F21" s="379"/>
      <c r="G21" s="127">
        <v>198.35</v>
      </c>
      <c r="H21" s="127">
        <v>124.5427</v>
      </c>
      <c r="I21" s="127">
        <v>239.4401</v>
      </c>
      <c r="K21" s="381"/>
      <c r="L21" s="381"/>
    </row>
    <row r="22" spans="1:12" ht="19.5" customHeight="1" x14ac:dyDescent="0.25">
      <c r="A22" s="128">
        <v>7</v>
      </c>
      <c r="B22" s="129" t="s">
        <v>55</v>
      </c>
      <c r="C22" s="129" t="s">
        <v>49</v>
      </c>
      <c r="D22" s="130" t="s">
        <v>50</v>
      </c>
      <c r="E22" s="380"/>
      <c r="F22" s="380"/>
      <c r="G22" s="131">
        <v>384.5575</v>
      </c>
      <c r="H22" s="131">
        <v>73.680999999999997</v>
      </c>
      <c r="I22" s="131">
        <v>132.75710000000001</v>
      </c>
      <c r="K22" s="381"/>
      <c r="L22" s="381"/>
    </row>
    <row r="23" spans="1:12" ht="19.5" customHeight="1" x14ac:dyDescent="0.25">
      <c r="A23" s="128">
        <v>8</v>
      </c>
      <c r="B23" s="129" t="s">
        <v>55</v>
      </c>
      <c r="C23" s="129" t="s">
        <v>49</v>
      </c>
      <c r="D23" s="130" t="s">
        <v>51</v>
      </c>
      <c r="E23" s="380"/>
      <c r="F23" s="380"/>
      <c r="G23" s="131">
        <v>159.71600000000001</v>
      </c>
      <c r="H23" s="131">
        <v>66.284499999999994</v>
      </c>
      <c r="I23" s="131">
        <v>139.13829999999999</v>
      </c>
      <c r="K23" s="381"/>
      <c r="L23" s="381"/>
    </row>
  </sheetData>
  <mergeCells count="6">
    <mergeCell ref="B1:D1"/>
    <mergeCell ref="E1:I1"/>
    <mergeCell ref="A15:A16"/>
    <mergeCell ref="B15:B16"/>
    <mergeCell ref="C15:C16"/>
    <mergeCell ref="D15:D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A895-E7CA-4E30-BD89-0A8FF2344172}">
  <sheetPr>
    <tabColor theme="5"/>
  </sheetPr>
  <dimension ref="A1:Q130"/>
  <sheetViews>
    <sheetView showGridLines="0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K59" sqref="K59"/>
    </sheetView>
  </sheetViews>
  <sheetFormatPr defaultColWidth="8.85546875" defaultRowHeight="18.75" customHeight="1" x14ac:dyDescent="0.25"/>
  <cols>
    <col min="1" max="1" width="7" style="2" customWidth="1"/>
    <col min="2" max="9" width="12.140625" style="4" customWidth="1"/>
    <col min="10" max="10" width="12.140625" style="17" customWidth="1"/>
    <col min="11" max="17" width="12.140625" style="4" customWidth="1"/>
    <col min="18" max="18" width="8.85546875" style="4"/>
    <col min="19" max="25" width="11.42578125" style="4" customWidth="1"/>
    <col min="26" max="16384" width="8.85546875" style="4"/>
  </cols>
  <sheetData>
    <row r="1" spans="1:17" ht="18.75" customHeight="1" x14ac:dyDescent="0.25">
      <c r="A1" s="1" t="s">
        <v>0</v>
      </c>
      <c r="B1" s="441" t="s">
        <v>1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</row>
    <row r="2" spans="1:17" ht="18.75" customHeight="1" x14ac:dyDescent="0.25">
      <c r="A2" s="2" t="s">
        <v>482</v>
      </c>
      <c r="B2" s="3" t="s">
        <v>661</v>
      </c>
    </row>
    <row r="3" spans="1:17" ht="18.75" customHeight="1" x14ac:dyDescent="0.25">
      <c r="B3" s="4" t="s">
        <v>533</v>
      </c>
      <c r="H3" s="6" t="s">
        <v>530</v>
      </c>
      <c r="I3" s="33">
        <f>'Input (1)'!H41</f>
        <v>0.4</v>
      </c>
      <c r="J3" s="5" t="s">
        <v>6</v>
      </c>
    </row>
    <row r="4" spans="1:17" ht="18.75" customHeight="1" x14ac:dyDescent="0.25">
      <c r="B4" s="4" t="s">
        <v>59</v>
      </c>
      <c r="H4" s="6" t="s">
        <v>422</v>
      </c>
      <c r="I4" s="33">
        <f>'Input (1)'!H6</f>
        <v>0.4</v>
      </c>
      <c r="J4" s="5" t="s">
        <v>6</v>
      </c>
    </row>
    <row r="5" spans="1:17" ht="18.75" customHeight="1" x14ac:dyDescent="0.25">
      <c r="B5" s="4" t="s">
        <v>8</v>
      </c>
      <c r="H5" s="6" t="s">
        <v>9</v>
      </c>
      <c r="I5" s="33">
        <f>'Input (1)'!H7</f>
        <v>2.1</v>
      </c>
      <c r="J5" s="5" t="s">
        <v>6</v>
      </c>
    </row>
    <row r="6" spans="1:17" ht="18.75" customHeight="1" x14ac:dyDescent="0.25">
      <c r="B6" s="4" t="s">
        <v>161</v>
      </c>
      <c r="H6" s="6" t="s">
        <v>351</v>
      </c>
      <c r="I6" s="33">
        <f>'Input (1)'!H8</f>
        <v>5</v>
      </c>
      <c r="J6" s="5" t="s">
        <v>144</v>
      </c>
    </row>
    <row r="7" spans="1:17" ht="18.75" customHeight="1" x14ac:dyDescent="0.25">
      <c r="B7" s="4" t="s">
        <v>60</v>
      </c>
      <c r="H7" s="6" t="s">
        <v>61</v>
      </c>
      <c r="I7" s="33">
        <f>'Input (1)'!H55</f>
        <v>24</v>
      </c>
      <c r="J7" s="5" t="s">
        <v>62</v>
      </c>
    </row>
    <row r="8" spans="1:17" ht="18.75" customHeight="1" x14ac:dyDescent="0.25">
      <c r="B8" s="4" t="s">
        <v>63</v>
      </c>
      <c r="H8" s="6" t="s">
        <v>64</v>
      </c>
      <c r="I8" s="33">
        <f>'Input (1)'!H54</f>
        <v>17.2</v>
      </c>
      <c r="J8" s="5" t="s">
        <v>62</v>
      </c>
    </row>
    <row r="9" spans="1:17" ht="18.75" customHeight="1" x14ac:dyDescent="0.25">
      <c r="H9" s="6"/>
      <c r="I9" s="34"/>
      <c r="J9" s="5"/>
    </row>
    <row r="10" spans="1:17" ht="18.75" customHeight="1" x14ac:dyDescent="0.25">
      <c r="A10" s="2" t="s">
        <v>483</v>
      </c>
      <c r="B10" s="3" t="s">
        <v>488</v>
      </c>
      <c r="H10" s="6"/>
      <c r="I10" s="10"/>
      <c r="J10" s="5"/>
    </row>
    <row r="11" spans="1:17" ht="18.75" customHeight="1" x14ac:dyDescent="0.25">
      <c r="B11" s="4" t="s">
        <v>531</v>
      </c>
      <c r="H11" s="6" t="s">
        <v>15</v>
      </c>
      <c r="I11" s="33">
        <f>'Input (1)'!H36</f>
        <v>0.3</v>
      </c>
      <c r="J11" s="5" t="s">
        <v>6</v>
      </c>
    </row>
    <row r="12" spans="1:17" ht="18.75" customHeight="1" x14ac:dyDescent="0.25">
      <c r="B12" s="4" t="s">
        <v>532</v>
      </c>
      <c r="H12" s="6" t="s">
        <v>17</v>
      </c>
      <c r="I12" s="35">
        <f>'Input (1)'!H38</f>
        <v>7.5</v>
      </c>
      <c r="J12" s="123" t="s">
        <v>156</v>
      </c>
    </row>
    <row r="13" spans="1:17" ht="18.75" customHeight="1" x14ac:dyDescent="0.25">
      <c r="B13" s="426" t="s">
        <v>157</v>
      </c>
      <c r="H13" s="6"/>
      <c r="I13" s="36"/>
    </row>
    <row r="14" spans="1:17" ht="18.75" customHeight="1" x14ac:dyDescent="0.25">
      <c r="B14" s="104"/>
      <c r="H14" s="6"/>
      <c r="I14" s="36"/>
    </row>
    <row r="15" spans="1:17" ht="18.75" customHeight="1" x14ac:dyDescent="0.25">
      <c r="A15" s="2" t="s">
        <v>484</v>
      </c>
      <c r="B15" s="3" t="s">
        <v>662</v>
      </c>
    </row>
    <row r="16" spans="1:17" ht="18.75" customHeight="1" x14ac:dyDescent="0.25">
      <c r="B16" s="3"/>
    </row>
    <row r="17" spans="2:15" ht="18.75" customHeight="1" x14ac:dyDescent="0.25">
      <c r="B17" s="3"/>
    </row>
    <row r="18" spans="2:15" ht="18.75" customHeight="1" x14ac:dyDescent="0.25">
      <c r="B18" s="3"/>
    </row>
    <row r="19" spans="2:15" ht="18.75" customHeight="1" x14ac:dyDescent="0.25">
      <c r="B19" s="3"/>
    </row>
    <row r="20" spans="2:15" ht="18.75" customHeight="1" x14ac:dyDescent="0.25">
      <c r="B20" s="3"/>
    </row>
    <row r="21" spans="2:15" ht="18.75" customHeight="1" x14ac:dyDescent="0.25">
      <c r="B21" s="3"/>
    </row>
    <row r="22" spans="2:15" ht="18.75" customHeight="1" x14ac:dyDescent="0.25">
      <c r="B22" s="3"/>
    </row>
    <row r="23" spans="2:15" ht="18.75" customHeight="1" x14ac:dyDescent="0.25">
      <c r="B23" s="3"/>
    </row>
    <row r="24" spans="2:15" ht="18.75" customHeight="1" x14ac:dyDescent="0.25">
      <c r="B24" s="3"/>
    </row>
    <row r="25" spans="2:15" ht="18.75" customHeight="1" x14ac:dyDescent="0.25">
      <c r="B25" s="3"/>
    </row>
    <row r="26" spans="2:15" ht="18.75" customHeight="1" x14ac:dyDescent="0.25">
      <c r="B26" s="464" t="s">
        <v>56</v>
      </c>
      <c r="C26" s="465"/>
      <c r="D26" s="465"/>
      <c r="E26" s="465"/>
      <c r="F26" s="465"/>
      <c r="G26" s="465"/>
      <c r="H26" s="466"/>
      <c r="I26" s="37" t="s">
        <v>66</v>
      </c>
      <c r="J26" s="37" t="s">
        <v>67</v>
      </c>
      <c r="K26" s="38"/>
    </row>
    <row r="27" spans="2:15" ht="18.75" customHeight="1" x14ac:dyDescent="0.25">
      <c r="B27" s="4" t="s">
        <v>585</v>
      </c>
      <c r="H27" s="6" t="s">
        <v>68</v>
      </c>
      <c r="I27" s="33">
        <f>ABS('Input (2)'!$G$18)</f>
        <v>401.17849999999999</v>
      </c>
      <c r="J27" s="33">
        <f>ABS('Input (2)'!$G$19)</f>
        <v>235.1705</v>
      </c>
      <c r="K27" s="5" t="s">
        <v>69</v>
      </c>
    </row>
    <row r="28" spans="2:15" ht="18.75" customHeight="1" x14ac:dyDescent="0.25">
      <c r="B28" s="4" t="s">
        <v>586</v>
      </c>
      <c r="H28" s="6" t="s">
        <v>70</v>
      </c>
      <c r="I28" s="33">
        <f>ABS('Input (2)'!$H$18)</f>
        <v>57.660699999999999</v>
      </c>
      <c r="J28" s="33">
        <f>ABS('Input (2)'!$H$19)</f>
        <v>50.259349999999998</v>
      </c>
      <c r="K28" s="5" t="s">
        <v>71</v>
      </c>
      <c r="L28" s="38"/>
      <c r="M28" s="38"/>
      <c r="N28" s="38"/>
      <c r="O28" s="38"/>
    </row>
    <row r="29" spans="2:15" ht="18.75" customHeight="1" x14ac:dyDescent="0.25">
      <c r="B29" s="4" t="s">
        <v>587</v>
      </c>
      <c r="H29" s="6" t="s">
        <v>72</v>
      </c>
      <c r="I29" s="33">
        <f>ABS('Input (2)'!$I$18)</f>
        <v>80.337400000000002</v>
      </c>
      <c r="J29" s="33">
        <f>ABS('Input (2)'!$I$19)</f>
        <v>207.84739999999999</v>
      </c>
      <c r="K29" s="5" t="s">
        <v>71</v>
      </c>
      <c r="L29" s="38"/>
      <c r="M29" s="38"/>
      <c r="N29" s="38"/>
      <c r="O29" s="38"/>
    </row>
    <row r="30" spans="2:15" ht="18.75" customHeight="1" x14ac:dyDescent="0.25">
      <c r="H30" s="6"/>
      <c r="I30" s="34"/>
      <c r="K30" s="5"/>
    </row>
    <row r="31" spans="2:15" ht="18.75" customHeight="1" x14ac:dyDescent="0.25">
      <c r="B31" s="444" t="s">
        <v>54</v>
      </c>
      <c r="C31" s="445"/>
      <c r="D31" s="445"/>
      <c r="E31" s="445"/>
      <c r="F31" s="445"/>
      <c r="G31" s="445"/>
      <c r="H31" s="446"/>
      <c r="I31" s="39" t="s">
        <v>66</v>
      </c>
      <c r="J31" s="39" t="s">
        <v>67</v>
      </c>
      <c r="K31" s="138"/>
    </row>
    <row r="32" spans="2:15" ht="18.75" customHeight="1" x14ac:dyDescent="0.25">
      <c r="B32" s="4" t="s">
        <v>588</v>
      </c>
      <c r="H32" s="6" t="s">
        <v>73</v>
      </c>
      <c r="I32" s="33">
        <f>ABS('Input (2)'!$G$20)</f>
        <v>388.42349999999999</v>
      </c>
      <c r="J32" s="33">
        <f>ABS('Input (2)'!$G$21)</f>
        <v>198.35</v>
      </c>
      <c r="K32" s="5" t="s">
        <v>69</v>
      </c>
    </row>
    <row r="33" spans="1:17" ht="18.75" customHeight="1" x14ac:dyDescent="0.25">
      <c r="B33" s="4" t="s">
        <v>592</v>
      </c>
      <c r="H33" s="6" t="s">
        <v>74</v>
      </c>
      <c r="I33" s="33">
        <f>ABS('Input (2)'!H20)</f>
        <v>126.9393</v>
      </c>
      <c r="J33" s="33">
        <f>ABS('Input (2)'!H21)</f>
        <v>124.5427</v>
      </c>
      <c r="K33" s="5" t="s">
        <v>71</v>
      </c>
      <c r="L33" s="38"/>
      <c r="M33" s="38"/>
      <c r="N33" s="38"/>
      <c r="O33" s="38"/>
    </row>
    <row r="34" spans="1:17" ht="18.75" customHeight="1" x14ac:dyDescent="0.25">
      <c r="B34" s="4" t="s">
        <v>593</v>
      </c>
      <c r="H34" s="6" t="s">
        <v>75</v>
      </c>
      <c r="I34" s="33">
        <f>ABS('Input (2)'!I20)</f>
        <v>228.05889999999999</v>
      </c>
      <c r="J34" s="33">
        <f>ABS('Input (2)'!I21)</f>
        <v>239.4401</v>
      </c>
      <c r="K34" s="5" t="s">
        <v>71</v>
      </c>
      <c r="L34" s="38"/>
      <c r="M34" s="38"/>
      <c r="N34" s="38"/>
      <c r="O34" s="38"/>
    </row>
    <row r="35" spans="1:17" ht="18.75" customHeight="1" x14ac:dyDescent="0.25">
      <c r="H35" s="6"/>
      <c r="I35" s="34"/>
      <c r="K35" s="138"/>
      <c r="L35" s="38"/>
      <c r="M35" s="38"/>
      <c r="N35" s="38"/>
      <c r="O35" s="38"/>
    </row>
    <row r="36" spans="1:17" ht="18.75" customHeight="1" x14ac:dyDescent="0.25">
      <c r="B36" s="447" t="s">
        <v>55</v>
      </c>
      <c r="C36" s="448"/>
      <c r="D36" s="448"/>
      <c r="E36" s="448"/>
      <c r="F36" s="448"/>
      <c r="G36" s="448"/>
      <c r="H36" s="449"/>
      <c r="I36" s="40" t="s">
        <v>66</v>
      </c>
      <c r="J36" s="40" t="s">
        <v>67</v>
      </c>
      <c r="K36" s="138"/>
      <c r="L36" s="38"/>
      <c r="M36" s="38"/>
      <c r="N36" s="38"/>
      <c r="O36" s="38"/>
    </row>
    <row r="37" spans="1:17" ht="18.75" customHeight="1" x14ac:dyDescent="0.25">
      <c r="B37" s="4" t="s">
        <v>589</v>
      </c>
      <c r="H37" s="6" t="s">
        <v>76</v>
      </c>
      <c r="I37" s="33">
        <f>ABS('Input (2)'!$G$22)</f>
        <v>384.5575</v>
      </c>
      <c r="J37" s="33">
        <f>ABS('Input (2)'!$G$23)</f>
        <v>159.71600000000001</v>
      </c>
      <c r="K37" s="5" t="s">
        <v>69</v>
      </c>
    </row>
    <row r="38" spans="1:17" ht="18.75" customHeight="1" x14ac:dyDescent="0.25">
      <c r="B38" s="4" t="s">
        <v>590</v>
      </c>
      <c r="H38" s="6" t="s">
        <v>77</v>
      </c>
      <c r="I38" s="33">
        <f>ABS('Input (2)'!H22)</f>
        <v>73.680999999999997</v>
      </c>
      <c r="J38" s="33">
        <f>ABS('Input (2)'!H23)</f>
        <v>66.284499999999994</v>
      </c>
      <c r="K38" s="5" t="s">
        <v>71</v>
      </c>
      <c r="L38" s="38"/>
      <c r="M38" s="38"/>
      <c r="N38" s="38"/>
      <c r="O38" s="38"/>
    </row>
    <row r="39" spans="1:17" ht="18.75" customHeight="1" x14ac:dyDescent="0.25">
      <c r="B39" s="4" t="s">
        <v>591</v>
      </c>
      <c r="H39" s="6" t="s">
        <v>78</v>
      </c>
      <c r="I39" s="33">
        <f>ABS('Input (2)'!I22)</f>
        <v>132.75710000000001</v>
      </c>
      <c r="J39" s="33">
        <f>ABS('Input (2)'!I23)</f>
        <v>139.13829999999999</v>
      </c>
      <c r="K39" s="5" t="s">
        <v>71</v>
      </c>
      <c r="L39" s="38"/>
      <c r="M39" s="38"/>
      <c r="N39" s="38"/>
      <c r="O39" s="38"/>
    </row>
    <row r="40" spans="1:17" ht="18.75" customHeight="1" x14ac:dyDescent="0.25">
      <c r="H40" s="6"/>
      <c r="I40" s="41"/>
      <c r="K40" s="17"/>
      <c r="L40" s="38"/>
      <c r="M40" s="38"/>
      <c r="N40" s="38"/>
      <c r="O40" s="38"/>
    </row>
    <row r="41" spans="1:17" ht="18.75" customHeight="1" x14ac:dyDescent="0.25">
      <c r="B41" s="4" t="s">
        <v>631</v>
      </c>
      <c r="H41" s="6" t="s">
        <v>79</v>
      </c>
      <c r="I41" s="35">
        <f>'Input (1)'!H38-'Input (1)'!H37</f>
        <v>5</v>
      </c>
      <c r="J41" s="5" t="s">
        <v>6</v>
      </c>
      <c r="L41" s="38"/>
      <c r="M41" s="42"/>
      <c r="N41" s="38"/>
      <c r="O41" s="38"/>
    </row>
    <row r="42" spans="1:17" ht="18.75" customHeight="1" x14ac:dyDescent="0.25">
      <c r="H42" s="6"/>
      <c r="I42" s="34"/>
    </row>
    <row r="43" spans="1:17" ht="18.75" customHeight="1" x14ac:dyDescent="0.25">
      <c r="A43" s="2" t="s">
        <v>514</v>
      </c>
      <c r="B43" s="3" t="s">
        <v>632</v>
      </c>
    </row>
    <row r="44" spans="1:17" ht="18.75" customHeight="1" x14ac:dyDescent="0.25">
      <c r="B44" s="3" t="s">
        <v>80</v>
      </c>
      <c r="F44" s="3" t="s">
        <v>81</v>
      </c>
    </row>
    <row r="45" spans="1:17" ht="37.5" customHeight="1" x14ac:dyDescent="0.25">
      <c r="B45" s="467" t="s">
        <v>626</v>
      </c>
      <c r="C45" s="468"/>
      <c r="D45" s="468"/>
      <c r="E45" s="469"/>
      <c r="F45" s="467" t="s">
        <v>627</v>
      </c>
      <c r="G45" s="468"/>
      <c r="H45" s="468"/>
      <c r="I45" s="469"/>
      <c r="K45" s="43"/>
      <c r="L45" s="454" t="s">
        <v>65</v>
      </c>
      <c r="M45" s="454"/>
      <c r="N45" s="454" t="s">
        <v>52</v>
      </c>
      <c r="O45" s="454"/>
      <c r="P45" s="454" t="s">
        <v>53</v>
      </c>
      <c r="Q45" s="454"/>
    </row>
    <row r="46" spans="1:17" ht="18.75" customHeight="1" x14ac:dyDescent="0.25">
      <c r="B46" s="44" t="s">
        <v>83</v>
      </c>
      <c r="C46" s="44" t="s">
        <v>84</v>
      </c>
      <c r="D46" s="44" t="s">
        <v>85</v>
      </c>
      <c r="E46" s="45" t="s">
        <v>86</v>
      </c>
      <c r="F46" s="44" t="s">
        <v>83</v>
      </c>
      <c r="G46" s="44" t="s">
        <v>84</v>
      </c>
      <c r="H46" s="44" t="s">
        <v>87</v>
      </c>
      <c r="I46" s="45" t="s">
        <v>88</v>
      </c>
      <c r="K46" s="43"/>
      <c r="L46" s="37" t="s">
        <v>89</v>
      </c>
      <c r="M46" s="37" t="s">
        <v>67</v>
      </c>
      <c r="N46" s="37" t="s">
        <v>89</v>
      </c>
      <c r="O46" s="37" t="s">
        <v>67</v>
      </c>
      <c r="P46" s="37" t="s">
        <v>89</v>
      </c>
      <c r="Q46" s="37" t="s">
        <v>67</v>
      </c>
    </row>
    <row r="47" spans="1:17" ht="18.75" customHeight="1" x14ac:dyDescent="0.25">
      <c r="B47" s="46"/>
      <c r="C47" s="46" t="s">
        <v>90</v>
      </c>
      <c r="D47" s="46" t="s">
        <v>91</v>
      </c>
      <c r="E47" s="47" t="s">
        <v>92</v>
      </c>
      <c r="F47" s="46"/>
      <c r="G47" s="46" t="s">
        <v>90</v>
      </c>
      <c r="H47" s="46" t="s">
        <v>91</v>
      </c>
      <c r="I47" s="47" t="s">
        <v>92</v>
      </c>
      <c r="K47" s="74" t="s">
        <v>93</v>
      </c>
      <c r="L47" s="48">
        <f>MAX(H48:H51)</f>
        <v>0.5</v>
      </c>
      <c r="M47" s="48">
        <f>MIN(H48:H51)</f>
        <v>-0.5</v>
      </c>
      <c r="N47" s="48">
        <f>L47</f>
        <v>0.5</v>
      </c>
      <c r="O47" s="48">
        <f>M47</f>
        <v>-0.5</v>
      </c>
      <c r="P47" s="48">
        <f>N47</f>
        <v>0.5</v>
      </c>
      <c r="Q47" s="48">
        <f>O47</f>
        <v>-0.5</v>
      </c>
    </row>
    <row r="48" spans="1:17" ht="18.75" customHeight="1" x14ac:dyDescent="0.25">
      <c r="B48" s="132">
        <f>IF('Input (1)'!H39&gt;0,1,"")</f>
        <v>1</v>
      </c>
      <c r="C48" s="133">
        <f>IF('Input (1)'!H39&gt;0,'Input (1)'!H40,"")</f>
        <v>2</v>
      </c>
      <c r="D48" s="134">
        <f>IF('Input (1)'!H39=1,0,IF('Input (1)'!H39=2,-1*0.5*I56/1000,IF('Input (1)'!H39=3,-I56/1000,IF('Input (1)'!H39=4,-1.5*I56/1000,"[ EROR ]"))))</f>
        <v>-0.5</v>
      </c>
      <c r="E48" s="135">
        <f>C48*D48^2</f>
        <v>0.5</v>
      </c>
      <c r="F48" s="132">
        <f>IF('Input (1)'!H40&gt;0,1,"")</f>
        <v>1</v>
      </c>
      <c r="G48" s="133">
        <f>IF('Input (1)'!H40&gt;0,'Input (1)'!H39,"")</f>
        <v>2</v>
      </c>
      <c r="H48" s="134">
        <f>IF('Input (1)'!H40=1,0,IF('Input (1)'!H40=2,-1*0.5*I56/1000,IF('Input (1)'!H40=3,-I56/1000,IF('Input (1)'!H40=4,-1.5*I56/1000,"[ EROR ]"))))</f>
        <v>-0.5</v>
      </c>
      <c r="I48" s="135">
        <f>G48*H48^2</f>
        <v>0.5</v>
      </c>
      <c r="K48" s="75"/>
      <c r="L48" s="35">
        <f>IF(D48="","",$I$73/$C$52+$I$29*$L$47/$I$52+$I$28*D48/$E$52)</f>
        <v>161.19847516469244</v>
      </c>
      <c r="M48" s="35">
        <f>IF(D48="","",$J$73/$C$52+$J$29*$M$47/$I$52+$J$28*D48/$E$52)</f>
        <v>-20.695249835307543</v>
      </c>
      <c r="N48" s="35">
        <f>IF(D48="","",$I$74/$C$52+$I$34*$N$47/$I$52+$I$33*D48/$E$52)</f>
        <v>197.23117516469244</v>
      </c>
      <c r="O48" s="35">
        <f>IF(D48="","",$J$74/$C$52+$J$34*$O$47/$I$52+$J$33*D48/$E$52)</f>
        <v>-82.838399835307541</v>
      </c>
      <c r="P48" s="35">
        <f>IF(D48="","",$I$75/$C$52+$I$39*$P$47/$I$52+$I$38*D48/$E$52)</f>
        <v>175.24292516469248</v>
      </c>
      <c r="Q48" s="35">
        <f>IF(D48="","",$J$75/$C$52+$J$39*$Q$47/$I$52+$J$38*D48/$E$52)</f>
        <v>-13.216899835307537</v>
      </c>
    </row>
    <row r="49" spans="2:17" ht="18.75" customHeight="1" x14ac:dyDescent="0.25">
      <c r="B49" s="132">
        <f>IF('Input (1)'!H39&gt;1,2,"")</f>
        <v>2</v>
      </c>
      <c r="C49" s="133">
        <f>IF('Input (1)'!H39&gt;1,'Input (1)'!H40,"")</f>
        <v>2</v>
      </c>
      <c r="D49" s="134">
        <f>IF('Input (1)'!H39&lt;2,"",IF('Input (1)'!H39=2,0.5*I56/1000,IF('Input (1)'!H39=3,0,IF('Input (1)'!H39=4,-0.5*I56/1000,"[ EROR ]"))))</f>
        <v>0.5</v>
      </c>
      <c r="E49" s="135">
        <f>IF(C49="","",C49*D49^2)</f>
        <v>0.5</v>
      </c>
      <c r="F49" s="132">
        <f>IF('Input (1)'!H40&gt;1,2,"")</f>
        <v>2</v>
      </c>
      <c r="G49" s="133">
        <f>IF('Input (1)'!H40&gt;1,'Input (1)'!H39,"")</f>
        <v>2</v>
      </c>
      <c r="H49" s="134">
        <f>IF('Input (1)'!H40&lt;2,"",IF('Input (1)'!H40=2,0.5*I56/1000,IF('Input (1)'!H40=3,0,IF('Input (1)'!H40=4,-0.5*I56/1000,"[ EROR ]"))))</f>
        <v>0.5</v>
      </c>
      <c r="I49" s="135">
        <f>IF(G49="","",G49*H49^2)</f>
        <v>0.5</v>
      </c>
      <c r="K49" s="75"/>
      <c r="L49" s="35">
        <f>IF(D49="","",$I$73/$C$52+$I$29*$L$47/$I$52+$I$28*D49/$E$52)</f>
        <v>218.85917516469246</v>
      </c>
      <c r="M49" s="35">
        <f>IF(D49="","",$J$73/$C$52+$J$29*$M$47/$I$52+$J$28*D49/$E$52)</f>
        <v>29.564100164692455</v>
      </c>
      <c r="N49" s="35">
        <f>IF(D49="","",$I$74/$C$52+$I$34*$N$47/$I$52+$I$33*D49/$E$52)</f>
        <v>324.17047516469245</v>
      </c>
      <c r="O49" s="35">
        <f>IF(D49="","",$J$74/$C$52+$J$34*$O$47/$I$52+$J$33*D49/$E$52)</f>
        <v>41.704300164692455</v>
      </c>
      <c r="P49" s="35">
        <f>IF(D49="","",$I$75/$C$52+$I$39*$P$47/$I$52+$I$38*D49/$E$52)</f>
        <v>248.92392516469246</v>
      </c>
      <c r="Q49" s="35">
        <f>IF(D49="","",$J$75/$C$52+$J$39*$Q$47/$I$52+$J$38*D49/$E$52)</f>
        <v>53.067600164692458</v>
      </c>
    </row>
    <row r="50" spans="2:17" ht="18.75" customHeight="1" x14ac:dyDescent="0.25">
      <c r="B50" s="132" t="str">
        <f>IF('Input (1)'!H39&gt;2,3,"")</f>
        <v/>
      </c>
      <c r="C50" s="132" t="str">
        <f>IF('Input (1)'!H39&gt;2,'Input (1)'!H40,"")</f>
        <v/>
      </c>
      <c r="D50" s="134" t="str">
        <f>IF('Input (1)'!H39&lt;3,"",IF('Input (1)'!H39=3,I56/1000,IF('Input (1)'!H39=4,0.5*I56/1000,"[ EROR ]")))</f>
        <v/>
      </c>
      <c r="E50" s="135" t="str">
        <f t="shared" ref="E50:E51" si="0">IF(C50="","",C50*D50^2)</f>
        <v/>
      </c>
      <c r="F50" s="132" t="str">
        <f>IF('Input (1)'!H40&gt;2,3,"")</f>
        <v/>
      </c>
      <c r="G50" s="132" t="str">
        <f>IF('Input (1)'!H40&gt;2,'Input (1)'!H39,"")</f>
        <v/>
      </c>
      <c r="H50" s="134" t="str">
        <f>IF('Input (1)'!H40&lt;3,"",IF('Input (1)'!H40=3,I56/1000,IF('Input (1)'!H40=4,0.5*I56/1000,"[ EROR ]")))</f>
        <v/>
      </c>
      <c r="I50" s="135" t="str">
        <f t="shared" ref="I50:I51" si="1">IF(G50="","",G50*H50^2)</f>
        <v/>
      </c>
      <c r="K50" s="75"/>
      <c r="L50" s="35" t="str">
        <f>IF(D50="","",$I$73/$C$52+$I$29*$L$47/$I$52+$I$28*D50/$E$52)</f>
        <v/>
      </c>
      <c r="M50" s="35" t="str">
        <f>IF(D50="","",$J$73/$C$52+$J$29*$M$47/$I$52+$J$28*D50/$E$52)</f>
        <v/>
      </c>
      <c r="N50" s="35" t="str">
        <f>IF(D50="","",$I$74/$C$52+$I$34*$N$47/$I$52+$I$33*D50/$E$52)</f>
        <v/>
      </c>
      <c r="O50" s="35" t="str">
        <f>IF(D50="","",$J$74/$C$52+$J$34*$O$47/$I$52+$J$33*D50/$E$52)</f>
        <v/>
      </c>
      <c r="P50" s="35" t="str">
        <f>IF(D50="","",$I$75/$C$52+$I$39*$P$47/$I$52+$I$38*D50/$E$52)</f>
        <v/>
      </c>
      <c r="Q50" s="35" t="str">
        <f>IF(D50="","",$J$75/$C$52+$J$39*$Q$47/$I$52+$J$38*D50/$E$52)</f>
        <v/>
      </c>
    </row>
    <row r="51" spans="2:17" ht="18.75" customHeight="1" x14ac:dyDescent="0.25">
      <c r="B51" s="132" t="str">
        <f>IF('Input (1)'!H39&gt;3,4,"")</f>
        <v/>
      </c>
      <c r="C51" s="132" t="str">
        <f>IF('Input (1)'!H39&gt;3,'Input (1)'!H40,"")</f>
        <v/>
      </c>
      <c r="D51" s="134" t="str">
        <f>IF('Input (1)'!H39&lt;4,"",IF('Input (1)'!H39=4,1.5*I56/1000,"[ EROR ]"))</f>
        <v/>
      </c>
      <c r="E51" s="135" t="str">
        <f t="shared" si="0"/>
        <v/>
      </c>
      <c r="F51" s="132" t="str">
        <f>IF('Input (1)'!H40&gt;3,4,"")</f>
        <v/>
      </c>
      <c r="G51" s="132" t="str">
        <f>IF('Input (1)'!H40&gt;3,'Input (1)'!H39,"")</f>
        <v/>
      </c>
      <c r="H51" s="134" t="str">
        <f>IF('Input (1)'!H40&lt;4,"",IF('Input (1)'!H40=4,1.5*I56/1000,"[ EROR ]"))</f>
        <v/>
      </c>
      <c r="I51" s="135" t="str">
        <f t="shared" si="1"/>
        <v/>
      </c>
      <c r="K51" s="75"/>
      <c r="L51" s="35" t="str">
        <f>IF(D51="","",$I$73/$C$52+$I$29*$L$47/$I$52+$I$28*D51/$E$52)</f>
        <v/>
      </c>
      <c r="M51" s="35" t="str">
        <f>IF(D51="","",$J$73/$C$52+$J$29*$M$47/$I$52+$J$28*D51/$E$52)</f>
        <v/>
      </c>
      <c r="N51" s="35" t="str">
        <f>IF(D51="","",$I$74/$C$52+$I$34*$N$47/$I$52+$I$33*D51/$E$52)</f>
        <v/>
      </c>
      <c r="O51" s="35" t="str">
        <f>IF(D51="","",$J$74/$C$52+$J$34*$O$47/$I$52+$J$33*D51/$E$52)</f>
        <v/>
      </c>
      <c r="P51" s="35" t="str">
        <f>IF(D51="","",$I$75/$C$52+$I$39*$P$47/$I$52+$I$38*D51/$E$52)</f>
        <v/>
      </c>
      <c r="Q51" s="35" t="str">
        <f>IF(D51="","",$J$75/$C$52+$J$39*$Q$47/$I$52+$J$38*D51/$E$52)</f>
        <v/>
      </c>
    </row>
    <row r="52" spans="2:17" ht="18.75" customHeight="1" x14ac:dyDescent="0.25">
      <c r="B52" s="51" t="s">
        <v>94</v>
      </c>
      <c r="C52" s="49">
        <f>SUM(C48:C51)</f>
        <v>4</v>
      </c>
      <c r="D52" s="52" t="s">
        <v>95</v>
      </c>
      <c r="E52" s="50">
        <f>SUM(E48:E51)</f>
        <v>1</v>
      </c>
      <c r="F52" s="53" t="s">
        <v>94</v>
      </c>
      <c r="G52" s="49">
        <f>SUM(G48:G51)</f>
        <v>4</v>
      </c>
      <c r="H52" s="52" t="s">
        <v>96</v>
      </c>
      <c r="I52" s="50">
        <f>SUM(I48:I51)</f>
        <v>1</v>
      </c>
      <c r="K52" s="74" t="s">
        <v>97</v>
      </c>
      <c r="L52" s="54">
        <f>SUM(L48:L51)</f>
        <v>380.0576503293849</v>
      </c>
      <c r="M52" s="54">
        <f t="shared" ref="M52:Q52" si="2">SUM(M48:M51)</f>
        <v>8.8688503293849124</v>
      </c>
      <c r="N52" s="54">
        <f t="shared" si="2"/>
        <v>521.40165032938489</v>
      </c>
      <c r="O52" s="54">
        <f t="shared" si="2"/>
        <v>-41.134099670615086</v>
      </c>
      <c r="P52" s="54">
        <f t="shared" si="2"/>
        <v>424.16685032938494</v>
      </c>
      <c r="Q52" s="54">
        <f t="shared" si="2"/>
        <v>39.850700329384921</v>
      </c>
    </row>
    <row r="53" spans="2:17" ht="18.75" customHeight="1" x14ac:dyDescent="0.25">
      <c r="B53" s="55" t="s">
        <v>98</v>
      </c>
      <c r="C53" s="56"/>
      <c r="D53" s="56"/>
      <c r="E53" s="56"/>
      <c r="F53" s="56"/>
      <c r="G53" s="56"/>
      <c r="H53" s="57" t="s">
        <v>99</v>
      </c>
      <c r="I53" s="50">
        <f>2*MAX(H48:H51)+2*I3</f>
        <v>1.8</v>
      </c>
      <c r="J53" s="5" t="s">
        <v>6</v>
      </c>
    </row>
    <row r="54" spans="2:17" ht="18.75" customHeight="1" x14ac:dyDescent="0.25">
      <c r="B54" s="55" t="s">
        <v>100</v>
      </c>
      <c r="C54" s="56"/>
      <c r="D54" s="56"/>
      <c r="E54" s="56"/>
      <c r="F54" s="56"/>
      <c r="G54" s="56"/>
      <c r="H54" s="57" t="s">
        <v>101</v>
      </c>
      <c r="I54" s="50">
        <f>2*MAX(D48:D51)+2*I3</f>
        <v>1.8</v>
      </c>
      <c r="J54" s="5" t="s">
        <v>6</v>
      </c>
    </row>
    <row r="55" spans="2:17" ht="18.75" customHeight="1" x14ac:dyDescent="0.25">
      <c r="J55" s="5"/>
      <c r="K55" s="43"/>
      <c r="L55" s="454" t="s">
        <v>65</v>
      </c>
      <c r="M55" s="454"/>
      <c r="N55" s="454" t="s">
        <v>52</v>
      </c>
      <c r="O55" s="454"/>
      <c r="P55" s="454" t="s">
        <v>53</v>
      </c>
      <c r="Q55" s="454"/>
    </row>
    <row r="56" spans="2:17" ht="18.75" customHeight="1" x14ac:dyDescent="0.25">
      <c r="B56" s="4" t="s">
        <v>102</v>
      </c>
      <c r="G56" s="20"/>
      <c r="H56" s="6" t="s">
        <v>25</v>
      </c>
      <c r="I56" s="35">
        <f>'Input (1)'!H42*1000</f>
        <v>1000</v>
      </c>
      <c r="J56" s="5" t="s">
        <v>12</v>
      </c>
      <c r="K56" s="43"/>
      <c r="L56" s="137" t="s">
        <v>89</v>
      </c>
      <c r="M56" s="137" t="s">
        <v>67</v>
      </c>
      <c r="N56" s="137" t="s">
        <v>89</v>
      </c>
      <c r="O56" s="137" t="s">
        <v>67</v>
      </c>
      <c r="P56" s="137" t="s">
        <v>89</v>
      </c>
      <c r="Q56" s="137" t="s">
        <v>67</v>
      </c>
    </row>
    <row r="57" spans="2:17" ht="18.75" customHeight="1" x14ac:dyDescent="0.25">
      <c r="B57" s="4" t="s">
        <v>103</v>
      </c>
      <c r="G57" s="20" t="s">
        <v>104</v>
      </c>
      <c r="H57" s="20" t="s">
        <v>105</v>
      </c>
      <c r="I57" s="20" t="s">
        <v>106</v>
      </c>
      <c r="J57" s="5"/>
      <c r="K57" s="74" t="s">
        <v>168</v>
      </c>
      <c r="L57" s="48">
        <f>MAX(D48:D51)</f>
        <v>0.5</v>
      </c>
      <c r="M57" s="48">
        <f>MIN(D48:D51)</f>
        <v>-0.5</v>
      </c>
      <c r="N57" s="48">
        <f>L57</f>
        <v>0.5</v>
      </c>
      <c r="O57" s="48">
        <f>M57</f>
        <v>-0.5</v>
      </c>
      <c r="P57" s="48">
        <f>N57</f>
        <v>0.5</v>
      </c>
      <c r="Q57" s="48">
        <f>O57</f>
        <v>-0.5</v>
      </c>
    </row>
    <row r="58" spans="2:17" ht="18.75" customHeight="1" x14ac:dyDescent="0.25">
      <c r="B58" s="3"/>
      <c r="G58" s="144">
        <f>2.5*I11*1000</f>
        <v>750</v>
      </c>
      <c r="H58" s="20" t="s">
        <v>105</v>
      </c>
      <c r="I58" s="144">
        <f>4*I11*1000</f>
        <v>1200</v>
      </c>
      <c r="J58" s="5"/>
      <c r="K58" s="75"/>
      <c r="L58" s="35">
        <f>IF(H48="","",$I$73/$C$52+$I$29*$L$57/$I$52+$I$28*H48/$E$52)</f>
        <v>161.19847516469244</v>
      </c>
      <c r="M58" s="35">
        <f>IF(H48="","",$J$73/$C$52+$J$29*$M$57/$I$52+$J$28*H48/$E$52)</f>
        <v>-20.695249835307543</v>
      </c>
      <c r="N58" s="35">
        <f>IF(H48="","",$I$74/$C$52+$I$34*$N$57/$I$52+$I$33*H48/$E$52)</f>
        <v>197.23117516469244</v>
      </c>
      <c r="O58" s="35">
        <f>IF(H48="","",$J$74/$C$52+$J$34*$O$57/$I$52+$J$33*H48/$E$52)</f>
        <v>-82.838399835307541</v>
      </c>
      <c r="P58" s="35">
        <f>IF(H48="","",$I$75/$C$52+$I$39*$P$57/$I$52+$I$38*H48/$E$52)</f>
        <v>175.24292516469248</v>
      </c>
      <c r="Q58" s="35">
        <f>IF(H48="","",$J$75/$C$52+$J$39*$Q$57/$I$52+$J$38*H48/$E$52)</f>
        <v>-13.216899835307537</v>
      </c>
    </row>
    <row r="59" spans="2:17" ht="18.75" customHeight="1" x14ac:dyDescent="0.25">
      <c r="B59" s="3"/>
      <c r="G59" s="20"/>
      <c r="H59" s="20" t="s">
        <v>107</v>
      </c>
      <c r="I59" s="2" t="str">
        <f>IF(G58&lt;I56,IF(I56&lt;I58,"[ OK ]","[ NOT OK]"),"[ NOT OK ]")</f>
        <v>[ OK ]</v>
      </c>
      <c r="J59" s="5"/>
      <c r="K59" s="75"/>
      <c r="L59" s="35">
        <f>IF(H49="","",$I$73/$C$52+$I$29*$L$57/$I$52+$I$28*H49/$E$52)</f>
        <v>218.85917516469246</v>
      </c>
      <c r="M59" s="35">
        <f>IF(H49="","",$J$73/$C$52+$J$29*$M$57/$I$52+$J$28*H49/$E$52)</f>
        <v>29.564100164692455</v>
      </c>
      <c r="N59" s="35">
        <f>IF(H49="","",$I$74/$C$52+$I$34*$N$57/$I$52+$I$33*H49/$E$52)</f>
        <v>324.17047516469245</v>
      </c>
      <c r="O59" s="35">
        <f>IF(H49="","",$J$74/$C$52+$J$34*$O$57/$I$52+$J$33*H49/$E$52)</f>
        <v>41.704300164692455</v>
      </c>
      <c r="P59" s="35">
        <f>IF(H49="","",$I$75/$C$52+$I$39*$P$57/$I$52+$I$38*H49/$E$52)</f>
        <v>248.92392516469246</v>
      </c>
      <c r="Q59" s="35">
        <f>IF(H49="","",$J$75/$C$52+$J$39*$Q$57/$I$52+$J$38*H49/$E$52)</f>
        <v>53.067600164692458</v>
      </c>
    </row>
    <row r="60" spans="2:17" ht="18.75" customHeight="1" x14ac:dyDescent="0.25">
      <c r="B60" s="3"/>
      <c r="G60" s="20"/>
      <c r="H60" s="20"/>
      <c r="I60" s="20"/>
      <c r="J60" s="5"/>
      <c r="K60" s="75"/>
      <c r="L60" s="35" t="str">
        <f>IF(H50="","",$I$73/$C$52+$I$29*$L$57/$I$52+$I$28*H50/$E$52)</f>
        <v/>
      </c>
      <c r="M60" s="35" t="str">
        <f>IF(H50="","",$J$73/$C$52+$J$29*$M$57/$I$52+$J$28*H50/$E$52)</f>
        <v/>
      </c>
      <c r="N60" s="35" t="str">
        <f>IF(H50="","",$I$74/$C$52+$I$34*$N$57/$I$52+$I$33*H50/$E$52)</f>
        <v/>
      </c>
      <c r="O60" s="35" t="str">
        <f>IF(H50="","",$J$74/$C$52+$J$34*$O$57/$I$52+$J$33*H50/$E$52)</f>
        <v/>
      </c>
      <c r="P60" s="35" t="str">
        <f>IF(H50="","",$I$75/$C$52+$I$39*$P$57/$I$52+$I$38*H50/$E$52)</f>
        <v/>
      </c>
      <c r="Q60" s="35" t="str">
        <f>IF(H50="","",$J$75/$C$52+$J$39*$Q$57/$I$52+$J$38*H50/$E$52)</f>
        <v/>
      </c>
    </row>
    <row r="61" spans="2:17" ht="18.75" customHeight="1" x14ac:dyDescent="0.25">
      <c r="B61" s="4" t="s">
        <v>533</v>
      </c>
      <c r="H61" s="6" t="s">
        <v>21</v>
      </c>
      <c r="I61" s="33">
        <f>I3*1000</f>
        <v>400</v>
      </c>
      <c r="J61" s="5" t="s">
        <v>12</v>
      </c>
      <c r="K61" s="75"/>
      <c r="L61" s="35" t="str">
        <f>IF(H51="","",$I$73/$C$52+$I$29*$L$57/$I$52+$I$28*H51/$E$52)</f>
        <v/>
      </c>
      <c r="M61" s="35" t="str">
        <f>IF(H51="","",$J$73/$C$52+$J$29*$M$57/$I$52+$J$28*H51/$E$52)</f>
        <v/>
      </c>
      <c r="N61" s="35" t="str">
        <f>IF(H51="","",$I$74/$C$52+$I$34*$N$57/$I$52+$I$33*H51/$E$52)</f>
        <v/>
      </c>
      <c r="O61" s="35" t="str">
        <f>IF(H51="","",$J$74/$C$52+$J$34*$O$57/$I$52+$J$33*H51/$E$52)</f>
        <v/>
      </c>
      <c r="P61" s="35" t="str">
        <f>IF(H51="","",$I$75/$C$52+$I$39*$P$57/$I$52+$I$38*H51/$E$52)</f>
        <v/>
      </c>
      <c r="Q61" s="35" t="str">
        <f>IF(H51="","",$J$75/$C$52+$J$39*$Q$57/$I$52+$J$38*H51/$E$52)</f>
        <v/>
      </c>
    </row>
    <row r="62" spans="2:17" ht="18.75" customHeight="1" x14ac:dyDescent="0.25">
      <c r="B62" s="4" t="s">
        <v>103</v>
      </c>
      <c r="G62" s="20"/>
      <c r="H62" s="20" t="s">
        <v>109</v>
      </c>
      <c r="I62" s="20" t="s">
        <v>110</v>
      </c>
      <c r="J62" s="5"/>
      <c r="K62" s="74" t="s">
        <v>97</v>
      </c>
      <c r="L62" s="54">
        <f t="shared" ref="L62:Q62" si="3">SUM(L58:L61)</f>
        <v>380.0576503293849</v>
      </c>
      <c r="M62" s="54">
        <f t="shared" si="3"/>
        <v>8.8688503293849124</v>
      </c>
      <c r="N62" s="54">
        <f t="shared" si="3"/>
        <v>521.40165032938489</v>
      </c>
      <c r="O62" s="54">
        <f t="shared" si="3"/>
        <v>-41.134099670615086</v>
      </c>
      <c r="P62" s="54">
        <f t="shared" si="3"/>
        <v>424.16685032938494</v>
      </c>
      <c r="Q62" s="54">
        <f t="shared" si="3"/>
        <v>39.850700329384921</v>
      </c>
    </row>
    <row r="63" spans="2:17" ht="18.75" customHeight="1" x14ac:dyDescent="0.25">
      <c r="B63" s="3"/>
      <c r="G63" s="20"/>
      <c r="H63" s="20" t="s">
        <v>109</v>
      </c>
      <c r="I63" s="144">
        <f>1.25*I11*1000</f>
        <v>375</v>
      </c>
      <c r="J63" s="5"/>
    </row>
    <row r="64" spans="2:17" ht="18.75" customHeight="1" x14ac:dyDescent="0.25">
      <c r="H64" s="20" t="s">
        <v>107</v>
      </c>
      <c r="I64" s="2" t="str">
        <f>IF(I61&gt;I63,"[ OK ]","[ NOT OK ]")</f>
        <v>[ OK ]</v>
      </c>
      <c r="J64" s="5"/>
    </row>
    <row r="65" spans="1:17" ht="18.75" customHeight="1" x14ac:dyDescent="0.25">
      <c r="M65" s="253"/>
      <c r="O65" s="253"/>
      <c r="Q65" s="253"/>
    </row>
    <row r="66" spans="1:17" ht="18.75" customHeight="1" x14ac:dyDescent="0.25">
      <c r="A66" s="2" t="s">
        <v>653</v>
      </c>
      <c r="B66" s="3" t="s">
        <v>663</v>
      </c>
      <c r="M66" s="253"/>
      <c r="O66" s="253"/>
      <c r="Q66" s="253"/>
    </row>
    <row r="67" spans="1:17" ht="18.75" customHeight="1" x14ac:dyDescent="0.25">
      <c r="B67" s="4" t="s">
        <v>111</v>
      </c>
      <c r="H67" s="58" t="s">
        <v>112</v>
      </c>
      <c r="I67" s="35">
        <f>I53*I54*I5*I8</f>
        <v>117.02880000000002</v>
      </c>
      <c r="J67" s="5" t="s">
        <v>69</v>
      </c>
      <c r="M67" s="253"/>
      <c r="O67" s="253"/>
      <c r="Q67" s="253"/>
    </row>
    <row r="68" spans="1:17" ht="18.75" customHeight="1" x14ac:dyDescent="0.25">
      <c r="B68" s="4" t="s">
        <v>162</v>
      </c>
      <c r="H68" s="58" t="s">
        <v>163</v>
      </c>
      <c r="I68" s="35">
        <f>I53*I54*I6</f>
        <v>16.200000000000003</v>
      </c>
      <c r="J68" s="5" t="s">
        <v>69</v>
      </c>
      <c r="M68" s="253"/>
      <c r="O68" s="253"/>
      <c r="Q68" s="253"/>
    </row>
    <row r="69" spans="1:17" ht="18.75" customHeight="1" x14ac:dyDescent="0.25">
      <c r="B69" s="4" t="s">
        <v>113</v>
      </c>
      <c r="H69" s="58" t="s">
        <v>114</v>
      </c>
      <c r="I69" s="35">
        <f>(I53*I54*I4)*I7</f>
        <v>31.104000000000006</v>
      </c>
      <c r="J69" s="5" t="s">
        <v>69</v>
      </c>
    </row>
    <row r="70" spans="1:17" ht="18.75" customHeight="1" x14ac:dyDescent="0.25">
      <c r="B70" s="4" t="s">
        <v>634</v>
      </c>
      <c r="H70" s="58" t="s">
        <v>165</v>
      </c>
      <c r="I70" s="35">
        <f>(C52*0.25*PI()*I11^2*I41)*I7</f>
        <v>33.929200658769766</v>
      </c>
      <c r="J70" s="5" t="s">
        <v>69</v>
      </c>
    </row>
    <row r="71" spans="1:17" ht="18.75" customHeight="1" x14ac:dyDescent="0.25">
      <c r="I71" s="59"/>
    </row>
    <row r="72" spans="1:17" ht="18.75" customHeight="1" x14ac:dyDescent="0.25">
      <c r="B72" s="4" t="s">
        <v>115</v>
      </c>
      <c r="H72" s="6" t="s">
        <v>164</v>
      </c>
      <c r="I72" s="136" t="s">
        <v>66</v>
      </c>
      <c r="J72" s="136" t="s">
        <v>67</v>
      </c>
    </row>
    <row r="73" spans="1:17" ht="18.75" customHeight="1" x14ac:dyDescent="0.25">
      <c r="B73" s="455" t="s">
        <v>56</v>
      </c>
      <c r="C73" s="456"/>
      <c r="D73" s="456"/>
      <c r="E73" s="456"/>
      <c r="F73" s="456"/>
      <c r="G73" s="457"/>
      <c r="H73" s="6" t="s">
        <v>116</v>
      </c>
      <c r="I73" s="60">
        <f>I27+1*($I$67+$I$68+$I$69+$I$70)</f>
        <v>599.44050065876979</v>
      </c>
      <c r="J73" s="60">
        <f>J27+1*($I$67+$I$68+$I$69+$I$70)</f>
        <v>433.43250065876981</v>
      </c>
      <c r="K73" s="5" t="s">
        <v>69</v>
      </c>
    </row>
    <row r="74" spans="1:17" ht="18.75" customHeight="1" x14ac:dyDescent="0.25">
      <c r="B74" s="458" t="s">
        <v>54</v>
      </c>
      <c r="C74" s="459"/>
      <c r="D74" s="459"/>
      <c r="E74" s="459"/>
      <c r="F74" s="459"/>
      <c r="G74" s="460"/>
      <c r="H74" s="6" t="s">
        <v>117</v>
      </c>
      <c r="I74" s="61">
        <f>I32+1*($I$67+$I$68+$I$69+$I$70)</f>
        <v>586.6855006587698</v>
      </c>
      <c r="J74" s="61">
        <f>J32+1*($I$67+$I$68+$I$69+$I$70)</f>
        <v>396.61200065876983</v>
      </c>
      <c r="K74" s="5" t="s">
        <v>69</v>
      </c>
    </row>
    <row r="75" spans="1:17" ht="18.75" customHeight="1" x14ac:dyDescent="0.25">
      <c r="B75" s="461" t="s">
        <v>55</v>
      </c>
      <c r="C75" s="462"/>
      <c r="D75" s="462"/>
      <c r="E75" s="462"/>
      <c r="F75" s="462"/>
      <c r="G75" s="463"/>
      <c r="H75" s="6" t="s">
        <v>118</v>
      </c>
      <c r="I75" s="62">
        <f>I37+1*($I$67+$I$68+$I$69+$I$70)</f>
        <v>582.81950065876981</v>
      </c>
      <c r="J75" s="62">
        <f>J37+1*($I$67+$I$68+$I$69+I70)</f>
        <v>357.97800065876982</v>
      </c>
      <c r="K75" s="5" t="s">
        <v>69</v>
      </c>
    </row>
    <row r="76" spans="1:17" ht="18.75" customHeight="1" x14ac:dyDescent="0.25">
      <c r="B76" s="17"/>
      <c r="C76" s="17"/>
      <c r="D76" s="17"/>
      <c r="E76" s="17"/>
      <c r="F76" s="17"/>
      <c r="G76" s="17"/>
      <c r="H76" s="6"/>
      <c r="I76" s="63"/>
      <c r="J76" s="4"/>
      <c r="K76" s="17"/>
    </row>
    <row r="77" spans="1:17" ht="18.75" customHeight="1" x14ac:dyDescent="0.25">
      <c r="B77" s="4" t="s">
        <v>635</v>
      </c>
      <c r="H77" s="6" t="s">
        <v>119</v>
      </c>
      <c r="I77" s="35">
        <f>MAX(H48:H51)</f>
        <v>0.5</v>
      </c>
      <c r="J77" s="5" t="s">
        <v>6</v>
      </c>
    </row>
    <row r="78" spans="1:17" ht="18.75" customHeight="1" x14ac:dyDescent="0.25">
      <c r="B78" s="4" t="s">
        <v>636</v>
      </c>
      <c r="H78" s="6" t="s">
        <v>120</v>
      </c>
      <c r="I78" s="35">
        <f>MAX(D48:D51)</f>
        <v>0.5</v>
      </c>
      <c r="J78" s="5" t="s">
        <v>6</v>
      </c>
    </row>
    <row r="79" spans="1:17" ht="18.75" customHeight="1" x14ac:dyDescent="0.25">
      <c r="B79" s="4" t="s">
        <v>637</v>
      </c>
      <c r="H79" s="6" t="s">
        <v>121</v>
      </c>
      <c r="I79" s="35">
        <f>MIN(H48:H51)</f>
        <v>-0.5</v>
      </c>
      <c r="J79" s="5" t="s">
        <v>6</v>
      </c>
    </row>
    <row r="80" spans="1:17" ht="18.75" customHeight="1" x14ac:dyDescent="0.25">
      <c r="B80" s="4" t="s">
        <v>638</v>
      </c>
      <c r="H80" s="6" t="s">
        <v>122</v>
      </c>
      <c r="I80" s="35">
        <f>MIN(D48:D51)</f>
        <v>-0.5</v>
      </c>
      <c r="J80" s="5" t="s">
        <v>6</v>
      </c>
    </row>
    <row r="81" spans="2:10" ht="18.75" customHeight="1" x14ac:dyDescent="0.25">
      <c r="H81" s="6"/>
      <c r="I81" s="36"/>
    </row>
    <row r="82" spans="2:10" ht="18.75" customHeight="1" x14ac:dyDescent="0.25">
      <c r="B82" s="4" t="s">
        <v>639</v>
      </c>
    </row>
    <row r="83" spans="2:10" ht="18.75" customHeight="1" x14ac:dyDescent="0.25">
      <c r="B83" s="453" t="s">
        <v>167</v>
      </c>
      <c r="C83" s="453"/>
      <c r="D83" s="453"/>
      <c r="E83" s="453"/>
      <c r="F83" s="453"/>
      <c r="G83" s="453"/>
      <c r="H83" s="453"/>
      <c r="I83" s="453" t="s">
        <v>166</v>
      </c>
      <c r="J83" s="453"/>
    </row>
    <row r="84" spans="2:10" ht="18.75" customHeight="1" x14ac:dyDescent="0.25">
      <c r="B84" s="464" t="s">
        <v>56</v>
      </c>
      <c r="C84" s="465"/>
      <c r="D84" s="465"/>
      <c r="E84" s="465"/>
      <c r="F84" s="465"/>
      <c r="G84" s="465"/>
      <c r="H84" s="466"/>
      <c r="I84" s="37" t="s">
        <v>66</v>
      </c>
      <c r="J84" s="37" t="s">
        <v>67</v>
      </c>
    </row>
    <row r="85" spans="2:10" ht="18.75" customHeight="1" x14ac:dyDescent="0.25">
      <c r="H85" s="6" t="s">
        <v>123</v>
      </c>
      <c r="I85" s="35">
        <f>I73/$G$52+I28*$I$78/$E$52+I29*$I$77/$I$52</f>
        <v>218.85917516469246</v>
      </c>
      <c r="J85" s="35">
        <f>J73/$G$52+J28*$I$78/$E$52+J29*$I$77/$I$52</f>
        <v>237.41150016469246</v>
      </c>
    </row>
    <row r="86" spans="2:10" ht="18.75" customHeight="1" x14ac:dyDescent="0.25">
      <c r="H86" s="6" t="s">
        <v>124</v>
      </c>
      <c r="I86" s="35">
        <f>I73/$G$52+I28*$I$80/$E$52+I29*$I$79/$I$52</f>
        <v>80.861075164692451</v>
      </c>
      <c r="J86" s="35">
        <f>J73/$G$52+J28*$I$80/$E$52+J29*$I$79/$I$52</f>
        <v>-20.69524983530755</v>
      </c>
    </row>
    <row r="87" spans="2:10" ht="18.75" customHeight="1" x14ac:dyDescent="0.25">
      <c r="B87" s="444" t="s">
        <v>54</v>
      </c>
      <c r="C87" s="445"/>
      <c r="D87" s="445"/>
      <c r="E87" s="445"/>
      <c r="F87" s="445"/>
      <c r="G87" s="445"/>
      <c r="H87" s="446"/>
      <c r="I87" s="39" t="s">
        <v>66</v>
      </c>
      <c r="J87" s="39" t="s">
        <v>67</v>
      </c>
    </row>
    <row r="88" spans="2:10" ht="18.75" customHeight="1" x14ac:dyDescent="0.25">
      <c r="H88" s="6" t="s">
        <v>123</v>
      </c>
      <c r="I88" s="35">
        <f>I74/$G$52+I33*$I$78/$E$52+I34*$I$77/$I$52</f>
        <v>324.17047516469245</v>
      </c>
      <c r="J88" s="35">
        <f>J74/$G$52+J33*$I$78/$E$52+J34*$I$77/$I$52</f>
        <v>281.14440016469246</v>
      </c>
    </row>
    <row r="89" spans="2:10" ht="18.75" customHeight="1" x14ac:dyDescent="0.25">
      <c r="H89" s="6" t="s">
        <v>124</v>
      </c>
      <c r="I89" s="35">
        <f>I74/$G$52+I33*$I$80/$E$52+I34*$I$79/$I$52</f>
        <v>-30.827724835307549</v>
      </c>
      <c r="J89" s="35">
        <f>J74/$G$52+J33*$I$80/$E$52+J34*$I$79/$I$52</f>
        <v>-82.838399835307541</v>
      </c>
    </row>
    <row r="90" spans="2:10" ht="18.75" customHeight="1" x14ac:dyDescent="0.25">
      <c r="B90" s="447" t="s">
        <v>55</v>
      </c>
      <c r="C90" s="448"/>
      <c r="D90" s="448"/>
      <c r="E90" s="448"/>
      <c r="F90" s="448"/>
      <c r="G90" s="448"/>
      <c r="H90" s="449"/>
      <c r="I90" s="40" t="s">
        <v>66</v>
      </c>
      <c r="J90" s="40" t="s">
        <v>67</v>
      </c>
    </row>
    <row r="91" spans="2:10" ht="18.75" customHeight="1" x14ac:dyDescent="0.25">
      <c r="H91" s="6" t="s">
        <v>123</v>
      </c>
      <c r="I91" s="35">
        <f>I75/$G$52+I38*$I$78/$E$52+I39*$I$77/$I$52</f>
        <v>248.92392516469243</v>
      </c>
      <c r="J91" s="35">
        <f>J75/$G$52+J38*$I$78/$E$52+J39*$I$77/$I$52</f>
        <v>192.20590016469242</v>
      </c>
    </row>
    <row r="92" spans="2:10" ht="18.75" customHeight="1" x14ac:dyDescent="0.25">
      <c r="H92" s="6" t="s">
        <v>124</v>
      </c>
      <c r="I92" s="35">
        <f>I75/$G$52+I38*$I$80/$E$52+I39*$I$79/$I$52</f>
        <v>42.485825164692457</v>
      </c>
      <c r="J92" s="35">
        <f>J75/$G$52+J38*$I$80/$E$52+J39*$I$79/$I$52</f>
        <v>-13.216899835307537</v>
      </c>
    </row>
    <row r="93" spans="2:10" ht="18.75" customHeight="1" x14ac:dyDescent="0.25">
      <c r="H93" s="6"/>
      <c r="I93" s="64"/>
    </row>
    <row r="94" spans="2:10" ht="18.75" customHeight="1" x14ac:dyDescent="0.25">
      <c r="B94" s="21" t="s">
        <v>125</v>
      </c>
      <c r="C94" s="21"/>
      <c r="D94" s="21"/>
      <c r="E94" s="21"/>
      <c r="F94" s="21"/>
      <c r="G94" s="21"/>
      <c r="H94" s="65" t="s">
        <v>546</v>
      </c>
      <c r="I94" s="66">
        <f>'Input (1)'!H39</f>
        <v>2</v>
      </c>
      <c r="J94" s="67" t="s">
        <v>126</v>
      </c>
    </row>
    <row r="95" spans="2:10" ht="18.75" customHeight="1" x14ac:dyDescent="0.25">
      <c r="B95" s="21" t="s">
        <v>127</v>
      </c>
      <c r="C95" s="21"/>
      <c r="D95" s="21"/>
      <c r="E95" s="21"/>
      <c r="F95" s="21"/>
      <c r="G95" s="21"/>
      <c r="H95" s="65" t="s">
        <v>547</v>
      </c>
      <c r="I95" s="66">
        <f>'Input (1)'!H40</f>
        <v>2</v>
      </c>
      <c r="J95" s="67" t="s">
        <v>126</v>
      </c>
    </row>
    <row r="96" spans="2:10" ht="18.75" customHeight="1" x14ac:dyDescent="0.25">
      <c r="B96" s="21"/>
      <c r="C96" s="21"/>
      <c r="D96" s="21"/>
      <c r="E96" s="21"/>
      <c r="F96" s="21"/>
      <c r="G96" s="21"/>
      <c r="H96" s="68" t="s">
        <v>128</v>
      </c>
      <c r="I96" s="69">
        <f>DEGREES(ATAN(I11*1000/I56))</f>
        <v>16.699244233993621</v>
      </c>
      <c r="J96" s="67"/>
    </row>
    <row r="97" spans="2:10" ht="18.75" customHeight="1" x14ac:dyDescent="0.25">
      <c r="B97" s="21" t="s">
        <v>129</v>
      </c>
      <c r="C97" s="21"/>
      <c r="D97" s="21"/>
      <c r="E97" s="21"/>
      <c r="F97" s="21"/>
      <c r="G97" s="21"/>
      <c r="H97" s="65" t="s">
        <v>548</v>
      </c>
      <c r="I97" s="70">
        <f>1-I96/90*((I94-1)*I95+(I95-1)*I94)/(I94*I95)</f>
        <v>0.81445284184451539</v>
      </c>
      <c r="J97" s="67"/>
    </row>
    <row r="98" spans="2:10" ht="18.75" customHeight="1" x14ac:dyDescent="0.25">
      <c r="B98" s="21" t="s">
        <v>130</v>
      </c>
      <c r="C98" s="21"/>
      <c r="D98" s="21"/>
      <c r="E98" s="21"/>
      <c r="F98" s="21"/>
      <c r="G98" s="21"/>
      <c r="J98" s="5"/>
    </row>
    <row r="99" spans="2:10" ht="18.75" customHeight="1" x14ac:dyDescent="0.25">
      <c r="B99" s="21"/>
      <c r="C99" s="21"/>
      <c r="D99" s="21"/>
      <c r="E99" s="21"/>
      <c r="F99" s="21"/>
      <c r="G99" s="21"/>
      <c r="H99" s="65" t="s">
        <v>131</v>
      </c>
      <c r="I99" s="69">
        <f>'Input (1)'!H58/'Input (1)'!H60+'Input (1)'!H59/'Input (1)'!H61*'Fondasi Dalam'!I97</f>
        <v>489.96742243267306</v>
      </c>
      <c r="J99" s="67" t="s">
        <v>69</v>
      </c>
    </row>
    <row r="100" spans="2:10" ht="18.75" customHeight="1" x14ac:dyDescent="0.25">
      <c r="B100" s="21" t="s">
        <v>132</v>
      </c>
      <c r="C100" s="21"/>
      <c r="D100" s="21"/>
      <c r="E100" s="21"/>
      <c r="F100" s="21"/>
      <c r="G100" s="21"/>
      <c r="H100" s="65" t="s">
        <v>133</v>
      </c>
      <c r="I100" s="69">
        <f>I99*C52</f>
        <v>1959.8696897306922</v>
      </c>
      <c r="J100" s="67" t="s">
        <v>69</v>
      </c>
    </row>
    <row r="101" spans="2:10" ht="18.75" customHeight="1" x14ac:dyDescent="0.25">
      <c r="B101" s="21"/>
      <c r="C101" s="21"/>
      <c r="D101" s="21"/>
      <c r="E101" s="21"/>
      <c r="F101" s="21"/>
      <c r="G101" s="21"/>
      <c r="H101" s="65"/>
      <c r="I101" s="71"/>
      <c r="J101" s="76"/>
    </row>
    <row r="102" spans="2:10" ht="18.75" customHeight="1" x14ac:dyDescent="0.25">
      <c r="B102" s="450" t="s">
        <v>56</v>
      </c>
      <c r="C102" s="450"/>
      <c r="D102" s="450"/>
      <c r="E102" s="450"/>
      <c r="F102" s="450"/>
      <c r="G102" s="450"/>
      <c r="H102" s="450"/>
      <c r="I102" s="450"/>
      <c r="J102" s="76"/>
    </row>
    <row r="103" spans="2:10" ht="18.75" customHeight="1" x14ac:dyDescent="0.25">
      <c r="B103" s="4" t="s">
        <v>134</v>
      </c>
      <c r="E103" s="20" t="s">
        <v>135</v>
      </c>
      <c r="F103" s="20" t="s">
        <v>136</v>
      </c>
      <c r="G103" s="20" t="s">
        <v>137</v>
      </c>
    </row>
    <row r="104" spans="2:10" ht="18.75" customHeight="1" x14ac:dyDescent="0.25">
      <c r="E104" s="50">
        <f>MAX(I73:J73)</f>
        <v>599.44050065876979</v>
      </c>
      <c r="F104" s="20" t="str">
        <f>IF(E104&lt;=G104,"&lt;","&gt;")</f>
        <v>&lt;</v>
      </c>
      <c r="G104" s="50">
        <f>$I$100</f>
        <v>1959.8696897306922</v>
      </c>
      <c r="H104" s="2" t="s">
        <v>138</v>
      </c>
      <c r="I104" s="3" t="str">
        <f>IF(E104&lt;G104,"AMAN (OK)","BAHAYA (NG)")</f>
        <v>AMAN (OK)</v>
      </c>
    </row>
    <row r="106" spans="2:10" ht="18.75" customHeight="1" x14ac:dyDescent="0.25">
      <c r="E106" s="20" t="s">
        <v>139</v>
      </c>
      <c r="F106" s="20" t="s">
        <v>140</v>
      </c>
      <c r="G106" s="72" t="s">
        <v>141</v>
      </c>
    </row>
    <row r="107" spans="2:10" ht="18.75" customHeight="1" x14ac:dyDescent="0.25">
      <c r="E107" s="50">
        <f>IF((I85-I86)&gt;(J85-J86),I86,J86)</f>
        <v>-20.69524983530755</v>
      </c>
      <c r="F107" s="20" t="str">
        <f>IF(E107&lt;=G107,"&lt;","&gt;")</f>
        <v>&gt;</v>
      </c>
      <c r="G107" s="50">
        <f>-I97*'Input (1)'!H59/'Input (1)'!H61</f>
        <v>-73.30075576600639</v>
      </c>
      <c r="H107" s="2" t="s">
        <v>138</v>
      </c>
      <c r="I107" s="3" t="str">
        <f>IF(E107&gt;G107,"AMAN (OK)","SISA GAYA DILIMPAHKAN")</f>
        <v>AMAN (OK)</v>
      </c>
    </row>
    <row r="109" spans="2:10" ht="18.75" customHeight="1" x14ac:dyDescent="0.25">
      <c r="E109" s="20" t="s">
        <v>142</v>
      </c>
      <c r="F109" s="20" t="s">
        <v>136</v>
      </c>
      <c r="G109" s="20" t="s">
        <v>143</v>
      </c>
    </row>
    <row r="110" spans="2:10" ht="18.75" customHeight="1" x14ac:dyDescent="0.25">
      <c r="E110" s="50">
        <f>IF(E107&lt;G107,IF((I85+(ABS(I86)-(ABS(E107)-ABS(G107))))&gt;(J85+(ABS(J86)-(ABS(J86)-ABS(G107)))),(I85+(ABS(I86)-(ABS(E107)-ABS(G107)))),(J85+(ABS(J86)-(ABS(J86)-ABS(G107))))),MAX(I85:J86))</f>
        <v>237.41150016469246</v>
      </c>
      <c r="F110" s="20" t="str">
        <f>IF(E110&lt;=G110,"&lt;","&gt;")</f>
        <v>&lt;</v>
      </c>
      <c r="G110" s="50">
        <f>I99</f>
        <v>489.96742243267306</v>
      </c>
      <c r="H110" s="2" t="s">
        <v>138</v>
      </c>
      <c r="I110" s="3" t="str">
        <f>IF(E110&lt;G110,"AMAN (OK)","BAHAYA (NG)")</f>
        <v>AMAN (OK)</v>
      </c>
    </row>
    <row r="111" spans="2:10" ht="18.75" customHeight="1" x14ac:dyDescent="0.25">
      <c r="E111" s="36"/>
      <c r="F111" s="20"/>
      <c r="G111" s="36"/>
      <c r="H111" s="2"/>
      <c r="I111" s="3"/>
    </row>
    <row r="112" spans="2:10" ht="18.75" customHeight="1" x14ac:dyDescent="0.25">
      <c r="B112" s="451" t="s">
        <v>54</v>
      </c>
      <c r="C112" s="451"/>
      <c r="D112" s="451"/>
      <c r="E112" s="451"/>
      <c r="F112" s="451"/>
      <c r="G112" s="451"/>
      <c r="H112" s="451"/>
      <c r="I112" s="451"/>
    </row>
    <row r="113" spans="2:12" ht="18.75" customHeight="1" x14ac:dyDescent="0.25">
      <c r="B113" s="4" t="s">
        <v>134</v>
      </c>
      <c r="E113" s="20" t="s">
        <v>135</v>
      </c>
      <c r="F113" s="20" t="s">
        <v>136</v>
      </c>
      <c r="G113" s="20" t="s">
        <v>137</v>
      </c>
    </row>
    <row r="114" spans="2:12" ht="18.75" customHeight="1" x14ac:dyDescent="0.25">
      <c r="E114" s="50">
        <f>MAX(I74:J74)</f>
        <v>586.6855006587698</v>
      </c>
      <c r="F114" s="20" t="str">
        <f>IF(E114&lt;=G114,"&lt;","&gt;")</f>
        <v>&lt;</v>
      </c>
      <c r="G114" s="50">
        <f>G104</f>
        <v>1959.8696897306922</v>
      </c>
      <c r="H114" s="2" t="s">
        <v>138</v>
      </c>
      <c r="I114" s="3" t="str">
        <f>IF(E114&lt;G114,"AMAN (OK)","BAHAYA (NG)")</f>
        <v>AMAN (OK)</v>
      </c>
    </row>
    <row r="116" spans="2:12" ht="18.75" customHeight="1" x14ac:dyDescent="0.25">
      <c r="E116" s="20" t="s">
        <v>139</v>
      </c>
      <c r="F116" s="20" t="s">
        <v>140</v>
      </c>
      <c r="G116" s="72" t="s">
        <v>141</v>
      </c>
    </row>
    <row r="117" spans="2:12" ht="18.75" customHeight="1" x14ac:dyDescent="0.25">
      <c r="E117" s="50">
        <f>IF((I88-I89)&gt;(J88-J89),I89,J89)</f>
        <v>-82.838399835307541</v>
      </c>
      <c r="F117" s="20" t="str">
        <f>IF(E117&lt;=G117,"&lt;","&gt;")</f>
        <v>&lt;</v>
      </c>
      <c r="G117" s="50">
        <f>G107</f>
        <v>-73.30075576600639</v>
      </c>
      <c r="H117" s="2" t="s">
        <v>138</v>
      </c>
      <c r="I117" s="3" t="str">
        <f>IF(E117&gt;G117,"AMAN (OK)","SISA GAYA DILIMPAHKAN")</f>
        <v>SISA GAYA DILIMPAHKAN</v>
      </c>
    </row>
    <row r="119" spans="2:12" ht="18.75" customHeight="1" x14ac:dyDescent="0.25">
      <c r="E119" s="20" t="s">
        <v>142</v>
      </c>
      <c r="F119" s="20" t="s">
        <v>136</v>
      </c>
      <c r="G119" s="20" t="s">
        <v>143</v>
      </c>
    </row>
    <row r="120" spans="2:12" ht="18.75" customHeight="1" x14ac:dyDescent="0.25">
      <c r="E120" s="50">
        <f>IF(E117&lt;G117,IF((I88+(ABS(I89)-(ABS(E117)-ABS(G117))))&gt;(J88+(ABS(J89)-(ABS(J89)-ABS(G117)))),(I88+(ABS(I89)-(ABS(E117)-ABS(G117)))),(J88+(ABS(J89)-(ABS(J89)-ABS(G117))))),MAX(I88:J89))</f>
        <v>354.44515593069883</v>
      </c>
      <c r="F120" s="20" t="str">
        <f>IF(E120&lt;=G120,"&lt;","&gt;")</f>
        <v>&lt;</v>
      </c>
      <c r="G120" s="50">
        <f>G110</f>
        <v>489.96742243267306</v>
      </c>
      <c r="H120" s="2" t="s">
        <v>138</v>
      </c>
      <c r="I120" s="3" t="str">
        <f>IF(E120&lt;G120,"AMAN (OK)","BAHAYA (NG)")</f>
        <v>AMAN (OK)</v>
      </c>
    </row>
    <row r="122" spans="2:12" ht="18.75" customHeight="1" x14ac:dyDescent="0.25">
      <c r="B122" s="452" t="s">
        <v>55</v>
      </c>
      <c r="C122" s="452"/>
      <c r="D122" s="452"/>
      <c r="E122" s="452"/>
      <c r="F122" s="452"/>
      <c r="G122" s="452"/>
      <c r="H122" s="452"/>
      <c r="I122" s="452"/>
    </row>
    <row r="123" spans="2:12" ht="18.75" customHeight="1" x14ac:dyDescent="0.25">
      <c r="B123" s="4" t="s">
        <v>134</v>
      </c>
      <c r="E123" s="20" t="s">
        <v>135</v>
      </c>
      <c r="F123" s="20" t="s">
        <v>136</v>
      </c>
      <c r="G123" s="20" t="s">
        <v>137</v>
      </c>
    </row>
    <row r="124" spans="2:12" ht="18.75" customHeight="1" x14ac:dyDescent="0.25">
      <c r="E124" s="50">
        <f>MAX(I75:J75)</f>
        <v>582.81950065876981</v>
      </c>
      <c r="F124" s="20" t="str">
        <f>IF(E124&lt;=G124,"&lt;","&gt;")</f>
        <v>&lt;</v>
      </c>
      <c r="G124" s="50">
        <f>G104</f>
        <v>1959.8696897306922</v>
      </c>
      <c r="H124" s="2" t="s">
        <v>138</v>
      </c>
      <c r="I124" s="3" t="str">
        <f>IF(E124&lt;G124,"AMAN (OK)","BAHAYA (NG)")</f>
        <v>AMAN (OK)</v>
      </c>
    </row>
    <row r="126" spans="2:12" ht="18.75" customHeight="1" x14ac:dyDescent="0.25">
      <c r="E126" s="20" t="s">
        <v>139</v>
      </c>
      <c r="F126" s="20" t="s">
        <v>140</v>
      </c>
      <c r="G126" s="72" t="s">
        <v>141</v>
      </c>
      <c r="L126" s="4" t="s">
        <v>515</v>
      </c>
    </row>
    <row r="127" spans="2:12" ht="18.75" customHeight="1" x14ac:dyDescent="0.25">
      <c r="E127" s="50">
        <f>IF((I91-I92)&gt;(J91-J92),I92,J92)</f>
        <v>42.485825164692457</v>
      </c>
      <c r="F127" s="20" t="str">
        <f>IF(E127&lt;=G127,"&lt;","&gt;")</f>
        <v>&gt;</v>
      </c>
      <c r="G127" s="50">
        <f>G107</f>
        <v>-73.30075576600639</v>
      </c>
      <c r="H127" s="2" t="s">
        <v>138</v>
      </c>
      <c r="I127" s="3" t="str">
        <f>IF(E127&gt;G127,"AMAN (OK)","SISA GAYA DILIMPAHKAN")</f>
        <v>AMAN (OK)</v>
      </c>
    </row>
    <row r="129" spans="5:12" ht="18.75" customHeight="1" x14ac:dyDescent="0.25">
      <c r="E129" s="20" t="s">
        <v>142</v>
      </c>
      <c r="F129" s="20" t="s">
        <v>136</v>
      </c>
      <c r="G129" s="20" t="s">
        <v>143</v>
      </c>
    </row>
    <row r="130" spans="5:12" ht="18.75" customHeight="1" x14ac:dyDescent="0.25">
      <c r="E130" s="50">
        <f>IF(E127&lt;G127,IF((I91+(ABS(I92)-(ABS(E127)-ABS(G127))))&gt;(J91+(ABS(J92)-(ABS(J92)-ABS(G127)))),(I91+(ABS(I92)-(ABS(E127)-ABS(G127)))),(J91+(ABS(J92)-(ABS(J92)-ABS(G127))))),MAX(I91:J92))</f>
        <v>248.92392516469243</v>
      </c>
      <c r="F130" s="20" t="str">
        <f>IF(E130&lt;=G130,"&lt;","&gt;")</f>
        <v>&lt;</v>
      </c>
      <c r="G130" s="50">
        <f>G120</f>
        <v>489.96742243267306</v>
      </c>
      <c r="H130" s="2" t="s">
        <v>138</v>
      </c>
      <c r="I130" s="3" t="str">
        <f>IF(E130&lt;G130,"AMAN (OK)","BAHAYA (NG)")</f>
        <v>AMAN (OK)</v>
      </c>
      <c r="L130" s="73"/>
    </row>
  </sheetData>
  <mergeCells count="23">
    <mergeCell ref="B84:H84"/>
    <mergeCell ref="B26:H26"/>
    <mergeCell ref="B31:H31"/>
    <mergeCell ref="B36:H36"/>
    <mergeCell ref="B45:E45"/>
    <mergeCell ref="F45:I45"/>
    <mergeCell ref="B1:Q1"/>
    <mergeCell ref="I83:J83"/>
    <mergeCell ref="B83:H83"/>
    <mergeCell ref="N45:O45"/>
    <mergeCell ref="P45:Q45"/>
    <mergeCell ref="B73:G73"/>
    <mergeCell ref="B74:G74"/>
    <mergeCell ref="B75:G75"/>
    <mergeCell ref="L45:M45"/>
    <mergeCell ref="L55:M55"/>
    <mergeCell ref="N55:O55"/>
    <mergeCell ref="P55:Q55"/>
    <mergeCell ref="B87:H87"/>
    <mergeCell ref="B90:H90"/>
    <mergeCell ref="B102:I102"/>
    <mergeCell ref="B112:I112"/>
    <mergeCell ref="B122:I122"/>
  </mergeCells>
  <pageMargins left="0.7" right="0.7" top="0.75" bottom="0.75" header="0.3" footer="0.3"/>
  <ignoredErrors>
    <ignoredError sqref="I3:I12 I61 D48:D51 H48:H51 I35:J36 I30:J31 I27:J29 I32:J34 I37:J39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2D11-D2B2-43BC-B633-D6C0E512ABF2}">
  <sheetPr>
    <tabColor theme="5"/>
  </sheetPr>
  <dimension ref="A1:T383"/>
  <sheetViews>
    <sheetView showGridLines="0" workbookViewId="0">
      <pane xSplit="1" ySplit="1" topLeftCell="B227" activePane="bottomRight" state="frozen"/>
      <selection pane="topRight" activeCell="B1" sqref="B1"/>
      <selection pane="bottomLeft" activeCell="A2" sqref="A2"/>
      <selection pane="bottomRight" activeCell="L381" sqref="L381"/>
    </sheetView>
  </sheetViews>
  <sheetFormatPr defaultRowHeight="18.75" customHeight="1" x14ac:dyDescent="0.25"/>
  <cols>
    <col min="1" max="1" width="6.7109375" style="243" customWidth="1"/>
    <col min="2" max="9" width="13.5703125" customWidth="1"/>
  </cols>
  <sheetData>
    <row r="1" spans="1:18" ht="18.75" customHeight="1" x14ac:dyDescent="0.25">
      <c r="A1" s="238" t="s">
        <v>0</v>
      </c>
      <c r="B1" s="441" t="s">
        <v>1</v>
      </c>
      <c r="C1" s="441"/>
      <c r="D1" s="441"/>
      <c r="E1" s="441"/>
      <c r="F1" s="441"/>
      <c r="G1" s="139" t="s">
        <v>2</v>
      </c>
      <c r="H1" s="139" t="s">
        <v>3</v>
      </c>
      <c r="I1" s="139" t="s">
        <v>4</v>
      </c>
    </row>
    <row r="2" spans="1:18" ht="18.75" customHeight="1" x14ac:dyDescent="0.25">
      <c r="A2" s="241" t="s">
        <v>169</v>
      </c>
      <c r="B2" s="188" t="s">
        <v>428</v>
      </c>
      <c r="C2" s="189"/>
      <c r="D2" s="189"/>
      <c r="E2" s="189"/>
      <c r="F2" s="189"/>
      <c r="G2" s="189"/>
      <c r="H2" s="189"/>
      <c r="I2" s="190"/>
    </row>
    <row r="3" spans="1:18" s="21" customFormat="1" ht="19.149999999999999" customHeight="1" x14ac:dyDescent="0.25">
      <c r="A3" s="239" t="s">
        <v>58</v>
      </c>
      <c r="B3" s="108" t="s">
        <v>426</v>
      </c>
      <c r="C3" s="114"/>
      <c r="D3" s="114"/>
      <c r="E3" s="114"/>
      <c r="F3" s="114"/>
      <c r="G3" s="114"/>
      <c r="H3" s="114"/>
      <c r="I3" s="115"/>
      <c r="N3" s="166"/>
      <c r="O3" s="166"/>
      <c r="P3" s="166"/>
      <c r="Q3" s="166"/>
      <c r="R3" s="166"/>
    </row>
    <row r="4" spans="1:18" s="251" customFormat="1" ht="19.149999999999999" customHeight="1" x14ac:dyDescent="0.25">
      <c r="A4" s="408"/>
      <c r="B4" s="409"/>
      <c r="C4" s="249"/>
      <c r="D4" s="249"/>
      <c r="E4" s="249"/>
      <c r="F4" s="249"/>
      <c r="G4" s="249"/>
      <c r="H4" s="249"/>
      <c r="I4" s="250"/>
      <c r="N4" s="252"/>
      <c r="O4" s="252"/>
      <c r="P4" s="252"/>
      <c r="Q4" s="252"/>
      <c r="R4" s="252"/>
    </row>
    <row r="5" spans="1:18" s="251" customFormat="1" ht="19.149999999999999" customHeight="1" x14ac:dyDescent="0.25">
      <c r="A5" s="408"/>
      <c r="B5" s="409"/>
      <c r="C5" s="249"/>
      <c r="D5" s="249"/>
      <c r="E5" s="249"/>
      <c r="F5" s="249"/>
      <c r="G5" s="249"/>
      <c r="H5" s="249"/>
      <c r="I5" s="250"/>
      <c r="N5" s="252"/>
      <c r="O5" s="252"/>
      <c r="P5" s="252"/>
      <c r="Q5" s="252"/>
      <c r="R5" s="252"/>
    </row>
    <row r="6" spans="1:18" s="251" customFormat="1" ht="19.149999999999999" customHeight="1" x14ac:dyDescent="0.25">
      <c r="A6" s="408"/>
      <c r="B6" s="409"/>
      <c r="C6" s="249"/>
      <c r="D6" s="249"/>
      <c r="E6" s="249"/>
      <c r="F6" s="249"/>
      <c r="G6" s="249"/>
      <c r="H6" s="249"/>
      <c r="I6" s="250"/>
      <c r="N6" s="252"/>
      <c r="O6" s="252"/>
      <c r="P6" s="252"/>
      <c r="Q6" s="252"/>
      <c r="R6" s="252"/>
    </row>
    <row r="7" spans="1:18" s="251" customFormat="1" ht="19.149999999999999" customHeight="1" x14ac:dyDescent="0.25">
      <c r="A7" s="408"/>
      <c r="B7" s="409"/>
      <c r="C7" s="249"/>
      <c r="D7" s="249"/>
      <c r="E7" s="249"/>
      <c r="F7" s="249"/>
      <c r="G7" s="249"/>
      <c r="H7" s="249"/>
      <c r="I7" s="250"/>
      <c r="N7" s="252"/>
      <c r="O7" s="252"/>
      <c r="P7" s="252"/>
      <c r="Q7" s="252"/>
      <c r="R7" s="252"/>
    </row>
    <row r="8" spans="1:18" s="251" customFormat="1" ht="19.149999999999999" customHeight="1" x14ac:dyDescent="0.25">
      <c r="A8" s="408"/>
      <c r="B8" s="409"/>
      <c r="C8" s="249"/>
      <c r="D8" s="249"/>
      <c r="E8" s="249"/>
      <c r="F8" s="249"/>
      <c r="G8" s="249"/>
      <c r="H8" s="249"/>
      <c r="I8" s="250"/>
      <c r="N8" s="252"/>
      <c r="O8" s="252"/>
      <c r="P8" s="252"/>
      <c r="Q8" s="252"/>
      <c r="R8" s="252"/>
    </row>
    <row r="9" spans="1:18" s="251" customFormat="1" ht="19.149999999999999" customHeight="1" x14ac:dyDescent="0.25">
      <c r="A9" s="408"/>
      <c r="B9" s="409"/>
      <c r="C9" s="249"/>
      <c r="D9" s="249"/>
      <c r="E9" s="249"/>
      <c r="F9" s="249"/>
      <c r="G9" s="249"/>
      <c r="H9" s="249"/>
      <c r="I9" s="250"/>
      <c r="N9" s="252"/>
      <c r="O9" s="252"/>
      <c r="P9" s="252"/>
      <c r="Q9" s="252"/>
      <c r="R9" s="252"/>
    </row>
    <row r="10" spans="1:18" s="251" customFormat="1" ht="19.149999999999999" customHeight="1" x14ac:dyDescent="0.25">
      <c r="A10" s="408"/>
      <c r="B10" s="409"/>
      <c r="C10" s="249"/>
      <c r="D10" s="249"/>
      <c r="E10" s="249"/>
      <c r="F10" s="249"/>
      <c r="G10" s="249"/>
      <c r="H10" s="249"/>
      <c r="I10" s="250"/>
      <c r="N10" s="252"/>
      <c r="O10" s="252"/>
      <c r="P10" s="252"/>
      <c r="Q10" s="252"/>
      <c r="R10" s="252"/>
    </row>
    <row r="11" spans="1:18" s="251" customFormat="1" ht="19.149999999999999" customHeight="1" x14ac:dyDescent="0.25">
      <c r="A11" s="408"/>
      <c r="B11" s="409"/>
      <c r="C11" s="249"/>
      <c r="D11" s="249"/>
      <c r="E11" s="249"/>
      <c r="F11" s="249"/>
      <c r="G11" s="249"/>
      <c r="H11" s="249"/>
      <c r="I11" s="250"/>
      <c r="N11" s="252"/>
      <c r="O11" s="252"/>
      <c r="P11" s="252"/>
      <c r="Q11" s="252"/>
      <c r="R11" s="252"/>
    </row>
    <row r="12" spans="1:18" s="251" customFormat="1" ht="19.149999999999999" customHeight="1" x14ac:dyDescent="0.25">
      <c r="A12" s="408"/>
      <c r="B12" s="409"/>
      <c r="C12" s="249"/>
      <c r="D12" s="249"/>
      <c r="E12" s="249"/>
      <c r="F12" s="249"/>
      <c r="G12" s="249"/>
      <c r="H12" s="249"/>
      <c r="I12" s="250"/>
      <c r="N12" s="252"/>
      <c r="O12" s="252"/>
      <c r="P12" s="252"/>
      <c r="Q12" s="252"/>
      <c r="R12" s="252"/>
    </row>
    <row r="13" spans="1:18" s="251" customFormat="1" ht="19.149999999999999" customHeight="1" x14ac:dyDescent="0.25">
      <c r="A13" s="408"/>
      <c r="B13" s="409"/>
      <c r="C13" s="249"/>
      <c r="D13" s="249"/>
      <c r="E13" s="249"/>
      <c r="F13" s="249"/>
      <c r="G13" s="249"/>
      <c r="H13" s="249"/>
      <c r="I13" s="250"/>
      <c r="N13" s="252"/>
      <c r="O13" s="252"/>
      <c r="P13" s="252"/>
      <c r="Q13" s="252"/>
      <c r="R13" s="252"/>
    </row>
    <row r="14" spans="1:18" s="251" customFormat="1" ht="19.149999999999999" customHeight="1" x14ac:dyDescent="0.25">
      <c r="A14" s="408"/>
      <c r="B14" s="409"/>
      <c r="C14" s="249"/>
      <c r="D14" s="249"/>
      <c r="E14" s="249"/>
      <c r="F14" s="249"/>
      <c r="G14" s="249"/>
      <c r="H14" s="249"/>
      <c r="I14" s="250"/>
      <c r="N14" s="252"/>
      <c r="O14" s="252"/>
      <c r="P14" s="252"/>
      <c r="Q14" s="252"/>
      <c r="R14" s="252"/>
    </row>
    <row r="15" spans="1:18" s="12" customFormat="1" ht="18.75" customHeight="1" x14ac:dyDescent="0.25">
      <c r="A15" s="240"/>
      <c r="B15" s="91" t="s">
        <v>172</v>
      </c>
      <c r="C15" s="91"/>
      <c r="D15" s="91"/>
      <c r="E15" s="91"/>
      <c r="F15" s="100"/>
      <c r="G15" s="92" t="s">
        <v>173</v>
      </c>
      <c r="H15" s="142">
        <f>('Input (1)'!H10+3/2*'Input (1)'!H50)/1000</f>
        <v>0.1285</v>
      </c>
      <c r="I15" s="93" t="s">
        <v>6</v>
      </c>
    </row>
    <row r="16" spans="1:18" s="12" customFormat="1" ht="18.75" customHeight="1" x14ac:dyDescent="0.25">
      <c r="A16" s="240"/>
      <c r="B16" s="91" t="s">
        <v>174</v>
      </c>
      <c r="C16" s="91"/>
      <c r="D16" s="91"/>
      <c r="E16" s="91"/>
      <c r="F16" s="100"/>
      <c r="G16" s="92" t="s">
        <v>423</v>
      </c>
      <c r="H16" s="142">
        <f>'Input (1)'!H6-H15</f>
        <v>0.27150000000000002</v>
      </c>
      <c r="I16" s="93" t="s">
        <v>6</v>
      </c>
    </row>
    <row r="17" spans="1:18" s="12" customFormat="1" ht="18.75" customHeight="1" x14ac:dyDescent="0.25">
      <c r="A17" s="240"/>
      <c r="B17" s="255" t="s">
        <v>176</v>
      </c>
      <c r="C17" s="255"/>
      <c r="D17" s="255"/>
      <c r="E17" s="255"/>
      <c r="F17" s="256"/>
      <c r="G17" s="257" t="s">
        <v>403</v>
      </c>
      <c r="H17" s="258">
        <f>(C48-'Input (1)'!H4-H16)/2</f>
        <v>0.56424999999999992</v>
      </c>
      <c r="I17" s="259" t="s">
        <v>6</v>
      </c>
    </row>
    <row r="18" spans="1:18" s="12" customFormat="1" ht="18.75" customHeight="1" x14ac:dyDescent="0.25">
      <c r="A18" s="240"/>
      <c r="B18" s="255" t="s">
        <v>404</v>
      </c>
      <c r="C18" s="255"/>
      <c r="D18" s="255"/>
      <c r="E18" s="255"/>
      <c r="F18" s="256"/>
      <c r="G18" s="260" t="s">
        <v>407</v>
      </c>
      <c r="H18" s="258">
        <f>H17*C118*C119*'Fondasi Dalam'!I7</f>
        <v>9.7502399999999998</v>
      </c>
      <c r="I18" s="259" t="s">
        <v>177</v>
      </c>
    </row>
    <row r="19" spans="1:18" s="12" customFormat="1" ht="18.75" customHeight="1" x14ac:dyDescent="0.25">
      <c r="A19" s="240"/>
      <c r="B19" s="255" t="s">
        <v>111</v>
      </c>
      <c r="C19" s="255"/>
      <c r="D19" s="255"/>
      <c r="E19" s="255"/>
      <c r="F19" s="256"/>
      <c r="G19" s="260" t="s">
        <v>408</v>
      </c>
      <c r="H19" s="258">
        <f>H17*C118*D125*'Fondasi Dalam'!I8</f>
        <v>36.685277999999997</v>
      </c>
      <c r="I19" s="259" t="s">
        <v>177</v>
      </c>
    </row>
    <row r="20" spans="1:18" s="12" customFormat="1" ht="18.75" customHeight="1" x14ac:dyDescent="0.25">
      <c r="A20" s="240"/>
      <c r="B20" s="255" t="s">
        <v>405</v>
      </c>
      <c r="C20" s="255"/>
      <c r="D20" s="255"/>
      <c r="E20" s="255"/>
      <c r="F20" s="256"/>
      <c r="G20" s="260" t="s">
        <v>406</v>
      </c>
      <c r="H20" s="258">
        <f>H17*C118*'Fondasi Dalam'!I6</f>
        <v>5.0782499999999997</v>
      </c>
      <c r="I20" s="259" t="s">
        <v>177</v>
      </c>
    </row>
    <row r="21" spans="1:18" s="12" customFormat="1" ht="18.75" customHeight="1" x14ac:dyDescent="0.25">
      <c r="A21" s="240"/>
      <c r="B21" s="12" t="s">
        <v>442</v>
      </c>
      <c r="J21" s="246"/>
    </row>
    <row r="22" spans="1:18" s="251" customFormat="1" ht="18.75" customHeight="1" x14ac:dyDescent="0.25">
      <c r="A22" s="248"/>
      <c r="C22" s="487" t="s">
        <v>327</v>
      </c>
      <c r="D22" s="488"/>
      <c r="E22" s="481" t="s">
        <v>449</v>
      </c>
      <c r="F22" s="263" t="s">
        <v>552</v>
      </c>
      <c r="G22" s="263" t="s">
        <v>551</v>
      </c>
      <c r="H22" s="218"/>
      <c r="I22" s="250"/>
      <c r="Q22" s="252"/>
      <c r="R22" s="252"/>
    </row>
    <row r="23" spans="1:18" s="251" customFormat="1" ht="19.149999999999999" customHeight="1" x14ac:dyDescent="0.25">
      <c r="A23" s="248"/>
      <c r="C23" s="487" t="s">
        <v>450</v>
      </c>
      <c r="D23" s="488"/>
      <c r="E23" s="482"/>
      <c r="F23" s="264" t="s">
        <v>322</v>
      </c>
      <c r="G23" s="264" t="s">
        <v>322</v>
      </c>
      <c r="H23" s="218"/>
      <c r="I23" s="250"/>
      <c r="Q23" s="252"/>
      <c r="R23" s="252"/>
    </row>
    <row r="24" spans="1:18" s="251" customFormat="1" ht="19.149999999999999" customHeight="1" x14ac:dyDescent="0.25">
      <c r="A24" s="248"/>
      <c r="C24" s="144">
        <v>1</v>
      </c>
      <c r="D24" s="35" t="str">
        <f>IF('Fondasi Dalam'!H48&lt;=0,"",'Fondasi Dalam'!H48)</f>
        <v/>
      </c>
      <c r="E24" s="144" t="str">
        <f>IF(D24="","",IF(D24-0.5*$C$48+$H$17&gt;0,"YA","TIDAK"))</f>
        <v/>
      </c>
      <c r="F24" s="142" t="str">
        <f>IF(D24="","",MAX('Fondasi Dalam'!L58:Q58))</f>
        <v/>
      </c>
      <c r="G24" s="35" t="str">
        <f>IF(D24="","",'Input (1)'!$H$39*F24)</f>
        <v/>
      </c>
      <c r="H24" s="213"/>
      <c r="I24" s="250"/>
      <c r="Q24" s="252"/>
      <c r="R24" s="252"/>
    </row>
    <row r="25" spans="1:18" s="251" customFormat="1" ht="19.149999999999999" customHeight="1" x14ac:dyDescent="0.25">
      <c r="A25" s="248"/>
      <c r="C25" s="144">
        <v>2</v>
      </c>
      <c r="D25" s="35">
        <f>IF('Fondasi Dalam'!H49&lt;=0,"",'Fondasi Dalam'!H49)</f>
        <v>0.5</v>
      </c>
      <c r="E25" s="144" t="str">
        <f>IF(D25="","",IF(D25-0.5*$C$48+$H$17&gt;0,"YA","TIDAK"))</f>
        <v>YA</v>
      </c>
      <c r="F25" s="142">
        <f>IF(D25="","",MAX('Fondasi Dalam'!L59:Q59))</f>
        <v>324.17047516469245</v>
      </c>
      <c r="G25" s="35">
        <f>IF(D25="","",'Input (1)'!$H$39*F25)</f>
        <v>648.3409503293849</v>
      </c>
      <c r="H25" s="213"/>
      <c r="I25" s="250"/>
      <c r="Q25" s="252"/>
      <c r="R25" s="252"/>
    </row>
    <row r="26" spans="1:18" s="251" customFormat="1" ht="19.149999999999999" customHeight="1" x14ac:dyDescent="0.25">
      <c r="A26" s="248"/>
      <c r="C26" s="144">
        <v>3</v>
      </c>
      <c r="D26" s="35" t="str">
        <f>IF('Fondasi Dalam'!H50&lt;=0,"",'Fondasi Dalam'!H50)</f>
        <v/>
      </c>
      <c r="E26" s="144" t="str">
        <f>IF(D26="","",IF(D26-0.5*$C$48+$H$17&gt;0,"YA","TIDAK"))</f>
        <v/>
      </c>
      <c r="F26" s="142" t="str">
        <f>IF(D26="","",MAX('Fondasi Dalam'!L60:Q60))</f>
        <v/>
      </c>
      <c r="G26" s="35" t="str">
        <f>IF(D26="","",'Input (1)'!$H$39*F26)</f>
        <v/>
      </c>
      <c r="H26" s="213"/>
      <c r="I26" s="250"/>
      <c r="Q26" s="252"/>
      <c r="R26" s="252"/>
    </row>
    <row r="27" spans="1:18" s="251" customFormat="1" ht="19.149999999999999" customHeight="1" x14ac:dyDescent="0.25">
      <c r="A27" s="248"/>
      <c r="C27" s="144">
        <v>4</v>
      </c>
      <c r="D27" s="35" t="str">
        <f>IF('Fondasi Dalam'!H51&lt;=0,"",'Fondasi Dalam'!H51)</f>
        <v/>
      </c>
      <c r="E27" s="144" t="str">
        <f>IF(D27="","",IF(D27-0.5*$C$48+$H$17&gt;0,"YA","TIDAK"))</f>
        <v/>
      </c>
      <c r="F27" s="142" t="str">
        <f>IF(D27="","",MAX('Fondasi Dalam'!L61:Q61))</f>
        <v/>
      </c>
      <c r="G27" s="35" t="str">
        <f>IF(D27="","",'Input (1)'!$H$39*F27)</f>
        <v/>
      </c>
      <c r="H27" s="213"/>
      <c r="I27" s="250"/>
      <c r="Q27" s="252"/>
      <c r="R27" s="252"/>
    </row>
    <row r="28" spans="1:18" s="251" customFormat="1" ht="19.149999999999999" customHeight="1" x14ac:dyDescent="0.25">
      <c r="A28" s="248"/>
      <c r="B28" s="249"/>
      <c r="F28" s="265" t="s">
        <v>553</v>
      </c>
      <c r="G28" s="266">
        <f>SUM(G24:G27)</f>
        <v>648.3409503293849</v>
      </c>
      <c r="H28" s="249"/>
      <c r="I28" s="250"/>
      <c r="N28" s="252"/>
      <c r="O28" s="252"/>
      <c r="P28" s="252"/>
      <c r="Q28" s="252"/>
      <c r="R28" s="252"/>
    </row>
    <row r="29" spans="1:18" s="251" customFormat="1" ht="19.149999999999999" customHeight="1" x14ac:dyDescent="0.25">
      <c r="A29" s="248"/>
      <c r="B29" s="249"/>
      <c r="H29" s="249"/>
      <c r="I29" s="250"/>
      <c r="N29" s="252"/>
      <c r="O29" s="252"/>
      <c r="P29" s="252"/>
      <c r="Q29" s="252"/>
      <c r="R29" s="252"/>
    </row>
    <row r="30" spans="1:18" s="251" customFormat="1" ht="19.149999999999999" customHeight="1" x14ac:dyDescent="0.25">
      <c r="A30" s="248"/>
      <c r="B30" s="91" t="s">
        <v>178</v>
      </c>
      <c r="C30" s="91"/>
      <c r="D30" s="91"/>
      <c r="E30" s="91"/>
      <c r="F30" s="100"/>
      <c r="G30" s="92" t="s">
        <v>554</v>
      </c>
      <c r="H30" s="258">
        <f>G28-H18-H19-H20</f>
        <v>596.82718232938487</v>
      </c>
      <c r="I30" s="93" t="s">
        <v>177</v>
      </c>
      <c r="N30" s="252"/>
      <c r="O30" s="252"/>
      <c r="P30" s="252"/>
      <c r="Q30" s="252"/>
      <c r="R30" s="252"/>
    </row>
    <row r="31" spans="1:18" s="251" customFormat="1" ht="19.149999999999999" customHeight="1" x14ac:dyDescent="0.25">
      <c r="A31" s="248"/>
      <c r="B31" s="249"/>
      <c r="C31" s="249"/>
      <c r="D31" s="249"/>
      <c r="E31" s="249"/>
      <c r="F31" s="249"/>
      <c r="G31" s="249"/>
      <c r="H31" s="249"/>
      <c r="I31" s="250"/>
      <c r="N31" s="252"/>
      <c r="O31" s="252"/>
      <c r="P31" s="252"/>
      <c r="Q31" s="252"/>
      <c r="R31" s="252"/>
    </row>
    <row r="32" spans="1:18" s="21" customFormat="1" ht="19.149999999999999" customHeight="1" x14ac:dyDescent="0.25">
      <c r="A32" s="239" t="s">
        <v>290</v>
      </c>
      <c r="B32" s="108" t="s">
        <v>427</v>
      </c>
      <c r="C32" s="114"/>
      <c r="D32" s="114"/>
      <c r="E32" s="114"/>
      <c r="F32" s="114"/>
      <c r="G32" s="114"/>
      <c r="H32" s="114"/>
      <c r="I32" s="115"/>
      <c r="N32" s="166"/>
      <c r="O32" s="166"/>
      <c r="P32" s="166"/>
      <c r="Q32" s="166"/>
      <c r="R32" s="166"/>
    </row>
    <row r="33" spans="1:18" s="21" customFormat="1" ht="19.149999999999999" customHeight="1" x14ac:dyDescent="0.25">
      <c r="A33" s="240"/>
      <c r="B33" s="117"/>
      <c r="C33" s="117"/>
      <c r="D33" s="117"/>
      <c r="E33" s="117"/>
      <c r="F33" s="117"/>
      <c r="G33" s="117"/>
      <c r="H33" s="117"/>
      <c r="I33" s="191"/>
      <c r="N33" s="166"/>
      <c r="O33" s="166"/>
      <c r="P33" s="166"/>
      <c r="Q33" s="166"/>
      <c r="R33" s="166"/>
    </row>
    <row r="34" spans="1:18" s="21" customFormat="1" ht="19.149999999999999" customHeight="1" x14ac:dyDescent="0.25">
      <c r="A34" s="240"/>
      <c r="B34" s="117"/>
      <c r="C34" s="117"/>
      <c r="D34" s="117"/>
      <c r="E34" s="117"/>
      <c r="F34" s="117"/>
      <c r="G34" s="117"/>
      <c r="H34" s="117"/>
      <c r="I34" s="191"/>
      <c r="N34" s="166"/>
      <c r="O34" s="166"/>
      <c r="P34" s="166"/>
      <c r="Q34" s="166"/>
      <c r="R34" s="166"/>
    </row>
    <row r="35" spans="1:18" s="21" customFormat="1" ht="19.149999999999999" customHeight="1" x14ac:dyDescent="0.25">
      <c r="A35" s="240"/>
      <c r="B35" s="117"/>
      <c r="C35" s="117"/>
      <c r="D35" s="117"/>
      <c r="E35" s="117"/>
      <c r="F35" s="117"/>
      <c r="G35" s="117"/>
      <c r="H35" s="117"/>
      <c r="I35" s="191"/>
      <c r="N35" s="166"/>
      <c r="O35" s="166"/>
      <c r="P35" s="166"/>
      <c r="Q35" s="166"/>
      <c r="R35" s="166"/>
    </row>
    <row r="36" spans="1:18" s="21" customFormat="1" ht="19.149999999999999" customHeight="1" x14ac:dyDescent="0.25">
      <c r="A36" s="240"/>
      <c r="B36" s="117"/>
      <c r="C36" s="117"/>
      <c r="D36" s="117"/>
      <c r="E36" s="117"/>
      <c r="F36" s="117"/>
      <c r="G36" s="117"/>
      <c r="H36" s="117"/>
      <c r="I36" s="191"/>
      <c r="N36" s="166"/>
      <c r="O36" s="166"/>
      <c r="P36" s="166"/>
      <c r="Q36" s="166"/>
      <c r="R36" s="166"/>
    </row>
    <row r="37" spans="1:18" s="21" customFormat="1" ht="19.149999999999999" customHeight="1" x14ac:dyDescent="0.25">
      <c r="A37" s="240"/>
      <c r="B37" s="117"/>
      <c r="C37" s="117"/>
      <c r="D37" s="117"/>
      <c r="E37" s="117"/>
      <c r="F37" s="117"/>
      <c r="G37" s="117"/>
      <c r="H37" s="117"/>
      <c r="I37" s="191"/>
      <c r="N37" s="166"/>
      <c r="O37" s="166"/>
      <c r="P37" s="166"/>
      <c r="Q37" s="166"/>
      <c r="R37" s="166"/>
    </row>
    <row r="38" spans="1:18" s="21" customFormat="1" ht="19.149999999999999" customHeight="1" x14ac:dyDescent="0.25">
      <c r="A38" s="240"/>
      <c r="B38" s="117"/>
      <c r="C38" s="117"/>
      <c r="D38" s="117"/>
      <c r="E38" s="117"/>
      <c r="F38" s="117"/>
      <c r="G38" s="117"/>
      <c r="H38" s="117"/>
      <c r="I38" s="191"/>
      <c r="N38" s="166"/>
      <c r="O38" s="166"/>
      <c r="P38" s="166"/>
      <c r="Q38" s="166"/>
      <c r="R38" s="166"/>
    </row>
    <row r="39" spans="1:18" s="21" customFormat="1" ht="19.149999999999999" customHeight="1" x14ac:dyDescent="0.25">
      <c r="A39" s="240"/>
      <c r="B39" s="117"/>
      <c r="C39" s="117"/>
      <c r="D39" s="117"/>
      <c r="E39" s="117"/>
      <c r="F39" s="117"/>
      <c r="G39" s="117"/>
      <c r="H39" s="117"/>
      <c r="I39" s="191"/>
      <c r="N39" s="166"/>
      <c r="O39" s="166"/>
      <c r="P39" s="166"/>
      <c r="Q39" s="166"/>
      <c r="R39" s="166"/>
    </row>
    <row r="40" spans="1:18" s="21" customFormat="1" ht="19.149999999999999" customHeight="1" x14ac:dyDescent="0.25">
      <c r="A40" s="240"/>
      <c r="B40" s="117"/>
      <c r="C40" s="117"/>
      <c r="D40" s="117"/>
      <c r="E40" s="117"/>
      <c r="F40" s="117"/>
      <c r="G40" s="117"/>
      <c r="H40" s="117"/>
      <c r="I40" s="191"/>
      <c r="N40" s="166"/>
      <c r="O40" s="166"/>
      <c r="P40" s="166"/>
      <c r="Q40" s="166"/>
      <c r="R40" s="166"/>
    </row>
    <row r="41" spans="1:18" s="21" customFormat="1" ht="19.149999999999999" customHeight="1" x14ac:dyDescent="0.25">
      <c r="A41" s="240"/>
      <c r="B41" s="117"/>
      <c r="C41" s="117"/>
      <c r="D41" s="117"/>
      <c r="E41" s="117"/>
      <c r="F41" s="117"/>
      <c r="G41" s="117"/>
      <c r="H41" s="117"/>
      <c r="I41" s="191"/>
      <c r="N41" s="166"/>
      <c r="O41" s="166"/>
      <c r="P41" s="166"/>
      <c r="Q41" s="166"/>
      <c r="R41" s="166"/>
    </row>
    <row r="42" spans="1:18" s="21" customFormat="1" ht="19.149999999999999" customHeight="1" x14ac:dyDescent="0.25">
      <c r="A42" s="240"/>
      <c r="B42" s="117"/>
      <c r="C42" s="117"/>
      <c r="D42" s="117"/>
      <c r="E42" s="117"/>
      <c r="F42" s="117"/>
      <c r="G42" s="117"/>
      <c r="H42" s="117"/>
      <c r="I42" s="191"/>
      <c r="N42" s="166"/>
      <c r="O42" s="166"/>
      <c r="P42" s="166"/>
      <c r="Q42" s="166"/>
      <c r="R42" s="166"/>
    </row>
    <row r="43" spans="1:18" s="21" customFormat="1" ht="19.149999999999999" customHeight="1" x14ac:dyDescent="0.25">
      <c r="A43" s="240"/>
      <c r="B43" s="117"/>
      <c r="C43" s="117"/>
      <c r="D43" s="117"/>
      <c r="E43" s="117"/>
      <c r="F43" s="117"/>
      <c r="G43" s="117"/>
      <c r="H43" s="117"/>
      <c r="I43" s="191"/>
      <c r="N43" s="166"/>
      <c r="O43" s="166"/>
      <c r="P43" s="166"/>
      <c r="Q43" s="166"/>
      <c r="R43" s="166"/>
    </row>
    <row r="44" spans="1:18" s="21" customFormat="1" ht="19.149999999999999" customHeight="1" x14ac:dyDescent="0.25">
      <c r="A44" s="240"/>
      <c r="B44" s="117" t="s">
        <v>314</v>
      </c>
      <c r="C44" s="117"/>
      <c r="D44" s="117"/>
      <c r="E44" s="117"/>
      <c r="F44" s="117"/>
      <c r="G44" s="117"/>
      <c r="H44" s="117"/>
      <c r="I44" s="191"/>
      <c r="N44" s="166"/>
      <c r="O44" s="166"/>
      <c r="P44" s="166"/>
      <c r="Q44" s="166"/>
      <c r="R44" s="166"/>
    </row>
    <row r="45" spans="1:18" s="21" customFormat="1" ht="19.149999999999999" customHeight="1" x14ac:dyDescent="0.25">
      <c r="A45" s="240"/>
      <c r="B45" s="185" t="s">
        <v>23</v>
      </c>
      <c r="C45" s="35">
        <f>'Input (1)'!H4</f>
        <v>0.4</v>
      </c>
      <c r="D45" s="244" t="s">
        <v>6</v>
      </c>
      <c r="E45" s="185" t="s">
        <v>334</v>
      </c>
      <c r="F45" s="70">
        <f>'Fondasi Dalam'!$L$47-0.5*'Input (1)'!H4</f>
        <v>0.3</v>
      </c>
      <c r="G45" s="244" t="s">
        <v>6</v>
      </c>
      <c r="H45" s="185"/>
      <c r="I45" s="192"/>
      <c r="N45" s="166"/>
      <c r="O45" s="166"/>
      <c r="P45" s="166"/>
      <c r="Q45" s="166"/>
      <c r="R45" s="166"/>
    </row>
    <row r="46" spans="1:18" s="21" customFormat="1" ht="19.149999999999999" customHeight="1" x14ac:dyDescent="0.25">
      <c r="A46" s="240"/>
      <c r="B46" s="185" t="s">
        <v>335</v>
      </c>
      <c r="C46" s="69">
        <f>('Fondasi Dalam'!$I$53-C45)/2</f>
        <v>0.7</v>
      </c>
      <c r="D46" s="244" t="s">
        <v>6</v>
      </c>
      <c r="E46" s="185" t="s">
        <v>336</v>
      </c>
      <c r="F46" s="70">
        <f>0.5*(C46)</f>
        <v>0.35</v>
      </c>
      <c r="G46" s="244" t="s">
        <v>6</v>
      </c>
      <c r="H46" s="117"/>
      <c r="I46" s="191"/>
      <c r="N46" s="166"/>
      <c r="O46" s="166"/>
      <c r="P46" s="166"/>
      <c r="Q46" s="166"/>
      <c r="R46" s="166"/>
    </row>
    <row r="47" spans="1:18" s="21" customFormat="1" ht="19.149999999999999" customHeight="1" x14ac:dyDescent="0.25">
      <c r="A47" s="240"/>
      <c r="B47" s="185"/>
      <c r="C47" s="181"/>
      <c r="D47" s="244"/>
      <c r="E47" s="185" t="s">
        <v>338</v>
      </c>
      <c r="F47" s="70">
        <f>F46</f>
        <v>0.35</v>
      </c>
      <c r="G47" s="244" t="s">
        <v>6</v>
      </c>
      <c r="H47" s="117"/>
      <c r="I47" s="191"/>
      <c r="N47" s="166"/>
      <c r="O47" s="166"/>
      <c r="P47" s="166"/>
      <c r="Q47" s="166"/>
      <c r="R47" s="166"/>
    </row>
    <row r="48" spans="1:18" s="21" customFormat="1" ht="19.149999999999999" customHeight="1" x14ac:dyDescent="0.25">
      <c r="A48" s="240"/>
      <c r="B48" s="185" t="s">
        <v>359</v>
      </c>
      <c r="C48" s="69">
        <f>C45+2*C46</f>
        <v>1.7999999999999998</v>
      </c>
      <c r="D48" s="244" t="s">
        <v>6</v>
      </c>
      <c r="E48" s="117"/>
      <c r="F48" s="117"/>
      <c r="G48" s="244"/>
      <c r="H48" s="117"/>
      <c r="I48" s="191"/>
      <c r="N48" s="166"/>
      <c r="O48" s="166"/>
      <c r="P48" s="166"/>
      <c r="Q48" s="166"/>
      <c r="R48" s="166"/>
    </row>
    <row r="49" spans="1:18" s="21" customFormat="1" ht="19.149999999999999" customHeight="1" x14ac:dyDescent="0.25">
      <c r="A49" s="240"/>
      <c r="B49" s="185" t="s">
        <v>339</v>
      </c>
      <c r="C49" s="35">
        <f>'Input (1)'!H6</f>
        <v>0.4</v>
      </c>
      <c r="D49" s="244" t="s">
        <v>6</v>
      </c>
      <c r="E49" s="185" t="s">
        <v>358</v>
      </c>
      <c r="F49" s="70">
        <f>MAX('Fondasi Dalam'!$L$62:$Q$62)</f>
        <v>521.40165032938489</v>
      </c>
      <c r="G49" s="244" t="s">
        <v>69</v>
      </c>
      <c r="H49" s="193"/>
      <c r="I49" s="191"/>
      <c r="N49" s="166"/>
      <c r="O49" s="166"/>
      <c r="P49" s="166"/>
      <c r="Q49" s="166"/>
      <c r="R49" s="166"/>
    </row>
    <row r="50" spans="1:18" s="21" customFormat="1" ht="19.149999999999999" customHeight="1" x14ac:dyDescent="0.25">
      <c r="A50" s="240"/>
      <c r="B50" s="117"/>
      <c r="C50" s="117"/>
      <c r="D50" s="117"/>
      <c r="E50" s="117"/>
      <c r="F50" s="117"/>
      <c r="G50" s="117"/>
      <c r="H50" s="117"/>
      <c r="I50" s="191"/>
      <c r="N50" s="166"/>
      <c r="O50" s="166"/>
      <c r="P50" s="166"/>
      <c r="Q50" s="166"/>
      <c r="R50" s="166"/>
    </row>
    <row r="51" spans="1:18" s="21" customFormat="1" ht="19.149999999999999" customHeight="1" x14ac:dyDescent="0.25">
      <c r="A51" s="240"/>
      <c r="B51" s="471" t="s">
        <v>316</v>
      </c>
      <c r="C51" s="476" t="s">
        <v>317</v>
      </c>
      <c r="D51" s="477"/>
      <c r="E51" s="478"/>
      <c r="F51" s="474" t="s">
        <v>318</v>
      </c>
      <c r="G51" s="474" t="s">
        <v>319</v>
      </c>
      <c r="H51" s="474" t="s">
        <v>320</v>
      </c>
      <c r="I51" s="191"/>
      <c r="L51" s="166"/>
      <c r="M51" s="166"/>
      <c r="N51" s="166"/>
      <c r="O51" s="166"/>
      <c r="P51" s="166"/>
    </row>
    <row r="52" spans="1:18" s="21" customFormat="1" ht="19.149999999999999" customHeight="1" x14ac:dyDescent="0.25">
      <c r="A52" s="240"/>
      <c r="B52" s="472"/>
      <c r="C52" s="140" t="s">
        <v>364</v>
      </c>
      <c r="D52" s="140" t="s">
        <v>321</v>
      </c>
      <c r="E52" s="140" t="s">
        <v>365</v>
      </c>
      <c r="F52" s="475"/>
      <c r="G52" s="475"/>
      <c r="H52" s="475"/>
      <c r="I52" s="191"/>
      <c r="L52" s="166"/>
      <c r="M52" s="166"/>
      <c r="N52" s="166"/>
      <c r="O52" s="166"/>
      <c r="P52" s="166"/>
    </row>
    <row r="53" spans="1:18" s="21" customFormat="1" ht="19.149999999999999" customHeight="1" x14ac:dyDescent="0.25">
      <c r="A53" s="240"/>
      <c r="B53" s="473"/>
      <c r="C53" s="140" t="s">
        <v>91</v>
      </c>
      <c r="D53" s="140" t="s">
        <v>91</v>
      </c>
      <c r="E53" s="140" t="s">
        <v>91</v>
      </c>
      <c r="F53" s="140" t="s">
        <v>363</v>
      </c>
      <c r="G53" s="140" t="s">
        <v>322</v>
      </c>
      <c r="H53" s="140" t="s">
        <v>348</v>
      </c>
      <c r="I53" s="191"/>
      <c r="L53" s="166"/>
      <c r="M53" s="166"/>
      <c r="N53" s="166"/>
      <c r="O53" s="166"/>
      <c r="P53" s="166"/>
    </row>
    <row r="54" spans="1:18" s="21" customFormat="1" ht="19.149999999999999" customHeight="1" x14ac:dyDescent="0.25">
      <c r="A54" s="240"/>
      <c r="B54" s="236" t="s">
        <v>340</v>
      </c>
      <c r="C54" s="69">
        <f>C46</f>
        <v>0.7</v>
      </c>
      <c r="D54" s="69">
        <f>C49</f>
        <v>0.4</v>
      </c>
      <c r="E54" s="69">
        <f>'Fondasi Dalam'!I54</f>
        <v>1.8</v>
      </c>
      <c r="F54" s="70">
        <f>C54*D54*E54</f>
        <v>0.504</v>
      </c>
      <c r="G54" s="171">
        <f>F54*'Fondasi Dalam'!I7</f>
        <v>12.096</v>
      </c>
      <c r="H54" s="172">
        <f>G54*F46</f>
        <v>4.2336</v>
      </c>
      <c r="I54" s="191"/>
      <c r="L54" s="166"/>
      <c r="M54" s="166"/>
      <c r="N54" s="166"/>
      <c r="O54" s="166"/>
      <c r="P54" s="166"/>
    </row>
    <row r="55" spans="1:18" s="21" customFormat="1" ht="19.149999999999999" customHeight="1" x14ac:dyDescent="0.25">
      <c r="A55" s="240"/>
      <c r="B55" s="236" t="s">
        <v>341</v>
      </c>
      <c r="C55" s="69">
        <f>C54</f>
        <v>0.7</v>
      </c>
      <c r="D55" s="69">
        <f>'Fondasi Dalam'!I5</f>
        <v>2.1</v>
      </c>
      <c r="E55" s="69">
        <f>E54</f>
        <v>1.8</v>
      </c>
      <c r="F55" s="70">
        <f>C55*D55*E55</f>
        <v>2.6459999999999999</v>
      </c>
      <c r="G55" s="171">
        <f>F55*'Fondasi Dalam'!I8</f>
        <v>45.511199999999995</v>
      </c>
      <c r="H55" s="173">
        <f>G55*F47</f>
        <v>15.928919999999998</v>
      </c>
      <c r="I55" s="191"/>
      <c r="L55" s="166"/>
      <c r="M55" s="166"/>
      <c r="N55" s="166"/>
      <c r="O55" s="166"/>
      <c r="P55" s="166"/>
    </row>
    <row r="56" spans="1:18" s="21" customFormat="1" ht="19.149999999999999" customHeight="1" x14ac:dyDescent="0.25">
      <c r="A56" s="240"/>
      <c r="B56" s="117"/>
      <c r="C56" s="117"/>
      <c r="D56" s="117"/>
      <c r="E56" s="117"/>
      <c r="F56" s="175" t="s">
        <v>342</v>
      </c>
      <c r="G56" s="176">
        <f>SUM(G54:G55)</f>
        <v>57.607199999999992</v>
      </c>
      <c r="H56" s="174"/>
      <c r="I56" s="191"/>
      <c r="L56" s="166"/>
      <c r="M56" s="166"/>
      <c r="N56" s="166"/>
      <c r="O56" s="166"/>
      <c r="P56" s="166"/>
    </row>
    <row r="57" spans="1:18" s="21" customFormat="1" ht="19.149999999999999" customHeight="1" x14ac:dyDescent="0.25">
      <c r="A57" s="240"/>
      <c r="B57" s="117"/>
      <c r="C57" s="117"/>
      <c r="D57" s="117"/>
      <c r="E57" s="117"/>
      <c r="F57" s="170"/>
      <c r="G57" s="177" t="s">
        <v>343</v>
      </c>
      <c r="H57" s="178">
        <f>SUM(H54:H55)</f>
        <v>20.162519999999997</v>
      </c>
      <c r="I57" s="194"/>
      <c r="M57" s="166"/>
      <c r="N57" s="166"/>
      <c r="O57" s="166"/>
      <c r="P57" s="166"/>
      <c r="Q57" s="166"/>
    </row>
    <row r="58" spans="1:18" s="21" customFormat="1" ht="19.149999999999999" customHeight="1" x14ac:dyDescent="0.25">
      <c r="A58" s="240"/>
      <c r="B58" s="117" t="s">
        <v>324</v>
      </c>
      <c r="C58" s="117"/>
      <c r="D58" s="117"/>
      <c r="E58" s="117"/>
      <c r="F58" s="117"/>
      <c r="G58" s="185" t="s">
        <v>325</v>
      </c>
      <c r="H58" s="167">
        <v>1.2</v>
      </c>
      <c r="I58" s="195"/>
      <c r="M58" s="166"/>
      <c r="N58" s="166"/>
      <c r="O58" s="166"/>
      <c r="P58" s="166"/>
      <c r="Q58" s="166"/>
    </row>
    <row r="59" spans="1:18" s="21" customFormat="1" ht="19.149999999999999" customHeight="1" x14ac:dyDescent="0.25">
      <c r="A59" s="240"/>
      <c r="B59" s="117" t="s">
        <v>326</v>
      </c>
      <c r="C59" s="117"/>
      <c r="D59" s="117"/>
      <c r="E59" s="117"/>
      <c r="F59" s="117"/>
      <c r="G59" s="185" t="s">
        <v>360</v>
      </c>
      <c r="H59" s="69">
        <f>H58*H57+0.5*C46^2*'Fondasi Dalam'!I54*'Input (1)'!H9</f>
        <v>31.251023999999994</v>
      </c>
      <c r="I59" s="196" t="s">
        <v>216</v>
      </c>
      <c r="M59" s="166"/>
      <c r="N59" s="166"/>
      <c r="O59" s="166"/>
      <c r="P59" s="166"/>
      <c r="Q59" s="166"/>
    </row>
    <row r="60" spans="1:18" s="21" customFormat="1" ht="19.149999999999999" customHeight="1" x14ac:dyDescent="0.25">
      <c r="A60" s="240"/>
      <c r="B60" s="117"/>
      <c r="C60" s="117"/>
      <c r="D60" s="117"/>
      <c r="E60" s="117"/>
      <c r="F60" s="117"/>
      <c r="G60" s="117"/>
      <c r="H60" s="117"/>
      <c r="I60" s="191"/>
      <c r="N60" s="166"/>
      <c r="O60" s="166"/>
      <c r="P60" s="166"/>
      <c r="Q60" s="166"/>
      <c r="R60" s="166"/>
    </row>
    <row r="61" spans="1:18" s="21" customFormat="1" ht="19.149999999999999" customHeight="1" x14ac:dyDescent="0.25">
      <c r="A61" s="240"/>
      <c r="B61" s="479" t="s">
        <v>327</v>
      </c>
      <c r="C61" s="480"/>
      <c r="D61" s="470" t="s">
        <v>328</v>
      </c>
      <c r="E61" s="470"/>
      <c r="F61" s="470"/>
      <c r="G61" s="470" t="s">
        <v>344</v>
      </c>
      <c r="H61" s="470"/>
      <c r="I61" s="196"/>
      <c r="M61" s="166"/>
      <c r="N61" s="166"/>
      <c r="O61" s="166"/>
      <c r="P61" s="166"/>
      <c r="Q61" s="166"/>
    </row>
    <row r="62" spans="1:18" s="21" customFormat="1" ht="19.149999999999999" customHeight="1" x14ac:dyDescent="0.25">
      <c r="A62" s="240"/>
      <c r="B62" s="479" t="s">
        <v>329</v>
      </c>
      <c r="C62" s="480"/>
      <c r="D62" s="470" t="s">
        <v>345</v>
      </c>
      <c r="E62" s="470"/>
      <c r="F62" s="470"/>
      <c r="G62" s="470" t="s">
        <v>323</v>
      </c>
      <c r="H62" s="470"/>
      <c r="I62" s="196"/>
      <c r="M62" s="166"/>
      <c r="N62" s="166"/>
      <c r="O62" s="166"/>
      <c r="P62" s="166"/>
      <c r="Q62" s="166"/>
    </row>
    <row r="63" spans="1:18" s="21" customFormat="1" ht="19.149999999999999" customHeight="1" x14ac:dyDescent="0.25">
      <c r="A63" s="240"/>
      <c r="B63" s="237">
        <v>1</v>
      </c>
      <c r="C63" s="35" t="str">
        <f>IF('Fondasi Dalam'!H48&lt;=0,"",'Fondasi Dalam'!H48)</f>
        <v/>
      </c>
      <c r="D63" s="168"/>
      <c r="E63" s="180" t="s">
        <v>352</v>
      </c>
      <c r="F63" s="35" t="str">
        <f>IF(C63="","",C63-0.5*'Input (1)'!$H$4)</f>
        <v/>
      </c>
      <c r="G63" s="168"/>
      <c r="H63" s="142" t="str">
        <f>IF(C63="","",F63*$F$49)</f>
        <v/>
      </c>
      <c r="I63" s="196"/>
      <c r="M63" s="166"/>
      <c r="N63" s="166"/>
      <c r="O63" s="166"/>
      <c r="P63" s="166"/>
      <c r="Q63" s="166"/>
    </row>
    <row r="64" spans="1:18" s="21" customFormat="1" ht="19.149999999999999" customHeight="1" x14ac:dyDescent="0.25">
      <c r="A64" s="240"/>
      <c r="B64" s="237">
        <v>2</v>
      </c>
      <c r="C64" s="35">
        <f>IF('Fondasi Dalam'!H49&lt;=0,"",'Fondasi Dalam'!H49)</f>
        <v>0.5</v>
      </c>
      <c r="D64" s="168"/>
      <c r="E64" s="180" t="s">
        <v>353</v>
      </c>
      <c r="F64" s="35">
        <f>IF(C64="","",C64-0.5*'Input (1)'!$H$4)</f>
        <v>0.3</v>
      </c>
      <c r="G64" s="168"/>
      <c r="H64" s="142">
        <f t="shared" ref="H64:H66" si="0">IF(C64="","",F64*$F$49)</f>
        <v>156.42049509881545</v>
      </c>
      <c r="I64" s="196"/>
      <c r="M64" s="166"/>
      <c r="N64" s="166"/>
      <c r="O64" s="166"/>
      <c r="P64" s="166"/>
      <c r="Q64" s="166"/>
    </row>
    <row r="65" spans="1:18" s="21" customFormat="1" ht="19.149999999999999" customHeight="1" x14ac:dyDescent="0.25">
      <c r="A65" s="240"/>
      <c r="B65" s="237">
        <v>3</v>
      </c>
      <c r="C65" s="35" t="str">
        <f>IF('Fondasi Dalam'!H50&lt;=0,"",'Fondasi Dalam'!H50)</f>
        <v/>
      </c>
      <c r="D65" s="168"/>
      <c r="E65" s="180" t="s">
        <v>354</v>
      </c>
      <c r="F65" s="35" t="str">
        <f>IF(C65="","",C65-0.5*'Input (1)'!$H$4)</f>
        <v/>
      </c>
      <c r="G65" s="168"/>
      <c r="H65" s="142" t="str">
        <f t="shared" si="0"/>
        <v/>
      </c>
      <c r="I65" s="196"/>
      <c r="M65" s="166"/>
      <c r="N65" s="166"/>
      <c r="O65" s="166"/>
      <c r="P65" s="166"/>
      <c r="Q65" s="166"/>
    </row>
    <row r="66" spans="1:18" s="21" customFormat="1" ht="19.149999999999999" customHeight="1" x14ac:dyDescent="0.25">
      <c r="A66" s="240"/>
      <c r="B66" s="237">
        <v>4</v>
      </c>
      <c r="C66" s="35" t="str">
        <f>IF('Fondasi Dalam'!H51&lt;=0,"",'Fondasi Dalam'!H51)</f>
        <v/>
      </c>
      <c r="D66" s="168"/>
      <c r="E66" s="180" t="s">
        <v>355</v>
      </c>
      <c r="F66" s="35" t="str">
        <f>IF(C66="","",C66-0.5*'Input (1)'!$H$4)</f>
        <v/>
      </c>
      <c r="G66" s="168"/>
      <c r="H66" s="142" t="str">
        <f t="shared" si="0"/>
        <v/>
      </c>
      <c r="I66" s="196"/>
      <c r="M66" s="166"/>
      <c r="N66" s="166"/>
      <c r="O66" s="166"/>
      <c r="P66" s="166"/>
      <c r="Q66" s="166"/>
    </row>
    <row r="67" spans="1:18" s="21" customFormat="1" ht="19.149999999999999" customHeight="1" x14ac:dyDescent="0.25">
      <c r="A67" s="240"/>
      <c r="B67" s="117" t="s">
        <v>330</v>
      </c>
      <c r="C67" s="117"/>
      <c r="D67" s="117"/>
      <c r="E67" s="117"/>
      <c r="F67" s="117"/>
      <c r="G67" s="185" t="s">
        <v>346</v>
      </c>
      <c r="H67" s="70">
        <f>SUM(H63:H66)</f>
        <v>156.42049509881545</v>
      </c>
      <c r="I67" s="196" t="s">
        <v>216</v>
      </c>
      <c r="M67" s="166"/>
      <c r="N67" s="166"/>
      <c r="O67" s="166"/>
      <c r="P67" s="166"/>
      <c r="Q67" s="166"/>
    </row>
    <row r="68" spans="1:18" s="21" customFormat="1" ht="19.149999999999999" customHeight="1" x14ac:dyDescent="0.25">
      <c r="A68" s="240"/>
      <c r="B68" s="117" t="s">
        <v>331</v>
      </c>
      <c r="C68" s="117"/>
      <c r="D68" s="117"/>
      <c r="E68" s="117"/>
      <c r="F68" s="117"/>
      <c r="G68" s="185" t="s">
        <v>347</v>
      </c>
      <c r="H68" s="70">
        <f>H67-H59</f>
        <v>125.16947109881545</v>
      </c>
      <c r="I68" s="196" t="s">
        <v>216</v>
      </c>
      <c r="M68" s="166"/>
      <c r="N68" s="166"/>
      <c r="O68" s="166"/>
      <c r="P68" s="166"/>
      <c r="Q68" s="166"/>
    </row>
    <row r="69" spans="1:18" s="21" customFormat="1" ht="19.149999999999999" customHeight="1" x14ac:dyDescent="0.25">
      <c r="A69" s="240"/>
      <c r="B69" s="117"/>
      <c r="C69" s="117"/>
      <c r="D69" s="117"/>
      <c r="E69" s="117"/>
      <c r="F69" s="117"/>
      <c r="G69" s="185" t="s">
        <v>356</v>
      </c>
      <c r="H69" s="69">
        <f>E54</f>
        <v>1.8</v>
      </c>
      <c r="I69" s="196" t="s">
        <v>6</v>
      </c>
      <c r="M69" s="166"/>
      <c r="N69" s="166"/>
      <c r="O69" s="166"/>
      <c r="P69" s="166"/>
      <c r="Q69" s="166"/>
    </row>
    <row r="70" spans="1:18" s="21" customFormat="1" ht="19.149999999999999" customHeight="1" x14ac:dyDescent="0.25">
      <c r="A70" s="240"/>
      <c r="B70" s="117" t="s">
        <v>332</v>
      </c>
      <c r="C70" s="117"/>
      <c r="D70" s="117"/>
      <c r="E70" s="117"/>
      <c r="F70" s="117"/>
      <c r="G70" s="185" t="s">
        <v>357</v>
      </c>
      <c r="H70" s="70">
        <f>H68/H69</f>
        <v>69.538595054897471</v>
      </c>
      <c r="I70" s="196" t="s">
        <v>216</v>
      </c>
      <c r="M70" s="166"/>
      <c r="N70" s="166"/>
      <c r="O70" s="166"/>
      <c r="P70" s="166"/>
      <c r="Q70" s="166"/>
    </row>
    <row r="71" spans="1:18" ht="18.75" customHeight="1" x14ac:dyDescent="0.25">
      <c r="A71" s="240"/>
      <c r="B71" s="197"/>
      <c r="C71" s="197"/>
      <c r="D71" s="197"/>
      <c r="E71" s="197"/>
      <c r="F71" s="197"/>
      <c r="G71" s="197"/>
      <c r="H71" s="197"/>
      <c r="I71" s="198"/>
    </row>
    <row r="72" spans="1:18" s="21" customFormat="1" ht="19.149999999999999" customHeight="1" x14ac:dyDescent="0.25">
      <c r="A72" s="239" t="s">
        <v>291</v>
      </c>
      <c r="B72" s="108" t="s">
        <v>430</v>
      </c>
      <c r="C72" s="114"/>
      <c r="D72" s="114"/>
      <c r="E72" s="114"/>
      <c r="F72" s="114"/>
      <c r="G72" s="114"/>
      <c r="H72" s="114"/>
      <c r="I72" s="115"/>
      <c r="N72" s="166"/>
      <c r="O72" s="166"/>
      <c r="P72" s="166"/>
      <c r="Q72" s="166"/>
      <c r="R72" s="166"/>
    </row>
    <row r="73" spans="1:18" s="251" customFormat="1" ht="19.149999999999999" customHeight="1" x14ac:dyDescent="0.25">
      <c r="A73" s="408"/>
      <c r="B73" s="409"/>
      <c r="C73" s="249"/>
      <c r="D73" s="249"/>
      <c r="E73" s="249"/>
      <c r="F73" s="249"/>
      <c r="G73" s="249"/>
      <c r="H73" s="249"/>
      <c r="I73" s="250"/>
      <c r="N73" s="252"/>
      <c r="O73" s="252"/>
      <c r="P73" s="252"/>
      <c r="Q73" s="252"/>
      <c r="R73" s="252"/>
    </row>
    <row r="74" spans="1:18" s="251" customFormat="1" ht="19.149999999999999" customHeight="1" x14ac:dyDescent="0.25">
      <c r="A74" s="408"/>
      <c r="B74" s="409"/>
      <c r="C74" s="249"/>
      <c r="D74" s="249"/>
      <c r="E74" s="249"/>
      <c r="F74" s="249"/>
      <c r="G74" s="249"/>
      <c r="H74" s="249"/>
      <c r="I74" s="250"/>
      <c r="N74" s="252"/>
      <c r="O74" s="252"/>
      <c r="P74" s="252"/>
      <c r="Q74" s="252"/>
      <c r="R74" s="252"/>
    </row>
    <row r="75" spans="1:18" s="251" customFormat="1" ht="19.149999999999999" customHeight="1" x14ac:dyDescent="0.25">
      <c r="A75" s="408"/>
      <c r="B75" s="409"/>
      <c r="C75" s="249"/>
      <c r="D75" s="249"/>
      <c r="E75" s="249"/>
      <c r="F75" s="249"/>
      <c r="G75" s="249"/>
      <c r="H75" s="249"/>
      <c r="I75" s="250"/>
      <c r="N75" s="252"/>
      <c r="O75" s="252"/>
      <c r="P75" s="252"/>
      <c r="Q75" s="252"/>
      <c r="R75" s="252"/>
    </row>
    <row r="76" spans="1:18" s="251" customFormat="1" ht="19.149999999999999" customHeight="1" x14ac:dyDescent="0.25">
      <c r="A76" s="408"/>
      <c r="B76" s="409"/>
      <c r="C76" s="249"/>
      <c r="D76" s="249"/>
      <c r="E76" s="249"/>
      <c r="F76" s="249"/>
      <c r="G76" s="249"/>
      <c r="H76" s="249"/>
      <c r="I76" s="250"/>
      <c r="N76" s="252"/>
      <c r="O76" s="252"/>
      <c r="P76" s="252"/>
      <c r="Q76" s="252"/>
      <c r="R76" s="252"/>
    </row>
    <row r="77" spans="1:18" s="251" customFormat="1" ht="19.149999999999999" customHeight="1" x14ac:dyDescent="0.25">
      <c r="A77" s="408"/>
      <c r="B77" s="409"/>
      <c r="C77" s="249"/>
      <c r="D77" s="249"/>
      <c r="E77" s="249"/>
      <c r="F77" s="249"/>
      <c r="G77" s="249"/>
      <c r="H77" s="249"/>
      <c r="I77" s="250"/>
      <c r="N77" s="252"/>
      <c r="O77" s="252"/>
      <c r="P77" s="252"/>
      <c r="Q77" s="252"/>
      <c r="R77" s="252"/>
    </row>
    <row r="78" spans="1:18" s="251" customFormat="1" ht="19.149999999999999" customHeight="1" x14ac:dyDescent="0.25">
      <c r="A78" s="408"/>
      <c r="B78" s="409"/>
      <c r="C78" s="249"/>
      <c r="D78" s="249"/>
      <c r="E78" s="249"/>
      <c r="F78" s="249"/>
      <c r="G78" s="249"/>
      <c r="H78" s="249"/>
      <c r="I78" s="250"/>
      <c r="N78" s="252"/>
      <c r="O78" s="252"/>
      <c r="P78" s="252"/>
      <c r="Q78" s="252"/>
      <c r="R78" s="252"/>
    </row>
    <row r="79" spans="1:18" s="251" customFormat="1" ht="19.149999999999999" customHeight="1" x14ac:dyDescent="0.25">
      <c r="A79" s="408"/>
      <c r="B79" s="409"/>
      <c r="C79" s="249"/>
      <c r="D79" s="249"/>
      <c r="E79" s="249"/>
      <c r="F79" s="249"/>
      <c r="G79" s="249"/>
      <c r="H79" s="249"/>
      <c r="I79" s="250"/>
      <c r="N79" s="252"/>
      <c r="O79" s="252"/>
      <c r="P79" s="252"/>
      <c r="Q79" s="252"/>
      <c r="R79" s="252"/>
    </row>
    <row r="80" spans="1:18" s="251" customFormat="1" ht="19.149999999999999" customHeight="1" x14ac:dyDescent="0.25">
      <c r="A80" s="408"/>
      <c r="B80" s="409"/>
      <c r="C80" s="249"/>
      <c r="D80" s="249"/>
      <c r="E80" s="249"/>
      <c r="F80" s="249"/>
      <c r="G80" s="249"/>
      <c r="H80" s="249"/>
      <c r="I80" s="250"/>
      <c r="N80" s="252"/>
      <c r="O80" s="252"/>
      <c r="P80" s="252"/>
      <c r="Q80" s="252"/>
      <c r="R80" s="252"/>
    </row>
    <row r="81" spans="1:18" s="251" customFormat="1" ht="19.149999999999999" customHeight="1" x14ac:dyDescent="0.25">
      <c r="A81" s="408"/>
      <c r="B81" s="409"/>
      <c r="C81" s="249"/>
      <c r="D81" s="249"/>
      <c r="E81" s="249"/>
      <c r="F81" s="249"/>
      <c r="G81" s="249"/>
      <c r="H81" s="249"/>
      <c r="I81" s="250"/>
      <c r="N81" s="252"/>
      <c r="O81" s="252"/>
      <c r="P81" s="252"/>
      <c r="Q81" s="252"/>
      <c r="R81" s="252"/>
    </row>
    <row r="82" spans="1:18" s="251" customFormat="1" ht="19.149999999999999" customHeight="1" x14ac:dyDescent="0.25">
      <c r="A82" s="408"/>
      <c r="B82" s="409"/>
      <c r="C82" s="249"/>
      <c r="D82" s="249"/>
      <c r="E82" s="249"/>
      <c r="F82" s="249"/>
      <c r="G82" s="249"/>
      <c r="H82" s="249"/>
      <c r="I82" s="250"/>
      <c r="N82" s="252"/>
      <c r="O82" s="252"/>
      <c r="P82" s="252"/>
      <c r="Q82" s="252"/>
      <c r="R82" s="252"/>
    </row>
    <row r="83" spans="1:18" s="251" customFormat="1" ht="19.149999999999999" customHeight="1" x14ac:dyDescent="0.25">
      <c r="A83" s="408"/>
      <c r="B83" s="409"/>
      <c r="C83" s="249"/>
      <c r="D83" s="249"/>
      <c r="E83" s="249"/>
      <c r="F83" s="249"/>
      <c r="G83" s="249"/>
      <c r="H83" s="249"/>
      <c r="I83" s="250"/>
      <c r="N83" s="252"/>
      <c r="O83" s="252"/>
      <c r="P83" s="252"/>
      <c r="Q83" s="252"/>
      <c r="R83" s="252"/>
    </row>
    <row r="84" spans="1:18" s="12" customFormat="1" ht="18.75" customHeight="1" x14ac:dyDescent="0.25">
      <c r="A84" s="240"/>
      <c r="B84" s="91" t="s">
        <v>172</v>
      </c>
      <c r="C84" s="91"/>
      <c r="D84" s="91"/>
      <c r="E84" s="91"/>
      <c r="F84" s="100"/>
      <c r="G84" s="92" t="s">
        <v>173</v>
      </c>
      <c r="H84" s="142">
        <f>H15</f>
        <v>0.1285</v>
      </c>
      <c r="I84" s="93" t="s">
        <v>6</v>
      </c>
    </row>
    <row r="85" spans="1:18" s="12" customFormat="1" ht="18.75" customHeight="1" x14ac:dyDescent="0.25">
      <c r="A85" s="240"/>
      <c r="B85" s="91" t="s">
        <v>174</v>
      </c>
      <c r="C85" s="91"/>
      <c r="D85" s="91"/>
      <c r="E85" s="91"/>
      <c r="F85" s="100"/>
      <c r="G85" s="92" t="s">
        <v>423</v>
      </c>
      <c r="H85" s="142">
        <f>H16</f>
        <v>0.27150000000000002</v>
      </c>
      <c r="I85" s="93" t="s">
        <v>6</v>
      </c>
    </row>
    <row r="86" spans="1:18" s="12" customFormat="1" ht="18.75" customHeight="1" x14ac:dyDescent="0.25">
      <c r="A86" s="240"/>
      <c r="B86" s="255" t="s">
        <v>176</v>
      </c>
      <c r="C86" s="255"/>
      <c r="D86" s="255"/>
      <c r="E86" s="255"/>
      <c r="F86" s="256"/>
      <c r="G86" s="257" t="s">
        <v>412</v>
      </c>
      <c r="H86" s="258">
        <f>(C118-C115-H85)/2</f>
        <v>0.46425000000000005</v>
      </c>
      <c r="I86" s="259" t="s">
        <v>6</v>
      </c>
    </row>
    <row r="87" spans="1:18" s="12" customFormat="1" ht="18.75" customHeight="1" x14ac:dyDescent="0.25">
      <c r="A87" s="240"/>
      <c r="B87" s="255" t="s">
        <v>404</v>
      </c>
      <c r="C87" s="255"/>
      <c r="D87" s="255"/>
      <c r="E87" s="255"/>
      <c r="F87" s="256"/>
      <c r="G87" s="260" t="s">
        <v>415</v>
      </c>
      <c r="H87" s="258">
        <f>H86*C48*C49*'Fondasi Dalam'!I7</f>
        <v>8.02224</v>
      </c>
      <c r="I87" s="259" t="s">
        <v>177</v>
      </c>
    </row>
    <row r="88" spans="1:18" s="12" customFormat="1" ht="18.75" customHeight="1" x14ac:dyDescent="0.25">
      <c r="A88" s="240"/>
      <c r="B88" s="255" t="s">
        <v>111</v>
      </c>
      <c r="C88" s="255"/>
      <c r="D88" s="255"/>
      <c r="E88" s="255"/>
      <c r="F88" s="256"/>
      <c r="G88" s="260" t="s">
        <v>416</v>
      </c>
      <c r="H88" s="258">
        <f>H86*C48*D55*'Fondasi Dalam'!I8</f>
        <v>30.183678</v>
      </c>
      <c r="I88" s="259" t="s">
        <v>177</v>
      </c>
    </row>
    <row r="89" spans="1:18" s="12" customFormat="1" ht="18.75" customHeight="1" x14ac:dyDescent="0.25">
      <c r="A89" s="240"/>
      <c r="B89" s="255" t="s">
        <v>405</v>
      </c>
      <c r="C89" s="255"/>
      <c r="D89" s="255"/>
      <c r="E89" s="255"/>
      <c r="F89" s="256"/>
      <c r="G89" s="260" t="s">
        <v>411</v>
      </c>
      <c r="H89" s="258">
        <f>H86*C48*'Fondasi Dalam'!I6</f>
        <v>4.1782500000000002</v>
      </c>
      <c r="I89" s="259" t="s">
        <v>177</v>
      </c>
    </row>
    <row r="90" spans="1:18" s="12" customFormat="1" ht="18.75" customHeight="1" x14ac:dyDescent="0.25">
      <c r="A90" s="240"/>
      <c r="B90" s="12" t="s">
        <v>442</v>
      </c>
      <c r="I90" s="113"/>
      <c r="J90" s="246"/>
    </row>
    <row r="91" spans="1:18" s="251" customFormat="1" ht="18.75" customHeight="1" x14ac:dyDescent="0.25">
      <c r="A91" s="248"/>
      <c r="C91" s="483" t="s">
        <v>327</v>
      </c>
      <c r="D91" s="484"/>
      <c r="E91" s="485" t="s">
        <v>595</v>
      </c>
      <c r="F91" s="261" t="s">
        <v>555</v>
      </c>
      <c r="G91" s="261" t="s">
        <v>556</v>
      </c>
      <c r="H91" s="218"/>
      <c r="I91" s="250"/>
      <c r="Q91" s="252"/>
      <c r="R91" s="252"/>
    </row>
    <row r="92" spans="1:18" s="251" customFormat="1" ht="19.149999999999999" customHeight="1" x14ac:dyDescent="0.25">
      <c r="A92" s="248"/>
      <c r="C92" s="483" t="s">
        <v>594</v>
      </c>
      <c r="D92" s="484"/>
      <c r="E92" s="486"/>
      <c r="F92" s="262" t="s">
        <v>322</v>
      </c>
      <c r="G92" s="262" t="s">
        <v>322</v>
      </c>
      <c r="H92" s="218"/>
      <c r="I92" s="250"/>
      <c r="Q92" s="252"/>
      <c r="R92" s="252"/>
    </row>
    <row r="93" spans="1:18" s="251" customFormat="1" ht="19.149999999999999" customHeight="1" x14ac:dyDescent="0.25">
      <c r="A93" s="248"/>
      <c r="C93" s="144">
        <v>1</v>
      </c>
      <c r="D93" s="35" t="str">
        <f>IF('Fondasi Dalam'!D48&lt;=0,"",'Fondasi Dalam'!D48)</f>
        <v/>
      </c>
      <c r="E93" s="144" t="str">
        <f>IF(D93="","",IF(D93-0.5*$C$118+$H$86&gt;0,"YA","TIDAK"))</f>
        <v/>
      </c>
      <c r="F93" s="142" t="str">
        <f>IF(D93="","",MAX('Fondasi Dalam'!L48:Q48))</f>
        <v/>
      </c>
      <c r="G93" s="35" t="str">
        <f>IF(D93="","",'Input (1)'!$H$40*F93)</f>
        <v/>
      </c>
      <c r="H93" s="213"/>
      <c r="I93" s="250"/>
      <c r="Q93" s="252"/>
      <c r="R93" s="252"/>
    </row>
    <row r="94" spans="1:18" s="251" customFormat="1" ht="19.149999999999999" customHeight="1" x14ac:dyDescent="0.25">
      <c r="A94" s="248"/>
      <c r="C94" s="144">
        <v>2</v>
      </c>
      <c r="D94" s="35">
        <f>IF('Fondasi Dalam'!D49&lt;=0,"",'Fondasi Dalam'!D49)</f>
        <v>0.5</v>
      </c>
      <c r="E94" s="144" t="str">
        <f t="shared" ref="E94:E96" si="1">IF(D94="","",IF(D94-0.5*$C$118+$H$86&gt;0,"YA","TIDAK"))</f>
        <v>YA</v>
      </c>
      <c r="F94" s="142">
        <f>IF(D94="","",MAX('Fondasi Dalam'!L49:Q49))</f>
        <v>324.17047516469245</v>
      </c>
      <c r="G94" s="35">
        <f>IF(D94="","",'Input (1)'!$H$40*F94)</f>
        <v>648.3409503293849</v>
      </c>
      <c r="H94" s="213"/>
      <c r="I94" s="250"/>
      <c r="Q94" s="252"/>
      <c r="R94" s="252"/>
    </row>
    <row r="95" spans="1:18" s="251" customFormat="1" ht="19.149999999999999" customHeight="1" x14ac:dyDescent="0.25">
      <c r="A95" s="248"/>
      <c r="C95" s="144">
        <v>3</v>
      </c>
      <c r="D95" s="35" t="str">
        <f>IF('Fondasi Dalam'!D50&lt;=0,"",'Fondasi Dalam'!D50)</f>
        <v/>
      </c>
      <c r="E95" s="144" t="str">
        <f t="shared" si="1"/>
        <v/>
      </c>
      <c r="F95" s="142" t="str">
        <f>IF(D95="","",MAX('Fondasi Dalam'!L50:Q50))</f>
        <v/>
      </c>
      <c r="G95" s="35" t="str">
        <f>IF(D95="","",'Input (1)'!$H$40*F95)</f>
        <v/>
      </c>
      <c r="H95" s="213"/>
      <c r="I95" s="250"/>
      <c r="Q95" s="252"/>
      <c r="R95" s="252"/>
    </row>
    <row r="96" spans="1:18" s="251" customFormat="1" ht="19.149999999999999" customHeight="1" x14ac:dyDescent="0.25">
      <c r="A96" s="248"/>
      <c r="C96" s="144">
        <v>4</v>
      </c>
      <c r="D96" s="35" t="str">
        <f>IF('Fondasi Dalam'!D51&lt;=0,"",'Fondasi Dalam'!D51)</f>
        <v/>
      </c>
      <c r="E96" s="144" t="str">
        <f t="shared" si="1"/>
        <v/>
      </c>
      <c r="F96" s="142" t="str">
        <f>IF(D96="","",MAX('Fondasi Dalam'!L51:Q51))</f>
        <v/>
      </c>
      <c r="G96" s="35" t="str">
        <f>IF(D96="","",'Input (1)'!$H$40*F96)</f>
        <v/>
      </c>
      <c r="H96" s="213"/>
      <c r="I96" s="250"/>
      <c r="Q96" s="252"/>
      <c r="R96" s="252"/>
    </row>
    <row r="97" spans="1:18" s="251" customFormat="1" ht="19.149999999999999" customHeight="1" x14ac:dyDescent="0.25">
      <c r="A97" s="248"/>
      <c r="B97" s="249"/>
      <c r="F97" s="265" t="s">
        <v>558</v>
      </c>
      <c r="G97" s="266">
        <f>SUM(G93:G96)</f>
        <v>648.3409503293849</v>
      </c>
      <c r="H97" s="249"/>
      <c r="I97" s="250"/>
      <c r="N97" s="252"/>
      <c r="O97" s="252"/>
      <c r="P97" s="252"/>
      <c r="Q97" s="252"/>
      <c r="R97" s="252"/>
    </row>
    <row r="98" spans="1:18" s="251" customFormat="1" ht="19.149999999999999" customHeight="1" x14ac:dyDescent="0.25">
      <c r="A98" s="248"/>
      <c r="B98" s="249"/>
      <c r="H98" s="249"/>
      <c r="I98" s="250"/>
      <c r="N98" s="252"/>
      <c r="O98" s="252"/>
      <c r="P98" s="252"/>
      <c r="Q98" s="252"/>
      <c r="R98" s="252"/>
    </row>
    <row r="99" spans="1:18" s="251" customFormat="1" ht="19.149999999999999" customHeight="1" x14ac:dyDescent="0.25">
      <c r="A99" s="248"/>
      <c r="B99" s="91" t="s">
        <v>194</v>
      </c>
      <c r="C99" s="91"/>
      <c r="D99" s="91"/>
      <c r="E99" s="91"/>
      <c r="F99" s="100"/>
      <c r="G99" s="92" t="s">
        <v>557</v>
      </c>
      <c r="H99" s="258">
        <f>G97-H87-H88-H89</f>
        <v>605.95678232938485</v>
      </c>
      <c r="I99" s="93" t="s">
        <v>177</v>
      </c>
      <c r="N99" s="252"/>
      <c r="O99" s="252"/>
      <c r="P99" s="252"/>
      <c r="Q99" s="252"/>
      <c r="R99" s="252"/>
    </row>
    <row r="100" spans="1:18" s="251" customFormat="1" ht="19.149999999999999" customHeight="1" x14ac:dyDescent="0.25">
      <c r="A100" s="248"/>
      <c r="B100" s="249"/>
      <c r="H100" s="249"/>
      <c r="I100" s="250"/>
      <c r="N100" s="252"/>
      <c r="O100" s="252"/>
      <c r="P100" s="252"/>
      <c r="Q100" s="252"/>
      <c r="R100" s="252"/>
    </row>
    <row r="101" spans="1:18" s="251" customFormat="1" ht="19.149999999999999" customHeight="1" x14ac:dyDescent="0.25">
      <c r="A101" s="248"/>
      <c r="B101" s="249"/>
      <c r="H101" s="249"/>
      <c r="I101" s="250"/>
      <c r="N101" s="252"/>
      <c r="O101" s="252"/>
      <c r="P101" s="252"/>
      <c r="Q101" s="252"/>
      <c r="R101" s="252"/>
    </row>
    <row r="102" spans="1:18" s="21" customFormat="1" ht="19.149999999999999" customHeight="1" x14ac:dyDescent="0.25">
      <c r="A102" s="239" t="s">
        <v>429</v>
      </c>
      <c r="B102" s="108" t="s">
        <v>431</v>
      </c>
      <c r="C102" s="114"/>
      <c r="D102" s="114"/>
      <c r="E102" s="114"/>
      <c r="F102" s="114"/>
      <c r="G102" s="114"/>
      <c r="H102" s="114"/>
      <c r="I102" s="115"/>
      <c r="N102" s="166"/>
      <c r="O102" s="166"/>
      <c r="P102" s="166"/>
      <c r="Q102" s="166"/>
      <c r="R102" s="166"/>
    </row>
    <row r="103" spans="1:18" s="21" customFormat="1" ht="19.149999999999999" customHeight="1" x14ac:dyDescent="0.25">
      <c r="A103" s="240"/>
      <c r="B103" s="117"/>
      <c r="C103" s="117"/>
      <c r="D103" s="117"/>
      <c r="E103" s="117"/>
      <c r="F103" s="117"/>
      <c r="G103" s="117"/>
      <c r="H103" s="117"/>
      <c r="I103" s="191"/>
      <c r="N103" s="166"/>
      <c r="O103" s="166"/>
      <c r="P103" s="166"/>
      <c r="Q103" s="166"/>
      <c r="R103" s="166"/>
    </row>
    <row r="104" spans="1:18" s="21" customFormat="1" ht="19.149999999999999" customHeight="1" x14ac:dyDescent="0.25">
      <c r="A104" s="240"/>
      <c r="B104" s="117"/>
      <c r="C104" s="117"/>
      <c r="D104" s="117"/>
      <c r="E104" s="117"/>
      <c r="F104" s="117"/>
      <c r="G104" s="117"/>
      <c r="H104" s="117"/>
      <c r="I104" s="191"/>
      <c r="N104" s="166"/>
      <c r="O104" s="166"/>
      <c r="P104" s="166"/>
      <c r="Q104" s="166"/>
      <c r="R104" s="166"/>
    </row>
    <row r="105" spans="1:18" s="21" customFormat="1" ht="19.149999999999999" customHeight="1" x14ac:dyDescent="0.25">
      <c r="A105" s="240"/>
      <c r="B105" s="117"/>
      <c r="C105" s="117"/>
      <c r="D105" s="117"/>
      <c r="E105" s="117"/>
      <c r="F105" s="117"/>
      <c r="G105" s="117"/>
      <c r="H105" s="117"/>
      <c r="I105" s="191"/>
      <c r="N105" s="166"/>
      <c r="O105" s="166"/>
      <c r="P105" s="166"/>
      <c r="Q105" s="166"/>
      <c r="R105" s="166"/>
    </row>
    <row r="106" spans="1:18" s="21" customFormat="1" ht="19.149999999999999" customHeight="1" x14ac:dyDescent="0.25">
      <c r="A106" s="240"/>
      <c r="B106" s="117"/>
      <c r="C106" s="117"/>
      <c r="D106" s="117"/>
      <c r="E106" s="117"/>
      <c r="F106" s="117"/>
      <c r="G106" s="117"/>
      <c r="H106" s="117"/>
      <c r="I106" s="191"/>
      <c r="N106" s="166"/>
      <c r="O106" s="166"/>
      <c r="P106" s="166"/>
      <c r="Q106" s="166"/>
      <c r="R106" s="166"/>
    </row>
    <row r="107" spans="1:18" s="21" customFormat="1" ht="19.149999999999999" customHeight="1" x14ac:dyDescent="0.25">
      <c r="A107" s="240"/>
      <c r="B107" s="117"/>
      <c r="C107" s="117"/>
      <c r="D107" s="117"/>
      <c r="E107" s="117"/>
      <c r="F107" s="117"/>
      <c r="G107" s="117"/>
      <c r="H107" s="117"/>
      <c r="I107" s="191"/>
      <c r="N107" s="166"/>
      <c r="O107" s="166"/>
      <c r="P107" s="166"/>
      <c r="Q107" s="166"/>
      <c r="R107" s="166"/>
    </row>
    <row r="108" spans="1:18" s="21" customFormat="1" ht="19.149999999999999" customHeight="1" x14ac:dyDescent="0.25">
      <c r="A108" s="240"/>
      <c r="B108" s="117"/>
      <c r="C108" s="117"/>
      <c r="D108" s="117"/>
      <c r="E108" s="117"/>
      <c r="F108" s="117"/>
      <c r="G108" s="117"/>
      <c r="H108" s="117"/>
      <c r="I108" s="191"/>
      <c r="N108" s="166"/>
      <c r="O108" s="166"/>
      <c r="P108" s="166"/>
      <c r="Q108" s="166"/>
      <c r="R108" s="166"/>
    </row>
    <row r="109" spans="1:18" s="21" customFormat="1" ht="19.149999999999999" customHeight="1" x14ac:dyDescent="0.25">
      <c r="A109" s="240"/>
      <c r="B109" s="117"/>
      <c r="C109" s="117"/>
      <c r="D109" s="117"/>
      <c r="E109" s="117"/>
      <c r="F109" s="117"/>
      <c r="G109" s="117"/>
      <c r="H109" s="117"/>
      <c r="I109" s="191"/>
      <c r="N109" s="166"/>
      <c r="O109" s="166"/>
      <c r="P109" s="166"/>
      <c r="Q109" s="166"/>
      <c r="R109" s="166"/>
    </row>
    <row r="110" spans="1:18" s="21" customFormat="1" ht="19.149999999999999" customHeight="1" x14ac:dyDescent="0.25">
      <c r="A110" s="240"/>
      <c r="B110" s="117"/>
      <c r="C110" s="117"/>
      <c r="D110" s="117"/>
      <c r="E110" s="117"/>
      <c r="F110" s="117"/>
      <c r="G110" s="117"/>
      <c r="H110" s="117"/>
      <c r="I110" s="191"/>
      <c r="N110" s="166"/>
      <c r="O110" s="166"/>
      <c r="P110" s="166"/>
      <c r="Q110" s="166"/>
      <c r="R110" s="166"/>
    </row>
    <row r="111" spans="1:18" s="21" customFormat="1" ht="19.149999999999999" customHeight="1" x14ac:dyDescent="0.25">
      <c r="A111" s="240"/>
      <c r="B111" s="117"/>
      <c r="C111" s="117"/>
      <c r="D111" s="117"/>
      <c r="E111" s="117"/>
      <c r="F111" s="117"/>
      <c r="G111" s="117"/>
      <c r="H111" s="117"/>
      <c r="I111" s="191"/>
      <c r="N111" s="166"/>
      <c r="O111" s="166"/>
      <c r="P111" s="166"/>
      <c r="Q111" s="166"/>
      <c r="R111" s="166"/>
    </row>
    <row r="112" spans="1:18" s="21" customFormat="1" ht="19.149999999999999" customHeight="1" x14ac:dyDescent="0.25">
      <c r="A112" s="240"/>
      <c r="B112" s="117"/>
      <c r="C112" s="117"/>
      <c r="D112" s="117"/>
      <c r="E112" s="117"/>
      <c r="F112" s="117"/>
      <c r="G112" s="117"/>
      <c r="H112" s="117"/>
      <c r="I112" s="191"/>
      <c r="N112" s="166"/>
      <c r="O112" s="166"/>
      <c r="P112" s="166"/>
      <c r="Q112" s="166"/>
      <c r="R112" s="166"/>
    </row>
    <row r="113" spans="1:18" s="21" customFormat="1" ht="19.149999999999999" customHeight="1" x14ac:dyDescent="0.25">
      <c r="A113" s="240"/>
      <c r="B113" s="117"/>
      <c r="C113" s="117"/>
      <c r="D113" s="117"/>
      <c r="E113" s="117"/>
      <c r="F113" s="117"/>
      <c r="G113" s="117"/>
      <c r="H113" s="117"/>
      <c r="I113" s="191"/>
      <c r="N113" s="166"/>
      <c r="O113" s="166"/>
      <c r="P113" s="166"/>
      <c r="Q113" s="166"/>
      <c r="R113" s="166"/>
    </row>
    <row r="114" spans="1:18" s="21" customFormat="1" ht="19.149999999999999" customHeight="1" x14ac:dyDescent="0.25">
      <c r="A114" s="240"/>
      <c r="B114" s="117" t="s">
        <v>314</v>
      </c>
      <c r="C114" s="117"/>
      <c r="D114" s="117"/>
      <c r="E114" s="117"/>
      <c r="F114" s="117"/>
      <c r="G114" s="117"/>
      <c r="H114" s="117"/>
      <c r="I114" s="191"/>
      <c r="N114" s="166"/>
      <c r="O114" s="166"/>
      <c r="P114" s="166"/>
      <c r="Q114" s="166"/>
      <c r="R114" s="166"/>
    </row>
    <row r="115" spans="1:18" s="21" customFormat="1" ht="19.149999999999999" customHeight="1" x14ac:dyDescent="0.25">
      <c r="A115" s="240"/>
      <c r="B115" s="185" t="s">
        <v>147</v>
      </c>
      <c r="C115" s="35">
        <f>'Input (1)'!H5</f>
        <v>0.6</v>
      </c>
      <c r="D115" s="244" t="s">
        <v>6</v>
      </c>
      <c r="E115" s="185" t="s">
        <v>373</v>
      </c>
      <c r="F115" s="70">
        <f>'Fondasi Dalam'!$L$57-0.5*C115</f>
        <v>0.2</v>
      </c>
      <c r="G115" s="244" t="s">
        <v>6</v>
      </c>
      <c r="H115" s="185"/>
      <c r="I115" s="192"/>
      <c r="N115" s="166"/>
      <c r="O115" s="166"/>
      <c r="P115" s="166"/>
      <c r="Q115" s="166"/>
      <c r="R115" s="166"/>
    </row>
    <row r="116" spans="1:18" s="21" customFormat="1" ht="19.149999999999999" customHeight="1" x14ac:dyDescent="0.25">
      <c r="A116" s="240"/>
      <c r="B116" s="185" t="s">
        <v>337</v>
      </c>
      <c r="C116" s="69">
        <f>('Fondasi Dalam'!I54-C115)/2</f>
        <v>0.60000000000000009</v>
      </c>
      <c r="D116" s="244" t="s">
        <v>6</v>
      </c>
      <c r="E116" s="185" t="s">
        <v>374</v>
      </c>
      <c r="F116" s="70">
        <f>0.5*(C116)</f>
        <v>0.30000000000000004</v>
      </c>
      <c r="G116" s="244" t="s">
        <v>6</v>
      </c>
      <c r="H116" s="117"/>
      <c r="I116" s="191"/>
      <c r="N116" s="166"/>
      <c r="O116" s="166"/>
      <c r="P116" s="166"/>
      <c r="Q116" s="166"/>
      <c r="R116" s="166"/>
    </row>
    <row r="117" spans="1:18" s="21" customFormat="1" ht="19.149999999999999" customHeight="1" x14ac:dyDescent="0.25">
      <c r="A117" s="240"/>
      <c r="B117" s="185"/>
      <c r="C117" s="181"/>
      <c r="D117" s="244"/>
      <c r="E117" s="185" t="s">
        <v>375</v>
      </c>
      <c r="F117" s="70">
        <f>F116</f>
        <v>0.30000000000000004</v>
      </c>
      <c r="G117" s="244" t="s">
        <v>6</v>
      </c>
      <c r="H117" s="117"/>
      <c r="I117" s="191"/>
      <c r="N117" s="166"/>
      <c r="O117" s="166"/>
      <c r="P117" s="166"/>
      <c r="Q117" s="166"/>
      <c r="R117" s="166"/>
    </row>
    <row r="118" spans="1:18" s="21" customFormat="1" ht="19.149999999999999" customHeight="1" x14ac:dyDescent="0.25">
      <c r="A118" s="240"/>
      <c r="B118" s="185" t="s">
        <v>376</v>
      </c>
      <c r="C118" s="69">
        <f>C115+2*C116</f>
        <v>1.8000000000000003</v>
      </c>
      <c r="D118" s="244" t="s">
        <v>6</v>
      </c>
      <c r="E118" s="117"/>
      <c r="F118" s="117"/>
      <c r="G118" s="244"/>
      <c r="H118" s="117"/>
      <c r="I118" s="191"/>
      <c r="N118" s="166"/>
      <c r="O118" s="166"/>
      <c r="P118" s="166"/>
      <c r="Q118" s="166"/>
      <c r="R118" s="166"/>
    </row>
    <row r="119" spans="1:18" s="21" customFormat="1" ht="19.149999999999999" customHeight="1" x14ac:dyDescent="0.25">
      <c r="A119" s="240"/>
      <c r="B119" s="185" t="s">
        <v>339</v>
      </c>
      <c r="C119" s="35">
        <f>C49</f>
        <v>0.4</v>
      </c>
      <c r="D119" s="244" t="s">
        <v>6</v>
      </c>
      <c r="E119" s="185" t="s">
        <v>358</v>
      </c>
      <c r="F119" s="70">
        <f>MAX('Fondasi Dalam'!$L$52:$Q$52)</f>
        <v>521.40165032938489</v>
      </c>
      <c r="G119" s="244" t="s">
        <v>69</v>
      </c>
      <c r="H119" s="193"/>
      <c r="I119" s="191"/>
      <c r="N119" s="166"/>
      <c r="O119" s="166"/>
      <c r="P119" s="166"/>
      <c r="Q119" s="166"/>
      <c r="R119" s="166"/>
    </row>
    <row r="120" spans="1:18" s="21" customFormat="1" ht="19.149999999999999" customHeight="1" x14ac:dyDescent="0.25">
      <c r="A120" s="240"/>
      <c r="B120" s="117"/>
      <c r="C120" s="117"/>
      <c r="D120" s="117"/>
      <c r="E120" s="117"/>
      <c r="F120" s="117"/>
      <c r="G120" s="117"/>
      <c r="H120" s="117"/>
      <c r="I120" s="191"/>
      <c r="N120" s="166"/>
      <c r="O120" s="166"/>
      <c r="P120" s="166"/>
      <c r="Q120" s="166"/>
      <c r="R120" s="166"/>
    </row>
    <row r="121" spans="1:18" s="21" customFormat="1" ht="19.149999999999999" customHeight="1" x14ac:dyDescent="0.25">
      <c r="A121" s="240"/>
      <c r="B121" s="478" t="s">
        <v>316</v>
      </c>
      <c r="C121" s="476" t="s">
        <v>317</v>
      </c>
      <c r="D121" s="477"/>
      <c r="E121" s="478"/>
      <c r="F121" s="474" t="s">
        <v>318</v>
      </c>
      <c r="G121" s="474" t="s">
        <v>319</v>
      </c>
      <c r="H121" s="474" t="s">
        <v>320</v>
      </c>
      <c r="I121" s="191"/>
      <c r="L121" s="166"/>
      <c r="M121" s="166"/>
      <c r="N121" s="166"/>
      <c r="O121" s="166"/>
      <c r="P121" s="166"/>
    </row>
    <row r="122" spans="1:18" s="21" customFormat="1" ht="19.149999999999999" customHeight="1" x14ac:dyDescent="0.25">
      <c r="A122" s="240"/>
      <c r="B122" s="478"/>
      <c r="C122" s="140" t="s">
        <v>361</v>
      </c>
      <c r="D122" s="140" t="s">
        <v>321</v>
      </c>
      <c r="E122" s="140" t="s">
        <v>362</v>
      </c>
      <c r="F122" s="475"/>
      <c r="G122" s="475"/>
      <c r="H122" s="475"/>
      <c r="I122" s="191"/>
      <c r="L122" s="166"/>
      <c r="M122" s="166"/>
      <c r="N122" s="166"/>
      <c r="O122" s="166"/>
      <c r="P122" s="166"/>
    </row>
    <row r="123" spans="1:18" s="21" customFormat="1" ht="19.149999999999999" customHeight="1" x14ac:dyDescent="0.25">
      <c r="A123" s="240"/>
      <c r="B123" s="478"/>
      <c r="C123" s="140" t="s">
        <v>91</v>
      </c>
      <c r="D123" s="140" t="s">
        <v>91</v>
      </c>
      <c r="E123" s="140" t="s">
        <v>91</v>
      </c>
      <c r="F123" s="140" t="s">
        <v>363</v>
      </c>
      <c r="G123" s="140" t="s">
        <v>322</v>
      </c>
      <c r="H123" s="140" t="s">
        <v>348</v>
      </c>
      <c r="I123" s="191"/>
      <c r="L123" s="166"/>
      <c r="M123" s="166"/>
      <c r="N123" s="166"/>
      <c r="O123" s="166"/>
      <c r="P123" s="166"/>
    </row>
    <row r="124" spans="1:18" s="21" customFormat="1" ht="19.149999999999999" customHeight="1" x14ac:dyDescent="0.25">
      <c r="A124" s="240"/>
      <c r="B124" s="236" t="s">
        <v>340</v>
      </c>
      <c r="C124" s="69">
        <f>C116</f>
        <v>0.60000000000000009</v>
      </c>
      <c r="D124" s="69">
        <f>C119</f>
        <v>0.4</v>
      </c>
      <c r="E124" s="69">
        <f>C48</f>
        <v>1.7999999999999998</v>
      </c>
      <c r="F124" s="70">
        <f>C124*D124*E124</f>
        <v>0.43200000000000005</v>
      </c>
      <c r="G124" s="171">
        <f>F124*'Fondasi Dalam'!I52</f>
        <v>0.43200000000000005</v>
      </c>
      <c r="H124" s="172">
        <f>G124*F116</f>
        <v>0.12960000000000002</v>
      </c>
      <c r="I124" s="191"/>
      <c r="L124" s="166"/>
      <c r="M124" s="166"/>
      <c r="N124" s="166"/>
      <c r="O124" s="166"/>
      <c r="P124" s="166"/>
    </row>
    <row r="125" spans="1:18" s="21" customFormat="1" ht="19.149999999999999" customHeight="1" x14ac:dyDescent="0.25">
      <c r="A125" s="240"/>
      <c r="B125" s="236" t="s">
        <v>341</v>
      </c>
      <c r="C125" s="69">
        <f>C124</f>
        <v>0.60000000000000009</v>
      </c>
      <c r="D125" s="69">
        <f>D55</f>
        <v>2.1</v>
      </c>
      <c r="E125" s="69">
        <f>E124</f>
        <v>1.7999999999999998</v>
      </c>
      <c r="F125" s="70">
        <f>C125*D125*E125</f>
        <v>2.2680000000000002</v>
      </c>
      <c r="G125" s="171">
        <f>F125*'Fondasi Dalam'!I53</f>
        <v>4.0824000000000007</v>
      </c>
      <c r="H125" s="173">
        <f>G125*F117</f>
        <v>1.2247200000000005</v>
      </c>
      <c r="I125" s="191"/>
      <c r="L125" s="166"/>
      <c r="M125" s="166"/>
      <c r="N125" s="166"/>
      <c r="O125" s="166"/>
      <c r="P125" s="166"/>
    </row>
    <row r="126" spans="1:18" s="21" customFormat="1" ht="19.149999999999999" customHeight="1" x14ac:dyDescent="0.25">
      <c r="A126" s="240"/>
      <c r="B126" s="117"/>
      <c r="C126" s="117"/>
      <c r="D126" s="117"/>
      <c r="E126" s="117"/>
      <c r="F126" s="175" t="s">
        <v>342</v>
      </c>
      <c r="G126" s="176">
        <f>SUM(G124:G125)</f>
        <v>4.5144000000000011</v>
      </c>
      <c r="H126" s="174"/>
      <c r="I126" s="191"/>
      <c r="L126" s="166"/>
      <c r="M126" s="166"/>
      <c r="N126" s="166"/>
      <c r="O126" s="166"/>
      <c r="P126" s="166"/>
    </row>
    <row r="127" spans="1:18" s="21" customFormat="1" ht="19.149999999999999" customHeight="1" x14ac:dyDescent="0.25">
      <c r="A127" s="240"/>
      <c r="B127" s="117"/>
      <c r="C127" s="117"/>
      <c r="D127" s="117"/>
      <c r="E127" s="117"/>
      <c r="F127" s="170"/>
      <c r="G127" s="177" t="s">
        <v>343</v>
      </c>
      <c r="H127" s="178">
        <f>SUM(H124:H125)</f>
        <v>1.3543200000000004</v>
      </c>
      <c r="I127" s="194"/>
      <c r="M127" s="166"/>
      <c r="N127" s="166"/>
      <c r="O127" s="166"/>
      <c r="P127" s="166"/>
      <c r="Q127" s="166"/>
    </row>
    <row r="128" spans="1:18" s="21" customFormat="1" ht="19.149999999999999" customHeight="1" x14ac:dyDescent="0.25">
      <c r="A128" s="240"/>
      <c r="B128" s="117" t="s">
        <v>324</v>
      </c>
      <c r="C128" s="117"/>
      <c r="D128" s="117"/>
      <c r="E128" s="117"/>
      <c r="F128" s="117"/>
      <c r="G128" s="185" t="s">
        <v>325</v>
      </c>
      <c r="H128" s="167">
        <v>1.2</v>
      </c>
      <c r="I128" s="195"/>
      <c r="M128" s="166"/>
      <c r="N128" s="166"/>
      <c r="O128" s="166"/>
      <c r="P128" s="166"/>
      <c r="Q128" s="166"/>
    </row>
    <row r="129" spans="1:18" s="21" customFormat="1" ht="19.149999999999999" customHeight="1" x14ac:dyDescent="0.25">
      <c r="A129" s="240"/>
      <c r="B129" s="117" t="s">
        <v>326</v>
      </c>
      <c r="C129" s="117"/>
      <c r="D129" s="117"/>
      <c r="E129" s="117"/>
      <c r="F129" s="117"/>
      <c r="G129" s="185" t="s">
        <v>377</v>
      </c>
      <c r="H129" s="69">
        <f>H128*H127+0.5*C116^2*'Fondasi Dalam'!I53*'Input (1)'!H9</f>
        <v>6.8091840000000019</v>
      </c>
      <c r="I129" s="196" t="s">
        <v>216</v>
      </c>
      <c r="M129" s="166"/>
      <c r="N129" s="166"/>
      <c r="O129" s="166"/>
      <c r="P129" s="166"/>
      <c r="Q129" s="166"/>
    </row>
    <row r="130" spans="1:18" s="21" customFormat="1" ht="19.149999999999999" customHeight="1" x14ac:dyDescent="0.25">
      <c r="A130" s="240"/>
      <c r="B130" s="117"/>
      <c r="C130" s="117"/>
      <c r="D130" s="117"/>
      <c r="E130" s="117"/>
      <c r="F130" s="117"/>
      <c r="G130" s="117"/>
      <c r="H130" s="117"/>
      <c r="I130" s="191"/>
      <c r="N130" s="166"/>
      <c r="O130" s="166"/>
      <c r="P130" s="166"/>
      <c r="Q130" s="166"/>
      <c r="R130" s="166"/>
    </row>
    <row r="131" spans="1:18" s="21" customFormat="1" ht="19.149999999999999" customHeight="1" x14ac:dyDescent="0.25">
      <c r="A131" s="240"/>
      <c r="B131" s="479" t="s">
        <v>327</v>
      </c>
      <c r="C131" s="480"/>
      <c r="D131" s="470" t="s">
        <v>328</v>
      </c>
      <c r="E131" s="470"/>
      <c r="F131" s="470"/>
      <c r="G131" s="470" t="s">
        <v>372</v>
      </c>
      <c r="H131" s="470"/>
      <c r="I131" s="196"/>
      <c r="M131" s="166"/>
      <c r="N131" s="166"/>
      <c r="O131" s="166"/>
      <c r="P131" s="166"/>
      <c r="Q131" s="166"/>
    </row>
    <row r="132" spans="1:18" s="21" customFormat="1" ht="19.149999999999999" customHeight="1" x14ac:dyDescent="0.25">
      <c r="A132" s="240"/>
      <c r="B132" s="479" t="s">
        <v>366</v>
      </c>
      <c r="C132" s="480"/>
      <c r="D132" s="470" t="s">
        <v>367</v>
      </c>
      <c r="E132" s="470"/>
      <c r="F132" s="470"/>
      <c r="G132" s="470" t="s">
        <v>323</v>
      </c>
      <c r="H132" s="470"/>
      <c r="I132" s="196"/>
      <c r="M132" s="166"/>
      <c r="N132" s="166"/>
      <c r="O132" s="166"/>
      <c r="P132" s="166"/>
      <c r="Q132" s="166"/>
    </row>
    <row r="133" spans="1:18" s="21" customFormat="1" ht="19.149999999999999" customHeight="1" x14ac:dyDescent="0.25">
      <c r="A133" s="240"/>
      <c r="B133" s="237">
        <v>1</v>
      </c>
      <c r="C133" s="35" t="str">
        <f>IF('Fondasi Dalam'!D48&lt;=0,"",'Fondasi Dalam'!D48)</f>
        <v/>
      </c>
      <c r="D133" s="168"/>
      <c r="E133" s="180" t="s">
        <v>368</v>
      </c>
      <c r="F133" s="35" t="str">
        <f>IF(C133="","",C133-0.5*'Input (1)'!$H$4)</f>
        <v/>
      </c>
      <c r="G133" s="168"/>
      <c r="H133" s="142" t="str">
        <f t="shared" ref="H133:H136" si="2">IF(C133="","",F133*$F$119)</f>
        <v/>
      </c>
      <c r="I133" s="196"/>
      <c r="M133" s="166"/>
      <c r="N133" s="166"/>
      <c r="O133" s="166"/>
      <c r="P133" s="166"/>
      <c r="Q133" s="166"/>
    </row>
    <row r="134" spans="1:18" s="21" customFormat="1" ht="19.149999999999999" customHeight="1" x14ac:dyDescent="0.25">
      <c r="A134" s="240"/>
      <c r="B134" s="237">
        <v>2</v>
      </c>
      <c r="C134" s="35">
        <f>IF('Fondasi Dalam'!D49&lt;=0,"",'Fondasi Dalam'!D49)</f>
        <v>0.5</v>
      </c>
      <c r="D134" s="168"/>
      <c r="E134" s="180" t="s">
        <v>369</v>
      </c>
      <c r="F134" s="35">
        <f>IF(C134="","",C134-0.5*'Input (1)'!$H$4)</f>
        <v>0.3</v>
      </c>
      <c r="G134" s="168"/>
      <c r="H134" s="142">
        <f t="shared" si="2"/>
        <v>156.42049509881545</v>
      </c>
      <c r="I134" s="196"/>
      <c r="M134" s="166"/>
      <c r="N134" s="166"/>
      <c r="O134" s="166"/>
      <c r="P134" s="166"/>
      <c r="Q134" s="166"/>
    </row>
    <row r="135" spans="1:18" s="21" customFormat="1" ht="19.149999999999999" customHeight="1" x14ac:dyDescent="0.25">
      <c r="A135" s="240"/>
      <c r="B135" s="237">
        <v>3</v>
      </c>
      <c r="C135" s="35" t="str">
        <f>IF('Fondasi Dalam'!D50&lt;=0,"",'Fondasi Dalam'!D50)</f>
        <v/>
      </c>
      <c r="D135" s="168"/>
      <c r="E135" s="180" t="s">
        <v>370</v>
      </c>
      <c r="F135" s="35" t="str">
        <f>IF(C135="","",C135-0.5*'Input (1)'!$H$4)</f>
        <v/>
      </c>
      <c r="G135" s="168"/>
      <c r="H135" s="142" t="str">
        <f>IF(C135="","",F135*$F$119)</f>
        <v/>
      </c>
      <c r="I135" s="196"/>
      <c r="M135" s="166"/>
      <c r="N135" s="166"/>
      <c r="O135" s="166"/>
      <c r="P135" s="166"/>
      <c r="Q135" s="166"/>
    </row>
    <row r="136" spans="1:18" s="21" customFormat="1" ht="19.149999999999999" customHeight="1" x14ac:dyDescent="0.25">
      <c r="A136" s="240"/>
      <c r="B136" s="237">
        <v>4</v>
      </c>
      <c r="C136" s="35" t="str">
        <f>IF('Fondasi Dalam'!D51&lt;=0,"",'Fondasi Dalam'!D51)</f>
        <v/>
      </c>
      <c r="D136" s="168"/>
      <c r="E136" s="180" t="s">
        <v>371</v>
      </c>
      <c r="F136" s="35" t="str">
        <f>IF(C136="","",C136-0.5*'Input (1)'!$H$4)</f>
        <v/>
      </c>
      <c r="G136" s="168"/>
      <c r="H136" s="142" t="str">
        <f t="shared" si="2"/>
        <v/>
      </c>
      <c r="I136" s="196"/>
      <c r="M136" s="166"/>
      <c r="N136" s="166"/>
      <c r="O136" s="166"/>
      <c r="P136" s="166"/>
      <c r="Q136" s="166"/>
    </row>
    <row r="137" spans="1:18" s="21" customFormat="1" ht="19.149999999999999" customHeight="1" x14ac:dyDescent="0.25">
      <c r="A137" s="240"/>
      <c r="B137" s="117" t="s">
        <v>330</v>
      </c>
      <c r="C137" s="117"/>
      <c r="D137" s="117"/>
      <c r="E137" s="117"/>
      <c r="F137" s="117"/>
      <c r="G137" s="185" t="s">
        <v>346</v>
      </c>
      <c r="H137" s="70">
        <f>SUM(H133:H136)</f>
        <v>156.42049509881545</v>
      </c>
      <c r="I137" s="196" t="s">
        <v>216</v>
      </c>
      <c r="M137" s="166"/>
      <c r="N137" s="166"/>
      <c r="O137" s="166"/>
      <c r="P137" s="166"/>
      <c r="Q137" s="166"/>
    </row>
    <row r="138" spans="1:18" s="21" customFormat="1" ht="19.149999999999999" customHeight="1" x14ac:dyDescent="0.25">
      <c r="A138" s="240"/>
      <c r="B138" s="117" t="s">
        <v>331</v>
      </c>
      <c r="C138" s="117"/>
      <c r="D138" s="117"/>
      <c r="E138" s="117"/>
      <c r="F138" s="117"/>
      <c r="G138" s="185" t="s">
        <v>347</v>
      </c>
      <c r="H138" s="70">
        <f>H137-H129</f>
        <v>149.61131109881546</v>
      </c>
      <c r="I138" s="196" t="s">
        <v>216</v>
      </c>
      <c r="M138" s="166"/>
      <c r="N138" s="166"/>
      <c r="O138" s="166"/>
      <c r="P138" s="166"/>
      <c r="Q138" s="166"/>
    </row>
    <row r="139" spans="1:18" s="21" customFormat="1" ht="19.149999999999999" customHeight="1" x14ac:dyDescent="0.25">
      <c r="A139" s="240"/>
      <c r="B139" s="117"/>
      <c r="C139" s="117"/>
      <c r="D139" s="117"/>
      <c r="E139" s="117"/>
      <c r="F139" s="117"/>
      <c r="G139" s="185" t="s">
        <v>378</v>
      </c>
      <c r="H139" s="69">
        <f>E124</f>
        <v>1.7999999999999998</v>
      </c>
      <c r="I139" s="196" t="s">
        <v>6</v>
      </c>
      <c r="M139" s="166"/>
      <c r="N139" s="166"/>
      <c r="O139" s="166"/>
      <c r="P139" s="166"/>
      <c r="Q139" s="166"/>
    </row>
    <row r="140" spans="1:18" s="21" customFormat="1" ht="19.149999999999999" customHeight="1" x14ac:dyDescent="0.25">
      <c r="A140" s="240"/>
      <c r="B140" s="117" t="s">
        <v>332</v>
      </c>
      <c r="C140" s="117"/>
      <c r="D140" s="117"/>
      <c r="E140" s="117"/>
      <c r="F140" s="117"/>
      <c r="G140" s="185" t="s">
        <v>379</v>
      </c>
      <c r="H140" s="70">
        <f>H138/H139</f>
        <v>83.117395054897486</v>
      </c>
      <c r="I140" s="196" t="s">
        <v>216</v>
      </c>
      <c r="M140" s="166"/>
      <c r="N140" s="166"/>
      <c r="O140" s="166"/>
      <c r="P140" s="166"/>
      <c r="Q140" s="166"/>
    </row>
    <row r="141" spans="1:18" ht="18.75" customHeight="1" x14ac:dyDescent="0.25">
      <c r="A141" s="240"/>
      <c r="B141" s="197"/>
      <c r="C141" s="197"/>
      <c r="D141" s="197"/>
      <c r="E141" s="197"/>
      <c r="F141" s="197"/>
      <c r="G141" s="197"/>
      <c r="H141" s="197"/>
      <c r="I141" s="198"/>
    </row>
    <row r="142" spans="1:18" s="12" customFormat="1" ht="18.75" customHeight="1" x14ac:dyDescent="0.25">
      <c r="A142" s="241" t="s">
        <v>432</v>
      </c>
      <c r="B142" s="199" t="s">
        <v>170</v>
      </c>
      <c r="C142" s="200"/>
      <c r="D142" s="201"/>
      <c r="E142" s="202"/>
      <c r="F142" s="203"/>
      <c r="G142" s="204"/>
      <c r="H142" s="205"/>
      <c r="I142" s="206"/>
    </row>
    <row r="143" spans="1:18" s="12" customFormat="1" ht="18.75" customHeight="1" x14ac:dyDescent="0.25">
      <c r="A143" s="239" t="s">
        <v>313</v>
      </c>
      <c r="B143" s="88" t="s">
        <v>171</v>
      </c>
      <c r="C143" s="89"/>
      <c r="D143" s="89"/>
      <c r="E143" s="89"/>
      <c r="F143" s="89"/>
      <c r="G143" s="89"/>
      <c r="H143" s="89"/>
      <c r="I143" s="90"/>
    </row>
    <row r="144" spans="1:18" s="12" customFormat="1" ht="18.75" customHeight="1" x14ac:dyDescent="0.25">
      <c r="A144" s="240"/>
      <c r="B144" s="91" t="s">
        <v>172</v>
      </c>
      <c r="C144" s="91"/>
      <c r="D144" s="91"/>
      <c r="E144" s="91"/>
      <c r="F144" s="100"/>
      <c r="G144" s="92" t="s">
        <v>173</v>
      </c>
      <c r="H144" s="142">
        <f>('Input (1)'!H10+3/2*'Input (1)'!H50)/1000</f>
        <v>0.1285</v>
      </c>
      <c r="I144" s="93" t="s">
        <v>6</v>
      </c>
    </row>
    <row r="145" spans="1:10" s="12" customFormat="1" ht="18.75" customHeight="1" x14ac:dyDescent="0.25">
      <c r="A145" s="240"/>
      <c r="B145" s="91" t="s">
        <v>174</v>
      </c>
      <c r="C145" s="91"/>
      <c r="D145" s="91"/>
      <c r="E145" s="91"/>
      <c r="F145" s="100"/>
      <c r="G145" s="92" t="s">
        <v>175</v>
      </c>
      <c r="H145" s="142">
        <f>C119-H144</f>
        <v>0.27150000000000002</v>
      </c>
      <c r="I145" s="93" t="s">
        <v>6</v>
      </c>
    </row>
    <row r="146" spans="1:10" s="12" customFormat="1" ht="18.75" customHeight="1" x14ac:dyDescent="0.25">
      <c r="A146" s="240"/>
      <c r="B146" s="91" t="s">
        <v>178</v>
      </c>
      <c r="C146" s="91"/>
      <c r="D146" s="91"/>
      <c r="E146" s="91"/>
      <c r="F146" s="100"/>
      <c r="G146" s="92" t="s">
        <v>443</v>
      </c>
      <c r="H146" s="258">
        <f>H30</f>
        <v>596.82718232938487</v>
      </c>
      <c r="I146" s="93" t="s">
        <v>177</v>
      </c>
      <c r="J146" s="246"/>
    </row>
    <row r="147" spans="1:10" s="12" customFormat="1" ht="18.75" customHeight="1" x14ac:dyDescent="0.25">
      <c r="A147" s="240"/>
      <c r="B147" s="91" t="s">
        <v>179</v>
      </c>
      <c r="C147" s="91"/>
      <c r="D147" s="91"/>
      <c r="E147" s="91"/>
      <c r="F147" s="91"/>
      <c r="G147" s="92" t="s">
        <v>180</v>
      </c>
      <c r="H147" s="35">
        <f>C118*1000</f>
        <v>1800.0000000000002</v>
      </c>
      <c r="I147" s="93" t="s">
        <v>12</v>
      </c>
    </row>
    <row r="148" spans="1:10" s="12" customFormat="1" ht="18.75" customHeight="1" x14ac:dyDescent="0.25">
      <c r="A148" s="240"/>
      <c r="B148" s="91" t="s">
        <v>174</v>
      </c>
      <c r="C148" s="91"/>
      <c r="D148" s="91"/>
      <c r="E148" s="91"/>
      <c r="F148" s="91"/>
      <c r="G148" s="92" t="s">
        <v>181</v>
      </c>
      <c r="H148" s="143">
        <f>H145*1000</f>
        <v>271.5</v>
      </c>
      <c r="I148" s="93" t="s">
        <v>12</v>
      </c>
    </row>
    <row r="149" spans="1:10" s="12" customFormat="1" ht="18.75" customHeight="1" x14ac:dyDescent="0.25">
      <c r="A149" s="240"/>
      <c r="B149" s="91" t="s">
        <v>182</v>
      </c>
      <c r="C149" s="91"/>
      <c r="D149" s="91"/>
      <c r="E149" s="91"/>
      <c r="F149" s="91"/>
      <c r="G149" s="92" t="s">
        <v>574</v>
      </c>
      <c r="H149" s="35">
        <f>MAX('Fondasi Dalam'!I53:I54)/MIN('Fondasi Dalam'!I53:I54)</f>
        <v>1</v>
      </c>
      <c r="I149" s="93"/>
    </row>
    <row r="150" spans="1:10" s="12" customFormat="1" ht="18.75" customHeight="1" x14ac:dyDescent="0.25">
      <c r="A150" s="240"/>
      <c r="C150" s="91"/>
      <c r="D150" s="91"/>
      <c r="E150" s="91"/>
      <c r="F150" s="91"/>
      <c r="G150" s="100"/>
      <c r="H150" s="207"/>
      <c r="I150" s="93"/>
    </row>
    <row r="151" spans="1:10" s="12" customFormat="1" ht="18.75" customHeight="1" x14ac:dyDescent="0.25">
      <c r="A151" s="240"/>
      <c r="B151" s="91" t="s">
        <v>622</v>
      </c>
      <c r="C151" s="91"/>
      <c r="D151" s="91"/>
      <c r="E151" s="91"/>
      <c r="F151" s="91"/>
      <c r="G151" s="92" t="s">
        <v>575</v>
      </c>
      <c r="H151" s="142">
        <f>(1+2/H149)*SQRT('Input (1)'!H47)*H147*H148/6*0.001</f>
        <v>1338.3600692638736</v>
      </c>
      <c r="I151" s="93" t="s">
        <v>69</v>
      </c>
    </row>
    <row r="152" spans="1:10" s="12" customFormat="1" ht="18.75" customHeight="1" x14ac:dyDescent="0.25">
      <c r="A152" s="240"/>
      <c r="B152" s="91"/>
      <c r="C152" s="91"/>
      <c r="D152" s="91"/>
      <c r="E152" s="91"/>
      <c r="F152" s="91"/>
      <c r="G152" s="92" t="s">
        <v>597</v>
      </c>
      <c r="H152" s="142">
        <f>(40*H148/H147+2)*SQRT('Input (1)'!H47)*H147*H148/12*0.001</f>
        <v>1791.9154260699636</v>
      </c>
      <c r="I152" s="93" t="s">
        <v>69</v>
      </c>
    </row>
    <row r="153" spans="1:10" s="12" customFormat="1" ht="18.75" customHeight="1" x14ac:dyDescent="0.25">
      <c r="A153" s="240"/>
      <c r="B153" s="91"/>
      <c r="C153" s="91"/>
      <c r="D153" s="91"/>
      <c r="E153" s="91"/>
      <c r="F153" s="91"/>
      <c r="G153" s="92" t="s">
        <v>444</v>
      </c>
      <c r="H153" s="142">
        <f>1/3*SQRT('Input (1)'!H47)*H147*H148*0.001</f>
        <v>892.24004617591561</v>
      </c>
      <c r="I153" s="93" t="s">
        <v>69</v>
      </c>
    </row>
    <row r="154" spans="1:10" s="12" customFormat="1" ht="18.75" customHeight="1" x14ac:dyDescent="0.25">
      <c r="A154" s="240"/>
      <c r="B154" s="91" t="s">
        <v>184</v>
      </c>
      <c r="C154" s="91"/>
      <c r="D154" s="91"/>
      <c r="E154" s="91"/>
      <c r="F154" s="91"/>
      <c r="G154" s="92" t="s">
        <v>185</v>
      </c>
      <c r="H154" s="142">
        <f>MIN(H151:H153)</f>
        <v>892.24004617591561</v>
      </c>
      <c r="I154" s="93" t="s">
        <v>69</v>
      </c>
    </row>
    <row r="155" spans="1:10" s="12" customFormat="1" ht="18.75" customHeight="1" x14ac:dyDescent="0.25">
      <c r="A155" s="240"/>
      <c r="B155" s="91" t="s">
        <v>186</v>
      </c>
      <c r="C155" s="91"/>
      <c r="D155" s="91"/>
      <c r="E155" s="91"/>
      <c r="F155" s="91"/>
      <c r="G155" s="92" t="s">
        <v>187</v>
      </c>
      <c r="H155" s="35">
        <v>0.75</v>
      </c>
      <c r="I155" s="93"/>
    </row>
    <row r="156" spans="1:10" s="12" customFormat="1" ht="18.75" customHeight="1" x14ac:dyDescent="0.25">
      <c r="A156" s="240"/>
      <c r="B156" s="91" t="s">
        <v>188</v>
      </c>
      <c r="C156" s="91"/>
      <c r="D156" s="91"/>
      <c r="E156" s="91"/>
      <c r="F156" s="91"/>
      <c r="G156" s="92" t="s">
        <v>189</v>
      </c>
      <c r="H156" s="142">
        <f>H155*H154</f>
        <v>669.18003463193668</v>
      </c>
      <c r="I156" s="93" t="s">
        <v>69</v>
      </c>
    </row>
    <row r="157" spans="1:10" s="12" customFormat="1" ht="18.75" customHeight="1" x14ac:dyDescent="0.25">
      <c r="A157" s="240"/>
      <c r="B157" s="91" t="s">
        <v>419</v>
      </c>
      <c r="C157" s="91"/>
      <c r="D157" s="91"/>
      <c r="E157" s="100"/>
      <c r="F157" s="100"/>
      <c r="G157" s="100"/>
      <c r="H157" s="100"/>
      <c r="I157" s="208"/>
    </row>
    <row r="158" spans="1:10" s="12" customFormat="1" ht="18.75" customHeight="1" x14ac:dyDescent="0.25">
      <c r="A158" s="240"/>
      <c r="B158" s="91"/>
      <c r="C158" s="91" t="s">
        <v>413</v>
      </c>
      <c r="D158" s="423" t="s">
        <v>190</v>
      </c>
      <c r="E158" s="179" t="s">
        <v>191</v>
      </c>
      <c r="F158" s="423" t="s">
        <v>192</v>
      </c>
      <c r="G158" s="91"/>
      <c r="H158" s="100"/>
      <c r="I158" s="113"/>
    </row>
    <row r="159" spans="1:10" s="12" customFormat="1" ht="18.75" customHeight="1" x14ac:dyDescent="0.25">
      <c r="A159" s="240"/>
      <c r="B159" s="91"/>
      <c r="C159" s="91"/>
      <c r="D159" s="142">
        <f>H156</f>
        <v>669.18003463193668</v>
      </c>
      <c r="E159" s="209" t="str">
        <f>IF(D159&lt;=F159,"&lt;","&gt;")</f>
        <v>&gt;</v>
      </c>
      <c r="F159" s="142">
        <f>H146</f>
        <v>596.82718232938487</v>
      </c>
      <c r="G159" s="210" t="s">
        <v>138</v>
      </c>
      <c r="H159" s="211" t="str">
        <f>IF(D159&gt;F159,"AMAN (OK)","BAHAYA (NG)")</f>
        <v>AMAN (OK)</v>
      </c>
      <c r="I159" s="113"/>
    </row>
    <row r="160" spans="1:10" s="12" customFormat="1" ht="18.75" customHeight="1" x14ac:dyDescent="0.25">
      <c r="A160" s="240"/>
      <c r="B160" s="91"/>
      <c r="C160" s="91"/>
      <c r="D160" s="91"/>
      <c r="E160" s="91"/>
      <c r="F160" s="100"/>
      <c r="G160" s="100"/>
      <c r="H160" s="100"/>
      <c r="I160" s="113"/>
    </row>
    <row r="161" spans="1:10" s="12" customFormat="1" ht="18.75" customHeight="1" x14ac:dyDescent="0.25">
      <c r="A161" s="240"/>
      <c r="B161" s="91"/>
      <c r="C161" s="91"/>
      <c r="D161" s="91"/>
      <c r="E161" s="91"/>
      <c r="F161" s="91"/>
      <c r="G161" s="100"/>
      <c r="H161" s="100"/>
      <c r="I161" s="113"/>
    </row>
    <row r="162" spans="1:10" s="12" customFormat="1" ht="18.75" customHeight="1" x14ac:dyDescent="0.25">
      <c r="A162" s="239" t="s">
        <v>315</v>
      </c>
      <c r="B162" s="88" t="s">
        <v>193</v>
      </c>
      <c r="C162" s="89"/>
      <c r="D162" s="89"/>
      <c r="E162" s="89"/>
      <c r="F162" s="89"/>
      <c r="G162" s="102"/>
      <c r="H162" s="212"/>
      <c r="I162" s="90"/>
    </row>
    <row r="163" spans="1:10" s="12" customFormat="1" ht="18.75" customHeight="1" x14ac:dyDescent="0.25">
      <c r="A163" s="240"/>
      <c r="B163" s="91" t="s">
        <v>172</v>
      </c>
      <c r="C163" s="91"/>
      <c r="D163" s="91"/>
      <c r="E163" s="91"/>
      <c r="F163" s="100"/>
      <c r="G163" s="92" t="s">
        <v>596</v>
      </c>
      <c r="H163" s="142">
        <f>H144</f>
        <v>0.1285</v>
      </c>
      <c r="I163" s="93" t="s">
        <v>6</v>
      </c>
    </row>
    <row r="164" spans="1:10" s="12" customFormat="1" ht="18.75" customHeight="1" x14ac:dyDescent="0.25">
      <c r="A164" s="240"/>
      <c r="B164" s="91" t="s">
        <v>174</v>
      </c>
      <c r="C164" s="91"/>
      <c r="D164" s="91"/>
      <c r="E164" s="91"/>
      <c r="F164" s="100"/>
      <c r="G164" s="92" t="s">
        <v>175</v>
      </c>
      <c r="H164" s="142">
        <f>H145</f>
        <v>0.27150000000000002</v>
      </c>
      <c r="I164" s="93" t="s">
        <v>6</v>
      </c>
    </row>
    <row r="165" spans="1:10" s="12" customFormat="1" ht="18.75" customHeight="1" x14ac:dyDescent="0.25">
      <c r="A165" s="240"/>
      <c r="B165" s="91" t="s">
        <v>194</v>
      </c>
      <c r="C165" s="91"/>
      <c r="D165" s="91"/>
      <c r="E165" s="91"/>
      <c r="F165" s="100"/>
      <c r="G165" s="92" t="s">
        <v>448</v>
      </c>
      <c r="H165" s="258">
        <f>H99</f>
        <v>605.95678232938485</v>
      </c>
      <c r="I165" s="93" t="s">
        <v>177</v>
      </c>
      <c r="J165" s="246"/>
    </row>
    <row r="166" spans="1:10" s="12" customFormat="1" ht="18.75" customHeight="1" x14ac:dyDescent="0.25">
      <c r="A166" s="240"/>
      <c r="B166" s="91" t="s">
        <v>195</v>
      </c>
      <c r="C166" s="91"/>
      <c r="D166" s="91"/>
      <c r="E166" s="91"/>
      <c r="F166" s="91"/>
      <c r="G166" s="92" t="s">
        <v>196</v>
      </c>
      <c r="H166" s="143">
        <f>C48*1000</f>
        <v>1799.9999999999998</v>
      </c>
      <c r="I166" s="93" t="s">
        <v>12</v>
      </c>
    </row>
    <row r="167" spans="1:10" s="12" customFormat="1" ht="18.75" customHeight="1" x14ac:dyDescent="0.25">
      <c r="A167" s="240"/>
      <c r="B167" s="91" t="s">
        <v>174</v>
      </c>
      <c r="C167" s="91"/>
      <c r="D167" s="91"/>
      <c r="E167" s="91"/>
      <c r="F167" s="91"/>
      <c r="G167" s="92" t="s">
        <v>181</v>
      </c>
      <c r="H167" s="143">
        <f>H164*1000</f>
        <v>271.5</v>
      </c>
      <c r="I167" s="93" t="s">
        <v>12</v>
      </c>
    </row>
    <row r="168" spans="1:10" s="12" customFormat="1" ht="18.75" customHeight="1" x14ac:dyDescent="0.25">
      <c r="A168" s="240"/>
      <c r="B168" s="91" t="s">
        <v>182</v>
      </c>
      <c r="C168" s="91"/>
      <c r="D168" s="91"/>
      <c r="E168" s="91"/>
      <c r="F168" s="91"/>
      <c r="G168" s="92" t="s">
        <v>574</v>
      </c>
      <c r="H168" s="35">
        <f>H149</f>
        <v>1</v>
      </c>
      <c r="I168" s="93"/>
    </row>
    <row r="169" spans="1:10" s="12" customFormat="1" ht="18.75" customHeight="1" x14ac:dyDescent="0.25">
      <c r="A169" s="240"/>
      <c r="C169" s="91"/>
      <c r="D169" s="91"/>
      <c r="E169" s="91"/>
      <c r="F169" s="91"/>
      <c r="G169" s="100"/>
      <c r="H169" s="207"/>
      <c r="I169" s="93"/>
    </row>
    <row r="170" spans="1:10" s="12" customFormat="1" ht="18.75" customHeight="1" x14ac:dyDescent="0.25">
      <c r="A170" s="240"/>
      <c r="B170" s="91" t="s">
        <v>621</v>
      </c>
      <c r="C170" s="91"/>
      <c r="D170" s="91"/>
      <c r="E170" s="91"/>
      <c r="F170" s="91"/>
      <c r="G170" s="92" t="s">
        <v>575</v>
      </c>
      <c r="H170" s="142">
        <f>(1+2/H168)*SQRT('Input (1)'!H47)*H166*H167/6*0.001</f>
        <v>1338.3600692638734</v>
      </c>
      <c r="I170" s="93" t="s">
        <v>69</v>
      </c>
    </row>
    <row r="171" spans="1:10" s="12" customFormat="1" ht="18.75" customHeight="1" x14ac:dyDescent="0.25">
      <c r="A171" s="240"/>
      <c r="B171" s="91"/>
      <c r="C171" s="91"/>
      <c r="D171" s="91"/>
      <c r="E171" s="91"/>
      <c r="F171" s="91"/>
      <c r="G171" s="92" t="s">
        <v>598</v>
      </c>
      <c r="H171" s="142">
        <f>(40*H167/H166+2)*SQRT('Input (1)'!H47)*H166*H167/12*0.001</f>
        <v>1791.915426069964</v>
      </c>
      <c r="I171" s="93" t="s">
        <v>69</v>
      </c>
    </row>
    <row r="172" spans="1:10" s="12" customFormat="1" ht="18.75" customHeight="1" x14ac:dyDescent="0.25">
      <c r="A172" s="240"/>
      <c r="B172" s="91"/>
      <c r="C172" s="91"/>
      <c r="D172" s="91"/>
      <c r="E172" s="91"/>
      <c r="F172" s="91"/>
      <c r="G172" s="92" t="s">
        <v>183</v>
      </c>
      <c r="H172" s="142">
        <f>1/3*SQRT('Input (1)'!H47)*H166*H167*0.001</f>
        <v>892.24004617591538</v>
      </c>
      <c r="I172" s="93" t="s">
        <v>69</v>
      </c>
    </row>
    <row r="173" spans="1:10" s="12" customFormat="1" ht="18.75" customHeight="1" x14ac:dyDescent="0.25">
      <c r="A173" s="240"/>
      <c r="B173" s="91" t="s">
        <v>184</v>
      </c>
      <c r="C173" s="91"/>
      <c r="D173" s="91"/>
      <c r="E173" s="91"/>
      <c r="F173" s="91"/>
      <c r="G173" s="92" t="s">
        <v>185</v>
      </c>
      <c r="H173" s="142">
        <f>MIN(H170:H172)</f>
        <v>892.24004617591538</v>
      </c>
      <c r="I173" s="93" t="s">
        <v>69</v>
      </c>
    </row>
    <row r="174" spans="1:10" s="12" customFormat="1" ht="18.75" customHeight="1" x14ac:dyDescent="0.25">
      <c r="A174" s="240"/>
      <c r="B174" s="91" t="s">
        <v>186</v>
      </c>
      <c r="C174" s="91"/>
      <c r="D174" s="91"/>
      <c r="E174" s="91"/>
      <c r="F174" s="91"/>
      <c r="G174" s="92" t="s">
        <v>187</v>
      </c>
      <c r="H174" s="35">
        <f>H155</f>
        <v>0.75</v>
      </c>
      <c r="I174" s="93"/>
    </row>
    <row r="175" spans="1:10" s="12" customFormat="1" ht="18.75" customHeight="1" x14ac:dyDescent="0.25">
      <c r="A175" s="240"/>
      <c r="B175" s="91" t="s">
        <v>188</v>
      </c>
      <c r="C175" s="91"/>
      <c r="D175" s="91"/>
      <c r="E175" s="91"/>
      <c r="F175" s="91"/>
      <c r="G175" s="92" t="s">
        <v>189</v>
      </c>
      <c r="H175" s="142">
        <f>H174*H173</f>
        <v>669.18003463193656</v>
      </c>
      <c r="I175" s="93" t="s">
        <v>69</v>
      </c>
    </row>
    <row r="176" spans="1:10" s="12" customFormat="1" ht="18.75" customHeight="1" x14ac:dyDescent="0.25">
      <c r="A176" s="240"/>
      <c r="B176" s="91" t="s">
        <v>420</v>
      </c>
      <c r="C176" s="91"/>
      <c r="D176" s="91"/>
      <c r="E176" s="100"/>
      <c r="F176" s="100"/>
      <c r="G176" s="100"/>
      <c r="H176" s="100"/>
      <c r="I176" s="208"/>
    </row>
    <row r="177" spans="1:9" s="12" customFormat="1" ht="18.75" customHeight="1" x14ac:dyDescent="0.25">
      <c r="A177" s="240"/>
      <c r="B177" s="91"/>
      <c r="C177" s="91" t="s">
        <v>413</v>
      </c>
      <c r="D177" s="423" t="s">
        <v>190</v>
      </c>
      <c r="E177" s="179" t="s">
        <v>191</v>
      </c>
      <c r="F177" s="423" t="s">
        <v>192</v>
      </c>
      <c r="G177" s="91"/>
      <c r="H177" s="100"/>
      <c r="I177" s="113"/>
    </row>
    <row r="178" spans="1:9" s="12" customFormat="1" ht="18.75" customHeight="1" x14ac:dyDescent="0.25">
      <c r="A178" s="240"/>
      <c r="B178" s="91"/>
      <c r="C178" s="91"/>
      <c r="D178" s="142">
        <f>H175</f>
        <v>669.18003463193656</v>
      </c>
      <c r="E178" s="209" t="str">
        <f>IF(D178&lt;=F178,"&lt;","&gt;")</f>
        <v>&gt;</v>
      </c>
      <c r="F178" s="142">
        <f>H165</f>
        <v>605.95678232938485</v>
      </c>
      <c r="G178" s="210" t="s">
        <v>138</v>
      </c>
      <c r="H178" s="211" t="str">
        <f>IF(D178&gt;F178,"AMAN (OK)","BAHAYA (NG)")</f>
        <v>AMAN (OK)</v>
      </c>
      <c r="I178" s="113"/>
    </row>
    <row r="179" spans="1:9" s="12" customFormat="1" ht="18.75" customHeight="1" x14ac:dyDescent="0.25">
      <c r="A179" s="240"/>
      <c r="B179" s="91"/>
      <c r="C179" s="91"/>
      <c r="D179" s="91"/>
      <c r="E179" s="91"/>
      <c r="F179" s="91"/>
      <c r="G179" s="92"/>
      <c r="H179" s="213"/>
      <c r="I179" s="208"/>
    </row>
    <row r="180" spans="1:9" s="12" customFormat="1" ht="18.75" customHeight="1" x14ac:dyDescent="0.25">
      <c r="A180" s="239" t="s">
        <v>433</v>
      </c>
      <c r="B180" s="88" t="s">
        <v>197</v>
      </c>
      <c r="C180" s="89"/>
      <c r="D180" s="89"/>
      <c r="E180" s="89"/>
      <c r="F180" s="89"/>
      <c r="G180" s="102"/>
      <c r="H180" s="212"/>
      <c r="I180" s="90"/>
    </row>
    <row r="181" spans="1:9" s="12" customFormat="1" ht="18.75" customHeight="1" x14ac:dyDescent="0.25">
      <c r="A181" s="240"/>
      <c r="B181" s="91"/>
      <c r="C181" s="91"/>
      <c r="D181" s="91"/>
      <c r="E181" s="91"/>
      <c r="F181" s="91"/>
      <c r="G181" s="92"/>
      <c r="H181" s="213"/>
      <c r="I181" s="208"/>
    </row>
    <row r="182" spans="1:9" s="12" customFormat="1" ht="18.75" customHeight="1" x14ac:dyDescent="0.25">
      <c r="A182" s="240"/>
      <c r="B182" s="91"/>
      <c r="C182" s="91"/>
      <c r="D182" s="91"/>
      <c r="E182" s="91"/>
      <c r="F182" s="91"/>
      <c r="G182" s="92"/>
      <c r="H182" s="213"/>
      <c r="I182" s="208"/>
    </row>
    <row r="183" spans="1:9" s="12" customFormat="1" ht="18.75" customHeight="1" x14ac:dyDescent="0.25">
      <c r="A183" s="240"/>
      <c r="B183" s="91"/>
      <c r="C183" s="91"/>
      <c r="D183" s="91"/>
      <c r="E183" s="91"/>
      <c r="F183" s="91"/>
      <c r="G183" s="92"/>
      <c r="H183" s="213"/>
      <c r="I183" s="208"/>
    </row>
    <row r="184" spans="1:9" s="12" customFormat="1" ht="18.75" customHeight="1" x14ac:dyDescent="0.25">
      <c r="A184" s="240"/>
      <c r="B184" s="91"/>
      <c r="C184" s="91"/>
      <c r="D184" s="91"/>
      <c r="E184" s="91"/>
      <c r="F184" s="91"/>
      <c r="G184" s="92"/>
      <c r="H184" s="213"/>
      <c r="I184" s="208"/>
    </row>
    <row r="185" spans="1:9" s="12" customFormat="1" ht="18.75" customHeight="1" x14ac:dyDescent="0.25">
      <c r="A185" s="240"/>
      <c r="B185" s="91"/>
      <c r="C185" s="91"/>
      <c r="D185" s="91"/>
      <c r="E185" s="91"/>
      <c r="F185" s="91"/>
      <c r="G185" s="92"/>
      <c r="H185" s="213"/>
      <c r="I185" s="208"/>
    </row>
    <row r="186" spans="1:9" s="12" customFormat="1" ht="18.75" customHeight="1" x14ac:dyDescent="0.25">
      <c r="A186" s="240"/>
      <c r="B186" s="91"/>
      <c r="C186" s="91"/>
      <c r="D186" s="91"/>
      <c r="E186" s="91"/>
      <c r="F186" s="91"/>
      <c r="G186" s="92"/>
      <c r="H186" s="213"/>
      <c r="I186" s="208"/>
    </row>
    <row r="187" spans="1:9" s="12" customFormat="1" ht="18.75" customHeight="1" x14ac:dyDescent="0.25">
      <c r="A187" s="240"/>
      <c r="B187" s="91"/>
      <c r="C187" s="91"/>
      <c r="D187" s="91"/>
      <c r="E187" s="91"/>
      <c r="F187" s="91"/>
      <c r="G187" s="92"/>
      <c r="H187" s="213"/>
      <c r="I187" s="208"/>
    </row>
    <row r="188" spans="1:9" s="12" customFormat="1" ht="18.75" customHeight="1" x14ac:dyDescent="0.25">
      <c r="A188" s="240"/>
      <c r="B188" s="91"/>
      <c r="C188" s="91"/>
      <c r="D188" s="91"/>
      <c r="E188" s="91"/>
      <c r="F188" s="91"/>
      <c r="G188" s="92"/>
      <c r="H188" s="213"/>
      <c r="I188" s="208"/>
    </row>
    <row r="189" spans="1:9" s="12" customFormat="1" ht="18.75" customHeight="1" x14ac:dyDescent="0.25">
      <c r="A189" s="240"/>
      <c r="B189" s="91"/>
      <c r="C189" s="91"/>
      <c r="D189" s="91"/>
      <c r="E189" s="91"/>
      <c r="F189" s="91"/>
      <c r="G189" s="92"/>
      <c r="H189" s="213"/>
      <c r="I189" s="208"/>
    </row>
    <row r="190" spans="1:9" s="12" customFormat="1" ht="18.75" customHeight="1" x14ac:dyDescent="0.25">
      <c r="A190" s="240"/>
      <c r="B190" s="91"/>
      <c r="C190" s="91"/>
      <c r="D190" s="91"/>
      <c r="E190" s="91"/>
      <c r="F190" s="91"/>
      <c r="G190" s="92"/>
      <c r="H190" s="213"/>
      <c r="I190" s="208"/>
    </row>
    <row r="191" spans="1:9" s="12" customFormat="1" ht="18.75" customHeight="1" x14ac:dyDescent="0.25">
      <c r="A191" s="240"/>
      <c r="B191" s="91"/>
      <c r="C191" s="91"/>
      <c r="D191" s="91"/>
      <c r="E191" s="91"/>
      <c r="F191" s="91"/>
      <c r="G191" s="92"/>
      <c r="H191" s="213"/>
      <c r="I191" s="208"/>
    </row>
    <row r="192" spans="1:9" s="12" customFormat="1" ht="18.75" customHeight="1" x14ac:dyDescent="0.25">
      <c r="A192" s="240"/>
      <c r="B192" s="91" t="s">
        <v>172</v>
      </c>
      <c r="C192" s="100"/>
      <c r="D192" s="100"/>
      <c r="E192" s="100"/>
      <c r="F192" s="100"/>
      <c r="G192" s="92" t="s">
        <v>173</v>
      </c>
      <c r="H192" s="142">
        <f>H163</f>
        <v>0.1285</v>
      </c>
      <c r="I192" s="93" t="s">
        <v>6</v>
      </c>
    </row>
    <row r="193" spans="1:9" s="12" customFormat="1" ht="18.75" customHeight="1" x14ac:dyDescent="0.25">
      <c r="A193" s="240"/>
      <c r="B193" s="91" t="s">
        <v>174</v>
      </c>
      <c r="C193" s="91"/>
      <c r="D193" s="91"/>
      <c r="E193" s="91"/>
      <c r="F193" s="91"/>
      <c r="G193" s="92" t="s">
        <v>175</v>
      </c>
      <c r="H193" s="142">
        <f>H164</f>
        <v>0.27150000000000002</v>
      </c>
      <c r="I193" s="93" t="s">
        <v>6</v>
      </c>
    </row>
    <row r="194" spans="1:9" s="12" customFormat="1" ht="18.75" customHeight="1" x14ac:dyDescent="0.25">
      <c r="A194" s="240"/>
      <c r="B194" s="91" t="s">
        <v>198</v>
      </c>
      <c r="C194" s="91"/>
      <c r="D194" s="91"/>
      <c r="E194" s="91"/>
      <c r="F194" s="91"/>
      <c r="G194" s="92" t="s">
        <v>583</v>
      </c>
      <c r="H194" s="142">
        <f>C45+H193</f>
        <v>0.67149999999999999</v>
      </c>
      <c r="I194" s="93" t="s">
        <v>6</v>
      </c>
    </row>
    <row r="195" spans="1:9" s="12" customFormat="1" ht="18.75" customHeight="1" x14ac:dyDescent="0.25">
      <c r="A195" s="240"/>
      <c r="B195" s="91" t="s">
        <v>199</v>
      </c>
      <c r="C195" s="91"/>
      <c r="D195" s="91"/>
      <c r="E195" s="91"/>
      <c r="F195" s="91"/>
      <c r="G195" s="92" t="s">
        <v>584</v>
      </c>
      <c r="H195" s="142">
        <f>C115+H194</f>
        <v>1.2715000000000001</v>
      </c>
      <c r="I195" s="93" t="s">
        <v>6</v>
      </c>
    </row>
    <row r="196" spans="1:9" s="12" customFormat="1" ht="18.75" customHeight="1" x14ac:dyDescent="0.25">
      <c r="A196" s="240"/>
      <c r="B196" s="91" t="s">
        <v>200</v>
      </c>
      <c r="C196" s="91"/>
      <c r="D196" s="91"/>
      <c r="E196" s="91"/>
      <c r="F196" s="91"/>
      <c r="G196" s="92" t="s">
        <v>201</v>
      </c>
      <c r="H196" s="142">
        <f>MAX('Input (2)'!G17:G23)</f>
        <v>662.68</v>
      </c>
      <c r="I196" s="93" t="s">
        <v>177</v>
      </c>
    </row>
    <row r="197" spans="1:9" s="12" customFormat="1" ht="18.75" customHeight="1" x14ac:dyDescent="0.25">
      <c r="A197" s="240"/>
      <c r="B197" s="91" t="s">
        <v>202</v>
      </c>
      <c r="C197" s="91"/>
      <c r="D197" s="91"/>
      <c r="E197" s="91"/>
      <c r="F197" s="91"/>
      <c r="G197" s="92" t="s">
        <v>203</v>
      </c>
      <c r="H197" s="142">
        <f>2*(H194+H195)*H193</f>
        <v>1.0550490000000001</v>
      </c>
      <c r="I197" s="93" t="s">
        <v>204</v>
      </c>
    </row>
    <row r="198" spans="1:9" s="12" customFormat="1" ht="18.75" customHeight="1" x14ac:dyDescent="0.25">
      <c r="A198" s="240"/>
      <c r="B198" s="91" t="s">
        <v>205</v>
      </c>
      <c r="C198" s="91"/>
      <c r="D198" s="91"/>
      <c r="E198" s="91"/>
      <c r="F198" s="91"/>
      <c r="G198" s="92" t="s">
        <v>206</v>
      </c>
      <c r="H198" s="142">
        <f>2*(H194+H195)</f>
        <v>3.8860000000000001</v>
      </c>
      <c r="I198" s="93" t="s">
        <v>207</v>
      </c>
    </row>
    <row r="199" spans="1:9" s="12" customFormat="1" ht="18.75" customHeight="1" x14ac:dyDescent="0.25">
      <c r="A199" s="240"/>
      <c r="B199" s="91" t="s">
        <v>182</v>
      </c>
      <c r="C199" s="91"/>
      <c r="D199" s="91"/>
      <c r="E199" s="91"/>
      <c r="F199" s="91"/>
      <c r="G199" s="92" t="s">
        <v>574</v>
      </c>
      <c r="H199" s="35">
        <f>H168</f>
        <v>1</v>
      </c>
      <c r="I199" s="93"/>
    </row>
    <row r="200" spans="1:9" s="12" customFormat="1" ht="18.75" customHeight="1" x14ac:dyDescent="0.25">
      <c r="A200" s="240"/>
      <c r="C200" s="91"/>
      <c r="D200" s="91"/>
      <c r="E200" s="91"/>
      <c r="F200" s="91"/>
      <c r="G200" s="100"/>
      <c r="H200" s="207"/>
      <c r="I200" s="93"/>
    </row>
    <row r="201" spans="1:9" s="12" customFormat="1" ht="18.75" customHeight="1" x14ac:dyDescent="0.25">
      <c r="A201" s="240"/>
      <c r="B201" s="91" t="s">
        <v>620</v>
      </c>
      <c r="C201" s="91"/>
      <c r="D201" s="91"/>
      <c r="E201" s="91"/>
      <c r="F201" s="91"/>
      <c r="G201" s="92" t="s">
        <v>576</v>
      </c>
      <c r="H201" s="142">
        <f>(1+2/H199)*SQRT('Input (1)'!H47)/6</f>
        <v>2.7386127875258306</v>
      </c>
      <c r="I201" s="93" t="s">
        <v>28</v>
      </c>
    </row>
    <row r="202" spans="1:9" s="12" customFormat="1" ht="18.75" customHeight="1" x14ac:dyDescent="0.25">
      <c r="A202" s="240"/>
      <c r="B202" s="91"/>
      <c r="C202" s="91"/>
      <c r="D202" s="91"/>
      <c r="E202" s="91"/>
      <c r="F202" s="91"/>
      <c r="G202" s="92" t="s">
        <v>599</v>
      </c>
      <c r="H202" s="142">
        <f>(40*H193/H198+2)*SQRT('Input (1)'!H47)/12</f>
        <v>2.1884471374670302</v>
      </c>
      <c r="I202" s="93" t="s">
        <v>28</v>
      </c>
    </row>
    <row r="203" spans="1:9" s="12" customFormat="1" ht="18.75" customHeight="1" x14ac:dyDescent="0.25">
      <c r="A203" s="240"/>
      <c r="B203" s="91"/>
      <c r="C203" s="91"/>
      <c r="D203" s="91"/>
      <c r="E203" s="91"/>
      <c r="F203" s="91"/>
      <c r="G203" s="92" t="s">
        <v>577</v>
      </c>
      <c r="H203" s="142">
        <f>1/3*SQRT('Input (1)'!H47)</f>
        <v>1.8257418583505536</v>
      </c>
      <c r="I203" s="93" t="s">
        <v>28</v>
      </c>
    </row>
    <row r="204" spans="1:9" s="12" customFormat="1" ht="18.75" customHeight="1" x14ac:dyDescent="0.25">
      <c r="A204" s="240"/>
      <c r="B204" s="91" t="s">
        <v>208</v>
      </c>
      <c r="C204" s="91"/>
      <c r="D204" s="91"/>
      <c r="E204" s="91"/>
      <c r="F204" s="100"/>
      <c r="G204" s="92" t="s">
        <v>578</v>
      </c>
      <c r="H204" s="142">
        <f>MIN(H201:H203)</f>
        <v>1.8257418583505536</v>
      </c>
      <c r="I204" s="93" t="s">
        <v>28</v>
      </c>
    </row>
    <row r="205" spans="1:9" s="12" customFormat="1" ht="18.75" customHeight="1" x14ac:dyDescent="0.25">
      <c r="A205" s="240"/>
      <c r="B205" s="91" t="s">
        <v>209</v>
      </c>
      <c r="C205" s="91"/>
      <c r="D205" s="91"/>
      <c r="E205" s="91"/>
      <c r="F205" s="100"/>
      <c r="G205" s="92" t="s">
        <v>187</v>
      </c>
      <c r="H205" s="35">
        <v>0.75</v>
      </c>
      <c r="I205" s="93"/>
    </row>
    <row r="206" spans="1:9" s="12" customFormat="1" ht="18.75" customHeight="1" x14ac:dyDescent="0.25">
      <c r="A206" s="240"/>
      <c r="B206" s="91" t="s">
        <v>210</v>
      </c>
      <c r="C206" s="91"/>
      <c r="D206" s="91"/>
      <c r="E206" s="91"/>
      <c r="F206" s="91"/>
      <c r="G206" s="92" t="s">
        <v>579</v>
      </c>
      <c r="H206" s="35">
        <f>H205*H197*H204*1000</f>
        <v>1444.6853414331699</v>
      </c>
      <c r="I206" s="93" t="s">
        <v>69</v>
      </c>
    </row>
    <row r="207" spans="1:9" s="12" customFormat="1" ht="18.75" customHeight="1" x14ac:dyDescent="0.25">
      <c r="A207" s="240"/>
      <c r="B207" s="91" t="s">
        <v>439</v>
      </c>
      <c r="C207" s="91"/>
      <c r="D207" s="91"/>
      <c r="E207" s="91"/>
      <c r="F207" s="91"/>
      <c r="G207" s="92"/>
      <c r="H207" s="122"/>
      <c r="I207" s="208"/>
    </row>
    <row r="208" spans="1:9" s="12" customFormat="1" ht="18.75" customHeight="1" x14ac:dyDescent="0.25">
      <c r="A208" s="240"/>
      <c r="B208" s="100"/>
      <c r="C208" s="91" t="s">
        <v>134</v>
      </c>
      <c r="D208" s="423" t="s">
        <v>211</v>
      </c>
      <c r="E208" s="179" t="s">
        <v>191</v>
      </c>
      <c r="F208" s="423" t="s">
        <v>212</v>
      </c>
      <c r="G208" s="214"/>
      <c r="H208" s="100"/>
      <c r="I208" s="113"/>
    </row>
    <row r="209" spans="1:20" s="12" customFormat="1" ht="18.75" customHeight="1" x14ac:dyDescent="0.25">
      <c r="A209" s="240"/>
      <c r="B209" s="91"/>
      <c r="C209" s="91"/>
      <c r="D209" s="142">
        <f>H206</f>
        <v>1444.6853414331699</v>
      </c>
      <c r="E209" s="209" t="str">
        <f>IF(D209&lt;=F209,"&lt;","&gt;")</f>
        <v>&gt;</v>
      </c>
      <c r="F209" s="142">
        <f>H196</f>
        <v>662.68</v>
      </c>
      <c r="G209" s="210" t="s">
        <v>138</v>
      </c>
      <c r="H209" s="211" t="str">
        <f>IF(D209&gt;F209,"AMAN (OK)","BAHAYA (NG)")</f>
        <v>AMAN (OK)</v>
      </c>
      <c r="I209" s="113"/>
    </row>
    <row r="210" spans="1:20" s="12" customFormat="1" ht="18.75" customHeight="1" x14ac:dyDescent="0.25">
      <c r="A210" s="240"/>
      <c r="B210" s="91"/>
      <c r="C210" s="91"/>
      <c r="D210" s="91"/>
      <c r="E210" s="91"/>
      <c r="F210" s="91"/>
      <c r="G210" s="91"/>
      <c r="H210" s="91"/>
      <c r="I210" s="208"/>
    </row>
    <row r="211" spans="1:20" s="12" customFormat="1" ht="18.75" customHeight="1" x14ac:dyDescent="0.25">
      <c r="A211" s="240"/>
      <c r="B211" s="91"/>
      <c r="C211" s="91"/>
      <c r="D211" s="91"/>
      <c r="E211" s="91"/>
      <c r="F211" s="91"/>
      <c r="G211" s="91"/>
      <c r="H211" s="91"/>
      <c r="I211" s="208"/>
    </row>
    <row r="212" spans="1:20" s="146" customFormat="1" ht="19.149999999999999" customHeight="1" x14ac:dyDescent="0.25">
      <c r="A212" s="239" t="s">
        <v>434</v>
      </c>
      <c r="B212" s="108" t="s">
        <v>643</v>
      </c>
      <c r="C212" s="114"/>
      <c r="D212" s="114"/>
      <c r="E212" s="114"/>
      <c r="F212" s="114"/>
      <c r="G212" s="114"/>
      <c r="H212" s="114"/>
      <c r="I212" s="115"/>
      <c r="J212" s="67"/>
      <c r="K212" s="182"/>
      <c r="L212" s="16"/>
      <c r="M212" s="16"/>
      <c r="N212" s="16"/>
      <c r="P212" s="183"/>
      <c r="Q212" s="183"/>
      <c r="R212" s="183"/>
      <c r="S212" s="183"/>
      <c r="T212" s="183"/>
    </row>
    <row r="213" spans="1:20" s="12" customFormat="1" ht="18.75" customHeight="1" x14ac:dyDescent="0.25">
      <c r="A213" s="240"/>
      <c r="B213" s="91" t="s">
        <v>172</v>
      </c>
      <c r="C213" s="100"/>
      <c r="D213" s="100"/>
      <c r="E213" s="100"/>
      <c r="F213" s="100"/>
      <c r="G213" s="92" t="s">
        <v>173</v>
      </c>
      <c r="H213" s="142">
        <f>H192</f>
        <v>0.1285</v>
      </c>
      <c r="I213" s="93" t="s">
        <v>6</v>
      </c>
    </row>
    <row r="214" spans="1:20" s="146" customFormat="1" ht="19.149999999999999" customHeight="1" x14ac:dyDescent="0.25">
      <c r="A214" s="240"/>
      <c r="B214" s="91" t="s">
        <v>208</v>
      </c>
      <c r="C214" s="117"/>
      <c r="D214" s="117"/>
      <c r="E214" s="117"/>
      <c r="F214" s="117"/>
      <c r="G214" s="185" t="s">
        <v>580</v>
      </c>
      <c r="H214" s="70">
        <f>H204</f>
        <v>1.8257418583505536</v>
      </c>
      <c r="I214" s="196" t="s">
        <v>28</v>
      </c>
      <c r="K214" s="182"/>
      <c r="L214" s="16"/>
      <c r="M214" s="16"/>
      <c r="N214" s="16"/>
      <c r="P214" s="183"/>
      <c r="Q214" s="183"/>
      <c r="R214" s="183"/>
      <c r="S214" s="183"/>
      <c r="T214" s="183"/>
    </row>
    <row r="215" spans="1:20" s="146" customFormat="1" ht="19.149999999999999" customHeight="1" x14ac:dyDescent="0.25">
      <c r="A215" s="240"/>
      <c r="B215" s="117" t="s">
        <v>381</v>
      </c>
      <c r="C215" s="117"/>
      <c r="D215" s="117"/>
      <c r="E215" s="117"/>
      <c r="F215" s="117"/>
      <c r="G215" s="185" t="s">
        <v>382</v>
      </c>
      <c r="H215" s="69">
        <f>H205</f>
        <v>0.75</v>
      </c>
      <c r="I215" s="196"/>
      <c r="K215" s="182"/>
      <c r="L215" s="16"/>
      <c r="M215" s="16"/>
      <c r="N215" s="16"/>
      <c r="P215" s="183"/>
      <c r="Q215" s="183"/>
      <c r="R215" s="183"/>
      <c r="S215" s="183"/>
      <c r="T215" s="183"/>
    </row>
    <row r="216" spans="1:20" s="146" customFormat="1" ht="19.149999999999999" customHeight="1" x14ac:dyDescent="0.25">
      <c r="A216" s="240"/>
      <c r="B216" s="117" t="s">
        <v>383</v>
      </c>
      <c r="C216" s="117"/>
      <c r="D216" s="117"/>
      <c r="E216" s="117"/>
      <c r="F216" s="117"/>
      <c r="G216" s="185" t="s">
        <v>384</v>
      </c>
      <c r="H216" s="69">
        <f>'Input (1)'!H42</f>
        <v>1</v>
      </c>
      <c r="I216" s="196" t="s">
        <v>6</v>
      </c>
      <c r="K216" s="182"/>
      <c r="L216" s="16"/>
      <c r="M216" s="16"/>
      <c r="N216" s="16"/>
      <c r="O216" s="16"/>
      <c r="P216" s="184"/>
      <c r="Q216" s="184"/>
      <c r="R216" s="183"/>
      <c r="S216" s="183"/>
      <c r="T216" s="183"/>
    </row>
    <row r="217" spans="1:20" s="146" customFormat="1" ht="19.149999999999999" customHeight="1" x14ac:dyDescent="0.25">
      <c r="A217" s="240"/>
      <c r="B217" s="117" t="s">
        <v>385</v>
      </c>
      <c r="C217" s="117"/>
      <c r="D217" s="117"/>
      <c r="E217" s="117"/>
      <c r="F217" s="117"/>
      <c r="G217" s="185" t="s">
        <v>93</v>
      </c>
      <c r="H217" s="69">
        <f>H216</f>
        <v>1</v>
      </c>
      <c r="I217" s="196" t="s">
        <v>6</v>
      </c>
      <c r="K217" s="182"/>
      <c r="L217" s="16"/>
      <c r="M217" s="16"/>
      <c r="N217" s="16"/>
      <c r="O217" s="16"/>
      <c r="P217" s="184"/>
      <c r="Q217" s="184"/>
      <c r="R217" s="183"/>
      <c r="S217" s="183"/>
      <c r="T217" s="183"/>
    </row>
    <row r="218" spans="1:20" s="146" customFormat="1" ht="19.149999999999999" customHeight="1" x14ac:dyDescent="0.25">
      <c r="A218" s="240"/>
      <c r="B218" s="117" t="s">
        <v>386</v>
      </c>
      <c r="C218" s="117"/>
      <c r="D218" s="117"/>
      <c r="E218" s="117"/>
      <c r="F218" s="117"/>
      <c r="G218" s="185" t="s">
        <v>545</v>
      </c>
      <c r="H218" s="69">
        <f>'Input (1)'!H41</f>
        <v>0.4</v>
      </c>
      <c r="I218" s="196" t="s">
        <v>6</v>
      </c>
      <c r="K218" s="182"/>
      <c r="L218" s="16"/>
      <c r="M218" s="16"/>
      <c r="N218" s="16"/>
      <c r="O218" s="16"/>
      <c r="P218" s="184"/>
      <c r="Q218" s="184"/>
      <c r="R218" s="183"/>
      <c r="S218" s="183"/>
      <c r="T218" s="183"/>
    </row>
    <row r="219" spans="1:20" s="146" customFormat="1" ht="19.149999999999999" customHeight="1" x14ac:dyDescent="0.25">
      <c r="A219" s="240"/>
      <c r="B219" s="117"/>
      <c r="C219" s="117"/>
      <c r="D219" s="117"/>
      <c r="E219" s="117"/>
      <c r="F219" s="117"/>
      <c r="G219" s="117"/>
      <c r="H219" s="117"/>
      <c r="I219" s="191"/>
      <c r="J219" s="67"/>
      <c r="K219" s="182"/>
      <c r="L219" s="16"/>
      <c r="M219" s="16"/>
      <c r="N219" s="16"/>
      <c r="O219" s="16"/>
      <c r="P219" s="184"/>
      <c r="Q219" s="184"/>
      <c r="R219" s="183"/>
      <c r="S219" s="183"/>
      <c r="T219" s="183"/>
    </row>
    <row r="220" spans="1:20" s="146" customFormat="1" ht="19.149999999999999" customHeight="1" x14ac:dyDescent="0.25">
      <c r="A220" s="240"/>
      <c r="B220" s="117"/>
      <c r="C220" s="117"/>
      <c r="D220" s="117"/>
      <c r="E220" s="117"/>
      <c r="F220" s="117"/>
      <c r="G220" s="117"/>
      <c r="H220" s="117"/>
      <c r="I220" s="191"/>
      <c r="J220" s="67"/>
      <c r="K220" s="182"/>
      <c r="L220" s="16"/>
      <c r="M220" s="16"/>
      <c r="N220" s="16"/>
      <c r="O220" s="16"/>
      <c r="P220" s="184"/>
      <c r="Q220" s="184"/>
      <c r="R220" s="183"/>
      <c r="S220" s="183"/>
      <c r="T220" s="183"/>
    </row>
    <row r="221" spans="1:20" s="146" customFormat="1" ht="19.149999999999999" customHeight="1" x14ac:dyDescent="0.25">
      <c r="A221" s="240"/>
      <c r="B221" s="117"/>
      <c r="C221" s="117"/>
      <c r="D221" s="117"/>
      <c r="E221" s="117"/>
      <c r="F221" s="117"/>
      <c r="G221" s="117"/>
      <c r="H221" s="117"/>
      <c r="I221" s="191"/>
      <c r="J221" s="67"/>
      <c r="K221" s="182"/>
      <c r="L221" s="16"/>
      <c r="M221" s="16"/>
      <c r="N221" s="16"/>
      <c r="O221" s="16"/>
      <c r="P221" s="184"/>
      <c r="Q221" s="184"/>
      <c r="R221" s="183"/>
      <c r="S221" s="183"/>
      <c r="T221" s="183"/>
    </row>
    <row r="222" spans="1:20" s="21" customFormat="1" ht="19.149999999999999" customHeight="1" x14ac:dyDescent="0.25">
      <c r="A222" s="240"/>
      <c r="B222" s="117"/>
      <c r="C222" s="117"/>
      <c r="D222" s="117"/>
      <c r="E222" s="117"/>
      <c r="F222" s="117"/>
      <c r="G222" s="117"/>
      <c r="H222" s="117"/>
      <c r="I222" s="191"/>
      <c r="J222" s="67"/>
      <c r="P222" s="166"/>
      <c r="Q222" s="166"/>
      <c r="R222" s="166"/>
      <c r="S222" s="166"/>
      <c r="T222" s="166"/>
    </row>
    <row r="223" spans="1:20" s="21" customFormat="1" ht="19.149999999999999" customHeight="1" x14ac:dyDescent="0.25">
      <c r="A223" s="240"/>
      <c r="B223" s="117"/>
      <c r="C223" s="117"/>
      <c r="D223" s="117"/>
      <c r="E223" s="117"/>
      <c r="F223" s="117"/>
      <c r="G223" s="117"/>
      <c r="H223" s="117"/>
      <c r="I223" s="191"/>
      <c r="J223" s="67"/>
      <c r="P223" s="166"/>
      <c r="Q223" s="166"/>
      <c r="R223" s="166"/>
      <c r="S223" s="166"/>
      <c r="T223" s="166"/>
    </row>
    <row r="224" spans="1:20" s="21" customFormat="1" ht="19.149999999999999" customHeight="1" x14ac:dyDescent="0.25">
      <c r="A224" s="240"/>
      <c r="B224" s="117"/>
      <c r="C224" s="117"/>
      <c r="D224" s="117"/>
      <c r="E224" s="117"/>
      <c r="F224" s="117"/>
      <c r="G224" s="117"/>
      <c r="H224" s="117"/>
      <c r="I224" s="191"/>
      <c r="J224" s="67"/>
      <c r="P224" s="166"/>
      <c r="Q224" s="166"/>
      <c r="R224" s="166"/>
      <c r="S224" s="166"/>
      <c r="T224" s="166"/>
    </row>
    <row r="225" spans="1:20" s="21" customFormat="1" ht="19.149999999999999" customHeight="1" x14ac:dyDescent="0.25">
      <c r="A225" s="240"/>
      <c r="B225" s="117"/>
      <c r="C225" s="117"/>
      <c r="D225" s="117"/>
      <c r="E225" s="117"/>
      <c r="F225" s="117"/>
      <c r="G225" s="117"/>
      <c r="H225" s="117"/>
      <c r="I225" s="191"/>
      <c r="J225" s="67"/>
      <c r="P225" s="166"/>
      <c r="Q225" s="166"/>
      <c r="R225" s="166"/>
      <c r="S225" s="166"/>
      <c r="T225" s="166"/>
    </row>
    <row r="226" spans="1:20" s="21" customFormat="1" ht="19.149999999999999" customHeight="1" x14ac:dyDescent="0.25">
      <c r="A226" s="240"/>
      <c r="B226" s="117"/>
      <c r="C226" s="117"/>
      <c r="D226" s="117"/>
      <c r="E226" s="117"/>
      <c r="F226" s="117"/>
      <c r="G226" s="117"/>
      <c r="H226" s="117"/>
      <c r="I226" s="191"/>
      <c r="J226" s="67"/>
      <c r="P226" s="166"/>
      <c r="Q226" s="166"/>
      <c r="R226" s="166"/>
      <c r="S226" s="166"/>
      <c r="T226" s="166"/>
    </row>
    <row r="227" spans="1:20" s="21" customFormat="1" ht="19.149999999999999" customHeight="1" x14ac:dyDescent="0.25">
      <c r="A227" s="240"/>
      <c r="B227" s="117"/>
      <c r="C227" s="117"/>
      <c r="D227" s="117"/>
      <c r="E227" s="117"/>
      <c r="F227" s="117"/>
      <c r="G227" s="117"/>
      <c r="H227" s="117"/>
      <c r="I227" s="191"/>
      <c r="J227" s="67"/>
      <c r="P227" s="166"/>
      <c r="Q227" s="166"/>
      <c r="R227" s="166"/>
      <c r="S227" s="166"/>
      <c r="T227" s="166"/>
    </row>
    <row r="228" spans="1:20" s="21" customFormat="1" ht="19.149999999999999" customHeight="1" x14ac:dyDescent="0.25">
      <c r="A228" s="240"/>
      <c r="B228" s="117"/>
      <c r="C228" s="117"/>
      <c r="D228" s="117"/>
      <c r="E228" s="117"/>
      <c r="F228" s="117"/>
      <c r="G228" s="117"/>
      <c r="H228" s="117"/>
      <c r="I228" s="191"/>
      <c r="J228" s="67"/>
      <c r="P228" s="166"/>
      <c r="Q228" s="166"/>
      <c r="R228" s="166"/>
      <c r="S228" s="166"/>
      <c r="T228" s="166"/>
    </row>
    <row r="229" spans="1:20" s="21" customFormat="1" ht="19.149999999999999" customHeight="1" x14ac:dyDescent="0.25">
      <c r="A229" s="240"/>
      <c r="B229" s="185" t="s">
        <v>387</v>
      </c>
      <c r="C229" s="69">
        <f>H216/2</f>
        <v>0.5</v>
      </c>
      <c r="D229" s="117" t="s">
        <v>6</v>
      </c>
      <c r="E229" s="117"/>
      <c r="F229" s="117"/>
      <c r="G229" s="117"/>
      <c r="H229" s="117"/>
      <c r="I229" s="191"/>
      <c r="J229" s="67"/>
      <c r="P229" s="166"/>
      <c r="Q229" s="166"/>
      <c r="R229" s="166"/>
      <c r="S229" s="166"/>
      <c r="T229" s="166"/>
    </row>
    <row r="230" spans="1:20" s="21" customFormat="1" ht="19.149999999999999" customHeight="1" x14ac:dyDescent="0.25">
      <c r="A230" s="240"/>
      <c r="B230" s="185" t="s">
        <v>388</v>
      </c>
      <c r="C230" s="69">
        <f>H217/2</f>
        <v>0.5</v>
      </c>
      <c r="D230" s="117" t="s">
        <v>6</v>
      </c>
      <c r="E230" s="117"/>
      <c r="F230" s="117"/>
      <c r="G230" s="185" t="s">
        <v>389</v>
      </c>
      <c r="H230" s="69">
        <f>MIN(C229:C230)</f>
        <v>0.5</v>
      </c>
      <c r="I230" s="196" t="s">
        <v>6</v>
      </c>
      <c r="P230" s="166"/>
      <c r="Q230" s="166"/>
      <c r="R230" s="166"/>
      <c r="S230" s="166"/>
      <c r="T230" s="166"/>
    </row>
    <row r="231" spans="1:20" s="21" customFormat="1" ht="19.149999999999999" customHeight="1" x14ac:dyDescent="0.25">
      <c r="A231" s="240"/>
      <c r="B231" s="117" t="s">
        <v>390</v>
      </c>
      <c r="C231" s="117"/>
      <c r="D231" s="117"/>
      <c r="E231" s="117"/>
      <c r="F231" s="117"/>
      <c r="G231" s="185" t="s">
        <v>418</v>
      </c>
      <c r="H231" s="69">
        <f>C119</f>
        <v>0.4</v>
      </c>
      <c r="I231" s="196" t="s">
        <v>6</v>
      </c>
      <c r="P231" s="166"/>
      <c r="Q231" s="166"/>
      <c r="R231" s="166"/>
      <c r="S231" s="166"/>
      <c r="T231" s="166"/>
    </row>
    <row r="232" spans="1:20" s="21" customFormat="1" ht="19.149999999999999" customHeight="1" x14ac:dyDescent="0.25">
      <c r="A232" s="240"/>
      <c r="B232" s="117" t="s">
        <v>391</v>
      </c>
      <c r="C232" s="117"/>
      <c r="D232" s="117"/>
      <c r="E232" s="117"/>
      <c r="F232" s="117"/>
      <c r="G232" s="185" t="s">
        <v>175</v>
      </c>
      <c r="H232" s="69">
        <f>H231*1000-H213*1000</f>
        <v>271.5</v>
      </c>
      <c r="I232" s="196" t="s">
        <v>12</v>
      </c>
      <c r="P232" s="166"/>
      <c r="Q232" s="166"/>
      <c r="R232" s="166"/>
      <c r="S232" s="166"/>
      <c r="T232" s="166"/>
    </row>
    <row r="233" spans="1:20" s="21" customFormat="1" ht="19.149999999999999" customHeight="1" x14ac:dyDescent="0.25">
      <c r="A233" s="240"/>
      <c r="B233" s="117" t="s">
        <v>392</v>
      </c>
      <c r="C233" s="117"/>
      <c r="D233" s="117"/>
      <c r="E233" s="117"/>
      <c r="F233" s="117"/>
      <c r="G233" s="185" t="s">
        <v>393</v>
      </c>
      <c r="H233" s="69">
        <f>(2*(H230+H218)+PI()/2*H230)*1000</f>
        <v>2585.3981633974481</v>
      </c>
      <c r="I233" s="196" t="s">
        <v>12</v>
      </c>
      <c r="P233" s="166"/>
      <c r="Q233" s="166"/>
      <c r="R233" s="166"/>
      <c r="S233" s="166"/>
      <c r="T233" s="166"/>
    </row>
    <row r="234" spans="1:20" s="21" customFormat="1" ht="19.149999999999999" customHeight="1" x14ac:dyDescent="0.25">
      <c r="A234" s="240"/>
      <c r="B234" s="117" t="s">
        <v>394</v>
      </c>
      <c r="C234" s="117"/>
      <c r="D234" s="117"/>
      <c r="E234" s="117"/>
      <c r="F234" s="117"/>
      <c r="G234" s="185" t="s">
        <v>395</v>
      </c>
      <c r="H234" s="69">
        <f>H232*H233</f>
        <v>701935.60136240721</v>
      </c>
      <c r="I234" s="196" t="s">
        <v>396</v>
      </c>
      <c r="P234" s="166"/>
      <c r="Q234" s="166"/>
      <c r="R234" s="166"/>
      <c r="S234" s="166"/>
      <c r="T234" s="166"/>
    </row>
    <row r="235" spans="1:20" s="21" customFormat="1" ht="19.149999999999999" customHeight="1" x14ac:dyDescent="0.25">
      <c r="A235" s="240"/>
      <c r="B235" s="117" t="s">
        <v>397</v>
      </c>
      <c r="C235" s="117"/>
      <c r="D235" s="117"/>
      <c r="E235" s="117"/>
      <c r="F235" s="117"/>
      <c r="G235" s="185" t="s">
        <v>581</v>
      </c>
      <c r="H235" s="69">
        <f>H234*H214/1000</f>
        <v>1281.5532092738147</v>
      </c>
      <c r="I235" s="196" t="s">
        <v>69</v>
      </c>
      <c r="P235" s="166"/>
      <c r="Q235" s="166"/>
      <c r="R235" s="166"/>
      <c r="S235" s="166"/>
      <c r="T235" s="166"/>
    </row>
    <row r="236" spans="1:20" s="21" customFormat="1" ht="19.149999999999999" customHeight="1" x14ac:dyDescent="0.25">
      <c r="A236" s="240"/>
      <c r="B236" s="117" t="s">
        <v>398</v>
      </c>
      <c r="C236" s="117"/>
      <c r="D236" s="117"/>
      <c r="E236" s="117"/>
      <c r="F236" s="117"/>
      <c r="G236" s="185" t="s">
        <v>399</v>
      </c>
      <c r="H236" s="70">
        <f>H215*H235</f>
        <v>961.16490695536095</v>
      </c>
      <c r="I236" s="196" t="s">
        <v>69</v>
      </c>
      <c r="P236" s="166"/>
      <c r="Q236" s="166"/>
      <c r="R236" s="166"/>
      <c r="S236" s="166"/>
      <c r="T236" s="166"/>
    </row>
    <row r="237" spans="1:20" s="21" customFormat="1" ht="19.149999999999999" customHeight="1" x14ac:dyDescent="0.25">
      <c r="A237" s="240"/>
      <c r="B237" s="117" t="s">
        <v>400</v>
      </c>
      <c r="C237" s="117"/>
      <c r="D237" s="117"/>
      <c r="E237" s="117"/>
      <c r="F237" s="117"/>
      <c r="G237" s="185" t="s">
        <v>333</v>
      </c>
      <c r="H237" s="70">
        <f>MAX('Fondasi Dalam'!I85:J86,'Fondasi Dalam'!I88:J89,'Fondasi Dalam'!I91:J92)</f>
        <v>324.17047516469245</v>
      </c>
      <c r="I237" s="196" t="s">
        <v>69</v>
      </c>
      <c r="P237" s="166"/>
      <c r="Q237" s="166"/>
      <c r="R237" s="166"/>
      <c r="S237" s="166"/>
      <c r="T237" s="166"/>
    </row>
    <row r="238" spans="1:20" s="21" customFormat="1" ht="19.149999999999999" customHeight="1" x14ac:dyDescent="0.25">
      <c r="A238" s="240"/>
      <c r="B238" s="94" t="s">
        <v>440</v>
      </c>
      <c r="C238" s="94"/>
      <c r="D238" s="94"/>
      <c r="E238" s="94"/>
      <c r="F238" s="94"/>
      <c r="G238" s="98"/>
      <c r="H238" s="215"/>
      <c r="I238" s="216"/>
      <c r="J238" s="67"/>
      <c r="P238" s="166"/>
      <c r="Q238" s="166"/>
      <c r="R238" s="166"/>
      <c r="S238" s="166"/>
      <c r="T238" s="166"/>
    </row>
    <row r="239" spans="1:20" s="21" customFormat="1" ht="19.149999999999999" customHeight="1" x14ac:dyDescent="0.25">
      <c r="A239" s="240"/>
      <c r="B239" s="117"/>
      <c r="C239" s="217" t="s">
        <v>134</v>
      </c>
      <c r="D239" s="424" t="s">
        <v>402</v>
      </c>
      <c r="E239" s="95" t="s">
        <v>140</v>
      </c>
      <c r="F239" s="424" t="s">
        <v>401</v>
      </c>
      <c r="G239" s="98"/>
      <c r="H239" s="215"/>
      <c r="I239" s="191"/>
      <c r="J239" s="67"/>
      <c r="P239" s="166"/>
      <c r="Q239" s="166"/>
      <c r="R239" s="166"/>
      <c r="S239" s="166"/>
      <c r="T239" s="166"/>
    </row>
    <row r="240" spans="1:20" s="21" customFormat="1" ht="19.149999999999999" customHeight="1" x14ac:dyDescent="0.25">
      <c r="A240" s="240"/>
      <c r="B240" s="94"/>
      <c r="C240" s="94"/>
      <c r="D240" s="153">
        <f>H236</f>
        <v>961.16490695536095</v>
      </c>
      <c r="E240" s="215" t="str">
        <f>IF(D240&gt;F240,"&gt;","&lt;")</f>
        <v>&gt;</v>
      </c>
      <c r="F240" s="153">
        <f>H237</f>
        <v>324.17047516469245</v>
      </c>
      <c r="G240" s="95" t="s">
        <v>138</v>
      </c>
      <c r="H240" s="211" t="str">
        <f>IF(D240&gt;F240,"AMAN (OK)","BAHAYA (NG)")</f>
        <v>AMAN (OK)</v>
      </c>
      <c r="I240" s="191"/>
      <c r="J240" s="67"/>
      <c r="P240" s="166"/>
      <c r="Q240" s="166"/>
      <c r="R240" s="166"/>
      <c r="S240" s="166"/>
      <c r="T240" s="166"/>
    </row>
    <row r="241" spans="1:15" s="12" customFormat="1" ht="18.75" customHeight="1" x14ac:dyDescent="0.25">
      <c r="A241" s="240"/>
      <c r="B241" s="91"/>
      <c r="C241" s="91"/>
      <c r="D241" s="91"/>
      <c r="E241" s="91"/>
      <c r="F241" s="91"/>
      <c r="G241" s="91"/>
      <c r="H241" s="91"/>
      <c r="I241" s="208"/>
    </row>
    <row r="242" spans="1:15" s="12" customFormat="1" ht="18.75" customHeight="1" x14ac:dyDescent="0.25">
      <c r="A242" s="240"/>
      <c r="B242" s="91"/>
      <c r="C242" s="91"/>
      <c r="D242" s="91"/>
      <c r="E242" s="91"/>
      <c r="F242" s="91"/>
      <c r="G242" s="91"/>
      <c r="H242" s="91"/>
      <c r="I242" s="208"/>
    </row>
    <row r="243" spans="1:15" s="12" customFormat="1" ht="18.75" customHeight="1" x14ac:dyDescent="0.25">
      <c r="A243" s="241" t="s">
        <v>435</v>
      </c>
      <c r="B243" s="199" t="s">
        <v>213</v>
      </c>
      <c r="C243" s="200"/>
      <c r="D243" s="200"/>
      <c r="E243" s="200"/>
      <c r="F243" s="200"/>
      <c r="G243" s="200"/>
      <c r="H243" s="200"/>
      <c r="I243" s="206"/>
    </row>
    <row r="244" spans="1:15" s="12" customFormat="1" ht="18.75" customHeight="1" x14ac:dyDescent="0.25">
      <c r="A244" s="239" t="s">
        <v>436</v>
      </c>
      <c r="B244" s="88" t="s">
        <v>214</v>
      </c>
      <c r="C244" s="89"/>
      <c r="D244" s="89"/>
      <c r="E244" s="89"/>
      <c r="F244" s="89"/>
      <c r="G244" s="89"/>
      <c r="H244" s="89"/>
      <c r="I244" s="90"/>
    </row>
    <row r="245" spans="1:15" s="12" customFormat="1" ht="18.75" customHeight="1" x14ac:dyDescent="0.25">
      <c r="A245" s="240"/>
      <c r="B245" s="91" t="s">
        <v>215</v>
      </c>
      <c r="C245" s="91"/>
      <c r="D245" s="91"/>
      <c r="E245" s="91"/>
      <c r="F245" s="91"/>
      <c r="G245" s="92" t="s">
        <v>421</v>
      </c>
      <c r="H245" s="142">
        <f>H70</f>
        <v>69.538595054897471</v>
      </c>
      <c r="I245" s="93" t="s">
        <v>216</v>
      </c>
    </row>
    <row r="246" spans="1:15" s="12" customFormat="1" ht="18.75" customHeight="1" x14ac:dyDescent="0.25">
      <c r="A246" s="240"/>
      <c r="B246" s="91" t="s">
        <v>217</v>
      </c>
      <c r="C246" s="91"/>
      <c r="D246" s="91"/>
      <c r="E246" s="100"/>
      <c r="F246" s="100"/>
      <c r="G246" s="92" t="s">
        <v>23</v>
      </c>
      <c r="H246" s="35">
        <v>1000</v>
      </c>
      <c r="I246" s="93" t="s">
        <v>12</v>
      </c>
    </row>
    <row r="247" spans="1:15" s="12" customFormat="1" ht="18.75" customHeight="1" x14ac:dyDescent="0.25">
      <c r="A247" s="240"/>
      <c r="B247" s="91" t="s">
        <v>59</v>
      </c>
      <c r="C247" s="91"/>
      <c r="D247" s="91"/>
      <c r="E247" s="100"/>
      <c r="F247" s="100"/>
      <c r="G247" s="92" t="s">
        <v>422</v>
      </c>
      <c r="H247" s="35">
        <f>C119*1000</f>
        <v>400</v>
      </c>
      <c r="I247" s="93" t="s">
        <v>12</v>
      </c>
    </row>
    <row r="248" spans="1:15" s="12" customFormat="1" ht="18.75" customHeight="1" x14ac:dyDescent="0.25">
      <c r="A248" s="240"/>
      <c r="B248" s="91" t="s">
        <v>218</v>
      </c>
      <c r="C248" s="91"/>
      <c r="D248" s="91"/>
      <c r="E248" s="100"/>
      <c r="F248" s="100"/>
      <c r="G248" s="92" t="s">
        <v>173</v>
      </c>
      <c r="H248" s="143">
        <f>H213*1000</f>
        <v>128.5</v>
      </c>
      <c r="I248" s="93" t="s">
        <v>12</v>
      </c>
    </row>
    <row r="249" spans="1:15" s="12" customFormat="1" ht="18.75" customHeight="1" x14ac:dyDescent="0.25">
      <c r="A249" s="240"/>
      <c r="B249" s="91" t="s">
        <v>219</v>
      </c>
      <c r="C249" s="91"/>
      <c r="D249" s="91"/>
      <c r="E249" s="100"/>
      <c r="F249" s="100"/>
      <c r="G249" s="92" t="s">
        <v>423</v>
      </c>
      <c r="H249" s="143">
        <f>H247-H248</f>
        <v>271.5</v>
      </c>
      <c r="I249" s="93" t="s">
        <v>12</v>
      </c>
    </row>
    <row r="250" spans="1:15" s="12" customFormat="1" ht="18.75" customHeight="1" x14ac:dyDescent="0.25">
      <c r="A250" s="240"/>
      <c r="B250" s="91" t="s">
        <v>220</v>
      </c>
      <c r="C250" s="91"/>
      <c r="D250" s="91"/>
      <c r="E250" s="100"/>
      <c r="F250" s="100"/>
      <c r="G250" s="220" t="s">
        <v>221</v>
      </c>
      <c r="H250" s="143">
        <f>'Input (1)'!H47</f>
        <v>30</v>
      </c>
      <c r="I250" s="93" t="s">
        <v>28</v>
      </c>
    </row>
    <row r="251" spans="1:15" s="12" customFormat="1" ht="18.75" customHeight="1" x14ac:dyDescent="0.25">
      <c r="A251" s="240"/>
      <c r="B251" s="91" t="s">
        <v>222</v>
      </c>
      <c r="C251" s="91"/>
      <c r="D251" s="91"/>
      <c r="E251" s="100"/>
      <c r="F251" s="100"/>
      <c r="G251" s="92" t="s">
        <v>223</v>
      </c>
      <c r="H251" s="143">
        <f>'Input (1)'!H48</f>
        <v>400</v>
      </c>
      <c r="I251" s="93" t="s">
        <v>28</v>
      </c>
    </row>
    <row r="252" spans="1:15" s="12" customFormat="1" ht="18.75" customHeight="1" x14ac:dyDescent="0.25">
      <c r="A252" s="240"/>
      <c r="B252" s="221" t="s">
        <v>32</v>
      </c>
      <c r="C252" s="91"/>
      <c r="D252" s="91"/>
      <c r="E252" s="100"/>
      <c r="F252" s="100"/>
      <c r="G252" s="92" t="s">
        <v>224</v>
      </c>
      <c r="H252" s="145">
        <v>200000</v>
      </c>
      <c r="I252" s="93" t="s">
        <v>28</v>
      </c>
    </row>
    <row r="253" spans="1:15" s="146" customFormat="1" ht="18.75" customHeight="1" x14ac:dyDescent="0.25">
      <c r="A253" s="155"/>
      <c r="B253" s="94" t="s">
        <v>225</v>
      </c>
      <c r="C253" s="94"/>
      <c r="D253" s="94"/>
      <c r="E253" s="94"/>
      <c r="F253" s="94"/>
      <c r="G253" s="98" t="s">
        <v>226</v>
      </c>
      <c r="H253" s="147" t="str">
        <f>IF(H250&gt;=17,IF(H250&lt;=28,0.85,"-"),"-")</f>
        <v>-</v>
      </c>
      <c r="I253" s="99"/>
      <c r="J253" s="16"/>
      <c r="K253" s="16"/>
      <c r="L253" s="16"/>
      <c r="M253" s="16"/>
      <c r="N253" s="16"/>
      <c r="O253" s="16"/>
    </row>
    <row r="254" spans="1:15" s="146" customFormat="1" ht="18.75" customHeight="1" x14ac:dyDescent="0.25">
      <c r="A254" s="155"/>
      <c r="B254" s="94" t="s">
        <v>227</v>
      </c>
      <c r="C254" s="94"/>
      <c r="D254" s="94"/>
      <c r="E254" s="94"/>
      <c r="F254" s="94"/>
      <c r="G254" s="98" t="s">
        <v>618</v>
      </c>
      <c r="H254" s="149">
        <f>IF(H250&gt;28,IF(H250&lt;55,0.85-0.05*(H250-28)/7,"-"),"-")</f>
        <v>0.83571428571428574</v>
      </c>
      <c r="I254" s="99"/>
      <c r="J254" s="16"/>
      <c r="K254" s="16"/>
      <c r="L254" s="16"/>
      <c r="M254" s="16"/>
      <c r="N254" s="16"/>
      <c r="O254" s="16"/>
    </row>
    <row r="255" spans="1:15" s="146" customFormat="1" ht="18.75" customHeight="1" x14ac:dyDescent="0.25">
      <c r="A255" s="155"/>
      <c r="B255" s="94" t="s">
        <v>228</v>
      </c>
      <c r="C255" s="94"/>
      <c r="D255" s="94"/>
      <c r="E255" s="94"/>
      <c r="F255" s="94"/>
      <c r="G255" s="98" t="s">
        <v>226</v>
      </c>
      <c r="H255" s="149" t="str">
        <f>IF(H250&gt;=55,0.65,"-")</f>
        <v>-</v>
      </c>
      <c r="I255" s="99"/>
      <c r="J255" s="16"/>
      <c r="K255" s="16"/>
      <c r="L255" s="16"/>
      <c r="M255" s="16"/>
      <c r="N255" s="16"/>
      <c r="O255" s="16"/>
    </row>
    <row r="256" spans="1:15" s="146" customFormat="1" ht="18.75" customHeight="1" x14ac:dyDescent="0.25">
      <c r="A256" s="155"/>
      <c r="B256" s="94" t="s">
        <v>229</v>
      </c>
      <c r="C256" s="94"/>
      <c r="D256" s="94"/>
      <c r="E256" s="94"/>
      <c r="F256" s="96" t="s">
        <v>138</v>
      </c>
      <c r="G256" s="98" t="s">
        <v>226</v>
      </c>
      <c r="H256" s="149">
        <f>MAX(H253:H255)</f>
        <v>0.83571428571428574</v>
      </c>
      <c r="I256" s="99"/>
      <c r="J256" s="16"/>
      <c r="K256" s="16"/>
      <c r="L256" s="16"/>
      <c r="M256" s="16"/>
      <c r="N256" s="16"/>
      <c r="O256" s="16"/>
    </row>
    <row r="257" spans="1:15" s="146" customFormat="1" ht="18.75" customHeight="1" x14ac:dyDescent="0.25">
      <c r="A257" s="155"/>
      <c r="B257" s="94" t="s">
        <v>230</v>
      </c>
      <c r="C257" s="94"/>
      <c r="D257" s="94"/>
      <c r="E257" s="94"/>
      <c r="F257" s="96"/>
      <c r="G257" s="98"/>
      <c r="H257" s="95"/>
      <c r="I257" s="99"/>
      <c r="J257" s="16"/>
      <c r="K257" s="16"/>
      <c r="L257" s="16"/>
      <c r="M257" s="16"/>
      <c r="N257" s="16"/>
      <c r="O257" s="16"/>
    </row>
    <row r="258" spans="1:15" s="146" customFormat="1" ht="18.75" customHeight="1" x14ac:dyDescent="0.25">
      <c r="A258" s="155"/>
      <c r="B258" s="94"/>
      <c r="C258" s="219"/>
      <c r="D258" s="94"/>
      <c r="E258" s="94"/>
      <c r="F258" s="94"/>
      <c r="G258" s="98" t="s">
        <v>231</v>
      </c>
      <c r="H258" s="151">
        <f>H256*0.85*H250/H251*(600/(600+H251))</f>
        <v>3.1966071428571427E-2</v>
      </c>
      <c r="I258" s="99"/>
      <c r="J258" s="16"/>
      <c r="K258" s="16"/>
      <c r="L258" s="16"/>
      <c r="M258" s="16"/>
      <c r="N258" s="16"/>
      <c r="O258" s="16"/>
    </row>
    <row r="259" spans="1:15" s="146" customFormat="1" ht="18.75" customHeight="1" x14ac:dyDescent="0.25">
      <c r="A259" s="155"/>
      <c r="B259" s="94" t="s">
        <v>232</v>
      </c>
      <c r="C259" s="94"/>
      <c r="D259" s="222"/>
      <c r="E259" s="95"/>
      <c r="F259" s="217"/>
      <c r="G259" s="98" t="s">
        <v>233</v>
      </c>
      <c r="H259" s="151">
        <f>0.75*H258</f>
        <v>2.397455357142857E-2</v>
      </c>
      <c r="I259" s="99"/>
      <c r="J259" s="16"/>
      <c r="K259" s="16"/>
      <c r="L259" s="16"/>
      <c r="M259" s="16"/>
      <c r="N259" s="16"/>
      <c r="O259" s="16"/>
    </row>
    <row r="260" spans="1:15" s="146" customFormat="1" ht="18.75" customHeight="1" x14ac:dyDescent="0.25">
      <c r="A260" s="155"/>
      <c r="B260" s="94" t="s">
        <v>234</v>
      </c>
      <c r="C260" s="94"/>
      <c r="D260" s="94"/>
      <c r="E260" s="217" t="s">
        <v>235</v>
      </c>
      <c r="F260" s="94"/>
      <c r="G260" s="98" t="s">
        <v>236</v>
      </c>
      <c r="H260" s="151">
        <f>H250^0.5/4/H251</f>
        <v>3.4232659844072883E-3</v>
      </c>
      <c r="I260" s="99"/>
      <c r="J260" s="247"/>
      <c r="K260" s="16"/>
      <c r="L260" s="16"/>
      <c r="M260" s="16"/>
      <c r="N260" s="16"/>
      <c r="O260" s="16"/>
    </row>
    <row r="261" spans="1:15" s="146" customFormat="1" ht="18.75" customHeight="1" x14ac:dyDescent="0.25">
      <c r="A261" s="155"/>
      <c r="B261" s="94"/>
      <c r="C261" s="94"/>
      <c r="D261" s="94"/>
      <c r="E261" s="94" t="s">
        <v>237</v>
      </c>
      <c r="F261" s="94"/>
      <c r="G261" s="98" t="s">
        <v>238</v>
      </c>
      <c r="H261" s="151">
        <f>1.4/H251</f>
        <v>3.4999999999999996E-3</v>
      </c>
      <c r="I261" s="99"/>
      <c r="J261" s="247"/>
      <c r="K261" s="16"/>
      <c r="L261" s="16"/>
      <c r="M261" s="16"/>
      <c r="N261" s="16"/>
      <c r="O261" s="16"/>
    </row>
    <row r="262" spans="1:15" s="146" customFormat="1" ht="18.75" customHeight="1" x14ac:dyDescent="0.25">
      <c r="A262" s="155"/>
      <c r="B262" s="94"/>
      <c r="C262" s="94"/>
      <c r="D262" s="94"/>
      <c r="E262" s="94"/>
      <c r="F262" s="94"/>
      <c r="G262" s="98"/>
      <c r="H262" s="152"/>
      <c r="I262" s="99"/>
      <c r="J262" s="16"/>
      <c r="K262" s="16"/>
      <c r="L262" s="16"/>
      <c r="M262" s="16"/>
      <c r="N262" s="16"/>
      <c r="O262" s="16"/>
    </row>
    <row r="263" spans="1:15" s="146" customFormat="1" ht="18.75" customHeight="1" x14ac:dyDescent="0.25">
      <c r="A263" s="155"/>
      <c r="B263" s="94" t="s">
        <v>239</v>
      </c>
      <c r="C263" s="94"/>
      <c r="D263" s="94"/>
      <c r="E263" s="94"/>
      <c r="F263" s="98"/>
      <c r="G263" s="98" t="s">
        <v>240</v>
      </c>
      <c r="H263" s="153">
        <v>0.85</v>
      </c>
      <c r="I263" s="99"/>
      <c r="J263" s="16"/>
      <c r="K263" s="16"/>
      <c r="L263" s="16"/>
      <c r="M263" s="16"/>
      <c r="N263" s="16"/>
      <c r="O263" s="16"/>
    </row>
    <row r="264" spans="1:15" s="146" customFormat="1" ht="18.75" customHeight="1" x14ac:dyDescent="0.25">
      <c r="A264" s="155"/>
      <c r="B264" s="94" t="s">
        <v>424</v>
      </c>
      <c r="C264" s="94"/>
      <c r="D264" s="94"/>
      <c r="E264" s="94"/>
      <c r="F264" s="98"/>
      <c r="G264" s="98" t="s">
        <v>244</v>
      </c>
      <c r="H264" s="149">
        <f>H245/H263</f>
        <v>81.810111829291145</v>
      </c>
      <c r="I264" s="99" t="s">
        <v>71</v>
      </c>
      <c r="J264" s="16"/>
      <c r="K264" s="16"/>
      <c r="L264" s="16"/>
      <c r="M264" s="16"/>
      <c r="N264" s="16"/>
      <c r="O264" s="16"/>
    </row>
    <row r="265" spans="1:15" s="146" customFormat="1" ht="18.75" customHeight="1" x14ac:dyDescent="0.25">
      <c r="A265" s="155"/>
      <c r="B265" s="94" t="s">
        <v>245</v>
      </c>
      <c r="C265" s="219"/>
      <c r="D265" s="94"/>
      <c r="E265" s="94"/>
      <c r="F265" s="94"/>
      <c r="G265" s="223" t="s">
        <v>246</v>
      </c>
      <c r="H265" s="149">
        <f>H264*10^6/(H246*H249^2)</f>
        <v>1.1098577486006891</v>
      </c>
      <c r="I265" s="148"/>
      <c r="J265" s="16"/>
      <c r="K265" s="16"/>
      <c r="L265" s="16"/>
      <c r="M265" s="16"/>
      <c r="N265" s="16"/>
      <c r="O265" s="16"/>
    </row>
    <row r="266" spans="1:15" s="146" customFormat="1" ht="18.75" customHeight="1" x14ac:dyDescent="0.25">
      <c r="A266" s="155"/>
      <c r="B266" s="94" t="s">
        <v>247</v>
      </c>
      <c r="C266" s="94"/>
      <c r="D266" s="94"/>
      <c r="E266" s="94"/>
      <c r="F266" s="94"/>
      <c r="G266" s="98" t="s">
        <v>248</v>
      </c>
      <c r="H266" s="149">
        <f>H251/(0.85*H250)</f>
        <v>15.686274509803921</v>
      </c>
      <c r="I266" s="150"/>
      <c r="J266" s="16"/>
      <c r="K266" s="16"/>
      <c r="L266" s="16"/>
      <c r="M266" s="16"/>
      <c r="N266" s="16"/>
      <c r="O266" s="16"/>
    </row>
    <row r="267" spans="1:15" s="146" customFormat="1" ht="18.75" customHeight="1" x14ac:dyDescent="0.25">
      <c r="A267" s="155"/>
      <c r="B267" s="94" t="s">
        <v>249</v>
      </c>
      <c r="C267" s="219"/>
      <c r="D267" s="94"/>
      <c r="E267" s="94"/>
      <c r="F267" s="94"/>
      <c r="G267" s="223" t="s">
        <v>250</v>
      </c>
      <c r="H267" s="151">
        <f>1/H266*(1-(1-2*H266*H265/H251)^0.5)</f>
        <v>2.8378062894338827E-3</v>
      </c>
      <c r="I267" s="148"/>
      <c r="J267" s="16"/>
      <c r="K267" s="16"/>
      <c r="L267" s="16"/>
      <c r="M267" s="16"/>
      <c r="N267" s="16"/>
      <c r="O267" s="16"/>
    </row>
    <row r="268" spans="1:15" s="146" customFormat="1" ht="18.75" customHeight="1" x14ac:dyDescent="0.25">
      <c r="A268" s="155"/>
      <c r="B268" s="94" t="s">
        <v>251</v>
      </c>
      <c r="C268" s="94"/>
      <c r="D268" s="94"/>
      <c r="E268" s="94"/>
      <c r="F268" s="94"/>
      <c r="G268" s="215"/>
      <c r="H268" s="224"/>
      <c r="I268" s="154"/>
      <c r="J268" s="16"/>
      <c r="K268" s="16"/>
      <c r="L268" s="16"/>
      <c r="M268" s="16"/>
      <c r="N268" s="16"/>
      <c r="O268" s="16"/>
    </row>
    <row r="269" spans="1:15" s="146" customFormat="1" ht="18.75" customHeight="1" x14ac:dyDescent="0.25">
      <c r="A269" s="155"/>
      <c r="B269" s="94"/>
      <c r="C269" s="94" t="s">
        <v>134</v>
      </c>
      <c r="D269" s="95" t="s">
        <v>252</v>
      </c>
      <c r="E269" s="95" t="s">
        <v>253</v>
      </c>
      <c r="F269" s="95" t="s">
        <v>254</v>
      </c>
      <c r="G269" s="98"/>
      <c r="H269" s="215"/>
      <c r="I269" s="169"/>
      <c r="J269" s="16"/>
      <c r="K269" s="16"/>
      <c r="L269" s="16"/>
      <c r="M269" s="16"/>
      <c r="N269" s="16"/>
      <c r="O269" s="16"/>
    </row>
    <row r="270" spans="1:15" s="146" customFormat="1" ht="18.75" customHeight="1" x14ac:dyDescent="0.25">
      <c r="A270" s="155"/>
      <c r="B270" s="94"/>
      <c r="C270" s="94"/>
      <c r="D270" s="215">
        <f>MIN(H260:H261)</f>
        <v>3.4232659844072883E-3</v>
      </c>
      <c r="E270" s="215">
        <f>H267</f>
        <v>2.8378062894338827E-3</v>
      </c>
      <c r="F270" s="215">
        <f>H259</f>
        <v>2.397455357142857E-2</v>
      </c>
      <c r="G270" s="96" t="s">
        <v>138</v>
      </c>
      <c r="H270" s="225" t="str">
        <f>IF(D270&lt;E270,(IF(E270&lt;F270,"[ OK ]","[ NOT OK ]")),"[ Pakai ρmin ]")</f>
        <v>[ Pakai ρmin ]</v>
      </c>
      <c r="I270" s="169"/>
      <c r="J270" s="16"/>
      <c r="K270" s="16"/>
      <c r="L270" s="16"/>
      <c r="M270" s="16"/>
      <c r="N270" s="16"/>
      <c r="O270" s="16"/>
    </row>
    <row r="271" spans="1:15" s="146" customFormat="1" ht="18.75" customHeight="1" x14ac:dyDescent="0.25">
      <c r="A271" s="155"/>
      <c r="B271" s="94"/>
      <c r="C271" s="94"/>
      <c r="D271" s="94"/>
      <c r="E271" s="94"/>
      <c r="F271" s="94"/>
      <c r="G271" s="98"/>
      <c r="H271" s="95"/>
      <c r="I271" s="154"/>
      <c r="J271" s="16"/>
      <c r="K271" s="16"/>
      <c r="L271" s="16"/>
      <c r="M271" s="16"/>
      <c r="N271" s="16"/>
      <c r="O271" s="16"/>
    </row>
    <row r="272" spans="1:15" s="146" customFormat="1" ht="18.75" customHeight="1" x14ac:dyDescent="0.25">
      <c r="A272" s="155"/>
      <c r="B272" s="94" t="s">
        <v>255</v>
      </c>
      <c r="C272" s="94"/>
      <c r="D272" s="94"/>
      <c r="E272" s="94"/>
      <c r="F272" s="94"/>
      <c r="G272" s="98" t="s">
        <v>256</v>
      </c>
      <c r="H272" s="151">
        <f>IF(D270&lt;E270,(IF(E270&lt;F270,E270,"[ NOT OK ]")),D270)</f>
        <v>3.4232659844072883E-3</v>
      </c>
      <c r="I272" s="150"/>
      <c r="J272" s="16"/>
      <c r="K272" s="16"/>
      <c r="L272" s="16"/>
      <c r="M272" s="16"/>
      <c r="N272" s="16"/>
      <c r="O272" s="16"/>
    </row>
    <row r="273" spans="1:15" s="146" customFormat="1" ht="18.75" customHeight="1" x14ac:dyDescent="0.25">
      <c r="A273" s="155"/>
      <c r="B273" s="94"/>
      <c r="C273" s="94"/>
      <c r="D273" s="215"/>
      <c r="E273" s="215"/>
      <c r="F273" s="215"/>
      <c r="G273" s="225"/>
      <c r="H273" s="224"/>
      <c r="I273" s="154"/>
      <c r="J273" s="16"/>
      <c r="K273" s="16"/>
      <c r="L273" s="16"/>
      <c r="M273" s="16"/>
      <c r="N273" s="16"/>
      <c r="O273" s="16"/>
    </row>
    <row r="274" spans="1:15" s="146" customFormat="1" ht="18.75" customHeight="1" x14ac:dyDescent="0.25">
      <c r="A274" s="155"/>
      <c r="B274" s="94" t="s">
        <v>257</v>
      </c>
      <c r="C274" s="94"/>
      <c r="D274" s="94"/>
      <c r="E274" s="94"/>
      <c r="F274" s="94"/>
      <c r="G274" s="98" t="s">
        <v>258</v>
      </c>
      <c r="H274" s="156">
        <f>H272*H246*H249</f>
        <v>929.41671476657882</v>
      </c>
      <c r="I274" s="99" t="s">
        <v>259</v>
      </c>
    </row>
    <row r="275" spans="1:15" s="146" customFormat="1" ht="18.75" customHeight="1" x14ac:dyDescent="0.25">
      <c r="A275" s="155"/>
      <c r="B275" s="94" t="s">
        <v>260</v>
      </c>
      <c r="C275" s="94"/>
      <c r="D275" s="94"/>
      <c r="E275" s="94"/>
      <c r="F275" s="94"/>
      <c r="G275" s="98" t="s">
        <v>261</v>
      </c>
      <c r="H275" s="157">
        <f>PI()/4*'Input (1)'!H50^2*H246/H274</f>
        <v>305.06094035298952</v>
      </c>
      <c r="I275" s="99" t="s">
        <v>12</v>
      </c>
      <c r="J275" s="245"/>
    </row>
    <row r="276" spans="1:15" s="146" customFormat="1" ht="18.75" customHeight="1" x14ac:dyDescent="0.25">
      <c r="A276" s="155"/>
      <c r="B276" s="94" t="s">
        <v>262</v>
      </c>
      <c r="C276" s="94"/>
      <c r="D276" s="94"/>
      <c r="E276" s="94"/>
      <c r="F276" s="94"/>
      <c r="G276" s="98" t="s">
        <v>441</v>
      </c>
      <c r="H276" s="157">
        <f>3*H247</f>
        <v>1200</v>
      </c>
      <c r="I276" s="99" t="s">
        <v>12</v>
      </c>
    </row>
    <row r="277" spans="1:15" s="146" customFormat="1" ht="18.75" customHeight="1" x14ac:dyDescent="0.25">
      <c r="A277" s="155"/>
      <c r="B277" s="94" t="s">
        <v>262</v>
      </c>
      <c r="C277" s="94"/>
      <c r="D277" s="94"/>
      <c r="E277" s="94"/>
      <c r="F277" s="94"/>
      <c r="G277" s="98" t="s">
        <v>263</v>
      </c>
      <c r="H277" s="157">
        <v>450</v>
      </c>
      <c r="I277" s="99" t="s">
        <v>12</v>
      </c>
    </row>
    <row r="278" spans="1:15" s="146" customFormat="1" ht="18.75" customHeight="1" x14ac:dyDescent="0.25">
      <c r="A278" s="155"/>
      <c r="B278" s="94" t="s">
        <v>264</v>
      </c>
      <c r="C278" s="94"/>
      <c r="D278" s="94"/>
      <c r="E278" s="94"/>
      <c r="F278" s="94"/>
      <c r="G278" s="98" t="s">
        <v>25</v>
      </c>
      <c r="H278" s="157">
        <f>MIN(H275:H277)</f>
        <v>305.06094035298952</v>
      </c>
      <c r="I278" s="99" t="s">
        <v>12</v>
      </c>
    </row>
    <row r="279" spans="1:15" s="146" customFormat="1" ht="18.75" customHeight="1" x14ac:dyDescent="0.25">
      <c r="A279" s="155"/>
      <c r="B279" s="94" t="s">
        <v>265</v>
      </c>
      <c r="C279" s="94"/>
      <c r="D279" s="94"/>
      <c r="E279" s="94"/>
      <c r="F279" s="94"/>
      <c r="G279" s="98" t="s">
        <v>25</v>
      </c>
      <c r="H279" s="158">
        <f>ROUNDDOWN(H278/25,0)*25</f>
        <v>300</v>
      </c>
      <c r="I279" s="99" t="s">
        <v>12</v>
      </c>
    </row>
    <row r="280" spans="1:15" s="146" customFormat="1" ht="18.75" customHeight="1" x14ac:dyDescent="0.25">
      <c r="A280" s="155"/>
      <c r="B280" s="94" t="s">
        <v>266</v>
      </c>
      <c r="C280" s="94"/>
      <c r="D280" s="94"/>
      <c r="E280" s="94"/>
      <c r="G280" s="427">
        <f>'Input (1)'!H50</f>
        <v>19</v>
      </c>
      <c r="H280" s="187">
        <f>H279</f>
        <v>300</v>
      </c>
      <c r="I280" s="99"/>
    </row>
    <row r="281" spans="1:15" s="146" customFormat="1" ht="18.75" customHeight="1" x14ac:dyDescent="0.25">
      <c r="A281" s="155"/>
      <c r="B281" s="94" t="s">
        <v>267</v>
      </c>
      <c r="C281" s="94"/>
      <c r="D281" s="94"/>
      <c r="E281" s="94"/>
      <c r="F281" s="94"/>
      <c r="G281" s="98" t="s">
        <v>268</v>
      </c>
      <c r="H281" s="159">
        <f>PI()/4*G280^2*H246/H280</f>
        <v>945.09578995492927</v>
      </c>
      <c r="I281" s="99" t="s">
        <v>259</v>
      </c>
    </row>
    <row r="282" spans="1:15" s="146" customFormat="1" ht="18.75" customHeight="1" x14ac:dyDescent="0.25">
      <c r="A282" s="155"/>
      <c r="B282" s="94"/>
      <c r="C282" s="94"/>
      <c r="D282" s="94"/>
      <c r="E282" s="94"/>
      <c r="F282" s="94"/>
      <c r="G282" s="94"/>
      <c r="H282" s="94"/>
      <c r="I282" s="99"/>
    </row>
    <row r="283" spans="1:15" s="146" customFormat="1" ht="18.75" customHeight="1" x14ac:dyDescent="0.25">
      <c r="A283" s="155"/>
      <c r="B283" s="94" t="s">
        <v>269</v>
      </c>
      <c r="C283" s="94"/>
      <c r="D283" s="94"/>
      <c r="E283" s="94"/>
      <c r="F283" s="94"/>
      <c r="G283" s="98" t="s">
        <v>270</v>
      </c>
      <c r="H283" s="149">
        <f>H281*H251/1000</f>
        <v>378.03831598197166</v>
      </c>
      <c r="I283" s="226" t="s">
        <v>69</v>
      </c>
      <c r="J283" s="16"/>
      <c r="K283" s="16"/>
      <c r="L283" s="16"/>
      <c r="M283" s="16"/>
      <c r="N283" s="16"/>
      <c r="O283" s="16"/>
    </row>
    <row r="284" spans="1:15" s="146" customFormat="1" ht="18.75" customHeight="1" x14ac:dyDescent="0.25">
      <c r="A284" s="155"/>
      <c r="B284" s="94" t="s">
        <v>271</v>
      </c>
      <c r="C284" s="94"/>
      <c r="D284" s="94"/>
      <c r="E284" s="94"/>
      <c r="F284" s="95"/>
      <c r="G284" s="98" t="s">
        <v>272</v>
      </c>
      <c r="H284" s="160">
        <f>0.85*H250*H256*H246/1000</f>
        <v>21.310714285714287</v>
      </c>
      <c r="I284" s="99" t="s">
        <v>69</v>
      </c>
      <c r="J284" s="16"/>
      <c r="K284" s="16"/>
      <c r="L284" s="16"/>
      <c r="M284" s="16"/>
      <c r="N284" s="16"/>
      <c r="O284" s="16"/>
    </row>
    <row r="285" spans="1:15" s="146" customFormat="1" ht="18.75" customHeight="1" x14ac:dyDescent="0.25">
      <c r="A285" s="155"/>
      <c r="B285" s="217"/>
      <c r="C285" s="219"/>
      <c r="D285" s="95"/>
      <c r="E285" s="94"/>
      <c r="F285" s="227"/>
      <c r="G285" s="94"/>
      <c r="H285" s="94"/>
      <c r="I285" s="169"/>
      <c r="J285" s="16"/>
      <c r="K285" s="16"/>
      <c r="L285" s="16"/>
      <c r="M285" s="16"/>
      <c r="N285" s="16"/>
      <c r="O285" s="16"/>
    </row>
    <row r="286" spans="1:15" s="146" customFormat="1" ht="18.75" customHeight="1" x14ac:dyDescent="0.25">
      <c r="A286" s="155"/>
      <c r="B286" s="217" t="s">
        <v>273</v>
      </c>
      <c r="C286" s="94"/>
      <c r="D286" s="94"/>
      <c r="E286" s="94"/>
      <c r="F286" s="94"/>
      <c r="G286" s="98" t="s">
        <v>274</v>
      </c>
      <c r="H286" s="217" t="s">
        <v>275</v>
      </c>
      <c r="I286" s="169"/>
      <c r="J286" s="161"/>
      <c r="K286" s="16"/>
      <c r="L286" s="16"/>
      <c r="M286" s="16"/>
      <c r="N286" s="16"/>
      <c r="O286" s="16"/>
    </row>
    <row r="287" spans="1:15" s="146" customFormat="1" ht="18.75" customHeight="1" x14ac:dyDescent="0.25">
      <c r="A287" s="155"/>
      <c r="B287" s="217"/>
      <c r="C287" s="94"/>
      <c r="D287" s="94"/>
      <c r="E287" s="94"/>
      <c r="F287" s="94"/>
      <c r="G287" s="228">
        <f>H284</f>
        <v>21.310714285714287</v>
      </c>
      <c r="H287" s="229">
        <f>H283</f>
        <v>378.03831598197166</v>
      </c>
      <c r="I287" s="169"/>
      <c r="J287" s="162"/>
      <c r="K287" s="16"/>
      <c r="L287" s="16"/>
      <c r="M287" s="16"/>
      <c r="N287" s="16"/>
      <c r="O287" s="16"/>
    </row>
    <row r="288" spans="1:15" s="146" customFormat="1" ht="18.75" customHeight="1" x14ac:dyDescent="0.25">
      <c r="A288" s="155"/>
      <c r="B288" s="94"/>
      <c r="C288" s="94"/>
      <c r="D288" s="94"/>
      <c r="E288" s="94"/>
      <c r="F288" s="94"/>
      <c r="G288" s="98"/>
      <c r="H288" s="229"/>
      <c r="I288" s="226"/>
      <c r="J288" s="16"/>
      <c r="K288" s="16"/>
      <c r="L288" s="16"/>
      <c r="M288" s="16"/>
      <c r="N288" s="16"/>
      <c r="O288" s="16"/>
    </row>
    <row r="289" spans="1:15" s="146" customFormat="1" ht="18.75" customHeight="1" x14ac:dyDescent="0.25">
      <c r="A289" s="155"/>
      <c r="B289" s="217" t="s">
        <v>276</v>
      </c>
      <c r="C289" s="94"/>
      <c r="D289" s="98"/>
      <c r="E289" s="94"/>
      <c r="F289" s="95"/>
      <c r="G289" s="98" t="s">
        <v>277</v>
      </c>
      <c r="H289" s="153">
        <f>H287/G287</f>
        <v>17.739354529068553</v>
      </c>
      <c r="I289" s="226" t="s">
        <v>12</v>
      </c>
      <c r="J289" s="16"/>
      <c r="K289" s="16"/>
      <c r="L289" s="16"/>
      <c r="M289" s="16"/>
      <c r="N289" s="16"/>
      <c r="O289" s="16"/>
    </row>
    <row r="290" spans="1:15" s="146" customFormat="1" ht="18.75" customHeight="1" x14ac:dyDescent="0.25">
      <c r="A290" s="155"/>
      <c r="B290" s="94" t="s">
        <v>271</v>
      </c>
      <c r="C290" s="98"/>
      <c r="D290" s="95"/>
      <c r="E290" s="94"/>
      <c r="F290" s="95"/>
      <c r="G290" s="98" t="s">
        <v>278</v>
      </c>
      <c r="H290" s="149">
        <f>H284*H289</f>
        <v>378.03831598197166</v>
      </c>
      <c r="I290" s="226" t="s">
        <v>69</v>
      </c>
      <c r="J290" s="16"/>
      <c r="K290" s="16"/>
      <c r="L290" s="16"/>
      <c r="M290" s="16"/>
      <c r="N290" s="16"/>
      <c r="O290" s="16"/>
    </row>
    <row r="291" spans="1:15" s="146" customFormat="1" ht="18.75" customHeight="1" x14ac:dyDescent="0.25">
      <c r="A291" s="155"/>
      <c r="B291" s="94" t="s">
        <v>269</v>
      </c>
      <c r="C291" s="98"/>
      <c r="D291" s="95"/>
      <c r="E291" s="94"/>
      <c r="F291" s="95"/>
      <c r="G291" s="98" t="s">
        <v>279</v>
      </c>
      <c r="H291" s="149">
        <f>H281*H251/1000</f>
        <v>378.03831598197166</v>
      </c>
      <c r="I291" s="226" t="s">
        <v>69</v>
      </c>
      <c r="J291" s="16"/>
      <c r="K291" s="16"/>
      <c r="L291" s="16"/>
      <c r="M291" s="16"/>
      <c r="N291" s="16"/>
      <c r="O291" s="16"/>
    </row>
    <row r="292" spans="1:15" s="146" customFormat="1" ht="18.75" customHeight="1" x14ac:dyDescent="0.25">
      <c r="A292" s="155"/>
      <c r="B292" s="217"/>
      <c r="C292" s="94"/>
      <c r="D292" s="94"/>
      <c r="E292" s="94"/>
      <c r="F292" s="94"/>
      <c r="G292" s="95"/>
      <c r="H292" s="224"/>
      <c r="I292" s="154"/>
      <c r="J292" s="16"/>
      <c r="K292" s="16"/>
      <c r="L292" s="16"/>
      <c r="M292" s="16"/>
      <c r="N292" s="16"/>
      <c r="O292" s="16"/>
    </row>
    <row r="293" spans="1:15" s="146" customFormat="1" ht="18.75" customHeight="1" x14ac:dyDescent="0.25">
      <c r="A293" s="155"/>
      <c r="B293" s="217" t="s">
        <v>280</v>
      </c>
      <c r="C293" s="94"/>
      <c r="D293" s="94"/>
      <c r="E293" s="94"/>
      <c r="F293" s="94"/>
      <c r="G293" s="95"/>
      <c r="H293" s="224"/>
      <c r="I293" s="154"/>
      <c r="J293" s="16"/>
      <c r="K293" s="16"/>
      <c r="L293" s="16"/>
      <c r="M293" s="16"/>
      <c r="N293" s="16"/>
      <c r="O293" s="16"/>
    </row>
    <row r="294" spans="1:15" s="146" customFormat="1" ht="18.75" customHeight="1" x14ac:dyDescent="0.25">
      <c r="A294" s="155"/>
      <c r="B294" s="94"/>
      <c r="C294" s="217" t="s">
        <v>281</v>
      </c>
      <c r="D294" s="94"/>
      <c r="E294" s="98"/>
      <c r="F294" s="95"/>
      <c r="G294" s="224"/>
      <c r="H294" s="94"/>
      <c r="I294" s="169"/>
      <c r="J294" s="16"/>
      <c r="K294" s="16"/>
      <c r="L294" s="16"/>
      <c r="M294" s="16"/>
      <c r="N294" s="16"/>
      <c r="O294" s="16"/>
    </row>
    <row r="295" spans="1:15" s="146" customFormat="1" ht="18.75" customHeight="1" x14ac:dyDescent="0.25">
      <c r="A295" s="155"/>
      <c r="B295" s="217"/>
      <c r="C295" s="94"/>
      <c r="D295" s="94" t="s">
        <v>582</v>
      </c>
      <c r="E295" s="94"/>
      <c r="F295" s="94" t="s">
        <v>283</v>
      </c>
      <c r="G295" s="98"/>
      <c r="H295" s="95"/>
      <c r="I295" s="169"/>
      <c r="J295" s="245"/>
      <c r="N295" s="16"/>
      <c r="O295" s="16"/>
    </row>
    <row r="296" spans="1:15" s="146" customFormat="1" ht="18.75" customHeight="1" x14ac:dyDescent="0.25">
      <c r="A296" s="155"/>
      <c r="B296" s="94"/>
      <c r="C296" s="94"/>
      <c r="D296" s="215">
        <f>(H249-H289)/H289*0.003</f>
        <v>4.2914861144768342E-2</v>
      </c>
      <c r="E296" s="95" t="str">
        <f>IF(D296&lt;F296,"&lt;","&gt;")</f>
        <v>&gt;</v>
      </c>
      <c r="F296" s="95">
        <f>H251/H252</f>
        <v>2E-3</v>
      </c>
      <c r="I296" s="169"/>
      <c r="J296" s="245"/>
      <c r="N296" s="16"/>
      <c r="O296" s="16"/>
    </row>
    <row r="297" spans="1:15" s="146" customFormat="1" ht="18.75" customHeight="1" x14ac:dyDescent="0.25">
      <c r="A297" s="155"/>
      <c r="B297" s="217" t="s">
        <v>284</v>
      </c>
      <c r="C297" s="94"/>
      <c r="D297" s="94"/>
      <c r="E297" s="94"/>
      <c r="F297" s="94"/>
      <c r="G297" s="96" t="s">
        <v>138</v>
      </c>
      <c r="H297" s="230" t="str">
        <f>IF(D296&lt;=F296,"Tekanan Terkontrol",IF(D296&lt;0.005,"Transisi",IF(D296&gt;0.005,"Tegangan Terkontrol","EROR")))</f>
        <v>Tegangan Terkontrol</v>
      </c>
      <c r="I297" s="99"/>
      <c r="J297" s="16"/>
      <c r="K297" s="16"/>
      <c r="L297" s="16"/>
      <c r="M297" s="16"/>
      <c r="N297" s="16"/>
      <c r="O297" s="16"/>
    </row>
    <row r="298" spans="1:15" s="146" customFormat="1" ht="18.75" customHeight="1" x14ac:dyDescent="0.25">
      <c r="A298" s="155"/>
      <c r="B298" s="217"/>
      <c r="C298" s="94"/>
      <c r="D298" s="94"/>
      <c r="E298" s="94"/>
      <c r="F298" s="94"/>
      <c r="G298" s="96"/>
      <c r="H298" s="230"/>
      <c r="I298" s="99"/>
      <c r="J298" s="16"/>
      <c r="K298" s="16"/>
      <c r="L298" s="16"/>
      <c r="M298" s="16"/>
      <c r="N298" s="16"/>
      <c r="O298" s="16"/>
    </row>
    <row r="299" spans="1:15" s="146" customFormat="1" ht="18.75" customHeight="1" x14ac:dyDescent="0.25">
      <c r="A299" s="155"/>
      <c r="B299" s="217" t="s">
        <v>285</v>
      </c>
      <c r="C299" s="94"/>
      <c r="D299" s="94"/>
      <c r="E299" s="94"/>
      <c r="F299" s="94"/>
      <c r="G299" s="98" t="str">
        <f>IF(D296&lt;=F296,"φ =",IF(D296&lt;0.005,"φ = 0,65 + 0,25 * (εs' - εs-yield)/(0,005 - εs-yield) =",IF(D296&gt;0.005,"φ =","EROR")))</f>
        <v>φ =</v>
      </c>
      <c r="H299" s="153">
        <f>IF(D296&lt;=F296,0.65,IF(D296&lt;0.005,0.65+0.25*(D296-F296)/(0.005-F296),IF(D296&gt;0.005,0.9,"EROR")))</f>
        <v>0.9</v>
      </c>
      <c r="I299" s="99"/>
      <c r="J299" s="16"/>
      <c r="K299" s="16"/>
      <c r="L299" s="16"/>
      <c r="M299" s="16"/>
      <c r="N299" s="16"/>
      <c r="O299" s="16"/>
    </row>
    <row r="300" spans="1:15" s="146" customFormat="1" ht="18.75" customHeight="1" x14ac:dyDescent="0.25">
      <c r="A300" s="155"/>
      <c r="B300" s="217" t="s">
        <v>286</v>
      </c>
      <c r="C300" s="94"/>
      <c r="D300" s="94"/>
      <c r="E300" s="94"/>
      <c r="F300" s="94"/>
      <c r="G300" s="98" t="s">
        <v>287</v>
      </c>
      <c r="H300" s="149">
        <f>H290*(H249-H256*H289/2)/1000</f>
        <v>99.835187723409518</v>
      </c>
      <c r="I300" s="99" t="s">
        <v>71</v>
      </c>
      <c r="J300" s="16"/>
      <c r="K300" s="16"/>
      <c r="L300" s="16"/>
      <c r="M300" s="16"/>
      <c r="N300" s="16"/>
      <c r="O300" s="16"/>
    </row>
    <row r="301" spans="1:15" s="146" customFormat="1" ht="18.75" customHeight="1" x14ac:dyDescent="0.25">
      <c r="A301" s="155"/>
      <c r="B301" s="217"/>
      <c r="C301" s="94"/>
      <c r="D301" s="94"/>
      <c r="E301" s="94"/>
      <c r="F301" s="94"/>
      <c r="G301" s="98"/>
      <c r="H301" s="229"/>
      <c r="I301" s="99"/>
      <c r="J301" s="16"/>
      <c r="K301" s="16"/>
      <c r="L301" s="16"/>
      <c r="M301" s="16"/>
      <c r="N301" s="16"/>
      <c r="O301" s="16"/>
    </row>
    <row r="302" spans="1:15" s="146" customFormat="1" ht="18.75" customHeight="1" x14ac:dyDescent="0.25">
      <c r="A302" s="155"/>
      <c r="B302" s="94"/>
      <c r="C302" s="94" t="s">
        <v>134</v>
      </c>
      <c r="D302" s="425" t="s">
        <v>288</v>
      </c>
      <c r="E302" s="95" t="s">
        <v>191</v>
      </c>
      <c r="F302" s="425" t="s">
        <v>289</v>
      </c>
      <c r="G302" s="94"/>
      <c r="H302" s="94"/>
      <c r="I302" s="169"/>
      <c r="J302" s="16"/>
      <c r="K302" s="16"/>
      <c r="L302" s="16"/>
      <c r="M302" s="16"/>
      <c r="N302" s="16"/>
      <c r="O302" s="16"/>
    </row>
    <row r="303" spans="1:15" s="146" customFormat="1" ht="18.75" customHeight="1" x14ac:dyDescent="0.25">
      <c r="A303" s="155"/>
      <c r="B303" s="94"/>
      <c r="C303" s="94"/>
      <c r="D303" s="149">
        <f>H299*H300</f>
        <v>89.851668951068575</v>
      </c>
      <c r="E303" s="95" t="str">
        <f>IF(D303&gt;F303,"&gt;","&lt;")</f>
        <v>&gt;</v>
      </c>
      <c r="F303" s="149">
        <f>H245</f>
        <v>69.538595054897471</v>
      </c>
      <c r="G303" s="96" t="s">
        <v>138</v>
      </c>
      <c r="H303" s="225" t="str">
        <f>IF(D303&gt;=F303,"AMAN  (OK)","BAHAYA  (NG)")</f>
        <v>AMAN  (OK)</v>
      </c>
      <c r="I303" s="169"/>
      <c r="J303" s="16"/>
      <c r="K303" s="16"/>
      <c r="L303" s="16"/>
      <c r="M303" s="16"/>
      <c r="N303" s="16"/>
      <c r="O303" s="16"/>
    </row>
    <row r="304" spans="1:15" s="12" customFormat="1" ht="18.75" customHeight="1" x14ac:dyDescent="0.25">
      <c r="A304" s="240"/>
      <c r="B304" s="104"/>
      <c r="C304" s="91"/>
      <c r="D304" s="91"/>
      <c r="E304" s="100"/>
      <c r="F304" s="100"/>
      <c r="G304" s="100"/>
      <c r="H304" s="91"/>
      <c r="I304" s="208"/>
    </row>
    <row r="305" spans="1:15" s="12" customFormat="1" ht="18.75" customHeight="1" x14ac:dyDescent="0.25">
      <c r="A305" s="239" t="s">
        <v>437</v>
      </c>
      <c r="B305" s="88" t="s">
        <v>645</v>
      </c>
      <c r="C305" s="89"/>
      <c r="D305" s="89"/>
      <c r="E305" s="89"/>
      <c r="F305" s="89"/>
      <c r="G305" s="89"/>
      <c r="H305" s="89"/>
      <c r="I305" s="90"/>
    </row>
    <row r="306" spans="1:15" s="12" customFormat="1" ht="18.75" customHeight="1" x14ac:dyDescent="0.25">
      <c r="A306" s="240"/>
      <c r="B306" s="91" t="s">
        <v>215</v>
      </c>
      <c r="C306" s="91"/>
      <c r="D306" s="91"/>
      <c r="E306" s="91"/>
      <c r="F306" s="91"/>
      <c r="G306" s="92" t="s">
        <v>425</v>
      </c>
      <c r="H306" s="142">
        <f>H140</f>
        <v>83.117395054897486</v>
      </c>
      <c r="I306" s="93" t="s">
        <v>216</v>
      </c>
    </row>
    <row r="307" spans="1:15" s="12" customFormat="1" ht="18.75" customHeight="1" x14ac:dyDescent="0.25">
      <c r="A307" s="240"/>
      <c r="B307" s="91" t="s">
        <v>217</v>
      </c>
      <c r="C307" s="91"/>
      <c r="D307" s="91"/>
      <c r="E307" s="100"/>
      <c r="F307" s="100"/>
      <c r="G307" s="92" t="s">
        <v>23</v>
      </c>
      <c r="H307" s="143">
        <v>1000</v>
      </c>
      <c r="I307" s="93" t="s">
        <v>12</v>
      </c>
    </row>
    <row r="308" spans="1:15" s="12" customFormat="1" ht="18.75" customHeight="1" x14ac:dyDescent="0.25">
      <c r="A308" s="240"/>
      <c r="B308" s="91" t="s">
        <v>59</v>
      </c>
      <c r="C308" s="91"/>
      <c r="D308" s="91"/>
      <c r="E308" s="100"/>
      <c r="F308" s="100"/>
      <c r="G308" s="92" t="s">
        <v>422</v>
      </c>
      <c r="H308" s="143">
        <f>H247</f>
        <v>400</v>
      </c>
      <c r="I308" s="93" t="s">
        <v>12</v>
      </c>
    </row>
    <row r="309" spans="1:15" s="12" customFormat="1" ht="18.75" customHeight="1" x14ac:dyDescent="0.25">
      <c r="A309" s="240"/>
      <c r="B309" s="91" t="s">
        <v>218</v>
      </c>
      <c r="C309" s="91"/>
      <c r="D309" s="91"/>
      <c r="E309" s="100"/>
      <c r="F309" s="100"/>
      <c r="G309" s="92" t="s">
        <v>173</v>
      </c>
      <c r="H309" s="143">
        <f>H248</f>
        <v>128.5</v>
      </c>
      <c r="I309" s="93" t="s">
        <v>12</v>
      </c>
    </row>
    <row r="310" spans="1:15" s="12" customFormat="1" ht="18.75" customHeight="1" x14ac:dyDescent="0.25">
      <c r="A310" s="240"/>
      <c r="B310" s="91" t="s">
        <v>219</v>
      </c>
      <c r="C310" s="91"/>
      <c r="D310" s="91"/>
      <c r="E310" s="100"/>
      <c r="F310" s="100"/>
      <c r="G310" s="92" t="s">
        <v>175</v>
      </c>
      <c r="H310" s="143">
        <f>H308-H309</f>
        <v>271.5</v>
      </c>
      <c r="I310" s="93" t="s">
        <v>12</v>
      </c>
    </row>
    <row r="311" spans="1:15" s="12" customFormat="1" ht="18.75" customHeight="1" x14ac:dyDescent="0.25">
      <c r="A311" s="240"/>
      <c r="B311" s="91" t="s">
        <v>220</v>
      </c>
      <c r="C311" s="91"/>
      <c r="D311" s="91"/>
      <c r="E311" s="100"/>
      <c r="F311" s="100"/>
      <c r="G311" s="220" t="s">
        <v>221</v>
      </c>
      <c r="H311" s="143">
        <f>H250</f>
        <v>30</v>
      </c>
      <c r="I311" s="93" t="s">
        <v>28</v>
      </c>
    </row>
    <row r="312" spans="1:15" s="12" customFormat="1" ht="18.75" customHeight="1" x14ac:dyDescent="0.25">
      <c r="A312" s="240"/>
      <c r="B312" s="91" t="s">
        <v>222</v>
      </c>
      <c r="C312" s="91"/>
      <c r="D312" s="91"/>
      <c r="E312" s="100"/>
      <c r="F312" s="100"/>
      <c r="G312" s="92" t="s">
        <v>223</v>
      </c>
      <c r="H312" s="143">
        <f t="shared" ref="H312:H313" si="3">H251</f>
        <v>400</v>
      </c>
      <c r="I312" s="93" t="s">
        <v>28</v>
      </c>
    </row>
    <row r="313" spans="1:15" s="12" customFormat="1" ht="18.75" customHeight="1" x14ac:dyDescent="0.25">
      <c r="A313" s="240"/>
      <c r="B313" s="221" t="s">
        <v>32</v>
      </c>
      <c r="C313" s="91"/>
      <c r="D313" s="91"/>
      <c r="E313" s="100"/>
      <c r="F313" s="100"/>
      <c r="G313" s="92" t="s">
        <v>224</v>
      </c>
      <c r="H313" s="143">
        <f t="shared" si="3"/>
        <v>200000</v>
      </c>
      <c r="I313" s="93" t="s">
        <v>28</v>
      </c>
    </row>
    <row r="314" spans="1:15" s="146" customFormat="1" ht="18.75" customHeight="1" x14ac:dyDescent="0.25">
      <c r="A314" s="155"/>
      <c r="B314" s="94" t="s">
        <v>225</v>
      </c>
      <c r="C314" s="94"/>
      <c r="D314" s="94"/>
      <c r="E314" s="94"/>
      <c r="F314" s="94"/>
      <c r="G314" s="98" t="s">
        <v>226</v>
      </c>
      <c r="H314" s="147" t="str">
        <f>IF(H311&gt;=17,IF(H311&lt;=28,0.85,"-"),"-")</f>
        <v>-</v>
      </c>
      <c r="I314" s="99"/>
      <c r="J314" s="16"/>
      <c r="K314" s="16"/>
      <c r="L314" s="16"/>
      <c r="M314" s="16"/>
      <c r="N314" s="16"/>
      <c r="O314" s="16"/>
    </row>
    <row r="315" spans="1:15" s="146" customFormat="1" ht="18.75" customHeight="1" x14ac:dyDescent="0.25">
      <c r="A315" s="155"/>
      <c r="B315" s="94" t="s">
        <v>227</v>
      </c>
      <c r="C315" s="94"/>
      <c r="D315" s="94"/>
      <c r="E315" s="94"/>
      <c r="F315" s="94"/>
      <c r="G315" s="98" t="s">
        <v>618</v>
      </c>
      <c r="H315" s="149">
        <f>IF(H311&gt;28,IF(H311&lt;55,0.85-0.05*(H311-28)/7,"-"),"-")</f>
        <v>0.83571428571428574</v>
      </c>
      <c r="I315" s="99"/>
      <c r="J315" s="16"/>
      <c r="K315" s="16"/>
      <c r="L315" s="16"/>
      <c r="M315" s="16"/>
      <c r="N315" s="16"/>
      <c r="O315" s="16"/>
    </row>
    <row r="316" spans="1:15" s="146" customFormat="1" ht="18.75" customHeight="1" x14ac:dyDescent="0.25">
      <c r="A316" s="155"/>
      <c r="B316" s="94" t="s">
        <v>228</v>
      </c>
      <c r="C316" s="94"/>
      <c r="D316" s="94"/>
      <c r="E316" s="94"/>
      <c r="F316" s="94"/>
      <c r="G316" s="98" t="s">
        <v>226</v>
      </c>
      <c r="H316" s="149" t="str">
        <f>IF(H311&gt;=55,0.65,"-")</f>
        <v>-</v>
      </c>
      <c r="I316" s="99"/>
      <c r="J316" s="16"/>
      <c r="K316" s="16"/>
      <c r="L316" s="16"/>
      <c r="M316" s="16"/>
      <c r="N316" s="16"/>
      <c r="O316" s="16"/>
    </row>
    <row r="317" spans="1:15" s="146" customFormat="1" ht="18.75" customHeight="1" x14ac:dyDescent="0.25">
      <c r="A317" s="155"/>
      <c r="B317" s="94" t="s">
        <v>229</v>
      </c>
      <c r="C317" s="94"/>
      <c r="D317" s="94"/>
      <c r="E317" s="94"/>
      <c r="F317" s="96" t="s">
        <v>138</v>
      </c>
      <c r="G317" s="98" t="s">
        <v>226</v>
      </c>
      <c r="H317" s="149">
        <f>MAX(H314:H316)</f>
        <v>0.83571428571428574</v>
      </c>
      <c r="I317" s="99"/>
      <c r="J317" s="16"/>
      <c r="K317" s="16"/>
      <c r="L317" s="16"/>
      <c r="M317" s="16"/>
      <c r="N317" s="16"/>
      <c r="O317" s="16"/>
    </row>
    <row r="318" spans="1:15" s="146" customFormat="1" ht="18.75" customHeight="1" x14ac:dyDescent="0.25">
      <c r="A318" s="155"/>
      <c r="B318" s="94" t="s">
        <v>230</v>
      </c>
      <c r="C318" s="94"/>
      <c r="D318" s="94"/>
      <c r="E318" s="94"/>
      <c r="F318" s="96"/>
      <c r="G318" s="98"/>
      <c r="H318" s="95"/>
      <c r="I318" s="99"/>
      <c r="J318" s="16"/>
      <c r="K318" s="16"/>
      <c r="L318" s="16"/>
      <c r="M318" s="16"/>
      <c r="N318" s="16"/>
      <c r="O318" s="16"/>
    </row>
    <row r="319" spans="1:15" s="146" customFormat="1" ht="18.75" customHeight="1" x14ac:dyDescent="0.25">
      <c r="A319" s="155"/>
      <c r="B319" s="94"/>
      <c r="C319" s="219"/>
      <c r="D319" s="94"/>
      <c r="E319" s="94"/>
      <c r="F319" s="94"/>
      <c r="G319" s="98" t="s">
        <v>231</v>
      </c>
      <c r="H319" s="151">
        <f>H317*0.85*H311/H312*(600/(600+H312))</f>
        <v>3.1966071428571427E-2</v>
      </c>
      <c r="I319" s="99"/>
      <c r="J319" s="16"/>
      <c r="K319" s="16"/>
      <c r="L319" s="16"/>
      <c r="M319" s="16"/>
      <c r="N319" s="16"/>
      <c r="O319" s="16"/>
    </row>
    <row r="320" spans="1:15" s="146" customFormat="1" ht="18.75" customHeight="1" x14ac:dyDescent="0.25">
      <c r="A320" s="155"/>
      <c r="B320" s="94" t="s">
        <v>232</v>
      </c>
      <c r="C320" s="94"/>
      <c r="D320" s="222"/>
      <c r="E320" s="95"/>
      <c r="F320" s="217"/>
      <c r="G320" s="98" t="s">
        <v>233</v>
      </c>
      <c r="H320" s="151">
        <f>0.75*H319</f>
        <v>2.397455357142857E-2</v>
      </c>
      <c r="I320" s="99"/>
      <c r="J320" s="16"/>
      <c r="K320" s="16"/>
      <c r="L320" s="16"/>
      <c r="M320" s="16"/>
      <c r="N320" s="16"/>
      <c r="O320" s="16"/>
    </row>
    <row r="321" spans="1:15" s="146" customFormat="1" ht="18.75" customHeight="1" x14ac:dyDescent="0.25">
      <c r="A321" s="155"/>
      <c r="B321" s="94" t="s">
        <v>234</v>
      </c>
      <c r="C321" s="94"/>
      <c r="D321" s="94"/>
      <c r="E321" s="217" t="s">
        <v>235</v>
      </c>
      <c r="F321" s="94"/>
      <c r="G321" s="98" t="s">
        <v>236</v>
      </c>
      <c r="H321" s="151">
        <f>H311^0.5/4/H312</f>
        <v>3.4232659844072883E-3</v>
      </c>
      <c r="I321" s="99"/>
      <c r="J321" s="16"/>
      <c r="K321" s="16"/>
      <c r="L321" s="16"/>
      <c r="M321" s="16"/>
      <c r="N321" s="16"/>
      <c r="O321" s="16"/>
    </row>
    <row r="322" spans="1:15" s="146" customFormat="1" ht="18.75" customHeight="1" x14ac:dyDescent="0.25">
      <c r="A322" s="155"/>
      <c r="B322" s="94"/>
      <c r="C322" s="94"/>
      <c r="D322" s="94"/>
      <c r="E322" s="94" t="s">
        <v>237</v>
      </c>
      <c r="F322" s="94"/>
      <c r="G322" s="98" t="s">
        <v>238</v>
      </c>
      <c r="H322" s="151">
        <f>1.4/H312</f>
        <v>3.4999999999999996E-3</v>
      </c>
      <c r="I322" s="99"/>
      <c r="J322" s="16"/>
      <c r="K322" s="16"/>
      <c r="L322" s="16"/>
      <c r="M322" s="16"/>
      <c r="N322" s="16"/>
      <c r="O322" s="16"/>
    </row>
    <row r="323" spans="1:15" s="146" customFormat="1" ht="18.75" customHeight="1" x14ac:dyDescent="0.25">
      <c r="A323" s="155"/>
      <c r="B323" s="94"/>
      <c r="C323" s="94"/>
      <c r="D323" s="94"/>
      <c r="E323" s="94"/>
      <c r="F323" s="94"/>
      <c r="G323" s="98"/>
      <c r="H323" s="152"/>
      <c r="I323" s="99"/>
      <c r="J323" s="16"/>
      <c r="K323" s="16"/>
      <c r="L323" s="16"/>
      <c r="M323" s="16"/>
      <c r="N323" s="16"/>
      <c r="O323" s="16"/>
    </row>
    <row r="324" spans="1:15" s="146" customFormat="1" ht="18.75" customHeight="1" x14ac:dyDescent="0.25">
      <c r="A324" s="155"/>
      <c r="B324" s="94" t="s">
        <v>239</v>
      </c>
      <c r="C324" s="94"/>
      <c r="D324" s="94"/>
      <c r="E324" s="94"/>
      <c r="F324" s="98"/>
      <c r="G324" s="98" t="s">
        <v>240</v>
      </c>
      <c r="H324" s="153">
        <v>0.85</v>
      </c>
      <c r="I324" s="99"/>
      <c r="J324" s="16"/>
      <c r="K324" s="16"/>
      <c r="L324" s="16"/>
      <c r="M324" s="16"/>
      <c r="N324" s="16"/>
      <c r="O324" s="16"/>
    </row>
    <row r="325" spans="1:15" s="146" customFormat="1" ht="18.75" customHeight="1" x14ac:dyDescent="0.25">
      <c r="A325" s="155"/>
      <c r="B325" s="94" t="s">
        <v>241</v>
      </c>
      <c r="C325" s="94"/>
      <c r="D325" s="94"/>
      <c r="E325" s="94"/>
      <c r="F325" s="98"/>
      <c r="G325" s="98" t="s">
        <v>242</v>
      </c>
      <c r="H325" s="149">
        <f>H306</f>
        <v>83.117395054897486</v>
      </c>
      <c r="I325" s="99" t="s">
        <v>71</v>
      </c>
      <c r="J325" s="16"/>
      <c r="K325" s="16"/>
      <c r="L325" s="16"/>
      <c r="M325" s="16"/>
      <c r="N325" s="16"/>
      <c r="O325" s="16"/>
    </row>
    <row r="326" spans="1:15" s="146" customFormat="1" ht="18.75" customHeight="1" x14ac:dyDescent="0.25">
      <c r="A326" s="155"/>
      <c r="B326" s="94" t="s">
        <v>243</v>
      </c>
      <c r="C326" s="94"/>
      <c r="D326" s="94"/>
      <c r="E326" s="94"/>
      <c r="F326" s="98"/>
      <c r="G326" s="98" t="s">
        <v>244</v>
      </c>
      <c r="H326" s="149">
        <f>H325/H324</f>
        <v>97.785170652820568</v>
      </c>
      <c r="I326" s="99" t="s">
        <v>71</v>
      </c>
      <c r="J326" s="16"/>
      <c r="K326" s="16"/>
      <c r="L326" s="16"/>
      <c r="M326" s="16"/>
      <c r="N326" s="16"/>
      <c r="O326" s="16"/>
    </row>
    <row r="327" spans="1:15" s="146" customFormat="1" ht="18.75" customHeight="1" x14ac:dyDescent="0.25">
      <c r="A327" s="155"/>
      <c r="B327" s="94" t="s">
        <v>245</v>
      </c>
      <c r="C327" s="219"/>
      <c r="D327" s="94"/>
      <c r="E327" s="94"/>
      <c r="F327" s="94"/>
      <c r="G327" s="223" t="s">
        <v>246</v>
      </c>
      <c r="H327" s="149">
        <f>H326*10^6/(H307*H310^2)</f>
        <v>1.3265796479258274</v>
      </c>
      <c r="I327" s="148"/>
      <c r="J327" s="16"/>
      <c r="K327" s="16"/>
      <c r="L327" s="16"/>
      <c r="M327" s="16"/>
      <c r="N327" s="16"/>
      <c r="O327" s="16"/>
    </row>
    <row r="328" spans="1:15" s="146" customFormat="1" ht="18.75" customHeight="1" x14ac:dyDescent="0.25">
      <c r="A328" s="155"/>
      <c r="B328" s="94" t="s">
        <v>247</v>
      </c>
      <c r="C328" s="94"/>
      <c r="D328" s="94"/>
      <c r="E328" s="94"/>
      <c r="F328" s="94"/>
      <c r="G328" s="98" t="s">
        <v>248</v>
      </c>
      <c r="H328" s="149">
        <f>H312/(0.85*H311)</f>
        <v>15.686274509803921</v>
      </c>
      <c r="I328" s="150"/>
      <c r="J328" s="16"/>
      <c r="K328" s="16"/>
      <c r="L328" s="16"/>
      <c r="M328" s="16"/>
      <c r="N328" s="16"/>
      <c r="O328" s="16"/>
    </row>
    <row r="329" spans="1:15" s="146" customFormat="1" ht="18.75" customHeight="1" x14ac:dyDescent="0.25">
      <c r="A329" s="155"/>
      <c r="B329" s="94" t="s">
        <v>249</v>
      </c>
      <c r="C329" s="219"/>
      <c r="D329" s="94"/>
      <c r="E329" s="94"/>
      <c r="F329" s="94"/>
      <c r="G329" s="223" t="s">
        <v>250</v>
      </c>
      <c r="H329" s="151">
        <f>1/H328*(1-(1-2*H328*H327/H312)^0.5)</f>
        <v>3.4075171440249522E-3</v>
      </c>
      <c r="I329" s="148"/>
      <c r="J329" s="16"/>
      <c r="K329" s="16"/>
      <c r="L329" s="16"/>
      <c r="M329" s="16"/>
      <c r="N329" s="16"/>
      <c r="O329" s="16"/>
    </row>
    <row r="330" spans="1:15" s="146" customFormat="1" ht="18.75" customHeight="1" x14ac:dyDescent="0.25">
      <c r="A330" s="155"/>
      <c r="B330" s="94" t="s">
        <v>251</v>
      </c>
      <c r="C330" s="94"/>
      <c r="D330" s="94"/>
      <c r="E330" s="94"/>
      <c r="F330" s="94"/>
      <c r="G330" s="215"/>
      <c r="H330" s="224"/>
      <c r="I330" s="154"/>
      <c r="J330" s="16"/>
      <c r="K330" s="16"/>
      <c r="L330" s="16"/>
      <c r="M330" s="16"/>
      <c r="N330" s="16"/>
      <c r="O330" s="16"/>
    </row>
    <row r="331" spans="1:15" s="146" customFormat="1" ht="18.75" customHeight="1" x14ac:dyDescent="0.25">
      <c r="A331" s="155"/>
      <c r="B331" s="94"/>
      <c r="C331" s="94" t="s">
        <v>134</v>
      </c>
      <c r="D331" s="95" t="s">
        <v>252</v>
      </c>
      <c r="E331" s="95" t="s">
        <v>253</v>
      </c>
      <c r="F331" s="95" t="s">
        <v>254</v>
      </c>
      <c r="G331" s="98"/>
      <c r="H331" s="215"/>
      <c r="I331" s="169"/>
      <c r="J331" s="16"/>
      <c r="K331" s="16"/>
      <c r="L331" s="16"/>
      <c r="M331" s="16"/>
      <c r="N331" s="16"/>
      <c r="O331" s="16"/>
    </row>
    <row r="332" spans="1:15" s="146" customFormat="1" ht="18.75" customHeight="1" x14ac:dyDescent="0.25">
      <c r="A332" s="155"/>
      <c r="B332" s="94"/>
      <c r="C332" s="94"/>
      <c r="D332" s="215">
        <f>MIN(H321:H322)</f>
        <v>3.4232659844072883E-3</v>
      </c>
      <c r="E332" s="215">
        <f>H329</f>
        <v>3.4075171440249522E-3</v>
      </c>
      <c r="F332" s="215">
        <f>H320</f>
        <v>2.397455357142857E-2</v>
      </c>
      <c r="G332" s="96" t="s">
        <v>138</v>
      </c>
      <c r="H332" s="225" t="str">
        <f>IF(D332&lt;E332,(IF(E332&lt;F332,"[ OK ]","[ NOT OK ]")),"[ Pakai ρmin ]")</f>
        <v>[ Pakai ρmin ]</v>
      </c>
      <c r="I332" s="169"/>
      <c r="J332" s="16"/>
      <c r="K332" s="16"/>
      <c r="L332" s="16"/>
      <c r="M332" s="16"/>
      <c r="N332" s="16"/>
      <c r="O332" s="16"/>
    </row>
    <row r="333" spans="1:15" s="146" customFormat="1" ht="18.75" customHeight="1" x14ac:dyDescent="0.25">
      <c r="A333" s="155"/>
      <c r="B333" s="94"/>
      <c r="C333" s="94"/>
      <c r="D333" s="94"/>
      <c r="E333" s="94"/>
      <c r="F333" s="94"/>
      <c r="G333" s="98"/>
      <c r="H333" s="95"/>
      <c r="I333" s="154"/>
      <c r="J333" s="16"/>
      <c r="K333" s="16"/>
      <c r="L333" s="16"/>
      <c r="M333" s="16"/>
      <c r="N333" s="16"/>
      <c r="O333" s="16"/>
    </row>
    <row r="334" spans="1:15" s="146" customFormat="1" ht="18.75" customHeight="1" x14ac:dyDescent="0.25">
      <c r="A334" s="155"/>
      <c r="B334" s="94" t="s">
        <v>255</v>
      </c>
      <c r="C334" s="94"/>
      <c r="D334" s="94"/>
      <c r="E334" s="94"/>
      <c r="F334" s="94"/>
      <c r="G334" s="98" t="s">
        <v>256</v>
      </c>
      <c r="H334" s="151">
        <f>IF(D332&lt;E332,(IF(E332&lt;F332,E332,"[ NOT OK ]")),D332)</f>
        <v>3.4232659844072883E-3</v>
      </c>
      <c r="I334" s="150"/>
      <c r="J334" s="16"/>
      <c r="K334" s="16"/>
      <c r="L334" s="16"/>
      <c r="M334" s="16"/>
      <c r="N334" s="16"/>
      <c r="O334" s="16"/>
    </row>
    <row r="335" spans="1:15" s="146" customFormat="1" ht="18.75" customHeight="1" x14ac:dyDescent="0.25">
      <c r="A335" s="155"/>
      <c r="B335" s="94"/>
      <c r="C335" s="94"/>
      <c r="D335" s="215"/>
      <c r="E335" s="215"/>
      <c r="F335" s="215"/>
      <c r="G335" s="225"/>
      <c r="H335" s="224"/>
      <c r="I335" s="154"/>
      <c r="J335" s="16"/>
      <c r="K335" s="16"/>
      <c r="L335" s="16"/>
      <c r="M335" s="16"/>
      <c r="N335" s="16"/>
      <c r="O335" s="16"/>
    </row>
    <row r="336" spans="1:15" s="146" customFormat="1" ht="18.75" customHeight="1" x14ac:dyDescent="0.25">
      <c r="A336" s="155"/>
      <c r="B336" s="94" t="s">
        <v>257</v>
      </c>
      <c r="C336" s="94"/>
      <c r="D336" s="94"/>
      <c r="E336" s="94"/>
      <c r="F336" s="94"/>
      <c r="G336" s="98" t="s">
        <v>258</v>
      </c>
      <c r="H336" s="186">
        <f>H334*H307*H310</f>
        <v>929.41671476657882</v>
      </c>
      <c r="I336" s="99" t="s">
        <v>259</v>
      </c>
    </row>
    <row r="337" spans="1:15" s="146" customFormat="1" ht="18.75" customHeight="1" x14ac:dyDescent="0.25">
      <c r="A337" s="155"/>
      <c r="B337" s="94" t="s">
        <v>260</v>
      </c>
      <c r="C337" s="94"/>
      <c r="D337" s="94"/>
      <c r="E337" s="94"/>
      <c r="F337" s="94"/>
      <c r="G337" s="98" t="s">
        <v>261</v>
      </c>
      <c r="H337" s="153">
        <f>PI()/4*'Input (1)'!H50^2*H307/H336</f>
        <v>305.06094035298952</v>
      </c>
      <c r="I337" s="99" t="s">
        <v>12</v>
      </c>
      <c r="J337" s="245"/>
    </row>
    <row r="338" spans="1:15" s="146" customFormat="1" ht="18.75" customHeight="1" x14ac:dyDescent="0.25">
      <c r="A338" s="155"/>
      <c r="B338" s="94" t="s">
        <v>262</v>
      </c>
      <c r="C338" s="94"/>
      <c r="D338" s="94"/>
      <c r="E338" s="94"/>
      <c r="F338" s="94"/>
      <c r="G338" s="98" t="s">
        <v>441</v>
      </c>
      <c r="H338" s="157">
        <f>3*H308</f>
        <v>1200</v>
      </c>
      <c r="I338" s="99" t="s">
        <v>12</v>
      </c>
    </row>
    <row r="339" spans="1:15" s="146" customFormat="1" ht="18.75" customHeight="1" x14ac:dyDescent="0.25">
      <c r="A339" s="155"/>
      <c r="B339" s="94" t="s">
        <v>262</v>
      </c>
      <c r="C339" s="94"/>
      <c r="D339" s="94"/>
      <c r="E339" s="94"/>
      <c r="F339" s="94"/>
      <c r="G339" s="98" t="s">
        <v>263</v>
      </c>
      <c r="H339" s="157">
        <v>450</v>
      </c>
      <c r="I339" s="99" t="s">
        <v>12</v>
      </c>
    </row>
    <row r="340" spans="1:15" s="146" customFormat="1" ht="18.75" customHeight="1" x14ac:dyDescent="0.25">
      <c r="A340" s="155"/>
      <c r="B340" s="94" t="s">
        <v>264</v>
      </c>
      <c r="C340" s="94"/>
      <c r="D340" s="94"/>
      <c r="E340" s="94"/>
      <c r="F340" s="94"/>
      <c r="G340" s="98" t="s">
        <v>25</v>
      </c>
      <c r="H340" s="157">
        <f>MIN(H337:H339)</f>
        <v>305.06094035298952</v>
      </c>
      <c r="I340" s="99" t="s">
        <v>12</v>
      </c>
    </row>
    <row r="341" spans="1:15" s="146" customFormat="1" ht="18.75" customHeight="1" x14ac:dyDescent="0.25">
      <c r="A341" s="155"/>
      <c r="B341" s="94" t="s">
        <v>265</v>
      </c>
      <c r="C341" s="94"/>
      <c r="D341" s="94"/>
      <c r="E341" s="94"/>
      <c r="F341" s="94"/>
      <c r="G341" s="98" t="s">
        <v>25</v>
      </c>
      <c r="H341" s="158">
        <f>ROUNDDOWN(H340/25,0)*25</f>
        <v>300</v>
      </c>
      <c r="I341" s="99" t="s">
        <v>12</v>
      </c>
    </row>
    <row r="342" spans="1:15" s="146" customFormat="1" ht="18.75" customHeight="1" x14ac:dyDescent="0.25">
      <c r="A342" s="155"/>
      <c r="B342" s="94" t="s">
        <v>266</v>
      </c>
      <c r="C342" s="94"/>
      <c r="D342" s="94"/>
      <c r="E342" s="94"/>
      <c r="G342" s="427">
        <f>G280</f>
        <v>19</v>
      </c>
      <c r="H342" s="187">
        <f>H341</f>
        <v>300</v>
      </c>
      <c r="I342" s="99"/>
    </row>
    <row r="343" spans="1:15" s="146" customFormat="1" ht="18.75" customHeight="1" x14ac:dyDescent="0.25">
      <c r="A343" s="155"/>
      <c r="B343" s="94" t="s">
        <v>267</v>
      </c>
      <c r="C343" s="94"/>
      <c r="D343" s="94"/>
      <c r="E343" s="94"/>
      <c r="F343" s="94"/>
      <c r="G343" s="98" t="s">
        <v>268</v>
      </c>
      <c r="H343" s="159">
        <f>PI()/4*G342^2*H307/H342</f>
        <v>945.09578995492927</v>
      </c>
      <c r="I343" s="99" t="s">
        <v>259</v>
      </c>
    </row>
    <row r="344" spans="1:15" s="146" customFormat="1" ht="18.75" customHeight="1" x14ac:dyDescent="0.25">
      <c r="A344" s="155"/>
      <c r="B344" s="94"/>
      <c r="C344" s="94"/>
      <c r="D344" s="94"/>
      <c r="E344" s="94"/>
      <c r="F344" s="94"/>
      <c r="G344" s="94"/>
      <c r="H344" s="94"/>
      <c r="I344" s="99"/>
    </row>
    <row r="345" spans="1:15" s="146" customFormat="1" ht="18.75" customHeight="1" x14ac:dyDescent="0.25">
      <c r="A345" s="155"/>
      <c r="B345" s="94" t="s">
        <v>269</v>
      </c>
      <c r="C345" s="94"/>
      <c r="D345" s="94"/>
      <c r="E345" s="94"/>
      <c r="F345" s="94"/>
      <c r="G345" s="98" t="s">
        <v>270</v>
      </c>
      <c r="H345" s="149">
        <f>H343*H312/1000</f>
        <v>378.03831598197166</v>
      </c>
      <c r="I345" s="226" t="s">
        <v>69</v>
      </c>
      <c r="J345" s="16"/>
      <c r="K345" s="16"/>
      <c r="L345" s="16"/>
      <c r="M345" s="16"/>
      <c r="N345" s="16"/>
      <c r="O345" s="16"/>
    </row>
    <row r="346" spans="1:15" s="146" customFormat="1" ht="18.75" customHeight="1" x14ac:dyDescent="0.25">
      <c r="A346" s="155"/>
      <c r="B346" s="94" t="s">
        <v>271</v>
      </c>
      <c r="C346" s="94"/>
      <c r="D346" s="94"/>
      <c r="E346" s="94"/>
      <c r="F346" s="95"/>
      <c r="G346" s="98" t="s">
        <v>272</v>
      </c>
      <c r="H346" s="160">
        <f>0.85*H311*H317*H307/1000</f>
        <v>21.310714285714287</v>
      </c>
      <c r="I346" s="99" t="s">
        <v>69</v>
      </c>
      <c r="J346" s="16"/>
      <c r="K346" s="16"/>
      <c r="L346" s="16"/>
      <c r="M346" s="16"/>
      <c r="N346" s="16"/>
      <c r="O346" s="16"/>
    </row>
    <row r="347" spans="1:15" s="146" customFormat="1" ht="18.75" customHeight="1" x14ac:dyDescent="0.25">
      <c r="A347" s="155"/>
      <c r="B347" s="217"/>
      <c r="C347" s="219"/>
      <c r="D347" s="95"/>
      <c r="E347" s="94"/>
      <c r="F347" s="227"/>
      <c r="G347" s="94"/>
      <c r="H347" s="94"/>
      <c r="I347" s="169"/>
      <c r="J347" s="16"/>
      <c r="K347" s="16"/>
      <c r="L347" s="16"/>
      <c r="M347" s="16"/>
      <c r="N347" s="16"/>
      <c r="O347" s="16"/>
    </row>
    <row r="348" spans="1:15" s="146" customFormat="1" ht="18.75" customHeight="1" x14ac:dyDescent="0.25">
      <c r="A348" s="155"/>
      <c r="B348" s="217" t="s">
        <v>273</v>
      </c>
      <c r="C348" s="94"/>
      <c r="D348" s="94"/>
      <c r="E348" s="94"/>
      <c r="F348" s="94"/>
      <c r="G348" s="98" t="s">
        <v>274</v>
      </c>
      <c r="H348" s="217" t="s">
        <v>275</v>
      </c>
      <c r="I348" s="169"/>
      <c r="J348" s="161"/>
      <c r="K348" s="16"/>
      <c r="L348" s="16"/>
      <c r="M348" s="16"/>
      <c r="N348" s="16"/>
      <c r="O348" s="16"/>
    </row>
    <row r="349" spans="1:15" s="146" customFormat="1" ht="18.75" customHeight="1" x14ac:dyDescent="0.25">
      <c r="A349" s="155"/>
      <c r="B349" s="217"/>
      <c r="C349" s="94"/>
      <c r="D349" s="94"/>
      <c r="E349" s="94"/>
      <c r="F349" s="94"/>
      <c r="G349" s="228">
        <f>H346</f>
        <v>21.310714285714287</v>
      </c>
      <c r="H349" s="229">
        <f>H345</f>
        <v>378.03831598197166</v>
      </c>
      <c r="I349" s="169"/>
      <c r="J349" s="162"/>
      <c r="K349" s="16"/>
      <c r="L349" s="16"/>
      <c r="M349" s="16"/>
      <c r="N349" s="16"/>
      <c r="O349" s="16"/>
    </row>
    <row r="350" spans="1:15" s="146" customFormat="1" ht="18.75" customHeight="1" x14ac:dyDescent="0.25">
      <c r="A350" s="155"/>
      <c r="B350" s="94"/>
      <c r="C350" s="94"/>
      <c r="D350" s="94"/>
      <c r="E350" s="94"/>
      <c r="F350" s="94"/>
      <c r="G350" s="98"/>
      <c r="H350" s="229"/>
      <c r="I350" s="226"/>
      <c r="J350" s="16"/>
      <c r="K350" s="16"/>
      <c r="L350" s="16"/>
      <c r="M350" s="16"/>
      <c r="N350" s="16"/>
      <c r="O350" s="16"/>
    </row>
    <row r="351" spans="1:15" s="146" customFormat="1" ht="18.75" customHeight="1" x14ac:dyDescent="0.25">
      <c r="A351" s="155"/>
      <c r="B351" s="217" t="s">
        <v>276</v>
      </c>
      <c r="C351" s="94"/>
      <c r="D351" s="98"/>
      <c r="E351" s="94"/>
      <c r="F351" s="95"/>
      <c r="G351" s="98" t="s">
        <v>277</v>
      </c>
      <c r="H351" s="153">
        <f>H349/G349</f>
        <v>17.739354529068553</v>
      </c>
      <c r="I351" s="226" t="s">
        <v>12</v>
      </c>
      <c r="J351" s="16"/>
      <c r="K351" s="16"/>
      <c r="L351" s="16"/>
      <c r="M351" s="16"/>
      <c r="N351" s="16"/>
      <c r="O351" s="16"/>
    </row>
    <row r="352" spans="1:15" s="146" customFormat="1" ht="18.75" customHeight="1" x14ac:dyDescent="0.25">
      <c r="A352" s="155"/>
      <c r="B352" s="94" t="s">
        <v>271</v>
      </c>
      <c r="C352" s="98"/>
      <c r="D352" s="95"/>
      <c r="E352" s="94"/>
      <c r="F352" s="95"/>
      <c r="G352" s="98" t="s">
        <v>278</v>
      </c>
      <c r="H352" s="149">
        <f>H346*H351</f>
        <v>378.03831598197166</v>
      </c>
      <c r="I352" s="226" t="s">
        <v>69</v>
      </c>
      <c r="J352" s="16"/>
      <c r="K352" s="16"/>
      <c r="L352" s="16"/>
      <c r="M352" s="16"/>
      <c r="N352" s="16"/>
      <c r="O352" s="16"/>
    </row>
    <row r="353" spans="1:15" s="146" customFormat="1" ht="18.75" customHeight="1" x14ac:dyDescent="0.25">
      <c r="A353" s="155"/>
      <c r="B353" s="94" t="s">
        <v>269</v>
      </c>
      <c r="C353" s="98"/>
      <c r="D353" s="95"/>
      <c r="E353" s="94"/>
      <c r="F353" s="95"/>
      <c r="G353" s="98" t="s">
        <v>279</v>
      </c>
      <c r="H353" s="149">
        <f>H343*H312/1000</f>
        <v>378.03831598197166</v>
      </c>
      <c r="I353" s="226" t="s">
        <v>69</v>
      </c>
      <c r="J353" s="16"/>
      <c r="K353" s="16"/>
      <c r="L353" s="16"/>
      <c r="M353" s="16"/>
      <c r="N353" s="16"/>
      <c r="O353" s="16"/>
    </row>
    <row r="354" spans="1:15" s="146" customFormat="1" ht="18.75" customHeight="1" x14ac:dyDescent="0.25">
      <c r="A354" s="155"/>
      <c r="B354" s="217"/>
      <c r="C354" s="94"/>
      <c r="D354" s="94"/>
      <c r="E354" s="94"/>
      <c r="F354" s="94"/>
      <c r="G354" s="95"/>
      <c r="H354" s="224"/>
      <c r="I354" s="154"/>
      <c r="J354" s="16"/>
      <c r="K354" s="16"/>
      <c r="L354" s="16"/>
      <c r="M354" s="16"/>
      <c r="N354" s="16"/>
      <c r="O354" s="16"/>
    </row>
    <row r="355" spans="1:15" s="146" customFormat="1" ht="18.75" customHeight="1" x14ac:dyDescent="0.25">
      <c r="A355" s="155"/>
      <c r="B355" s="217" t="s">
        <v>280</v>
      </c>
      <c r="C355" s="94"/>
      <c r="D355" s="94"/>
      <c r="E355" s="94"/>
      <c r="F355" s="94"/>
      <c r="G355" s="95"/>
      <c r="H355" s="224"/>
      <c r="I355" s="154"/>
      <c r="J355" s="16"/>
      <c r="K355" s="16"/>
      <c r="L355" s="16"/>
      <c r="M355" s="16"/>
      <c r="N355" s="16"/>
      <c r="O355" s="16"/>
    </row>
    <row r="356" spans="1:15" s="146" customFormat="1" ht="18.75" customHeight="1" x14ac:dyDescent="0.25">
      <c r="A356" s="155"/>
      <c r="B356" s="217"/>
      <c r="C356" s="217" t="s">
        <v>281</v>
      </c>
      <c r="D356" s="94"/>
      <c r="E356" s="94"/>
      <c r="F356" s="98"/>
      <c r="G356" s="95"/>
      <c r="H356" s="224"/>
      <c r="I356" s="232"/>
      <c r="K356" s="16"/>
      <c r="L356" s="16"/>
      <c r="M356" s="16"/>
      <c r="N356" s="16"/>
      <c r="O356" s="16"/>
    </row>
    <row r="357" spans="1:15" s="146" customFormat="1" ht="18.75" customHeight="1" x14ac:dyDescent="0.25">
      <c r="A357" s="155"/>
      <c r="B357" s="217"/>
      <c r="C357" s="217"/>
      <c r="D357" s="94" t="s">
        <v>582</v>
      </c>
      <c r="E357" s="94"/>
      <c r="F357" s="94" t="s">
        <v>283</v>
      </c>
      <c r="G357" s="98"/>
      <c r="H357" s="95"/>
      <c r="I357" s="169"/>
      <c r="N357" s="16"/>
      <c r="O357" s="16"/>
    </row>
    <row r="358" spans="1:15" s="146" customFormat="1" ht="18.75" customHeight="1" x14ac:dyDescent="0.25">
      <c r="A358" s="155"/>
      <c r="B358" s="217"/>
      <c r="C358" s="94"/>
      <c r="D358" s="215">
        <f>(H310-H351)/H351*0.003</f>
        <v>4.2914861144768342E-2</v>
      </c>
      <c r="E358" s="95" t="str">
        <f>IF(D358&lt;F358,"&lt;","&gt;")</f>
        <v>&gt;</v>
      </c>
      <c r="F358" s="233">
        <f>H312/H313</f>
        <v>2E-3</v>
      </c>
      <c r="I358" s="169"/>
      <c r="N358" s="16"/>
      <c r="O358" s="16"/>
    </row>
    <row r="359" spans="1:15" s="146" customFormat="1" ht="18.75" customHeight="1" x14ac:dyDescent="0.25">
      <c r="A359" s="155"/>
      <c r="B359" s="217" t="s">
        <v>284</v>
      </c>
      <c r="C359" s="94"/>
      <c r="D359" s="94"/>
      <c r="E359" s="94"/>
      <c r="F359" s="94"/>
      <c r="G359" s="96" t="s">
        <v>138</v>
      </c>
      <c r="H359" s="230" t="str">
        <f>IF(D358&lt;=F358,"Tekanan Terkontrol",IF(D358&lt;0.005,"Transisi",IF(D358&gt;0.005,"Tegangan Terkontrol","EROR")))</f>
        <v>Tegangan Terkontrol</v>
      </c>
      <c r="I359" s="99"/>
      <c r="J359" s="16"/>
      <c r="K359" s="16"/>
      <c r="L359" s="16"/>
      <c r="M359" s="16"/>
      <c r="N359" s="16"/>
      <c r="O359" s="16"/>
    </row>
    <row r="360" spans="1:15" s="146" customFormat="1" ht="18.75" customHeight="1" x14ac:dyDescent="0.25">
      <c r="A360" s="155"/>
      <c r="B360" s="217"/>
      <c r="C360" s="94"/>
      <c r="D360" s="94"/>
      <c r="E360" s="94"/>
      <c r="F360" s="94"/>
      <c r="G360" s="96"/>
      <c r="H360" s="230"/>
      <c r="I360" s="99"/>
      <c r="J360" s="16"/>
      <c r="K360" s="16"/>
      <c r="L360" s="16"/>
      <c r="M360" s="16"/>
      <c r="N360" s="16"/>
      <c r="O360" s="16"/>
    </row>
    <row r="361" spans="1:15" s="146" customFormat="1" ht="18.75" customHeight="1" x14ac:dyDescent="0.25">
      <c r="A361" s="155"/>
      <c r="B361" s="217" t="s">
        <v>285</v>
      </c>
      <c r="C361" s="94"/>
      <c r="D361" s="94"/>
      <c r="E361" s="94"/>
      <c r="F361" s="94"/>
      <c r="G361" s="98" t="str">
        <f>IF(D358&lt;=F358,"φ =",IF(D358&lt;0.005,"φ = 0,65 + 0,25 * (εs' - εs-yield)/(0,005 - εs-yield) =",IF(D358&gt;0.005,"φ =","EROR")))</f>
        <v>φ =</v>
      </c>
      <c r="H361" s="153">
        <f>IF(D358&lt;=F358,0.65,IF(D358&lt;0.005,0.65+0.25*(D358-F358)/(0.005-F358),IF(D358&gt;0.005,0.9,"EROR")))</f>
        <v>0.9</v>
      </c>
      <c r="I361" s="99"/>
      <c r="J361" s="16"/>
      <c r="K361" s="16"/>
      <c r="L361" s="16"/>
      <c r="M361" s="16"/>
      <c r="N361" s="16"/>
      <c r="O361" s="16"/>
    </row>
    <row r="362" spans="1:15" s="146" customFormat="1" ht="18.75" customHeight="1" x14ac:dyDescent="0.25">
      <c r="A362" s="155"/>
      <c r="B362" s="217" t="s">
        <v>286</v>
      </c>
      <c r="C362" s="94"/>
      <c r="D362" s="94"/>
      <c r="E362" s="94"/>
      <c r="F362" s="94"/>
      <c r="G362" s="98" t="s">
        <v>287</v>
      </c>
      <c r="H362" s="149">
        <f>H352*(H310-H317*H351/2)/1000</f>
        <v>99.835187723409518</v>
      </c>
      <c r="I362" s="99" t="s">
        <v>71</v>
      </c>
      <c r="J362" s="16"/>
      <c r="K362" s="16"/>
      <c r="L362" s="16"/>
      <c r="M362" s="16"/>
      <c r="N362" s="16"/>
      <c r="O362" s="16"/>
    </row>
    <row r="363" spans="1:15" s="146" customFormat="1" ht="18.75" customHeight="1" x14ac:dyDescent="0.25">
      <c r="A363" s="155"/>
      <c r="B363" s="217"/>
      <c r="C363" s="94"/>
      <c r="D363" s="94"/>
      <c r="E363" s="94"/>
      <c r="F363" s="94"/>
      <c r="G363" s="98"/>
      <c r="H363" s="229"/>
      <c r="I363" s="99"/>
      <c r="J363" s="16"/>
      <c r="K363" s="16"/>
      <c r="L363" s="16"/>
      <c r="M363" s="16"/>
      <c r="N363" s="16"/>
      <c r="O363" s="16"/>
    </row>
    <row r="364" spans="1:15" s="146" customFormat="1" ht="18.75" customHeight="1" x14ac:dyDescent="0.25">
      <c r="A364" s="155"/>
      <c r="C364" s="94" t="s">
        <v>134</v>
      </c>
      <c r="D364" s="425" t="s">
        <v>288</v>
      </c>
      <c r="E364" s="95" t="s">
        <v>191</v>
      </c>
      <c r="F364" s="425" t="s">
        <v>289</v>
      </c>
      <c r="G364" s="94"/>
      <c r="H364" s="94"/>
      <c r="I364" s="169"/>
      <c r="J364" s="16"/>
      <c r="K364" s="16"/>
      <c r="L364" s="16"/>
      <c r="M364" s="16"/>
      <c r="N364" s="16"/>
      <c r="O364" s="16"/>
    </row>
    <row r="365" spans="1:15" s="146" customFormat="1" ht="18.75" customHeight="1" x14ac:dyDescent="0.25">
      <c r="A365" s="155"/>
      <c r="B365" s="94"/>
      <c r="C365" s="94"/>
      <c r="D365" s="149">
        <f>H361*H362</f>
        <v>89.851668951068575</v>
      </c>
      <c r="E365" s="95" t="str">
        <f>IF(D365&gt;F365,"&gt;","&lt;")</f>
        <v>&gt;</v>
      </c>
      <c r="F365" s="149">
        <f>H306</f>
        <v>83.117395054897486</v>
      </c>
      <c r="G365" s="96" t="s">
        <v>138</v>
      </c>
      <c r="H365" s="225" t="str">
        <f>IF(D365&gt;=F365,"AMAN  (OK)","BAHAYA  (NG)")</f>
        <v>AMAN  (OK)</v>
      </c>
      <c r="I365" s="169"/>
      <c r="J365" s="16"/>
      <c r="K365" s="16"/>
      <c r="L365" s="16"/>
      <c r="M365" s="16"/>
      <c r="N365" s="16"/>
      <c r="O365" s="16"/>
    </row>
    <row r="366" spans="1:15" s="12" customFormat="1" ht="18.75" customHeight="1" x14ac:dyDescent="0.25">
      <c r="A366" s="240"/>
      <c r="B366" s="179"/>
      <c r="C366" s="179"/>
      <c r="D366" s="179"/>
      <c r="E366" s="100"/>
      <c r="F366" s="100"/>
      <c r="G366" s="92"/>
      <c r="H366" s="179"/>
      <c r="I366" s="208"/>
    </row>
    <row r="367" spans="1:15" s="12" customFormat="1" ht="18.75" customHeight="1" x14ac:dyDescent="0.25">
      <c r="A367" s="239" t="s">
        <v>438</v>
      </c>
      <c r="B367" s="88" t="s">
        <v>646</v>
      </c>
      <c r="C367" s="89"/>
      <c r="D367" s="89"/>
      <c r="E367" s="109"/>
      <c r="F367" s="109"/>
      <c r="G367" s="109"/>
      <c r="H367" s="89"/>
      <c r="I367" s="90"/>
    </row>
    <row r="368" spans="1:15" s="12" customFormat="1" ht="18.75" customHeight="1" x14ac:dyDescent="0.25">
      <c r="A368" s="240"/>
      <c r="B368" s="91" t="s">
        <v>292</v>
      </c>
      <c r="C368" s="91"/>
      <c r="D368" s="91"/>
      <c r="E368" s="100"/>
      <c r="F368" s="100"/>
      <c r="G368" s="92" t="s">
        <v>293</v>
      </c>
      <c r="H368" s="144">
        <f>IF('Input (1)'!H48&lt;420,0.002,IF('Input (1)'!H48&gt;=420,MAX(0.0018*420/'Input (1)'!H48,0.0014),"[ EROR ]"))</f>
        <v>2E-3</v>
      </c>
      <c r="I368" s="208"/>
      <c r="J368" s="246"/>
    </row>
    <row r="369" spans="1:10" s="12" customFormat="1" ht="18.75" customHeight="1" x14ac:dyDescent="0.25">
      <c r="A369" s="240"/>
      <c r="B369" s="91" t="s">
        <v>294</v>
      </c>
      <c r="C369" s="91"/>
      <c r="D369" s="91"/>
      <c r="E369" s="100"/>
      <c r="F369" s="100"/>
      <c r="G369" s="92" t="s">
        <v>295</v>
      </c>
      <c r="H369" s="143">
        <f>H368*H246*H249</f>
        <v>543</v>
      </c>
      <c r="I369" s="93" t="s">
        <v>259</v>
      </c>
    </row>
    <row r="370" spans="1:10" s="12" customFormat="1" ht="18.75" customHeight="1" x14ac:dyDescent="0.25">
      <c r="A370" s="240"/>
      <c r="B370" s="91" t="s">
        <v>296</v>
      </c>
      <c r="C370" s="91"/>
      <c r="D370" s="91"/>
      <c r="E370" s="100"/>
      <c r="F370" s="100"/>
      <c r="G370" s="92" t="s">
        <v>297</v>
      </c>
      <c r="H370" s="163">
        <f>H368*H307*H310</f>
        <v>543</v>
      </c>
      <c r="I370" s="93" t="s">
        <v>259</v>
      </c>
    </row>
    <row r="371" spans="1:10" s="12" customFormat="1" ht="18.75" customHeight="1" x14ac:dyDescent="0.25">
      <c r="A371" s="240"/>
      <c r="B371" s="91" t="s">
        <v>298</v>
      </c>
      <c r="C371" s="179"/>
      <c r="D371" s="231"/>
      <c r="E371" s="100"/>
      <c r="F371" s="100"/>
      <c r="G371" s="421" t="s">
        <v>299</v>
      </c>
      <c r="H371" s="422">
        <f>'Input (1)'!H51</f>
        <v>13</v>
      </c>
      <c r="I371" s="93" t="s">
        <v>12</v>
      </c>
    </row>
    <row r="372" spans="1:10" s="12" customFormat="1" ht="18.75" customHeight="1" x14ac:dyDescent="0.25">
      <c r="A372" s="240"/>
      <c r="B372" s="91" t="s">
        <v>300</v>
      </c>
      <c r="C372" s="179"/>
      <c r="D372" s="231"/>
      <c r="E372" s="100"/>
      <c r="F372" s="100"/>
      <c r="G372" s="92" t="s">
        <v>301</v>
      </c>
      <c r="H372" s="165">
        <f>PI()/4*H371^2*H246/H369</f>
        <v>244.44252230970304</v>
      </c>
      <c r="I372" s="93" t="s">
        <v>12</v>
      </c>
      <c r="J372" s="246"/>
    </row>
    <row r="373" spans="1:10" s="12" customFormat="1" ht="18.75" customHeight="1" x14ac:dyDescent="0.25">
      <c r="A373" s="240"/>
      <c r="B373" s="91" t="s">
        <v>302</v>
      </c>
      <c r="C373" s="179"/>
      <c r="D373" s="231"/>
      <c r="E373" s="100"/>
      <c r="F373" s="100"/>
      <c r="G373" s="98" t="s">
        <v>445</v>
      </c>
      <c r="H373" s="143">
        <f>H338</f>
        <v>1200</v>
      </c>
      <c r="I373" s="93" t="s">
        <v>12</v>
      </c>
      <c r="J373" s="246"/>
    </row>
    <row r="374" spans="1:10" s="12" customFormat="1" ht="18.75" customHeight="1" x14ac:dyDescent="0.25">
      <c r="A374" s="240"/>
      <c r="B374" s="91"/>
      <c r="C374" s="179"/>
      <c r="D374" s="231"/>
      <c r="E374" s="100"/>
      <c r="F374" s="100"/>
      <c r="G374" s="98" t="s">
        <v>446</v>
      </c>
      <c r="H374" s="163">
        <v>450</v>
      </c>
      <c r="I374" s="93"/>
      <c r="J374" s="246"/>
    </row>
    <row r="375" spans="1:10" s="12" customFormat="1" ht="18.75" customHeight="1" x14ac:dyDescent="0.25">
      <c r="A375" s="240"/>
      <c r="B375" s="91" t="s">
        <v>303</v>
      </c>
      <c r="C375" s="179"/>
      <c r="D375" s="231"/>
      <c r="E375" s="100"/>
      <c r="F375" s="100"/>
      <c r="G375" s="98" t="s">
        <v>304</v>
      </c>
      <c r="H375" s="163">
        <f>ROUNDDOWN(MIN(H372:H373)/50,0)*50</f>
        <v>200</v>
      </c>
      <c r="I375" s="93" t="s">
        <v>12</v>
      </c>
      <c r="J375" s="246"/>
    </row>
    <row r="376" spans="1:10" s="12" customFormat="1" ht="18.75" customHeight="1" x14ac:dyDescent="0.25">
      <c r="A376" s="240"/>
      <c r="B376" s="91" t="s">
        <v>305</v>
      </c>
      <c r="C376" s="91"/>
      <c r="D376" s="91"/>
      <c r="E376" s="100"/>
      <c r="F376" s="100"/>
      <c r="G376" s="92" t="s">
        <v>306</v>
      </c>
      <c r="H376" s="143">
        <f>PI()/4*H371^2*H307/H370</f>
        <v>244.44252230970304</v>
      </c>
      <c r="I376" s="93" t="s">
        <v>12</v>
      </c>
      <c r="J376" s="246"/>
    </row>
    <row r="377" spans="1:10" s="12" customFormat="1" ht="18.75" customHeight="1" x14ac:dyDescent="0.25">
      <c r="A377" s="240"/>
      <c r="B377" s="91" t="s">
        <v>307</v>
      </c>
      <c r="C377" s="91"/>
      <c r="D377" s="91"/>
      <c r="E377" s="100"/>
      <c r="F377" s="100"/>
      <c r="G377" s="98" t="s">
        <v>447</v>
      </c>
      <c r="H377" s="143">
        <f>H373</f>
        <v>1200</v>
      </c>
      <c r="I377" s="93" t="s">
        <v>12</v>
      </c>
      <c r="J377" s="246"/>
    </row>
    <row r="378" spans="1:10" s="12" customFormat="1" ht="18.75" customHeight="1" x14ac:dyDescent="0.25">
      <c r="A378" s="240"/>
      <c r="B378" s="91"/>
      <c r="C378" s="91"/>
      <c r="D378" s="91"/>
      <c r="E378" s="100"/>
      <c r="F378" s="100"/>
      <c r="G378" s="98" t="s">
        <v>308</v>
      </c>
      <c r="H378" s="163">
        <v>450</v>
      </c>
      <c r="I378" s="93"/>
      <c r="J378" s="246"/>
    </row>
    <row r="379" spans="1:10" s="12" customFormat="1" ht="18.75" customHeight="1" x14ac:dyDescent="0.25">
      <c r="A379" s="240"/>
      <c r="B379" s="91" t="s">
        <v>309</v>
      </c>
      <c r="C379" s="91"/>
      <c r="D379" s="91"/>
      <c r="E379" s="100"/>
      <c r="F379" s="100"/>
      <c r="G379" s="98" t="s">
        <v>310</v>
      </c>
      <c r="H379" s="163">
        <f>ROUNDDOWN(MIN(H376:H377)/50,0)*50</f>
        <v>200</v>
      </c>
      <c r="I379" s="93" t="s">
        <v>12</v>
      </c>
    </row>
    <row r="380" spans="1:10" s="12" customFormat="1" ht="18.75" customHeight="1" x14ac:dyDescent="0.25">
      <c r="A380" s="240"/>
      <c r="B380" s="91" t="s">
        <v>311</v>
      </c>
      <c r="C380" s="91"/>
      <c r="D380" s="91"/>
      <c r="E380" s="100"/>
      <c r="F380" s="268"/>
      <c r="G380" s="267">
        <f>H371</f>
        <v>13</v>
      </c>
      <c r="H380" s="376">
        <f>H375</f>
        <v>200</v>
      </c>
      <c r="I380" s="113"/>
    </row>
    <row r="381" spans="1:10" s="12" customFormat="1" ht="18.75" customHeight="1" x14ac:dyDescent="0.25">
      <c r="A381" s="240"/>
      <c r="B381" s="91" t="s">
        <v>312</v>
      </c>
      <c r="C381" s="91"/>
      <c r="D381" s="91"/>
      <c r="E381" s="100"/>
      <c r="F381" s="268"/>
      <c r="G381" s="267">
        <f>H371</f>
        <v>13</v>
      </c>
      <c r="H381" s="376">
        <f>H379</f>
        <v>200</v>
      </c>
      <c r="I381" s="113"/>
    </row>
    <row r="382" spans="1:10" s="12" customFormat="1" ht="18.75" customHeight="1" x14ac:dyDescent="0.25">
      <c r="A382" s="240"/>
      <c r="B382" s="100"/>
      <c r="C382" s="100"/>
      <c r="D382" s="100"/>
      <c r="E382" s="100"/>
      <c r="F382" s="100"/>
      <c r="G382" s="100"/>
      <c r="H382" s="100"/>
      <c r="I382" s="113"/>
    </row>
    <row r="383" spans="1:10" ht="18.75" customHeight="1" x14ac:dyDescent="0.25">
      <c r="A383" s="242"/>
      <c r="B383" s="234"/>
      <c r="C383" s="234"/>
      <c r="D383" s="234"/>
      <c r="E383" s="234"/>
      <c r="F383" s="234"/>
      <c r="G383" s="234"/>
      <c r="H383" s="234"/>
      <c r="I383" s="235"/>
    </row>
  </sheetData>
  <mergeCells count="29">
    <mergeCell ref="E22:E23"/>
    <mergeCell ref="C91:D91"/>
    <mergeCell ref="E91:E92"/>
    <mergeCell ref="C92:D92"/>
    <mergeCell ref="C22:D22"/>
    <mergeCell ref="C23:D23"/>
    <mergeCell ref="G131:H131"/>
    <mergeCell ref="B132:C132"/>
    <mergeCell ref="D132:F132"/>
    <mergeCell ref="D61:F61"/>
    <mergeCell ref="G61:H61"/>
    <mergeCell ref="D62:F62"/>
    <mergeCell ref="G62:H62"/>
    <mergeCell ref="B1:F1"/>
    <mergeCell ref="G132:H132"/>
    <mergeCell ref="B51:B53"/>
    <mergeCell ref="F51:F52"/>
    <mergeCell ref="G51:G52"/>
    <mergeCell ref="H51:H52"/>
    <mergeCell ref="F121:F122"/>
    <mergeCell ref="G121:G122"/>
    <mergeCell ref="H121:H122"/>
    <mergeCell ref="C121:E121"/>
    <mergeCell ref="C51:E51"/>
    <mergeCell ref="B61:C61"/>
    <mergeCell ref="B62:C62"/>
    <mergeCell ref="B121:B123"/>
    <mergeCell ref="B131:C131"/>
    <mergeCell ref="D131:F131"/>
  </mergeCells>
  <pageMargins left="0.7" right="0.7" top="0.75" bottom="0.75" header="0.3" footer="0.3"/>
  <pageSetup paperSize="9" orientation="portrait" horizontalDpi="4294967293" verticalDpi="0" r:id="rId1"/>
  <ignoredErrors>
    <ignoredError sqref="D55 D125" formula="1"/>
    <ignoredError sqref="H249 H311:H314 H325:H326 H316:H317" evalError="1"/>
    <ignoredError sqref="H310" evalError="1" formula="1"/>
    <ignoredError sqref="H37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B9DB-2FA3-41B9-9FEF-9DB081C03298}">
  <sheetPr>
    <tabColor theme="4"/>
  </sheetPr>
  <dimension ref="B2:I85"/>
  <sheetViews>
    <sheetView showGridLines="0" topLeftCell="A40" zoomScaleNormal="100" workbookViewId="0">
      <selection activeCell="I54" sqref="I54:I58"/>
    </sheetView>
  </sheetViews>
  <sheetFormatPr defaultRowHeight="18.75" customHeight="1" x14ac:dyDescent="0.25"/>
  <cols>
    <col min="1" max="1" width="5.7109375" style="12" customWidth="1"/>
    <col min="2" max="9" width="11.42578125" style="12" customWidth="1"/>
    <col min="10" max="16384" width="9.140625" style="12"/>
  </cols>
  <sheetData>
    <row r="2" spans="2:9" ht="18.75" customHeight="1" x14ac:dyDescent="0.25">
      <c r="B2" s="270" t="s">
        <v>462</v>
      </c>
    </row>
    <row r="3" spans="2:9" ht="18.75" customHeight="1" x14ac:dyDescent="0.25">
      <c r="B3" s="12" t="s">
        <v>455</v>
      </c>
      <c r="G3" s="276" t="s">
        <v>23</v>
      </c>
      <c r="H3" s="28">
        <f>'Input (1)'!H4</f>
        <v>0.4</v>
      </c>
      <c r="I3" s="271" t="s">
        <v>6</v>
      </c>
    </row>
    <row r="4" spans="2:9" ht="18.75" customHeight="1" x14ac:dyDescent="0.25">
      <c r="B4" s="12" t="s">
        <v>456</v>
      </c>
      <c r="G4" s="276" t="s">
        <v>147</v>
      </c>
      <c r="H4" s="28">
        <f>'Input (1)'!H5</f>
        <v>0.6</v>
      </c>
      <c r="I4" s="271" t="s">
        <v>6</v>
      </c>
    </row>
    <row r="5" spans="2:9" ht="18.75" customHeight="1" x14ac:dyDescent="0.25">
      <c r="B5" s="270"/>
      <c r="G5" s="276"/>
      <c r="I5" s="271"/>
    </row>
    <row r="6" spans="2:9" ht="18.75" customHeight="1" x14ac:dyDescent="0.25">
      <c r="B6" s="12" t="s">
        <v>451</v>
      </c>
      <c r="G6" s="276" t="s">
        <v>541</v>
      </c>
      <c r="H6" s="28">
        <f>'Input (1)'!H6</f>
        <v>0.4</v>
      </c>
      <c r="I6" s="271" t="s">
        <v>6</v>
      </c>
    </row>
    <row r="7" spans="2:9" ht="18.75" customHeight="1" x14ac:dyDescent="0.25">
      <c r="B7" s="12" t="s">
        <v>452</v>
      </c>
      <c r="G7" s="276" t="s">
        <v>542</v>
      </c>
      <c r="H7" s="28">
        <f>'Fondasi Dalam'!I53</f>
        <v>1.8</v>
      </c>
      <c r="I7" s="271" t="s">
        <v>6</v>
      </c>
    </row>
    <row r="8" spans="2:9" ht="18.75" customHeight="1" x14ac:dyDescent="0.25">
      <c r="B8" s="12" t="s">
        <v>453</v>
      </c>
      <c r="G8" s="276" t="s">
        <v>543</v>
      </c>
      <c r="H8" s="28">
        <f>'Fondasi Dalam'!I54</f>
        <v>1.8</v>
      </c>
      <c r="I8" s="271" t="s">
        <v>6</v>
      </c>
    </row>
    <row r="9" spans="2:9" ht="18.75" customHeight="1" x14ac:dyDescent="0.25">
      <c r="B9" s="12" t="s">
        <v>471</v>
      </c>
      <c r="G9" s="276" t="s">
        <v>544</v>
      </c>
      <c r="H9" s="28">
        <f>'Input (1)'!H10</f>
        <v>100</v>
      </c>
      <c r="I9" s="271" t="s">
        <v>12</v>
      </c>
    </row>
    <row r="10" spans="2:9" ht="18.75" customHeight="1" x14ac:dyDescent="0.25">
      <c r="B10" s="12" t="s">
        <v>454</v>
      </c>
      <c r="G10" s="276" t="s">
        <v>619</v>
      </c>
      <c r="H10" s="28">
        <f>'Input (1)'!H37</f>
        <v>2.5</v>
      </c>
      <c r="I10" s="123" t="s">
        <v>156</v>
      </c>
    </row>
    <row r="11" spans="2:9" ht="18.75" customHeight="1" x14ac:dyDescent="0.25">
      <c r="B11" s="283" t="s">
        <v>157</v>
      </c>
    </row>
    <row r="12" spans="2:9" ht="18.75" customHeight="1" x14ac:dyDescent="0.25">
      <c r="B12" s="104"/>
    </row>
    <row r="13" spans="2:9" ht="18.75" customHeight="1" x14ac:dyDescent="0.25">
      <c r="B13" s="12" t="s">
        <v>457</v>
      </c>
      <c r="G13" s="280">
        <f>'Input (1)'!H50</f>
        <v>19</v>
      </c>
      <c r="H13" s="277">
        <f>'Geser &amp; Penulang Pilecap'!$H$280</f>
        <v>300</v>
      </c>
    </row>
    <row r="14" spans="2:9" ht="18.75" customHeight="1" x14ac:dyDescent="0.25">
      <c r="B14" s="12" t="s">
        <v>458</v>
      </c>
      <c r="G14" s="281">
        <f>'Input (1)'!H50</f>
        <v>19</v>
      </c>
      <c r="H14" s="278">
        <f>'Geser &amp; Penulang Pilecap'!$H$342</f>
        <v>300</v>
      </c>
    </row>
    <row r="15" spans="2:9" ht="18.75" customHeight="1" x14ac:dyDescent="0.25">
      <c r="B15" s="12" t="s">
        <v>459</v>
      </c>
      <c r="G15" s="280">
        <f>'Geser &amp; Penulang Pilecap'!$G$380</f>
        <v>13</v>
      </c>
      <c r="H15" s="277">
        <f>'Geser &amp; Penulang Pilecap'!$H$380</f>
        <v>200</v>
      </c>
    </row>
    <row r="16" spans="2:9" ht="18.75" customHeight="1" x14ac:dyDescent="0.25">
      <c r="B16" s="12" t="s">
        <v>460</v>
      </c>
      <c r="G16" s="282">
        <f>'Geser &amp; Penulang Pilecap'!$G$381</f>
        <v>13</v>
      </c>
      <c r="H16" s="279">
        <f>'Geser &amp; Penulang Pilecap'!$H$381</f>
        <v>200</v>
      </c>
    </row>
    <row r="18" spans="2:8" ht="18.75" customHeight="1" x14ac:dyDescent="0.25">
      <c r="B18" s="270" t="s">
        <v>463</v>
      </c>
    </row>
    <row r="19" spans="2:8" ht="18.75" customHeight="1" x14ac:dyDescent="0.25">
      <c r="B19" s="12" t="s">
        <v>464</v>
      </c>
    </row>
    <row r="20" spans="2:8" ht="18.75" customHeight="1" x14ac:dyDescent="0.25">
      <c r="C20" s="91" t="s">
        <v>413</v>
      </c>
      <c r="D20" s="423" t="s">
        <v>190</v>
      </c>
      <c r="E20" s="179" t="s">
        <v>191</v>
      </c>
      <c r="F20" s="423" t="s">
        <v>192</v>
      </c>
      <c r="G20" s="91"/>
      <c r="H20" s="100"/>
    </row>
    <row r="21" spans="2:8" ht="18.75" customHeight="1" x14ac:dyDescent="0.25">
      <c r="C21" s="91"/>
      <c r="D21" s="142">
        <f>'Geser &amp; Penulang Pilecap'!D159</f>
        <v>669.18003463193668</v>
      </c>
      <c r="E21" s="209" t="str">
        <f>IF(D21&lt;=F21,"&lt;","&gt;")</f>
        <v>&gt;</v>
      </c>
      <c r="F21" s="142">
        <f>'Geser &amp; Penulang Pilecap'!F159</f>
        <v>596.82718232938487</v>
      </c>
      <c r="G21" s="210" t="s">
        <v>138</v>
      </c>
      <c r="H21" s="211" t="str">
        <f>IF(D21&gt;F21,"AMAN (OK)","BAHAYA (NG)")</f>
        <v>AMAN (OK)</v>
      </c>
    </row>
    <row r="22" spans="2:8" ht="18.75" customHeight="1" x14ac:dyDescent="0.25">
      <c r="B22" s="12" t="s">
        <v>465</v>
      </c>
    </row>
    <row r="23" spans="2:8" ht="18.75" customHeight="1" x14ac:dyDescent="0.25">
      <c r="C23" s="91" t="s">
        <v>413</v>
      </c>
      <c r="D23" s="423" t="s">
        <v>190</v>
      </c>
      <c r="E23" s="179" t="s">
        <v>191</v>
      </c>
      <c r="F23" s="423" t="s">
        <v>192</v>
      </c>
      <c r="G23" s="91"/>
      <c r="H23" s="100"/>
    </row>
    <row r="24" spans="2:8" ht="18.75" customHeight="1" x14ac:dyDescent="0.25">
      <c r="C24" s="91"/>
      <c r="D24" s="142">
        <f>'Geser &amp; Penulang Pilecap'!D178</f>
        <v>669.18003463193656</v>
      </c>
      <c r="E24" s="209" t="str">
        <f>IF(D24&lt;=F24,"&lt;","&gt;")</f>
        <v>&gt;</v>
      </c>
      <c r="F24" s="142">
        <f>'Geser &amp; Penulang Pilecap'!F178</f>
        <v>605.95678232938485</v>
      </c>
      <c r="G24" s="210" t="s">
        <v>138</v>
      </c>
      <c r="H24" s="211" t="str">
        <f>IF(D24&gt;F24,"AMAN (OK)","BAHAYA (NG)")</f>
        <v>AMAN (OK)</v>
      </c>
    </row>
    <row r="25" spans="2:8" ht="18.75" customHeight="1" x14ac:dyDescent="0.25">
      <c r="B25" s="12" t="s">
        <v>466</v>
      </c>
    </row>
    <row r="26" spans="2:8" ht="18.75" customHeight="1" x14ac:dyDescent="0.25">
      <c r="C26" s="91" t="s">
        <v>134</v>
      </c>
      <c r="D26" s="423" t="s">
        <v>211</v>
      </c>
      <c r="E26" s="179" t="s">
        <v>191</v>
      </c>
      <c r="F26" s="423" t="s">
        <v>212</v>
      </c>
      <c r="G26" s="214"/>
      <c r="H26" s="100"/>
    </row>
    <row r="27" spans="2:8" ht="18.75" customHeight="1" x14ac:dyDescent="0.25">
      <c r="C27" s="91"/>
      <c r="D27" s="142">
        <f>'Geser &amp; Penulang Pilecap'!D209</f>
        <v>1444.6853414331699</v>
      </c>
      <c r="E27" s="209" t="str">
        <f>IF(D27&lt;=F27,"&lt;","&gt;")</f>
        <v>&gt;</v>
      </c>
      <c r="F27" s="142">
        <f>'Geser &amp; Penulang Pilecap'!F209</f>
        <v>662.68</v>
      </c>
      <c r="G27" s="210" t="s">
        <v>138</v>
      </c>
      <c r="H27" s="211" t="str">
        <f>IF(D27&gt;F27,"AMAN (OK)","BAHAYA (NG)")</f>
        <v>AMAN (OK)</v>
      </c>
    </row>
    <row r="28" spans="2:8" ht="18.75" customHeight="1" x14ac:dyDescent="0.25">
      <c r="B28" s="12" t="s">
        <v>467</v>
      </c>
    </row>
    <row r="29" spans="2:8" ht="18.75" customHeight="1" x14ac:dyDescent="0.25">
      <c r="C29" s="217" t="s">
        <v>134</v>
      </c>
      <c r="D29" s="424" t="s">
        <v>402</v>
      </c>
      <c r="E29" s="95" t="s">
        <v>140</v>
      </c>
      <c r="F29" s="424" t="s">
        <v>401</v>
      </c>
      <c r="G29" s="98"/>
      <c r="H29" s="215"/>
    </row>
    <row r="30" spans="2:8" ht="18.75" customHeight="1" x14ac:dyDescent="0.25">
      <c r="C30" s="94"/>
      <c r="D30" s="153">
        <f>'Geser &amp; Penulang Pilecap'!D240</f>
        <v>961.16490695536095</v>
      </c>
      <c r="E30" s="215" t="str">
        <f>IF(D30&gt;F30,"&gt;","&lt;")</f>
        <v>&gt;</v>
      </c>
      <c r="F30" s="153">
        <f>'Geser &amp; Penulang Pilecap'!F240</f>
        <v>324.17047516469245</v>
      </c>
      <c r="G30" s="95" t="s">
        <v>138</v>
      </c>
      <c r="H30" s="211" t="str">
        <f>IF(D30&gt;F30,"AMAN (OK)","BAHAYA (NG)")</f>
        <v>AMAN (OK)</v>
      </c>
    </row>
    <row r="31" spans="2:8" ht="18.75" customHeight="1" x14ac:dyDescent="0.25">
      <c r="C31" s="94"/>
      <c r="D31" s="219"/>
      <c r="E31" s="215"/>
      <c r="F31" s="219"/>
      <c r="G31" s="95"/>
      <c r="H31" s="211"/>
    </row>
    <row r="32" spans="2:8" ht="18.75" customHeight="1" x14ac:dyDescent="0.25">
      <c r="B32" s="270" t="s">
        <v>468</v>
      </c>
    </row>
    <row r="33" spans="2:9" ht="18.75" customHeight="1" x14ac:dyDescent="0.25">
      <c r="B33" s="12" t="s">
        <v>469</v>
      </c>
    </row>
    <row r="34" spans="2:9" ht="18.75" customHeight="1" x14ac:dyDescent="0.25">
      <c r="C34" s="94" t="s">
        <v>134</v>
      </c>
      <c r="D34" s="425" t="s">
        <v>288</v>
      </c>
      <c r="E34" s="95" t="s">
        <v>191</v>
      </c>
      <c r="F34" s="425" t="s">
        <v>289</v>
      </c>
      <c r="G34" s="94"/>
      <c r="H34" s="94"/>
    </row>
    <row r="35" spans="2:9" ht="18.75" customHeight="1" x14ac:dyDescent="0.25">
      <c r="C35" s="94"/>
      <c r="D35" s="149">
        <f>'Geser &amp; Penulang Pilecap'!D303</f>
        <v>89.851668951068575</v>
      </c>
      <c r="E35" s="95" t="str">
        <f>IF(D35&gt;F35,"&gt;","&lt;")</f>
        <v>&gt;</v>
      </c>
      <c r="F35" s="149">
        <f>'Geser &amp; Penulang Pilecap'!F303</f>
        <v>69.538595054897471</v>
      </c>
      <c r="G35" s="96" t="s">
        <v>138</v>
      </c>
      <c r="H35" s="225" t="str">
        <f>IF(D35&gt;=F35,"AMAN  (OK)","BAHAYA  (NG)")</f>
        <v>AMAN  (OK)</v>
      </c>
    </row>
    <row r="36" spans="2:9" ht="18.75" customHeight="1" x14ac:dyDescent="0.25">
      <c r="B36" s="12" t="s">
        <v>470</v>
      </c>
    </row>
    <row r="37" spans="2:9" ht="18.75" customHeight="1" x14ac:dyDescent="0.25">
      <c r="C37" s="94" t="s">
        <v>134</v>
      </c>
      <c r="D37" s="425" t="s">
        <v>288</v>
      </c>
      <c r="E37" s="95" t="s">
        <v>191</v>
      </c>
      <c r="F37" s="425" t="s">
        <v>289</v>
      </c>
      <c r="G37" s="94"/>
      <c r="H37" s="94"/>
    </row>
    <row r="38" spans="2:9" ht="18.75" customHeight="1" x14ac:dyDescent="0.25">
      <c r="C38" s="94"/>
      <c r="D38" s="149">
        <f>'Geser &amp; Penulang Pilecap'!D365</f>
        <v>89.851668951068575</v>
      </c>
      <c r="E38" s="95" t="str">
        <f>IF(D38&gt;F38,"&gt;","&lt;")</f>
        <v>&gt;</v>
      </c>
      <c r="F38" s="149">
        <f>'Geser &amp; Penulang Pilecap'!F365</f>
        <v>83.117395054897486</v>
      </c>
      <c r="G38" s="96" t="s">
        <v>138</v>
      </c>
      <c r="H38" s="225" t="str">
        <f>IF(D38&gt;=F38,"AMAN  (OK)","BAHAYA  (NG)")</f>
        <v>AMAN  (OK)</v>
      </c>
    </row>
    <row r="40" spans="2:9" ht="18.75" customHeight="1" x14ac:dyDescent="0.25">
      <c r="B40" s="270" t="s">
        <v>461</v>
      </c>
    </row>
    <row r="41" spans="2:9" s="21" customFormat="1" ht="18.75" customHeight="1" x14ac:dyDescent="0.25">
      <c r="B41" s="91" t="s">
        <v>14</v>
      </c>
      <c r="G41" s="65" t="s">
        <v>15</v>
      </c>
      <c r="H41" s="69">
        <f>'Input (1)'!H36</f>
        <v>0.3</v>
      </c>
      <c r="I41" s="67" t="s">
        <v>6</v>
      </c>
    </row>
    <row r="42" spans="2:9" s="21" customFormat="1" ht="18.75" customHeight="1" x14ac:dyDescent="0.25">
      <c r="B42" s="91" t="s">
        <v>18</v>
      </c>
      <c r="G42" s="65" t="s">
        <v>474</v>
      </c>
      <c r="H42" s="69">
        <f>'Input (1)'!H38</f>
        <v>7.5</v>
      </c>
      <c r="I42" s="123" t="s">
        <v>156</v>
      </c>
    </row>
    <row r="43" spans="2:9" s="21" customFormat="1" ht="18.75" customHeight="1" x14ac:dyDescent="0.25">
      <c r="B43" s="21" t="s">
        <v>472</v>
      </c>
      <c r="G43" s="65" t="s">
        <v>79</v>
      </c>
      <c r="H43" s="69">
        <f>'Fondasi Dalam'!I41</f>
        <v>5</v>
      </c>
      <c r="I43" s="67" t="s">
        <v>6</v>
      </c>
    </row>
    <row r="44" spans="2:9" s="21" customFormat="1" ht="18.75" customHeight="1" x14ac:dyDescent="0.25">
      <c r="B44" s="91" t="s">
        <v>19</v>
      </c>
      <c r="G44" s="65" t="s">
        <v>417</v>
      </c>
      <c r="H44" s="69">
        <f>'Input (1)'!H41</f>
        <v>0.4</v>
      </c>
      <c r="I44" s="67" t="s">
        <v>6</v>
      </c>
    </row>
    <row r="45" spans="2:9" s="21" customFormat="1" ht="18.75" customHeight="1" x14ac:dyDescent="0.25">
      <c r="B45" s="91" t="s">
        <v>20</v>
      </c>
      <c r="G45" s="65" t="s">
        <v>21</v>
      </c>
      <c r="H45" s="66">
        <f>'Input (1)'!H39</f>
        <v>2</v>
      </c>
      <c r="I45" s="67"/>
    </row>
    <row r="46" spans="2:9" s="21" customFormat="1" ht="18.75" customHeight="1" x14ac:dyDescent="0.25">
      <c r="B46" s="91" t="s">
        <v>22</v>
      </c>
      <c r="G46" s="65" t="s">
        <v>23</v>
      </c>
      <c r="H46" s="66">
        <f>'Input (1)'!H40</f>
        <v>2</v>
      </c>
      <c r="I46" s="67"/>
    </row>
    <row r="47" spans="2:9" s="21" customFormat="1" ht="18.75" customHeight="1" x14ac:dyDescent="0.25">
      <c r="B47" s="91" t="s">
        <v>24</v>
      </c>
      <c r="G47" s="65" t="s">
        <v>25</v>
      </c>
      <c r="H47" s="69">
        <f>'Input (1)'!H42</f>
        <v>1</v>
      </c>
      <c r="I47" s="67" t="s">
        <v>6</v>
      </c>
    </row>
    <row r="48" spans="2:9" s="21" customFormat="1" ht="18.75" customHeight="1" x14ac:dyDescent="0.25">
      <c r="B48" s="283" t="s">
        <v>157</v>
      </c>
      <c r="G48" s="65"/>
      <c r="H48" s="284"/>
    </row>
    <row r="49" spans="2:9" s="21" customFormat="1" ht="18.75" customHeight="1" x14ac:dyDescent="0.25"/>
    <row r="50" spans="2:9" ht="18.75" customHeight="1" x14ac:dyDescent="0.25">
      <c r="B50" s="3" t="s">
        <v>80</v>
      </c>
      <c r="C50" s="4"/>
      <c r="D50" s="4"/>
      <c r="E50" s="4"/>
      <c r="F50" s="3" t="s">
        <v>81</v>
      </c>
      <c r="G50" s="4"/>
      <c r="H50" s="4"/>
      <c r="I50" s="4"/>
    </row>
    <row r="51" spans="2:9" ht="37.5" customHeight="1" x14ac:dyDescent="0.25">
      <c r="B51" s="467" t="s">
        <v>82</v>
      </c>
      <c r="C51" s="468"/>
      <c r="D51" s="468"/>
      <c r="E51" s="469"/>
      <c r="F51" s="467" t="s">
        <v>158</v>
      </c>
      <c r="G51" s="468"/>
      <c r="H51" s="468"/>
      <c r="I51" s="469"/>
    </row>
    <row r="52" spans="2:9" ht="18.75" customHeight="1" x14ac:dyDescent="0.25">
      <c r="B52" s="44" t="s">
        <v>83</v>
      </c>
      <c r="C52" s="44" t="s">
        <v>84</v>
      </c>
      <c r="D52" s="44" t="s">
        <v>85</v>
      </c>
      <c r="E52" s="45"/>
      <c r="F52" s="44" t="s">
        <v>83</v>
      </c>
      <c r="G52" s="44" t="s">
        <v>84</v>
      </c>
      <c r="H52" s="44" t="s">
        <v>87</v>
      </c>
      <c r="I52" s="45"/>
    </row>
    <row r="53" spans="2:9" ht="18.75" customHeight="1" x14ac:dyDescent="0.25">
      <c r="B53" s="46"/>
      <c r="C53" s="46" t="s">
        <v>90</v>
      </c>
      <c r="D53" s="46" t="s">
        <v>91</v>
      </c>
      <c r="E53" s="47"/>
      <c r="F53" s="46"/>
      <c r="G53" s="46" t="s">
        <v>90</v>
      </c>
      <c r="H53" s="46" t="s">
        <v>91</v>
      </c>
      <c r="I53" s="47"/>
    </row>
    <row r="54" spans="2:9" ht="18.75" customHeight="1" x14ac:dyDescent="0.25">
      <c r="B54" s="272">
        <f>'Fondasi Dalam'!B48</f>
        <v>1</v>
      </c>
      <c r="C54" s="272">
        <f>'Fondasi Dalam'!C48</f>
        <v>2</v>
      </c>
      <c r="D54" s="272">
        <f>'Fondasi Dalam'!D48</f>
        <v>-0.5</v>
      </c>
      <c r="E54" s="272"/>
      <c r="F54" s="272">
        <f>'Fondasi Dalam'!F48</f>
        <v>1</v>
      </c>
      <c r="G54" s="272">
        <f>'Fondasi Dalam'!G48</f>
        <v>2</v>
      </c>
      <c r="H54" s="272">
        <f>'Fondasi Dalam'!H48</f>
        <v>-0.5</v>
      </c>
      <c r="I54" s="541"/>
    </row>
    <row r="55" spans="2:9" ht="18.75" customHeight="1" x14ac:dyDescent="0.25">
      <c r="B55" s="272">
        <f>'Fondasi Dalam'!B49</f>
        <v>2</v>
      </c>
      <c r="C55" s="272">
        <f>'Fondasi Dalam'!C49</f>
        <v>2</v>
      </c>
      <c r="D55" s="272">
        <f>'Fondasi Dalam'!D49</f>
        <v>0.5</v>
      </c>
      <c r="E55" s="272"/>
      <c r="F55" s="272">
        <f>'Fondasi Dalam'!F49</f>
        <v>2</v>
      </c>
      <c r="G55" s="272">
        <f>'Fondasi Dalam'!G49</f>
        <v>2</v>
      </c>
      <c r="H55" s="272">
        <f>'Fondasi Dalam'!H49</f>
        <v>0.5</v>
      </c>
      <c r="I55" s="272"/>
    </row>
    <row r="56" spans="2:9" ht="18.75" customHeight="1" x14ac:dyDescent="0.25">
      <c r="B56" s="272" t="str">
        <f>'Fondasi Dalam'!B50</f>
        <v/>
      </c>
      <c r="C56" s="272" t="str">
        <f>'Fondasi Dalam'!C50</f>
        <v/>
      </c>
      <c r="D56" s="272" t="str">
        <f>'Fondasi Dalam'!D50</f>
        <v/>
      </c>
      <c r="E56" s="272"/>
      <c r="F56" s="272" t="str">
        <f>'Fondasi Dalam'!F50</f>
        <v/>
      </c>
      <c r="G56" s="272" t="str">
        <f>'Fondasi Dalam'!G50</f>
        <v/>
      </c>
      <c r="H56" s="272" t="str">
        <f>'Fondasi Dalam'!H50</f>
        <v/>
      </c>
      <c r="I56" s="272"/>
    </row>
    <row r="57" spans="2:9" ht="18.75" customHeight="1" x14ac:dyDescent="0.25">
      <c r="B57" s="272" t="str">
        <f>'Fondasi Dalam'!B51</f>
        <v/>
      </c>
      <c r="C57" s="272" t="str">
        <f>'Fondasi Dalam'!C51</f>
        <v/>
      </c>
      <c r="D57" s="272" t="str">
        <f>'Fondasi Dalam'!D51</f>
        <v/>
      </c>
      <c r="E57" s="272"/>
      <c r="F57" s="272" t="str">
        <f>'Fondasi Dalam'!F51</f>
        <v/>
      </c>
      <c r="G57" s="272" t="str">
        <f>'Fondasi Dalam'!G51</f>
        <v/>
      </c>
      <c r="H57" s="272" t="str">
        <f>'Fondasi Dalam'!H51</f>
        <v/>
      </c>
      <c r="I57" s="272"/>
    </row>
    <row r="58" spans="2:9" ht="18.75" customHeight="1" x14ac:dyDescent="0.25">
      <c r="B58" s="275" t="s">
        <v>94</v>
      </c>
      <c r="C58" s="272">
        <f>'Fondasi Dalam'!C52</f>
        <v>4</v>
      </c>
      <c r="D58" s="52"/>
      <c r="E58" s="50"/>
      <c r="F58" s="53" t="s">
        <v>94</v>
      </c>
      <c r="G58" s="272">
        <f>'Fondasi Dalam'!G52</f>
        <v>4</v>
      </c>
      <c r="H58" s="52"/>
      <c r="I58" s="50"/>
    </row>
    <row r="59" spans="2:9" ht="18.75" customHeight="1" x14ac:dyDescent="0.25">
      <c r="B59" s="55" t="s">
        <v>98</v>
      </c>
      <c r="C59" s="56"/>
      <c r="D59" s="56"/>
      <c r="E59" s="56"/>
      <c r="F59" s="56"/>
      <c r="G59" s="56"/>
      <c r="H59" s="57" t="s">
        <v>99</v>
      </c>
      <c r="I59" s="272">
        <f>'Fondasi Dalam'!I53</f>
        <v>1.8</v>
      </c>
    </row>
    <row r="60" spans="2:9" ht="18.75" customHeight="1" x14ac:dyDescent="0.25">
      <c r="B60" s="55" t="s">
        <v>100</v>
      </c>
      <c r="C60" s="56"/>
      <c r="D60" s="56"/>
      <c r="E60" s="56"/>
      <c r="F60" s="56"/>
      <c r="G60" s="56"/>
      <c r="H60" s="57" t="s">
        <v>101</v>
      </c>
      <c r="I60" s="272">
        <f>'Fondasi Dalam'!I54</f>
        <v>1.8</v>
      </c>
    </row>
    <row r="62" spans="2:9" ht="18.75" customHeight="1" x14ac:dyDescent="0.25">
      <c r="B62" s="270" t="s">
        <v>475</v>
      </c>
    </row>
    <row r="63" spans="2:9" ht="18.75" customHeight="1" x14ac:dyDescent="0.25">
      <c r="B63" s="464" t="s">
        <v>56</v>
      </c>
      <c r="C63" s="465"/>
      <c r="D63" s="465"/>
      <c r="E63" s="465"/>
      <c r="F63" s="465"/>
      <c r="G63" s="466"/>
      <c r="H63" s="377" t="s">
        <v>66</v>
      </c>
      <c r="I63" s="377" t="s">
        <v>67</v>
      </c>
    </row>
    <row r="64" spans="2:9" ht="18.75" customHeight="1" x14ac:dyDescent="0.25">
      <c r="B64" s="254"/>
      <c r="C64" s="91"/>
      <c r="D64" s="91"/>
      <c r="E64" s="91"/>
      <c r="F64" s="91"/>
      <c r="G64" s="92" t="s">
        <v>123</v>
      </c>
      <c r="H64" s="35">
        <f>'Fondasi Dalam'!I85</f>
        <v>218.85917516469246</v>
      </c>
      <c r="I64" s="35">
        <f>'Fondasi Dalam'!J85</f>
        <v>237.41150016469246</v>
      </c>
    </row>
    <row r="65" spans="2:9" ht="18.75" customHeight="1" x14ac:dyDescent="0.25">
      <c r="B65" s="254"/>
      <c r="C65" s="91"/>
      <c r="D65" s="91"/>
      <c r="E65" s="91"/>
      <c r="F65" s="91"/>
      <c r="G65" s="92" t="s">
        <v>124</v>
      </c>
      <c r="H65" s="35">
        <f>'Fondasi Dalam'!I86</f>
        <v>80.861075164692451</v>
      </c>
      <c r="I65" s="35">
        <f>'Fondasi Dalam'!J86</f>
        <v>-20.69524983530755</v>
      </c>
    </row>
    <row r="66" spans="2:9" ht="18.75" customHeight="1" x14ac:dyDescent="0.25">
      <c r="B66" s="444" t="s">
        <v>54</v>
      </c>
      <c r="C66" s="445"/>
      <c r="D66" s="445"/>
      <c r="E66" s="445"/>
      <c r="F66" s="445"/>
      <c r="G66" s="446"/>
      <c r="H66" s="39" t="s">
        <v>66</v>
      </c>
      <c r="I66" s="39" t="s">
        <v>67</v>
      </c>
    </row>
    <row r="67" spans="2:9" ht="18.75" customHeight="1" x14ac:dyDescent="0.25">
      <c r="B67" s="254"/>
      <c r="C67" s="91"/>
      <c r="D67" s="91"/>
      <c r="E67" s="91"/>
      <c r="F67" s="91"/>
      <c r="G67" s="92" t="s">
        <v>123</v>
      </c>
      <c r="H67" s="35">
        <f>'Fondasi Dalam'!I88</f>
        <v>324.17047516469245</v>
      </c>
      <c r="I67" s="35">
        <f>'Fondasi Dalam'!J88</f>
        <v>281.14440016469246</v>
      </c>
    </row>
    <row r="68" spans="2:9" ht="18.75" customHeight="1" x14ac:dyDescent="0.25">
      <c r="B68" s="254"/>
      <c r="C68" s="91"/>
      <c r="D68" s="91"/>
      <c r="E68" s="91"/>
      <c r="F68" s="91"/>
      <c r="G68" s="92" t="s">
        <v>124</v>
      </c>
      <c r="H68" s="35">
        <f>'Fondasi Dalam'!I89</f>
        <v>-30.827724835307549</v>
      </c>
      <c r="I68" s="35">
        <f>'Fondasi Dalam'!J89</f>
        <v>-82.838399835307541</v>
      </c>
    </row>
    <row r="69" spans="2:9" ht="18.75" customHeight="1" x14ac:dyDescent="0.25">
      <c r="B69" s="447" t="s">
        <v>55</v>
      </c>
      <c r="C69" s="448"/>
      <c r="D69" s="448"/>
      <c r="E69" s="448"/>
      <c r="F69" s="448"/>
      <c r="G69" s="449"/>
      <c r="H69" s="40" t="s">
        <v>66</v>
      </c>
      <c r="I69" s="40" t="s">
        <v>67</v>
      </c>
    </row>
    <row r="70" spans="2:9" ht="18.75" customHeight="1" x14ac:dyDescent="0.25">
      <c r="B70" s="254"/>
      <c r="C70" s="91"/>
      <c r="D70" s="91"/>
      <c r="E70" s="91"/>
      <c r="F70" s="91"/>
      <c r="G70" s="92" t="s">
        <v>123</v>
      </c>
      <c r="H70" s="35">
        <f>'Fondasi Dalam'!I91</f>
        <v>248.92392516469243</v>
      </c>
      <c r="I70" s="35">
        <f>'Fondasi Dalam'!J91</f>
        <v>192.20590016469242</v>
      </c>
    </row>
    <row r="71" spans="2:9" ht="18.75" customHeight="1" x14ac:dyDescent="0.25">
      <c r="B71" s="294"/>
      <c r="C71" s="295"/>
      <c r="D71" s="295"/>
      <c r="E71" s="295"/>
      <c r="F71" s="295"/>
      <c r="G71" s="296" t="s">
        <v>124</v>
      </c>
      <c r="H71" s="35">
        <f>'Fondasi Dalam'!I92</f>
        <v>42.485825164692457</v>
      </c>
      <c r="I71" s="35">
        <f>'Fondasi Dalam'!J92</f>
        <v>-13.216899835307537</v>
      </c>
    </row>
    <row r="73" spans="2:9" ht="18.75" customHeight="1" x14ac:dyDescent="0.25">
      <c r="B73" s="270" t="s">
        <v>473</v>
      </c>
    </row>
    <row r="74" spans="2:9" ht="18.75" customHeight="1" x14ac:dyDescent="0.25">
      <c r="B74" s="489"/>
      <c r="C74" s="489"/>
      <c r="D74" s="489" t="s">
        <v>602</v>
      </c>
      <c r="E74" s="489"/>
      <c r="F74" s="489" t="s">
        <v>600</v>
      </c>
      <c r="G74" s="489"/>
      <c r="H74" s="489" t="s">
        <v>601</v>
      </c>
      <c r="I74" s="489"/>
    </row>
    <row r="75" spans="2:9" ht="18.75" customHeight="1" thickBot="1" x14ac:dyDescent="0.3">
      <c r="B75" s="489"/>
      <c r="C75" s="489"/>
      <c r="D75" s="481" t="s">
        <v>476</v>
      </c>
      <c r="E75" s="481"/>
      <c r="F75" s="481" t="s">
        <v>476</v>
      </c>
      <c r="G75" s="481"/>
      <c r="H75" s="481" t="s">
        <v>476</v>
      </c>
      <c r="I75" s="481"/>
    </row>
    <row r="76" spans="2:9" ht="18.75" customHeight="1" thickTop="1" x14ac:dyDescent="0.25">
      <c r="B76" s="498" t="s">
        <v>135</v>
      </c>
      <c r="C76" s="499"/>
      <c r="D76" s="490">
        <f>'Fondasi Dalam'!E104</f>
        <v>599.44050065876979</v>
      </c>
      <c r="E76" s="491"/>
      <c r="F76" s="490">
        <f>'Fondasi Dalam'!E114</f>
        <v>586.6855006587698</v>
      </c>
      <c r="G76" s="491"/>
      <c r="H76" s="490">
        <f>'Fondasi Dalam'!E124</f>
        <v>582.81950065876981</v>
      </c>
      <c r="I76" s="491"/>
    </row>
    <row r="77" spans="2:9" ht="18.75" customHeight="1" x14ac:dyDescent="0.25">
      <c r="B77" s="498" t="s">
        <v>137</v>
      </c>
      <c r="C77" s="499"/>
      <c r="D77" s="492">
        <f>'Fondasi Dalam'!G104</f>
        <v>1959.8696897306922</v>
      </c>
      <c r="E77" s="493"/>
      <c r="F77" s="492">
        <f>'Fondasi Dalam'!G114</f>
        <v>1959.8696897306922</v>
      </c>
      <c r="G77" s="493"/>
      <c r="H77" s="492">
        <f>'Fondasi Dalam'!G124</f>
        <v>1959.8696897306922</v>
      </c>
      <c r="I77" s="493"/>
    </row>
    <row r="78" spans="2:9" ht="18.75" customHeight="1" thickBot="1" x14ac:dyDescent="0.3">
      <c r="B78" s="494" t="s">
        <v>479</v>
      </c>
      <c r="C78" s="495"/>
      <c r="D78" s="500" t="str">
        <f>'Fondasi Dalam'!I104</f>
        <v>AMAN (OK)</v>
      </c>
      <c r="E78" s="501"/>
      <c r="F78" s="500" t="str">
        <f>'Fondasi Dalam'!I114</f>
        <v>AMAN (OK)</v>
      </c>
      <c r="G78" s="501"/>
      <c r="H78" s="500" t="str">
        <f>'Fondasi Dalam'!I124</f>
        <v>AMAN (OK)</v>
      </c>
      <c r="I78" s="501"/>
    </row>
    <row r="79" spans="2:9" ht="18.75" customHeight="1" thickTop="1" x14ac:dyDescent="0.25">
      <c r="B79" s="498" t="s">
        <v>139</v>
      </c>
      <c r="C79" s="499"/>
      <c r="D79" s="502">
        <f>'Fondasi Dalam'!E107</f>
        <v>-20.69524983530755</v>
      </c>
      <c r="E79" s="503"/>
      <c r="F79" s="502">
        <f>'Fondasi Dalam'!E117</f>
        <v>-82.838399835307541</v>
      </c>
      <c r="G79" s="503"/>
      <c r="H79" s="502">
        <f>'Fondasi Dalam'!E127</f>
        <v>42.485825164692457</v>
      </c>
      <c r="I79" s="503"/>
    </row>
    <row r="80" spans="2:9" ht="18.75" customHeight="1" x14ac:dyDescent="0.25">
      <c r="B80" s="496" t="s">
        <v>141</v>
      </c>
      <c r="C80" s="497"/>
      <c r="D80" s="504">
        <f>'Fondasi Dalam'!G107</f>
        <v>-73.30075576600639</v>
      </c>
      <c r="E80" s="505"/>
      <c r="F80" s="504">
        <f>'Fondasi Dalam'!G117</f>
        <v>-73.30075576600639</v>
      </c>
      <c r="G80" s="505"/>
      <c r="H80" s="504">
        <f>'Fondasi Dalam'!G127</f>
        <v>-73.30075576600639</v>
      </c>
      <c r="I80" s="505"/>
    </row>
    <row r="81" spans="2:9" ht="18.75" customHeight="1" thickBot="1" x14ac:dyDescent="0.3">
      <c r="B81" s="494" t="s">
        <v>478</v>
      </c>
      <c r="C81" s="495"/>
      <c r="D81" s="506" t="str">
        <f>'Fondasi Dalam'!I107</f>
        <v>AMAN (OK)</v>
      </c>
      <c r="E81" s="507"/>
      <c r="F81" s="506" t="str">
        <f>'Fondasi Dalam'!I117</f>
        <v>SISA GAYA DILIMPAHKAN</v>
      </c>
      <c r="G81" s="507"/>
      <c r="H81" s="506" t="str">
        <f>'Fondasi Dalam'!I127</f>
        <v>AMAN (OK)</v>
      </c>
      <c r="I81" s="507"/>
    </row>
    <row r="82" spans="2:9" ht="18.75" customHeight="1" thickTop="1" x14ac:dyDescent="0.25">
      <c r="B82" s="498" t="s">
        <v>142</v>
      </c>
      <c r="C82" s="499"/>
      <c r="D82" s="502">
        <f>'Fondasi Dalam'!E110</f>
        <v>237.41150016469246</v>
      </c>
      <c r="E82" s="503"/>
      <c r="F82" s="502">
        <f>'Fondasi Dalam'!E120</f>
        <v>354.44515593069883</v>
      </c>
      <c r="G82" s="503"/>
      <c r="H82" s="502">
        <f>'Fondasi Dalam'!E130</f>
        <v>248.92392516469243</v>
      </c>
      <c r="I82" s="503"/>
    </row>
    <row r="83" spans="2:9" ht="18.75" customHeight="1" x14ac:dyDescent="0.25">
      <c r="B83" s="498" t="s">
        <v>143</v>
      </c>
      <c r="C83" s="499"/>
      <c r="D83" s="504">
        <f>'Fondasi Dalam'!G110</f>
        <v>489.96742243267306</v>
      </c>
      <c r="E83" s="505"/>
      <c r="F83" s="504">
        <f>'Fondasi Dalam'!G120</f>
        <v>489.96742243267306</v>
      </c>
      <c r="G83" s="505"/>
      <c r="H83" s="504">
        <f>'Fondasi Dalam'!G130</f>
        <v>489.96742243267306</v>
      </c>
      <c r="I83" s="505"/>
    </row>
    <row r="84" spans="2:9" ht="18.75" customHeight="1" thickBot="1" x14ac:dyDescent="0.3">
      <c r="B84" s="494" t="s">
        <v>477</v>
      </c>
      <c r="C84" s="495"/>
      <c r="D84" s="506" t="str">
        <f>'Fondasi Dalam'!I110</f>
        <v>AMAN (OK)</v>
      </c>
      <c r="E84" s="507"/>
      <c r="F84" s="506" t="str">
        <f>'Fondasi Dalam'!I120</f>
        <v>AMAN (OK)</v>
      </c>
      <c r="G84" s="507"/>
      <c r="H84" s="506" t="str">
        <f>'Fondasi Dalam'!I130</f>
        <v>AMAN (OK)</v>
      </c>
      <c r="I84" s="507"/>
    </row>
    <row r="85" spans="2:9" ht="18.75" customHeight="1" thickTop="1" x14ac:dyDescent="0.25"/>
  </sheetData>
  <mergeCells count="48">
    <mergeCell ref="F81:G81"/>
    <mergeCell ref="F82:G82"/>
    <mergeCell ref="F83:G83"/>
    <mergeCell ref="F84:G84"/>
    <mergeCell ref="H76:I76"/>
    <mergeCell ref="H77:I77"/>
    <mergeCell ref="H78:I78"/>
    <mergeCell ref="H81:I81"/>
    <mergeCell ref="H82:I82"/>
    <mergeCell ref="H83:I83"/>
    <mergeCell ref="H84:I84"/>
    <mergeCell ref="F74:G74"/>
    <mergeCell ref="H74:I74"/>
    <mergeCell ref="F75:G75"/>
    <mergeCell ref="H75:I75"/>
    <mergeCell ref="F80:G80"/>
    <mergeCell ref="H79:I79"/>
    <mergeCell ref="H80:I80"/>
    <mergeCell ref="F76:G76"/>
    <mergeCell ref="F77:G77"/>
    <mergeCell ref="F78:G78"/>
    <mergeCell ref="F79:G79"/>
    <mergeCell ref="B84:C84"/>
    <mergeCell ref="D78:E78"/>
    <mergeCell ref="D79:E79"/>
    <mergeCell ref="D80:E80"/>
    <mergeCell ref="D81:E81"/>
    <mergeCell ref="D82:E82"/>
    <mergeCell ref="D83:E83"/>
    <mergeCell ref="D84:E84"/>
    <mergeCell ref="B82:C82"/>
    <mergeCell ref="B83:C83"/>
    <mergeCell ref="D74:E74"/>
    <mergeCell ref="D76:E76"/>
    <mergeCell ref="D77:E77"/>
    <mergeCell ref="B78:C78"/>
    <mergeCell ref="B81:C81"/>
    <mergeCell ref="D75:E75"/>
    <mergeCell ref="B74:C75"/>
    <mergeCell ref="B80:C80"/>
    <mergeCell ref="B76:C76"/>
    <mergeCell ref="B77:C77"/>
    <mergeCell ref="B79:C79"/>
    <mergeCell ref="B51:E51"/>
    <mergeCell ref="F51:I51"/>
    <mergeCell ref="B63:G63"/>
    <mergeCell ref="B66:G66"/>
    <mergeCell ref="B69:G6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DB4D1-818E-4060-8356-52F4BE135364}">
  <sheetPr>
    <tabColor rgb="FF7030A0"/>
  </sheetPr>
  <dimension ref="A1:L675"/>
  <sheetViews>
    <sheetView showGridLines="0" view="pageLayout" topLeftCell="A133" zoomScaleNormal="100" workbookViewId="0">
      <selection activeCell="G127" sqref="G127"/>
    </sheetView>
  </sheetViews>
  <sheetFormatPr defaultRowHeight="18.75" customHeight="1" x14ac:dyDescent="0.25"/>
  <cols>
    <col min="1" max="1" width="4.42578125" style="313" bestFit="1" customWidth="1"/>
    <col min="2" max="8" width="10.42578125" style="12" customWidth="1"/>
    <col min="9" max="9" width="10" style="12" customWidth="1"/>
    <col min="10" max="16384" width="9.140625" style="12"/>
  </cols>
  <sheetData>
    <row r="1" spans="1:9" ht="18.75" customHeight="1" x14ac:dyDescent="0.25">
      <c r="A1" s="531" t="s">
        <v>519</v>
      </c>
      <c r="B1" s="531"/>
      <c r="C1" s="531"/>
      <c r="D1" s="531"/>
      <c r="E1" s="531"/>
      <c r="F1" s="531"/>
      <c r="G1" s="531"/>
      <c r="H1" s="531"/>
      <c r="I1" s="531"/>
    </row>
    <row r="2" spans="1:9" ht="18.75" customHeight="1" x14ac:dyDescent="0.25">
      <c r="A2" s="270"/>
      <c r="D2" s="313"/>
      <c r="E2" s="313"/>
      <c r="F2" s="313"/>
      <c r="G2" s="313"/>
      <c r="H2" s="313"/>
      <c r="I2" s="313"/>
    </row>
    <row r="3" spans="1:9" ht="37.5" customHeight="1" x14ac:dyDescent="0.25">
      <c r="A3" s="532"/>
      <c r="B3" s="532"/>
      <c r="C3" s="532"/>
      <c r="D3" s="274" t="s">
        <v>520</v>
      </c>
      <c r="F3" s="533" t="s">
        <v>527</v>
      </c>
      <c r="G3" s="534"/>
      <c r="H3" s="534"/>
      <c r="I3" s="535"/>
    </row>
    <row r="4" spans="1:9" ht="18.75" customHeight="1" x14ac:dyDescent="0.25">
      <c r="A4" s="532"/>
      <c r="B4" s="532"/>
      <c r="C4" s="532"/>
      <c r="D4" s="274" t="s">
        <v>521</v>
      </c>
      <c r="F4" s="536" t="s">
        <v>522</v>
      </c>
      <c r="G4" s="537"/>
      <c r="H4" s="537"/>
      <c r="I4" s="538"/>
    </row>
    <row r="5" spans="1:9" ht="18.75" customHeight="1" x14ac:dyDescent="0.25">
      <c r="A5" s="532"/>
      <c r="B5" s="532"/>
      <c r="C5" s="532"/>
      <c r="D5" s="274" t="s">
        <v>523</v>
      </c>
      <c r="F5" s="539" t="s">
        <v>524</v>
      </c>
      <c r="G5" s="537"/>
      <c r="H5" s="537"/>
      <c r="I5" s="538"/>
    </row>
    <row r="6" spans="1:9" ht="18.75" customHeight="1" x14ac:dyDescent="0.25">
      <c r="A6" s="532"/>
      <c r="B6" s="532"/>
      <c r="C6" s="532"/>
      <c r="D6" s="274" t="s">
        <v>525</v>
      </c>
      <c r="F6" s="540" t="s">
        <v>526</v>
      </c>
      <c r="G6" s="537"/>
      <c r="H6" s="537"/>
      <c r="I6" s="538"/>
    </row>
    <row r="7" spans="1:9" ht="18.75" customHeight="1" x14ac:dyDescent="0.25">
      <c r="A7" s="12"/>
    </row>
    <row r="8" spans="1:9" ht="18.75" customHeight="1" x14ac:dyDescent="0.25">
      <c r="A8" s="386" t="s">
        <v>36</v>
      </c>
      <c r="B8" s="387" t="s">
        <v>485</v>
      </c>
      <c r="C8" s="387"/>
      <c r="D8" s="387"/>
      <c r="E8" s="387"/>
      <c r="F8" s="387"/>
      <c r="G8" s="387"/>
      <c r="H8" s="387"/>
      <c r="I8" s="387"/>
    </row>
    <row r="9" spans="1:9" ht="18.75" customHeight="1" x14ac:dyDescent="0.25">
      <c r="A9" s="307" t="s">
        <v>5</v>
      </c>
      <c r="B9" s="88" t="s">
        <v>487</v>
      </c>
      <c r="C9" s="89"/>
      <c r="D9" s="89"/>
      <c r="E9" s="89"/>
      <c r="F9" s="89"/>
      <c r="G9" s="89"/>
      <c r="H9" s="89"/>
      <c r="I9" s="89"/>
    </row>
    <row r="10" spans="1:9" ht="18.75" customHeight="1" x14ac:dyDescent="0.25">
      <c r="A10" s="308"/>
      <c r="B10" s="91" t="s">
        <v>146</v>
      </c>
      <c r="C10" s="91"/>
      <c r="D10" s="91"/>
      <c r="E10" s="91"/>
      <c r="F10" s="91"/>
      <c r="G10" s="92" t="s">
        <v>23</v>
      </c>
      <c r="H10" s="309">
        <f>'Input (1)'!H4</f>
        <v>0.4</v>
      </c>
      <c r="I10" s="300" t="s">
        <v>6</v>
      </c>
    </row>
    <row r="11" spans="1:9" ht="18.75" customHeight="1" x14ac:dyDescent="0.25">
      <c r="A11" s="308"/>
      <c r="B11" s="91"/>
      <c r="C11" s="91"/>
      <c r="D11" s="91"/>
      <c r="E11" s="91"/>
      <c r="F11" s="91"/>
      <c r="G11" s="92" t="s">
        <v>147</v>
      </c>
      <c r="H11" s="309">
        <f>'Input (1)'!H5</f>
        <v>0.6</v>
      </c>
      <c r="I11" s="300" t="s">
        <v>6</v>
      </c>
    </row>
    <row r="12" spans="1:9" ht="18.75" customHeight="1" x14ac:dyDescent="0.25">
      <c r="A12" s="308"/>
      <c r="B12" s="91" t="s">
        <v>451</v>
      </c>
      <c r="C12" s="91"/>
      <c r="D12" s="91"/>
      <c r="E12" s="91"/>
      <c r="F12" s="91"/>
      <c r="G12" s="92" t="s">
        <v>7</v>
      </c>
      <c r="H12" s="309">
        <f>'Input (1)'!H6</f>
        <v>0.4</v>
      </c>
      <c r="I12" s="300" t="s">
        <v>6</v>
      </c>
    </row>
    <row r="13" spans="1:9" ht="18.75" customHeight="1" x14ac:dyDescent="0.25">
      <c r="A13" s="308"/>
      <c r="B13" s="91" t="s">
        <v>8</v>
      </c>
      <c r="C13" s="91"/>
      <c r="D13" s="91"/>
      <c r="E13" s="91"/>
      <c r="F13" s="91"/>
      <c r="G13" s="92" t="s">
        <v>9</v>
      </c>
      <c r="H13" s="309">
        <f>'Input (1)'!H7</f>
        <v>2.1</v>
      </c>
      <c r="I13" s="300" t="s">
        <v>6</v>
      </c>
    </row>
    <row r="14" spans="1:9" ht="18.75" customHeight="1" x14ac:dyDescent="0.25">
      <c r="A14" s="225"/>
      <c r="B14" s="94" t="s">
        <v>10</v>
      </c>
      <c r="C14" s="94"/>
      <c r="D14" s="95"/>
      <c r="E14" s="96"/>
      <c r="F14" s="97"/>
      <c r="G14" s="98" t="s">
        <v>11</v>
      </c>
      <c r="H14" s="309">
        <f>'Input (1)'!H10</f>
        <v>100</v>
      </c>
      <c r="I14" s="224" t="s">
        <v>12</v>
      </c>
    </row>
    <row r="15" spans="1:9" ht="18.75" customHeight="1" x14ac:dyDescent="0.25">
      <c r="A15" s="308"/>
      <c r="B15" s="91" t="s">
        <v>516</v>
      </c>
      <c r="C15" s="91"/>
      <c r="D15" s="91"/>
      <c r="E15" s="91"/>
      <c r="F15" s="91"/>
    </row>
    <row r="16" spans="1:9" ht="18.75" customHeight="1" x14ac:dyDescent="0.25">
      <c r="A16" s="308"/>
      <c r="B16" s="91"/>
      <c r="C16" s="91" t="s">
        <v>517</v>
      </c>
      <c r="D16" s="91"/>
      <c r="E16" s="91"/>
      <c r="F16" s="91"/>
      <c r="G16" s="92" t="s">
        <v>351</v>
      </c>
      <c r="H16" s="273">
        <f>'Input (1)'!H8</f>
        <v>5</v>
      </c>
      <c r="I16" s="300" t="s">
        <v>144</v>
      </c>
    </row>
    <row r="17" spans="1:9" ht="18.75" customHeight="1" x14ac:dyDescent="0.25">
      <c r="A17" s="308"/>
      <c r="B17" s="91"/>
      <c r="C17" s="91" t="s">
        <v>518</v>
      </c>
      <c r="D17" s="91"/>
      <c r="E17" s="91"/>
      <c r="F17" s="91"/>
      <c r="G17" s="92" t="s">
        <v>350</v>
      </c>
      <c r="H17" s="273">
        <f>'Input (1)'!H9</f>
        <v>16</v>
      </c>
      <c r="I17" s="300" t="s">
        <v>144</v>
      </c>
    </row>
    <row r="18" spans="1:9" ht="18.75" customHeight="1" x14ac:dyDescent="0.25">
      <c r="A18" s="314"/>
      <c r="B18" s="100"/>
      <c r="C18" s="100"/>
      <c r="D18" s="100"/>
      <c r="E18" s="100"/>
      <c r="F18" s="100"/>
      <c r="G18" s="100"/>
      <c r="H18" s="100"/>
      <c r="I18" s="301"/>
    </row>
    <row r="19" spans="1:9" ht="18.75" customHeight="1" x14ac:dyDescent="0.25">
      <c r="A19" s="307" t="s">
        <v>13</v>
      </c>
      <c r="B19" s="88" t="s">
        <v>488</v>
      </c>
      <c r="C19" s="89"/>
      <c r="D19" s="89"/>
      <c r="E19" s="89"/>
      <c r="F19" s="89"/>
      <c r="G19" s="89"/>
      <c r="H19" s="102"/>
      <c r="I19" s="302"/>
    </row>
    <row r="20" spans="1:9" ht="18.75" customHeight="1" x14ac:dyDescent="0.25">
      <c r="A20" s="308"/>
      <c r="B20" s="104"/>
      <c r="C20" s="91"/>
      <c r="D20" s="91"/>
      <c r="E20" s="91"/>
      <c r="F20" s="91"/>
      <c r="G20" s="91"/>
      <c r="H20" s="92"/>
      <c r="I20" s="303"/>
    </row>
    <row r="21" spans="1:9" ht="18.75" customHeight="1" x14ac:dyDescent="0.25">
      <c r="A21" s="308"/>
      <c r="B21" s="104"/>
      <c r="C21" s="91"/>
      <c r="D21" s="91"/>
      <c r="E21" s="91"/>
      <c r="F21" s="91"/>
      <c r="G21" s="91"/>
      <c r="H21" s="92"/>
      <c r="I21" s="303"/>
    </row>
    <row r="22" spans="1:9" ht="18.75" customHeight="1" x14ac:dyDescent="0.25">
      <c r="A22" s="308"/>
      <c r="B22" s="104"/>
      <c r="C22" s="91"/>
      <c r="D22" s="91"/>
      <c r="E22" s="91"/>
      <c r="F22" s="91"/>
      <c r="G22" s="91"/>
      <c r="H22" s="92"/>
      <c r="I22" s="303"/>
    </row>
    <row r="23" spans="1:9" ht="18.75" customHeight="1" x14ac:dyDescent="0.25">
      <c r="A23" s="308"/>
      <c r="B23" s="104"/>
      <c r="C23" s="91"/>
      <c r="D23" s="91"/>
      <c r="E23" s="91"/>
      <c r="F23" s="91"/>
      <c r="G23" s="91"/>
      <c r="H23" s="92"/>
      <c r="I23" s="303"/>
    </row>
    <row r="24" spans="1:9" ht="18.75" customHeight="1" x14ac:dyDescent="0.25">
      <c r="A24" s="308"/>
      <c r="B24" s="104"/>
      <c r="C24" s="91"/>
      <c r="D24" s="91"/>
      <c r="E24" s="91"/>
      <c r="F24" s="91"/>
      <c r="G24" s="91"/>
      <c r="H24" s="92"/>
      <c r="I24" s="303"/>
    </row>
    <row r="25" spans="1:9" ht="18.75" customHeight="1" x14ac:dyDescent="0.25">
      <c r="A25" s="308"/>
      <c r="B25" s="104"/>
      <c r="C25" s="91"/>
      <c r="D25" s="91"/>
      <c r="E25" s="91"/>
      <c r="F25" s="91"/>
      <c r="G25" s="91"/>
      <c r="H25" s="92"/>
      <c r="I25" s="303"/>
    </row>
    <row r="26" spans="1:9" ht="18.75" customHeight="1" x14ac:dyDescent="0.25">
      <c r="A26" s="308"/>
      <c r="B26" s="104"/>
      <c r="C26" s="91"/>
      <c r="D26" s="91"/>
      <c r="E26" s="91"/>
      <c r="F26" s="91"/>
      <c r="G26" s="91"/>
      <c r="H26" s="92"/>
      <c r="I26" s="303"/>
    </row>
    <row r="27" spans="1:9" ht="18.75" customHeight="1" x14ac:dyDescent="0.25">
      <c r="A27" s="308"/>
      <c r="B27" s="104"/>
      <c r="C27" s="91"/>
      <c r="D27" s="91"/>
      <c r="E27" s="91"/>
      <c r="F27" s="91"/>
      <c r="G27" s="91"/>
      <c r="H27" s="92"/>
      <c r="I27" s="303"/>
    </row>
    <row r="28" spans="1:9" ht="18.75" customHeight="1" x14ac:dyDescent="0.25">
      <c r="A28" s="308"/>
      <c r="B28" s="104"/>
      <c r="C28" s="91"/>
      <c r="D28" s="91"/>
      <c r="E28" s="91"/>
      <c r="F28" s="91"/>
      <c r="G28" s="91"/>
      <c r="H28" s="92"/>
      <c r="I28" s="303"/>
    </row>
    <row r="29" spans="1:9" ht="18.75" customHeight="1" x14ac:dyDescent="0.25">
      <c r="A29" s="308"/>
      <c r="B29" s="104"/>
      <c r="C29" s="91"/>
      <c r="D29" s="91"/>
      <c r="E29" s="91"/>
      <c r="F29" s="91"/>
      <c r="G29" s="91"/>
      <c r="H29" s="92"/>
      <c r="I29" s="303"/>
    </row>
    <row r="30" spans="1:9" ht="18.75" customHeight="1" x14ac:dyDescent="0.25">
      <c r="A30" s="308"/>
      <c r="B30" s="104"/>
      <c r="C30" s="91"/>
      <c r="D30" s="91"/>
      <c r="E30" s="91"/>
      <c r="F30" s="91"/>
      <c r="G30" s="91"/>
      <c r="H30" s="92"/>
      <c r="I30" s="303"/>
    </row>
    <row r="31" spans="1:9" ht="18.75" customHeight="1" x14ac:dyDescent="0.25">
      <c r="A31" s="308"/>
      <c r="B31" s="104"/>
      <c r="C31" s="91"/>
      <c r="D31" s="91"/>
      <c r="E31" s="91"/>
      <c r="F31" s="91"/>
      <c r="G31" s="91"/>
      <c r="H31" s="92"/>
      <c r="I31" s="303"/>
    </row>
    <row r="32" spans="1:9" ht="18.75" customHeight="1" x14ac:dyDescent="0.25">
      <c r="A32" s="308"/>
      <c r="B32" s="104"/>
      <c r="C32" s="91"/>
      <c r="D32" s="91"/>
      <c r="E32" s="91"/>
      <c r="F32" s="91"/>
      <c r="G32" s="91"/>
      <c r="H32" s="92"/>
      <c r="I32" s="303"/>
    </row>
    <row r="33" spans="1:9" ht="18.75" customHeight="1" x14ac:dyDescent="0.25">
      <c r="A33" s="308"/>
      <c r="B33" s="104"/>
      <c r="C33" s="91"/>
      <c r="D33" s="91"/>
      <c r="E33" s="91"/>
      <c r="F33" s="91"/>
      <c r="G33" s="91"/>
      <c r="H33" s="92"/>
      <c r="I33" s="303"/>
    </row>
    <row r="34" spans="1:9" ht="18.75" customHeight="1" x14ac:dyDescent="0.25">
      <c r="A34" s="308"/>
      <c r="B34" s="104"/>
      <c r="C34" s="91"/>
      <c r="D34" s="91"/>
      <c r="E34" s="91"/>
      <c r="F34" s="91"/>
      <c r="G34" s="91"/>
      <c r="H34" s="92"/>
      <c r="I34" s="303"/>
    </row>
    <row r="35" spans="1:9" ht="18.75" customHeight="1" x14ac:dyDescent="0.25">
      <c r="A35" s="308"/>
      <c r="B35" s="104"/>
      <c r="C35" s="91"/>
      <c r="D35" s="91"/>
      <c r="E35" s="91"/>
      <c r="F35" s="91"/>
      <c r="G35" s="91"/>
      <c r="H35" s="92"/>
      <c r="I35" s="303"/>
    </row>
    <row r="36" spans="1:9" ht="18.75" customHeight="1" x14ac:dyDescent="0.25">
      <c r="A36" s="308"/>
      <c r="B36" s="104"/>
      <c r="C36" s="91"/>
      <c r="D36" s="91"/>
      <c r="E36" s="91"/>
      <c r="F36" s="91"/>
      <c r="G36" s="91"/>
      <c r="H36" s="92"/>
      <c r="I36" s="303"/>
    </row>
    <row r="37" spans="1:9" ht="18.75" customHeight="1" x14ac:dyDescent="0.25">
      <c r="A37" s="308"/>
      <c r="B37" s="104"/>
      <c r="C37" s="91"/>
      <c r="D37" s="91"/>
      <c r="E37" s="91"/>
      <c r="F37" s="91"/>
      <c r="G37" s="91"/>
      <c r="H37" s="92"/>
      <c r="I37" s="303"/>
    </row>
    <row r="38" spans="1:9" ht="18.75" customHeight="1" x14ac:dyDescent="0.25">
      <c r="A38" s="308"/>
      <c r="B38" s="104"/>
      <c r="C38" s="91"/>
      <c r="D38" s="91"/>
      <c r="E38" s="91"/>
      <c r="F38" s="91"/>
      <c r="G38" s="91"/>
      <c r="H38" s="92"/>
      <c r="I38" s="303"/>
    </row>
    <row r="39" spans="1:9" ht="18.75" customHeight="1" x14ac:dyDescent="0.25">
      <c r="A39" s="308"/>
      <c r="B39" s="406" t="s">
        <v>549</v>
      </c>
      <c r="C39" s="91"/>
      <c r="D39" s="91"/>
      <c r="E39" s="91"/>
      <c r="F39" s="91"/>
      <c r="G39" s="91"/>
      <c r="H39" s="92"/>
      <c r="I39" s="303"/>
    </row>
    <row r="40" spans="1:9" ht="18.75" customHeight="1" x14ac:dyDescent="0.25">
      <c r="A40" s="308"/>
      <c r="B40" s="91" t="s">
        <v>531</v>
      </c>
      <c r="C40" s="91"/>
      <c r="D40" s="91"/>
      <c r="E40" s="91"/>
      <c r="F40" s="91"/>
      <c r="G40" s="92" t="s">
        <v>15</v>
      </c>
      <c r="H40" s="309">
        <f>'Input (1)'!H36</f>
        <v>0.3</v>
      </c>
      <c r="I40" s="300" t="s">
        <v>6</v>
      </c>
    </row>
    <row r="41" spans="1:9" ht="18.75" customHeight="1" x14ac:dyDescent="0.25">
      <c r="A41" s="308"/>
      <c r="B41" s="91" t="s">
        <v>16</v>
      </c>
      <c r="C41" s="91"/>
      <c r="D41" s="91"/>
      <c r="E41" s="91"/>
      <c r="F41" s="91"/>
      <c r="G41" s="92" t="s">
        <v>17</v>
      </c>
      <c r="H41" s="309">
        <f>'Input (1)'!H37</f>
        <v>2.5</v>
      </c>
      <c r="I41" s="310" t="s">
        <v>156</v>
      </c>
    </row>
    <row r="42" spans="1:9" ht="18.75" customHeight="1" x14ac:dyDescent="0.25">
      <c r="A42" s="308"/>
      <c r="B42" s="91" t="s">
        <v>532</v>
      </c>
      <c r="C42" s="91"/>
      <c r="D42" s="91"/>
      <c r="E42" s="91"/>
      <c r="F42" s="91"/>
      <c r="G42" s="92" t="s">
        <v>17</v>
      </c>
      <c r="H42" s="309">
        <f>'Input (1)'!H38</f>
        <v>7.5</v>
      </c>
      <c r="I42" s="310" t="s">
        <v>156</v>
      </c>
    </row>
    <row r="43" spans="1:9" ht="18.75" customHeight="1" x14ac:dyDescent="0.25">
      <c r="A43" s="308"/>
      <c r="B43" s="91" t="s">
        <v>533</v>
      </c>
      <c r="C43" s="91"/>
      <c r="D43" s="91"/>
      <c r="E43" s="91"/>
      <c r="F43" s="91"/>
      <c r="G43" s="92" t="s">
        <v>530</v>
      </c>
      <c r="H43" s="309">
        <f>'Input (1)'!H41</f>
        <v>0.4</v>
      </c>
      <c r="I43" s="300" t="s">
        <v>6</v>
      </c>
    </row>
    <row r="44" spans="1:9" ht="18.75" customHeight="1" x14ac:dyDescent="0.25">
      <c r="A44" s="308"/>
      <c r="B44" s="91" t="s">
        <v>534</v>
      </c>
      <c r="C44" s="91"/>
      <c r="D44" s="91"/>
      <c r="E44" s="91"/>
      <c r="F44" s="91"/>
      <c r="G44" s="92" t="s">
        <v>528</v>
      </c>
      <c r="H44" s="311">
        <f>'Input (1)'!H39</f>
        <v>2</v>
      </c>
      <c r="I44" s="304"/>
    </row>
    <row r="45" spans="1:9" ht="18.75" customHeight="1" x14ac:dyDescent="0.25">
      <c r="A45" s="308"/>
      <c r="B45" s="91" t="s">
        <v>535</v>
      </c>
      <c r="C45" s="91"/>
      <c r="D45" s="91"/>
      <c r="E45" s="91"/>
      <c r="F45" s="91"/>
      <c r="G45" s="92" t="s">
        <v>529</v>
      </c>
      <c r="H45" s="311">
        <f>'Input (1)'!H40</f>
        <v>2</v>
      </c>
      <c r="I45" s="304"/>
    </row>
    <row r="46" spans="1:9" ht="18.75" customHeight="1" x14ac:dyDescent="0.25">
      <c r="A46" s="308"/>
      <c r="B46" s="91" t="s">
        <v>536</v>
      </c>
      <c r="C46" s="91"/>
      <c r="D46" s="91"/>
      <c r="E46" s="91"/>
      <c r="F46" s="91"/>
      <c r="G46" s="92" t="s">
        <v>25</v>
      </c>
      <c r="H46" s="309">
        <f>'Input (1)'!H42</f>
        <v>1</v>
      </c>
      <c r="I46" s="300" t="s">
        <v>6</v>
      </c>
    </row>
    <row r="47" spans="1:9" ht="18.75" customHeight="1" x14ac:dyDescent="0.25">
      <c r="A47" s="308"/>
      <c r="B47" s="405" t="s">
        <v>157</v>
      </c>
      <c r="C47" s="91"/>
      <c r="D47" s="91"/>
      <c r="E47" s="91"/>
      <c r="F47" s="91"/>
      <c r="G47" s="92"/>
      <c r="H47" s="23"/>
      <c r="I47" s="300"/>
    </row>
    <row r="48" spans="1:9" ht="18.75" customHeight="1" x14ac:dyDescent="0.25">
      <c r="A48" s="314"/>
      <c r="B48" s="100"/>
      <c r="C48" s="100"/>
      <c r="D48" s="100"/>
      <c r="E48" s="100"/>
      <c r="F48" s="100"/>
      <c r="G48" s="100"/>
      <c r="H48" s="100"/>
      <c r="I48" s="301"/>
    </row>
    <row r="49" spans="1:9" ht="18.75" customHeight="1" x14ac:dyDescent="0.25">
      <c r="A49" s="307" t="s">
        <v>26</v>
      </c>
      <c r="B49" s="108" t="s">
        <v>489</v>
      </c>
      <c r="C49" s="109"/>
      <c r="D49" s="109"/>
      <c r="E49" s="109"/>
      <c r="F49" s="109"/>
      <c r="G49" s="110"/>
      <c r="H49" s="109"/>
      <c r="I49" s="305"/>
    </row>
    <row r="50" spans="1:9" ht="18.75" customHeight="1" x14ac:dyDescent="0.25">
      <c r="A50" s="314"/>
      <c r="B50" s="91" t="s">
        <v>27</v>
      </c>
      <c r="C50" s="91"/>
      <c r="D50" s="91"/>
      <c r="E50" s="91"/>
      <c r="F50" s="91"/>
      <c r="G50" s="92" t="s">
        <v>410</v>
      </c>
      <c r="H50" s="309">
        <f>'Input (1)'!H47</f>
        <v>30</v>
      </c>
      <c r="I50" s="300" t="s">
        <v>28</v>
      </c>
    </row>
    <row r="51" spans="1:9" ht="18.75" customHeight="1" x14ac:dyDescent="0.25">
      <c r="A51" s="314"/>
      <c r="B51" s="100" t="s">
        <v>30</v>
      </c>
      <c r="C51" s="100"/>
      <c r="D51" s="100"/>
      <c r="E51" s="100"/>
      <c r="F51" s="100"/>
      <c r="G51" s="112" t="s">
        <v>31</v>
      </c>
      <c r="H51" s="309">
        <f>'Input (1)'!H48</f>
        <v>400</v>
      </c>
      <c r="I51" s="301" t="s">
        <v>28</v>
      </c>
    </row>
    <row r="52" spans="1:9" ht="18.75" customHeight="1" x14ac:dyDescent="0.25">
      <c r="A52" s="314"/>
      <c r="B52" s="94" t="s">
        <v>32</v>
      </c>
      <c r="C52" s="100"/>
      <c r="D52" s="100"/>
      <c r="E52" s="100"/>
      <c r="F52" s="100"/>
      <c r="G52" s="112" t="s">
        <v>33</v>
      </c>
      <c r="H52" s="311">
        <f>'Input (1)'!H49</f>
        <v>200000</v>
      </c>
      <c r="I52" s="301" t="s">
        <v>28</v>
      </c>
    </row>
    <row r="53" spans="1:9" ht="18.75" customHeight="1" x14ac:dyDescent="0.25">
      <c r="A53" s="225"/>
      <c r="B53" s="94" t="s">
        <v>34</v>
      </c>
      <c r="C53" s="95"/>
      <c r="D53" s="95"/>
      <c r="E53" s="96"/>
      <c r="F53" s="97"/>
      <c r="G53" s="98" t="s">
        <v>15</v>
      </c>
      <c r="H53" s="311">
        <f>'Input (1)'!H50</f>
        <v>19</v>
      </c>
      <c r="I53" s="224" t="s">
        <v>12</v>
      </c>
    </row>
    <row r="54" spans="1:9" ht="18.75" customHeight="1" x14ac:dyDescent="0.25">
      <c r="A54" s="225"/>
      <c r="B54" s="94" t="s">
        <v>35</v>
      </c>
      <c r="C54" s="95"/>
      <c r="D54" s="95"/>
      <c r="E54" s="96"/>
      <c r="F54" s="97"/>
      <c r="G54" s="98" t="s">
        <v>15</v>
      </c>
      <c r="H54" s="311">
        <f>'Input (1)'!H51</f>
        <v>13</v>
      </c>
      <c r="I54" s="224" t="s">
        <v>12</v>
      </c>
    </row>
    <row r="55" spans="1:9" ht="18.75" customHeight="1" x14ac:dyDescent="0.25">
      <c r="A55" s="314"/>
      <c r="B55" s="100"/>
      <c r="C55" s="100"/>
      <c r="D55" s="100"/>
      <c r="E55" s="100"/>
      <c r="F55" s="100"/>
      <c r="G55" s="100"/>
      <c r="H55" s="100"/>
      <c r="I55" s="100"/>
    </row>
    <row r="56" spans="1:9" ht="18.75" customHeight="1" x14ac:dyDescent="0.25">
      <c r="A56" s="307" t="s">
        <v>29</v>
      </c>
      <c r="B56" s="108" t="s">
        <v>490</v>
      </c>
      <c r="C56" s="114"/>
      <c r="D56" s="114"/>
      <c r="E56" s="114"/>
      <c r="F56" s="114"/>
      <c r="G56" s="114"/>
      <c r="H56" s="114"/>
      <c r="I56" s="114"/>
    </row>
    <row r="57" spans="1:9" ht="18.75" customHeight="1" x14ac:dyDescent="0.25">
      <c r="A57" s="308"/>
      <c r="B57" s="91" t="s">
        <v>148</v>
      </c>
      <c r="C57" s="116"/>
      <c r="D57" s="116"/>
      <c r="E57" s="116"/>
      <c r="F57" s="116"/>
      <c r="G57" s="92" t="s">
        <v>64</v>
      </c>
      <c r="H57" s="309">
        <f>'Input (1)'!H54</f>
        <v>17.2</v>
      </c>
      <c r="I57" s="300" t="s">
        <v>62</v>
      </c>
    </row>
    <row r="58" spans="1:9" ht="18.75" customHeight="1" x14ac:dyDescent="0.25">
      <c r="A58" s="314"/>
      <c r="B58" s="117" t="s">
        <v>149</v>
      </c>
      <c r="C58" s="117"/>
      <c r="D58" s="117"/>
      <c r="E58" s="117"/>
      <c r="F58" s="117"/>
      <c r="G58" s="92" t="s">
        <v>150</v>
      </c>
      <c r="H58" s="309">
        <f>'Input (1)'!H55</f>
        <v>24</v>
      </c>
      <c r="I58" s="300" t="s">
        <v>62</v>
      </c>
    </row>
    <row r="59" spans="1:9" ht="18.75" customHeight="1" x14ac:dyDescent="0.25">
      <c r="A59" s="314"/>
      <c r="B59" s="117"/>
      <c r="C59" s="117"/>
      <c r="D59" s="117"/>
      <c r="E59" s="117"/>
      <c r="F59" s="117"/>
      <c r="G59" s="92"/>
      <c r="H59" s="118"/>
      <c r="I59" s="300"/>
    </row>
    <row r="60" spans="1:9" ht="18.75" customHeight="1" x14ac:dyDescent="0.25">
      <c r="A60" s="307" t="s">
        <v>486</v>
      </c>
      <c r="B60" s="108" t="s">
        <v>624</v>
      </c>
      <c r="C60" s="114"/>
      <c r="D60" s="114"/>
      <c r="E60" s="114"/>
      <c r="F60" s="114"/>
      <c r="G60" s="114"/>
      <c r="H60" s="114"/>
      <c r="I60" s="306"/>
    </row>
    <row r="61" spans="1:9" ht="18.75" customHeight="1" x14ac:dyDescent="0.25">
      <c r="A61" s="308"/>
      <c r="B61" s="91" t="s">
        <v>537</v>
      </c>
      <c r="C61" s="91"/>
      <c r="D61" s="91"/>
      <c r="E61" s="91"/>
      <c r="F61" s="91"/>
      <c r="G61" s="92" t="s">
        <v>152</v>
      </c>
      <c r="H61" s="309">
        <f>'Input (1)'!H58</f>
        <v>1250</v>
      </c>
      <c r="I61" s="300" t="s">
        <v>69</v>
      </c>
    </row>
    <row r="62" spans="1:9" ht="18.75" customHeight="1" x14ac:dyDescent="0.25">
      <c r="A62" s="314"/>
      <c r="B62" s="91" t="s">
        <v>538</v>
      </c>
      <c r="C62" s="100"/>
      <c r="D62" s="100"/>
      <c r="E62" s="100"/>
      <c r="F62" s="100"/>
      <c r="G62" s="92" t="s">
        <v>153</v>
      </c>
      <c r="H62" s="309">
        <f>'Input (1)'!H59</f>
        <v>450</v>
      </c>
      <c r="I62" s="300" t="s">
        <v>69</v>
      </c>
    </row>
    <row r="63" spans="1:9" ht="18.75" customHeight="1" x14ac:dyDescent="0.25">
      <c r="A63" s="314"/>
      <c r="B63" s="100" t="s">
        <v>159</v>
      </c>
      <c r="C63" s="100"/>
      <c r="D63" s="100"/>
      <c r="E63" s="100"/>
      <c r="F63" s="100"/>
      <c r="G63" s="92" t="s">
        <v>154</v>
      </c>
      <c r="H63" s="311">
        <f>'Input (1)'!H60</f>
        <v>3</v>
      </c>
      <c r="I63" s="300"/>
    </row>
    <row r="64" spans="1:9" ht="18.75" customHeight="1" x14ac:dyDescent="0.25">
      <c r="A64" s="314"/>
      <c r="B64" s="100" t="s">
        <v>160</v>
      </c>
      <c r="C64" s="100"/>
      <c r="D64" s="100"/>
      <c r="E64" s="100"/>
      <c r="F64" s="100"/>
      <c r="G64" s="92" t="s">
        <v>154</v>
      </c>
      <c r="H64" s="311">
        <f>'Input (1)'!H61</f>
        <v>5</v>
      </c>
      <c r="I64" s="300"/>
    </row>
    <row r="65" spans="1:12" ht="18.75" customHeight="1" x14ac:dyDescent="0.25">
      <c r="A65" s="314"/>
      <c r="B65" s="100"/>
      <c r="C65" s="100"/>
      <c r="D65" s="100"/>
      <c r="E65" s="100"/>
      <c r="F65" s="100"/>
      <c r="G65" s="100"/>
      <c r="H65" s="100"/>
      <c r="I65" s="100"/>
    </row>
    <row r="66" spans="1:12" customFormat="1" ht="19.5" customHeight="1" x14ac:dyDescent="0.25">
      <c r="A66" s="313"/>
      <c r="B66" s="12"/>
      <c r="C66" s="12"/>
      <c r="D66" s="12"/>
      <c r="E66" s="12"/>
      <c r="F66" s="12"/>
      <c r="G66" s="12"/>
      <c r="H66" s="12"/>
      <c r="I66" s="12"/>
    </row>
    <row r="67" spans="1:12" s="32" customFormat="1" ht="19.5" customHeight="1" x14ac:dyDescent="0.25">
      <c r="A67" s="436" t="s">
        <v>57</v>
      </c>
      <c r="B67" s="437" t="s">
        <v>38</v>
      </c>
      <c r="C67" s="438"/>
      <c r="D67" s="438"/>
      <c r="E67" s="438"/>
      <c r="F67" s="438"/>
      <c r="G67" s="438"/>
      <c r="H67" s="438"/>
      <c r="I67" s="438"/>
    </row>
    <row r="68" spans="1:12" customFormat="1" ht="18" x14ac:dyDescent="0.25">
      <c r="A68" s="442" t="s">
        <v>0</v>
      </c>
      <c r="B68" s="527" t="s">
        <v>39</v>
      </c>
      <c r="C68" s="528"/>
      <c r="D68" s="443" t="s">
        <v>41</v>
      </c>
      <c r="E68" s="430" t="s">
        <v>42</v>
      </c>
      <c r="F68" s="430" t="s">
        <v>43</v>
      </c>
      <c r="G68" s="430" t="s">
        <v>44</v>
      </c>
      <c r="H68" s="430" t="s">
        <v>45</v>
      </c>
      <c r="I68" s="430" t="s">
        <v>46</v>
      </c>
    </row>
    <row r="69" spans="1:12" customFormat="1" ht="19.5" customHeight="1" x14ac:dyDescent="0.25">
      <c r="A69" s="442"/>
      <c r="B69" s="529"/>
      <c r="C69" s="530"/>
      <c r="D69" s="443"/>
      <c r="E69" s="430" t="s">
        <v>47</v>
      </c>
      <c r="F69" s="430" t="s">
        <v>47</v>
      </c>
      <c r="G69" s="430" t="s">
        <v>47</v>
      </c>
      <c r="H69" s="430" t="s">
        <v>48</v>
      </c>
      <c r="I69" s="430" t="s">
        <v>48</v>
      </c>
    </row>
    <row r="70" spans="1:12" customFormat="1" ht="19.5" customHeight="1" x14ac:dyDescent="0.25">
      <c r="A70" s="25">
        <v>3</v>
      </c>
      <c r="B70" s="26" t="s">
        <v>414</v>
      </c>
      <c r="C70" s="26"/>
      <c r="D70" s="27" t="s">
        <v>50</v>
      </c>
      <c r="E70" s="378"/>
      <c r="F70" s="378"/>
      <c r="G70" s="28">
        <v>662.68</v>
      </c>
      <c r="H70" s="378"/>
      <c r="I70" s="378"/>
    </row>
    <row r="71" spans="1:12" customFormat="1" ht="19.5" customHeight="1" x14ac:dyDescent="0.25">
      <c r="A71" s="25">
        <v>3</v>
      </c>
      <c r="B71" s="26" t="s">
        <v>56</v>
      </c>
      <c r="C71" s="26"/>
      <c r="D71" s="27" t="s">
        <v>50</v>
      </c>
      <c r="E71" s="378"/>
      <c r="F71" s="378"/>
      <c r="G71" s="28">
        <v>401.17849999999999</v>
      </c>
      <c r="H71" s="28">
        <v>57.660699999999999</v>
      </c>
      <c r="I71" s="28">
        <v>80.337400000000002</v>
      </c>
      <c r="K71" s="381"/>
      <c r="L71" s="381"/>
    </row>
    <row r="72" spans="1:12" customFormat="1" ht="19.5" customHeight="1" x14ac:dyDescent="0.25">
      <c r="A72" s="25">
        <v>4</v>
      </c>
      <c r="B72" s="26" t="s">
        <v>56</v>
      </c>
      <c r="C72" s="26"/>
      <c r="D72" s="27" t="s">
        <v>51</v>
      </c>
      <c r="E72" s="378"/>
      <c r="F72" s="378"/>
      <c r="G72" s="28">
        <v>235.1705</v>
      </c>
      <c r="H72" s="28">
        <v>50.259349999999998</v>
      </c>
      <c r="I72" s="28">
        <v>207.84739999999999</v>
      </c>
      <c r="K72" s="381"/>
      <c r="L72" s="381"/>
    </row>
    <row r="73" spans="1:12" customFormat="1" ht="19.5" customHeight="1" x14ac:dyDescent="0.25">
      <c r="A73" s="124">
        <v>5</v>
      </c>
      <c r="B73" s="125" t="s">
        <v>54</v>
      </c>
      <c r="C73" s="125"/>
      <c r="D73" s="126" t="s">
        <v>50</v>
      </c>
      <c r="E73" s="379"/>
      <c r="F73" s="379"/>
      <c r="G73" s="127">
        <v>388.42349999999999</v>
      </c>
      <c r="H73" s="127">
        <v>126.9393</v>
      </c>
      <c r="I73" s="127">
        <v>228.05889999999999</v>
      </c>
      <c r="K73" s="381"/>
      <c r="L73" s="381"/>
    </row>
    <row r="74" spans="1:12" customFormat="1" ht="19.5" customHeight="1" x14ac:dyDescent="0.25">
      <c r="A74" s="124">
        <v>6</v>
      </c>
      <c r="B74" s="125" t="s">
        <v>54</v>
      </c>
      <c r="C74" s="125"/>
      <c r="D74" s="126" t="s">
        <v>51</v>
      </c>
      <c r="E74" s="379"/>
      <c r="F74" s="379"/>
      <c r="G74" s="127">
        <v>198.35</v>
      </c>
      <c r="H74" s="127">
        <v>124.5427</v>
      </c>
      <c r="I74" s="127">
        <v>239.4401</v>
      </c>
      <c r="K74" s="381"/>
      <c r="L74" s="381"/>
    </row>
    <row r="75" spans="1:12" customFormat="1" ht="19.5" customHeight="1" x14ac:dyDescent="0.25">
      <c r="A75" s="128">
        <v>7</v>
      </c>
      <c r="B75" s="129" t="s">
        <v>55</v>
      </c>
      <c r="C75" s="129"/>
      <c r="D75" s="130" t="s">
        <v>50</v>
      </c>
      <c r="E75" s="380"/>
      <c r="F75" s="380"/>
      <c r="G75" s="131">
        <v>384.5575</v>
      </c>
      <c r="H75" s="131">
        <v>73.680999999999997</v>
      </c>
      <c r="I75" s="131">
        <v>132.75710000000001</v>
      </c>
      <c r="K75" s="381"/>
      <c r="L75" s="381"/>
    </row>
    <row r="76" spans="1:12" customFormat="1" ht="19.5" customHeight="1" x14ac:dyDescent="0.25">
      <c r="A76" s="128">
        <v>8</v>
      </c>
      <c r="B76" s="129" t="s">
        <v>55</v>
      </c>
      <c r="C76" s="129"/>
      <c r="D76" s="130" t="s">
        <v>51</v>
      </c>
      <c r="E76" s="380"/>
      <c r="F76" s="380"/>
      <c r="G76" s="131">
        <v>159.71600000000001</v>
      </c>
      <c r="H76" s="131">
        <v>66.284499999999994</v>
      </c>
      <c r="I76" s="131">
        <v>139.13829999999999</v>
      </c>
      <c r="K76" s="381"/>
      <c r="L76" s="381"/>
    </row>
    <row r="77" spans="1:12" s="32" customFormat="1" ht="19.5" customHeight="1" x14ac:dyDescent="0.25">
      <c r="A77" s="431"/>
      <c r="B77" s="432"/>
      <c r="C77" s="432"/>
      <c r="D77" s="433"/>
      <c r="E77" s="434"/>
      <c r="F77" s="434"/>
      <c r="G77" s="434"/>
      <c r="H77" s="434"/>
      <c r="I77" s="434"/>
      <c r="K77" s="435"/>
      <c r="L77" s="435"/>
    </row>
    <row r="78" spans="1:12" s="32" customFormat="1" ht="19.5" customHeight="1" x14ac:dyDescent="0.25">
      <c r="A78" s="431"/>
      <c r="B78" s="432"/>
      <c r="C78" s="432"/>
      <c r="D78" s="433"/>
      <c r="E78" s="434"/>
      <c r="F78" s="434"/>
      <c r="G78" s="434"/>
      <c r="H78" s="434"/>
      <c r="I78" s="434"/>
      <c r="K78" s="435"/>
      <c r="L78" s="435"/>
    </row>
    <row r="79" spans="1:12" s="32" customFormat="1" ht="19.5" customHeight="1" x14ac:dyDescent="0.25">
      <c r="A79" s="431"/>
      <c r="B79" s="432"/>
      <c r="C79" s="432"/>
      <c r="D79" s="433"/>
      <c r="E79" s="434"/>
      <c r="F79" s="434"/>
      <c r="G79" s="434"/>
      <c r="H79" s="434"/>
      <c r="I79" s="434"/>
      <c r="K79" s="435"/>
      <c r="L79" s="435"/>
    </row>
    <row r="80" spans="1:12" ht="18.75" customHeight="1" x14ac:dyDescent="0.25">
      <c r="A80" s="388" t="s">
        <v>481</v>
      </c>
      <c r="B80" s="389" t="s">
        <v>480</v>
      </c>
      <c r="C80" s="390"/>
      <c r="D80" s="390"/>
      <c r="E80" s="390"/>
      <c r="F80" s="390"/>
      <c r="G80" s="391"/>
      <c r="H80" s="392"/>
      <c r="I80" s="393"/>
    </row>
    <row r="81" spans="1:9" ht="18.75" customHeight="1" x14ac:dyDescent="0.25">
      <c r="A81" s="315" t="s">
        <v>482</v>
      </c>
      <c r="B81" s="298" t="s">
        <v>462</v>
      </c>
      <c r="C81" s="297"/>
      <c r="D81" s="297"/>
      <c r="E81" s="297"/>
      <c r="F81" s="297"/>
      <c r="G81" s="297"/>
      <c r="H81" s="297"/>
      <c r="I81" s="297"/>
    </row>
    <row r="82" spans="1:9" ht="18.75" customHeight="1" x14ac:dyDescent="0.25">
      <c r="B82" s="12" t="s">
        <v>455</v>
      </c>
      <c r="G82" s="276" t="s">
        <v>539</v>
      </c>
      <c r="H82" s="28">
        <f>Result!H3</f>
        <v>0.4</v>
      </c>
      <c r="I82" s="271" t="s">
        <v>6</v>
      </c>
    </row>
    <row r="83" spans="1:9" ht="18.75" customHeight="1" x14ac:dyDescent="0.25">
      <c r="B83" s="12" t="s">
        <v>456</v>
      </c>
      <c r="G83" s="276" t="s">
        <v>540</v>
      </c>
      <c r="H83" s="28">
        <f>Result!H4</f>
        <v>0.6</v>
      </c>
      <c r="I83" s="271" t="s">
        <v>6</v>
      </c>
    </row>
    <row r="84" spans="1:9" ht="18.75" customHeight="1" x14ac:dyDescent="0.25">
      <c r="B84" s="270"/>
      <c r="G84" s="276"/>
      <c r="I84" s="271"/>
    </row>
    <row r="85" spans="1:9" ht="18.75" customHeight="1" x14ac:dyDescent="0.25">
      <c r="B85" s="12" t="s">
        <v>451</v>
      </c>
      <c r="G85" s="276" t="s">
        <v>541</v>
      </c>
      <c r="H85" s="28">
        <f>Result!H6</f>
        <v>0.4</v>
      </c>
      <c r="I85" s="271" t="s">
        <v>6</v>
      </c>
    </row>
    <row r="86" spans="1:9" ht="18.75" customHeight="1" x14ac:dyDescent="0.25">
      <c r="B86" s="12" t="s">
        <v>452</v>
      </c>
      <c r="G86" s="276" t="s">
        <v>542</v>
      </c>
      <c r="H86" s="28">
        <f>Result!H7</f>
        <v>1.8</v>
      </c>
      <c r="I86" s="271" t="s">
        <v>6</v>
      </c>
    </row>
    <row r="87" spans="1:9" ht="18.75" customHeight="1" x14ac:dyDescent="0.25">
      <c r="B87" s="12" t="s">
        <v>453</v>
      </c>
      <c r="G87" s="276" t="s">
        <v>543</v>
      </c>
      <c r="H87" s="28">
        <f>Result!H8</f>
        <v>1.8</v>
      </c>
      <c r="I87" s="271" t="s">
        <v>6</v>
      </c>
    </row>
    <row r="88" spans="1:9" ht="18.75" customHeight="1" x14ac:dyDescent="0.25">
      <c r="B88" s="12" t="s">
        <v>471</v>
      </c>
      <c r="G88" s="276" t="s">
        <v>544</v>
      </c>
      <c r="H88" s="28">
        <f>Result!H9</f>
        <v>100</v>
      </c>
      <c r="I88" s="271" t="s">
        <v>12</v>
      </c>
    </row>
    <row r="89" spans="1:9" ht="18.75" customHeight="1" x14ac:dyDescent="0.25">
      <c r="B89" s="12" t="s">
        <v>454</v>
      </c>
      <c r="G89" s="276" t="s">
        <v>17</v>
      </c>
      <c r="H89" s="28">
        <f>Result!H10</f>
        <v>2.5</v>
      </c>
      <c r="I89" s="312" t="s">
        <v>156</v>
      </c>
    </row>
    <row r="90" spans="1:9" ht="18.75" customHeight="1" x14ac:dyDescent="0.25">
      <c r="B90" s="283" t="s">
        <v>157</v>
      </c>
    </row>
    <row r="91" spans="1:9" ht="18.75" customHeight="1" x14ac:dyDescent="0.25">
      <c r="B91" s="104"/>
    </row>
    <row r="92" spans="1:9" ht="18.75" customHeight="1" x14ac:dyDescent="0.25">
      <c r="B92" s="12" t="s">
        <v>457</v>
      </c>
      <c r="G92" s="280">
        <f>Result!G13</f>
        <v>19</v>
      </c>
      <c r="H92" s="277">
        <f>Result!H13</f>
        <v>300</v>
      </c>
    </row>
    <row r="93" spans="1:9" ht="18.75" customHeight="1" x14ac:dyDescent="0.25">
      <c r="B93" s="12" t="s">
        <v>458</v>
      </c>
      <c r="G93" s="280">
        <f>Result!G14</f>
        <v>19</v>
      </c>
      <c r="H93" s="277">
        <f>Result!H14</f>
        <v>300</v>
      </c>
    </row>
    <row r="94" spans="1:9" ht="18.75" customHeight="1" x14ac:dyDescent="0.25">
      <c r="B94" s="12" t="s">
        <v>459</v>
      </c>
      <c r="G94" s="280">
        <f>Result!G15</f>
        <v>13</v>
      </c>
      <c r="H94" s="277">
        <f>Result!H15</f>
        <v>200</v>
      </c>
    </row>
    <row r="95" spans="1:9" ht="18.75" customHeight="1" x14ac:dyDescent="0.25">
      <c r="B95" s="12" t="s">
        <v>460</v>
      </c>
      <c r="G95" s="280">
        <f>Result!G16</f>
        <v>13</v>
      </c>
      <c r="H95" s="277">
        <f>Result!H16</f>
        <v>200</v>
      </c>
    </row>
    <row r="97" spans="1:9" ht="18.75" customHeight="1" x14ac:dyDescent="0.25">
      <c r="A97" s="315" t="s">
        <v>483</v>
      </c>
      <c r="B97" s="298" t="s">
        <v>491</v>
      </c>
      <c r="C97" s="297"/>
      <c r="D97" s="297"/>
      <c r="E97" s="297"/>
      <c r="F97" s="297"/>
      <c r="G97" s="297"/>
      <c r="H97" s="297"/>
      <c r="I97" s="297"/>
    </row>
    <row r="98" spans="1:9" ht="18.75" customHeight="1" x14ac:dyDescent="0.25">
      <c r="B98" s="12" t="s">
        <v>464</v>
      </c>
    </row>
    <row r="99" spans="1:9" ht="18.75" customHeight="1" x14ac:dyDescent="0.25">
      <c r="C99" s="91" t="s">
        <v>413</v>
      </c>
      <c r="D99" s="423" t="s">
        <v>190</v>
      </c>
      <c r="E99" s="179" t="s">
        <v>191</v>
      </c>
      <c r="F99" s="423" t="s">
        <v>192</v>
      </c>
      <c r="G99" s="91"/>
      <c r="H99" s="100"/>
    </row>
    <row r="100" spans="1:9" ht="18.75" customHeight="1" x14ac:dyDescent="0.25">
      <c r="C100" s="91"/>
      <c r="D100" s="142">
        <f>Result!D21</f>
        <v>669.18003463193668</v>
      </c>
      <c r="E100" s="209" t="str">
        <f>IF(D100&lt;=F100,"&lt;","&gt;")</f>
        <v>&gt;</v>
      </c>
      <c r="F100" s="142">
        <f>Result!F21</f>
        <v>596.82718232938487</v>
      </c>
      <c r="G100" s="210" t="s">
        <v>138</v>
      </c>
      <c r="H100" s="211" t="str">
        <f>IF(D100&gt;F100,"AMAN (OK)","BAHAYA (NG)")</f>
        <v>AMAN (OK)</v>
      </c>
    </row>
    <row r="101" spans="1:9" ht="18.75" customHeight="1" x14ac:dyDescent="0.25">
      <c r="C101" s="91"/>
      <c r="D101" s="213"/>
      <c r="E101" s="209"/>
      <c r="F101" s="213"/>
      <c r="G101" s="210"/>
      <c r="H101" s="211"/>
    </row>
    <row r="102" spans="1:9" ht="18.75" customHeight="1" x14ac:dyDescent="0.25">
      <c r="B102" s="12" t="s">
        <v>465</v>
      </c>
    </row>
    <row r="103" spans="1:9" ht="18.75" customHeight="1" x14ac:dyDescent="0.25">
      <c r="C103" s="91" t="s">
        <v>413</v>
      </c>
      <c r="D103" s="423" t="s">
        <v>190</v>
      </c>
      <c r="E103" s="179" t="s">
        <v>191</v>
      </c>
      <c r="F103" s="423" t="s">
        <v>192</v>
      </c>
      <c r="G103" s="91"/>
      <c r="H103" s="100"/>
    </row>
    <row r="104" spans="1:9" ht="18.75" customHeight="1" x14ac:dyDescent="0.25">
      <c r="C104" s="91"/>
      <c r="D104" s="142">
        <f>Result!D24</f>
        <v>669.18003463193656</v>
      </c>
      <c r="E104" s="209" t="str">
        <f>IF(D104&lt;=F104,"&lt;","&gt;")</f>
        <v>&gt;</v>
      </c>
      <c r="F104" s="142">
        <f>Result!F24</f>
        <v>605.95678232938485</v>
      </c>
      <c r="G104" s="210" t="s">
        <v>138</v>
      </c>
      <c r="H104" s="211" t="str">
        <f>IF(D104&gt;F104,"AMAN (OK)","BAHAYA (NG)")</f>
        <v>AMAN (OK)</v>
      </c>
    </row>
    <row r="105" spans="1:9" ht="18.75" customHeight="1" x14ac:dyDescent="0.25">
      <c r="B105" s="12" t="s">
        <v>466</v>
      </c>
    </row>
    <row r="106" spans="1:9" ht="18.75" customHeight="1" x14ac:dyDescent="0.25">
      <c r="C106" s="91" t="s">
        <v>134</v>
      </c>
      <c r="D106" s="423" t="s">
        <v>211</v>
      </c>
      <c r="E106" s="179" t="s">
        <v>191</v>
      </c>
      <c r="F106" s="423" t="s">
        <v>212</v>
      </c>
      <c r="G106" s="214"/>
      <c r="H106" s="100"/>
    </row>
    <row r="107" spans="1:9" ht="18.75" customHeight="1" x14ac:dyDescent="0.25">
      <c r="C107" s="91"/>
      <c r="D107" s="142">
        <f>Result!D27</f>
        <v>1444.6853414331699</v>
      </c>
      <c r="E107" s="209" t="str">
        <f>IF(D107&lt;=F107,"&lt;","&gt;")</f>
        <v>&gt;</v>
      </c>
      <c r="F107" s="142">
        <f>Result!F27</f>
        <v>662.68</v>
      </c>
      <c r="G107" s="210" t="s">
        <v>138</v>
      </c>
      <c r="H107" s="211" t="str">
        <f>IF(D107&gt;F107,"AMAN (OK)","BAHAYA (NG)")</f>
        <v>AMAN (OK)</v>
      </c>
    </row>
    <row r="108" spans="1:9" ht="18.75" customHeight="1" x14ac:dyDescent="0.25">
      <c r="B108" s="12" t="s">
        <v>467</v>
      </c>
    </row>
    <row r="109" spans="1:9" ht="18.75" customHeight="1" x14ac:dyDescent="0.25">
      <c r="C109" s="217" t="s">
        <v>134</v>
      </c>
      <c r="D109" s="424" t="s">
        <v>402</v>
      </c>
      <c r="E109" s="95" t="s">
        <v>140</v>
      </c>
      <c r="F109" s="424" t="s">
        <v>401</v>
      </c>
      <c r="G109" s="98"/>
      <c r="H109" s="215"/>
    </row>
    <row r="110" spans="1:9" ht="18.75" customHeight="1" x14ac:dyDescent="0.25">
      <c r="C110" s="94"/>
      <c r="D110" s="153">
        <f>Result!D30</f>
        <v>961.16490695536095</v>
      </c>
      <c r="E110" s="215" t="str">
        <f>IF(D110&gt;F110,"&gt;","&lt;")</f>
        <v>&gt;</v>
      </c>
      <c r="F110" s="153">
        <f>Result!F30</f>
        <v>324.17047516469245</v>
      </c>
      <c r="G110" s="95" t="s">
        <v>138</v>
      </c>
      <c r="H110" s="211" t="str">
        <f>IF(D110&gt;F110,"AMAN (OK)","BAHAYA (NG)")</f>
        <v>AMAN (OK)</v>
      </c>
    </row>
    <row r="111" spans="1:9" ht="18.75" customHeight="1" x14ac:dyDescent="0.25">
      <c r="C111" s="94"/>
      <c r="D111" s="219"/>
      <c r="E111" s="215"/>
      <c r="F111" s="219"/>
      <c r="G111" s="95"/>
      <c r="H111" s="211"/>
    </row>
    <row r="112" spans="1:9" ht="18.75" customHeight="1" x14ac:dyDescent="0.25">
      <c r="A112" s="315" t="s">
        <v>484</v>
      </c>
      <c r="B112" s="298" t="s">
        <v>468</v>
      </c>
      <c r="C112" s="297"/>
      <c r="D112" s="297"/>
      <c r="E112" s="297"/>
      <c r="F112" s="297"/>
      <c r="G112" s="297"/>
      <c r="H112" s="297"/>
      <c r="I112" s="297"/>
    </row>
    <row r="113" spans="1:9" ht="18.75" customHeight="1" x14ac:dyDescent="0.25">
      <c r="B113" s="12" t="s">
        <v>469</v>
      </c>
    </row>
    <row r="114" spans="1:9" ht="18.75" customHeight="1" x14ac:dyDescent="0.25">
      <c r="C114" s="94" t="s">
        <v>134</v>
      </c>
      <c r="D114" s="425" t="s">
        <v>288</v>
      </c>
      <c r="E114" s="95" t="s">
        <v>191</v>
      </c>
      <c r="F114" s="425" t="s">
        <v>289</v>
      </c>
      <c r="G114" s="94"/>
      <c r="H114" s="94"/>
    </row>
    <row r="115" spans="1:9" ht="18.75" customHeight="1" x14ac:dyDescent="0.25">
      <c r="C115" s="94"/>
      <c r="D115" s="149">
        <f>Result!D35</f>
        <v>89.851668951068575</v>
      </c>
      <c r="E115" s="95" t="str">
        <f>IF(D115&gt;F115,"&gt;","&lt;")</f>
        <v>&gt;</v>
      </c>
      <c r="F115" s="149">
        <f>Result!F35</f>
        <v>69.538595054897471</v>
      </c>
      <c r="G115" s="96" t="s">
        <v>138</v>
      </c>
      <c r="H115" s="225" t="str">
        <f>IF(D115&gt;=F115,"AMAN  (OK)","BAHAYA  (NG)")</f>
        <v>AMAN  (OK)</v>
      </c>
    </row>
    <row r="116" spans="1:9" ht="18.75" customHeight="1" x14ac:dyDescent="0.25">
      <c r="B116" s="12" t="s">
        <v>470</v>
      </c>
    </row>
    <row r="117" spans="1:9" ht="18.75" customHeight="1" x14ac:dyDescent="0.25">
      <c r="C117" s="94" t="s">
        <v>134</v>
      </c>
      <c r="D117" s="425" t="s">
        <v>288</v>
      </c>
      <c r="E117" s="95" t="s">
        <v>191</v>
      </c>
      <c r="F117" s="425" t="s">
        <v>289</v>
      </c>
      <c r="G117" s="94"/>
      <c r="H117" s="94"/>
    </row>
    <row r="118" spans="1:9" ht="18.75" customHeight="1" x14ac:dyDescent="0.25">
      <c r="C118" s="94"/>
      <c r="D118" s="149">
        <f>Result!D38</f>
        <v>89.851668951068575</v>
      </c>
      <c r="E118" s="95" t="str">
        <f>IF(D118&gt;F118,"&gt;","&lt;")</f>
        <v>&gt;</v>
      </c>
      <c r="F118" s="149">
        <f>Result!F38</f>
        <v>83.117395054897486</v>
      </c>
      <c r="G118" s="96" t="s">
        <v>138</v>
      </c>
      <c r="H118" s="225" t="str">
        <f>IF(D118&gt;=F118,"AMAN  (OK)","BAHAYA  (NG)")</f>
        <v>AMAN  (OK)</v>
      </c>
    </row>
    <row r="120" spans="1:9" ht="18.75" customHeight="1" x14ac:dyDescent="0.25">
      <c r="A120" s="315" t="s">
        <v>514</v>
      </c>
      <c r="B120" s="298" t="s">
        <v>461</v>
      </c>
      <c r="C120" s="297"/>
      <c r="D120" s="297"/>
      <c r="E120" s="297"/>
      <c r="F120" s="297"/>
      <c r="G120" s="297"/>
      <c r="H120" s="297"/>
      <c r="I120" s="297"/>
    </row>
    <row r="121" spans="1:9" ht="18.75" customHeight="1" x14ac:dyDescent="0.25">
      <c r="B121" s="91" t="s">
        <v>531</v>
      </c>
      <c r="C121" s="21"/>
      <c r="D121" s="21"/>
      <c r="E121" s="21"/>
      <c r="F121" s="21"/>
      <c r="G121" s="65" t="s">
        <v>15</v>
      </c>
      <c r="H121" s="69">
        <f>Result!H41</f>
        <v>0.3</v>
      </c>
      <c r="I121" s="67" t="s">
        <v>6</v>
      </c>
    </row>
    <row r="122" spans="1:9" ht="18.75" customHeight="1" x14ac:dyDescent="0.25">
      <c r="B122" s="91" t="s">
        <v>532</v>
      </c>
      <c r="C122" s="21"/>
      <c r="D122" s="21"/>
      <c r="E122" s="21"/>
      <c r="F122" s="21"/>
      <c r="G122" s="65" t="s">
        <v>474</v>
      </c>
      <c r="H122" s="69">
        <f>Result!H42</f>
        <v>7.5</v>
      </c>
      <c r="I122" s="312" t="s">
        <v>156</v>
      </c>
    </row>
    <row r="123" spans="1:9" ht="18.75" customHeight="1" x14ac:dyDescent="0.25">
      <c r="B123" s="21" t="s">
        <v>625</v>
      </c>
      <c r="C123" s="21"/>
      <c r="D123" s="21"/>
      <c r="E123" s="21"/>
      <c r="F123" s="21"/>
      <c r="G123" s="65" t="s">
        <v>79</v>
      </c>
      <c r="H123" s="69">
        <f>Result!H43</f>
        <v>5</v>
      </c>
      <c r="I123" s="67" t="s">
        <v>6</v>
      </c>
    </row>
    <row r="124" spans="1:9" ht="18.75" customHeight="1" x14ac:dyDescent="0.25">
      <c r="B124" s="91" t="s">
        <v>533</v>
      </c>
      <c r="C124" s="21"/>
      <c r="D124" s="21"/>
      <c r="E124" s="21"/>
      <c r="F124" s="21"/>
      <c r="G124" s="65" t="s">
        <v>545</v>
      </c>
      <c r="H124" s="69">
        <f>Result!H44</f>
        <v>0.4</v>
      </c>
      <c r="I124" s="67" t="s">
        <v>6</v>
      </c>
    </row>
    <row r="125" spans="1:9" ht="18.75" customHeight="1" x14ac:dyDescent="0.25">
      <c r="B125" s="91" t="s">
        <v>534</v>
      </c>
      <c r="C125" s="21"/>
      <c r="D125" s="21"/>
      <c r="E125" s="21"/>
      <c r="F125" s="21"/>
      <c r="G125" s="65" t="s">
        <v>546</v>
      </c>
      <c r="H125" s="66">
        <f>Result!H45</f>
        <v>2</v>
      </c>
      <c r="I125" s="67"/>
    </row>
    <row r="126" spans="1:9" ht="18.75" customHeight="1" x14ac:dyDescent="0.25">
      <c r="B126" s="91" t="s">
        <v>535</v>
      </c>
      <c r="C126" s="21"/>
      <c r="D126" s="21"/>
      <c r="E126" s="21"/>
      <c r="F126" s="21"/>
      <c r="G126" s="65" t="s">
        <v>547</v>
      </c>
      <c r="H126" s="66">
        <f>Result!H46</f>
        <v>2</v>
      </c>
      <c r="I126" s="67"/>
    </row>
    <row r="127" spans="1:9" ht="18.75" customHeight="1" x14ac:dyDescent="0.25">
      <c r="B127" s="91" t="s">
        <v>536</v>
      </c>
      <c r="C127" s="21"/>
      <c r="D127" s="21"/>
      <c r="E127" s="21"/>
      <c r="F127" s="21"/>
      <c r="G127" s="65" t="s">
        <v>25</v>
      </c>
      <c r="H127" s="69">
        <f>Result!H47</f>
        <v>1</v>
      </c>
      <c r="I127" s="67" t="s">
        <v>6</v>
      </c>
    </row>
    <row r="128" spans="1:9" ht="18.75" customHeight="1" x14ac:dyDescent="0.25">
      <c r="B128" s="283" t="s">
        <v>157</v>
      </c>
      <c r="C128" s="21"/>
      <c r="D128" s="21"/>
      <c r="E128" s="21"/>
      <c r="F128" s="21"/>
      <c r="G128" s="65"/>
      <c r="H128" s="284"/>
      <c r="I128" s="21"/>
    </row>
    <row r="129" spans="1:9" ht="18.75" customHeight="1" x14ac:dyDescent="0.25">
      <c r="B129" s="21"/>
      <c r="C129" s="21"/>
      <c r="D129" s="21"/>
      <c r="E129" s="21"/>
      <c r="F129" s="21"/>
      <c r="G129" s="21"/>
      <c r="H129" s="21"/>
      <c r="I129" s="21"/>
    </row>
    <row r="130" spans="1:9" ht="18.75" customHeight="1" x14ac:dyDescent="0.25">
      <c r="B130" s="3" t="s">
        <v>80</v>
      </c>
      <c r="C130" s="4"/>
      <c r="D130" s="4"/>
      <c r="E130" s="4"/>
      <c r="F130" s="3" t="s">
        <v>81</v>
      </c>
      <c r="G130" s="4"/>
      <c r="H130" s="4"/>
      <c r="I130" s="4"/>
    </row>
    <row r="131" spans="1:9" ht="37.5" customHeight="1" x14ac:dyDescent="0.25">
      <c r="B131" s="508" t="s">
        <v>626</v>
      </c>
      <c r="C131" s="509"/>
      <c r="D131" s="509"/>
      <c r="E131" s="510"/>
      <c r="F131" s="508" t="s">
        <v>627</v>
      </c>
      <c r="G131" s="509"/>
      <c r="H131" s="509"/>
      <c r="I131" s="510"/>
    </row>
    <row r="132" spans="1:9" ht="18.75" customHeight="1" x14ac:dyDescent="0.25">
      <c r="B132" s="318" t="s">
        <v>83</v>
      </c>
      <c r="C132" s="318" t="s">
        <v>84</v>
      </c>
      <c r="D132" s="318" t="s">
        <v>85</v>
      </c>
      <c r="E132" s="319"/>
      <c r="F132" s="318" t="s">
        <v>83</v>
      </c>
      <c r="G132" s="318" t="s">
        <v>84</v>
      </c>
      <c r="H132" s="318" t="s">
        <v>87</v>
      </c>
      <c r="I132" s="319"/>
    </row>
    <row r="133" spans="1:9" ht="18.75" customHeight="1" x14ac:dyDescent="0.25">
      <c r="B133" s="320"/>
      <c r="C133" s="320" t="s">
        <v>90</v>
      </c>
      <c r="D133" s="320" t="s">
        <v>91</v>
      </c>
      <c r="E133" s="321"/>
      <c r="F133" s="320"/>
      <c r="G133" s="320" t="s">
        <v>90</v>
      </c>
      <c r="H133" s="320" t="s">
        <v>91</v>
      </c>
      <c r="I133" s="321"/>
    </row>
    <row r="134" spans="1:9" ht="18.75" customHeight="1" x14ac:dyDescent="0.25">
      <c r="B134" s="272">
        <f>Result!B54</f>
        <v>1</v>
      </c>
      <c r="C134" s="272">
        <f>Result!C54</f>
        <v>2</v>
      </c>
      <c r="D134" s="272">
        <f>Result!D54</f>
        <v>-0.5</v>
      </c>
      <c r="E134" s="272"/>
      <c r="F134" s="272">
        <f>Result!F54</f>
        <v>1</v>
      </c>
      <c r="G134" s="272">
        <f>Result!G54</f>
        <v>2</v>
      </c>
      <c r="H134" s="272">
        <f>Result!H54</f>
        <v>-0.5</v>
      </c>
      <c r="I134" s="272"/>
    </row>
    <row r="135" spans="1:9" ht="18.75" customHeight="1" x14ac:dyDescent="0.25">
      <c r="B135" s="272">
        <f>Result!B55</f>
        <v>2</v>
      </c>
      <c r="C135" s="272">
        <f>Result!C55</f>
        <v>2</v>
      </c>
      <c r="D135" s="272">
        <f>Result!D55</f>
        <v>0.5</v>
      </c>
      <c r="E135" s="272"/>
      <c r="F135" s="272">
        <f>Result!F55</f>
        <v>2</v>
      </c>
      <c r="G135" s="272">
        <f>Result!G55</f>
        <v>2</v>
      </c>
      <c r="H135" s="272">
        <f>Result!H55</f>
        <v>0.5</v>
      </c>
      <c r="I135" s="272"/>
    </row>
    <row r="136" spans="1:9" ht="18.75" customHeight="1" x14ac:dyDescent="0.25">
      <c r="B136" s="272" t="str">
        <f>Result!B56</f>
        <v/>
      </c>
      <c r="C136" s="272" t="str">
        <f>Result!C56</f>
        <v/>
      </c>
      <c r="D136" s="272" t="str">
        <f>Result!D56</f>
        <v/>
      </c>
      <c r="E136" s="272"/>
      <c r="F136" s="272" t="str">
        <f>Result!F56</f>
        <v/>
      </c>
      <c r="G136" s="272" t="str">
        <f>Result!G56</f>
        <v/>
      </c>
      <c r="H136" s="272" t="str">
        <f>Result!H56</f>
        <v/>
      </c>
      <c r="I136" s="272"/>
    </row>
    <row r="137" spans="1:9" ht="18.75" customHeight="1" x14ac:dyDescent="0.25">
      <c r="B137" s="272" t="str">
        <f>Result!B57</f>
        <v/>
      </c>
      <c r="C137" s="272" t="str">
        <f>Result!C57</f>
        <v/>
      </c>
      <c r="D137" s="272" t="str">
        <f>Result!D57</f>
        <v/>
      </c>
      <c r="E137" s="272"/>
      <c r="F137" s="272" t="str">
        <f>Result!F57</f>
        <v/>
      </c>
      <c r="G137" s="272" t="str">
        <f>Result!G57</f>
        <v/>
      </c>
      <c r="H137" s="272" t="str">
        <f>Result!H57</f>
        <v/>
      </c>
      <c r="I137" s="272"/>
    </row>
    <row r="138" spans="1:9" ht="18.75" customHeight="1" x14ac:dyDescent="0.25">
      <c r="B138" s="275" t="s">
        <v>94</v>
      </c>
      <c r="C138" s="272">
        <f>Result!C58</f>
        <v>4</v>
      </c>
      <c r="D138" s="52"/>
      <c r="E138" s="50"/>
      <c r="F138" s="53" t="s">
        <v>94</v>
      </c>
      <c r="G138" s="272">
        <f>Result!G58</f>
        <v>4</v>
      </c>
      <c r="H138" s="52"/>
      <c r="I138" s="50"/>
    </row>
    <row r="139" spans="1:9" ht="18.75" customHeight="1" x14ac:dyDescent="0.25">
      <c r="B139" s="55" t="s">
        <v>98</v>
      </c>
      <c r="C139" s="56"/>
      <c r="D139" s="56"/>
      <c r="E139" s="56"/>
      <c r="F139" s="56"/>
      <c r="G139" s="56"/>
      <c r="H139" s="57" t="s">
        <v>99</v>
      </c>
      <c r="I139" s="272">
        <f>Result!I59</f>
        <v>1.8</v>
      </c>
    </row>
    <row r="140" spans="1:9" ht="18.75" customHeight="1" x14ac:dyDescent="0.25">
      <c r="B140" s="55" t="s">
        <v>100</v>
      </c>
      <c r="C140" s="56"/>
      <c r="D140" s="56"/>
      <c r="E140" s="56"/>
      <c r="F140" s="56"/>
      <c r="G140" s="56"/>
      <c r="H140" s="57" t="s">
        <v>101</v>
      </c>
      <c r="I140" s="272">
        <f>Result!I60</f>
        <v>1.8</v>
      </c>
    </row>
    <row r="142" spans="1:9" ht="18.75" customHeight="1" x14ac:dyDescent="0.25">
      <c r="A142" s="315" t="s">
        <v>653</v>
      </c>
      <c r="B142" s="298" t="s">
        <v>628</v>
      </c>
      <c r="C142" s="297"/>
      <c r="D142" s="297"/>
      <c r="E142" s="297"/>
      <c r="F142" s="297"/>
      <c r="G142" s="297"/>
      <c r="H142" s="297"/>
      <c r="I142" s="297"/>
    </row>
    <row r="143" spans="1:9" s="317" customFormat="1" ht="18.75" customHeight="1" x14ac:dyDescent="0.25">
      <c r="A143" s="316"/>
      <c r="B143" s="317" t="s">
        <v>629</v>
      </c>
    </row>
    <row r="144" spans="1:9" s="317" customFormat="1" ht="18.75" customHeight="1" x14ac:dyDescent="0.25">
      <c r="A144" s="316"/>
      <c r="B144" s="317" t="s">
        <v>492</v>
      </c>
    </row>
    <row r="145" spans="2:9" ht="18.75" customHeight="1" x14ac:dyDescent="0.25">
      <c r="B145" s="464" t="s">
        <v>56</v>
      </c>
      <c r="C145" s="465"/>
      <c r="D145" s="465"/>
      <c r="E145" s="465"/>
      <c r="F145" s="465"/>
      <c r="G145" s="466"/>
      <c r="H145" s="141" t="s">
        <v>66</v>
      </c>
      <c r="I145" s="141" t="s">
        <v>67</v>
      </c>
    </row>
    <row r="146" spans="2:9" ht="18.75" customHeight="1" x14ac:dyDescent="0.25">
      <c r="B146" s="254"/>
      <c r="C146" s="91"/>
      <c r="D146" s="91"/>
      <c r="E146" s="91"/>
      <c r="F146" s="91"/>
      <c r="G146" s="92" t="s">
        <v>123</v>
      </c>
      <c r="H146" s="35">
        <f>Result!H64</f>
        <v>218.85917516469246</v>
      </c>
      <c r="I146" s="35">
        <f>Result!I64</f>
        <v>237.41150016469246</v>
      </c>
    </row>
    <row r="147" spans="2:9" ht="18.75" customHeight="1" x14ac:dyDescent="0.25">
      <c r="B147" s="254"/>
      <c r="C147" s="91"/>
      <c r="D147" s="91"/>
      <c r="E147" s="91"/>
      <c r="F147" s="91"/>
      <c r="G147" s="92" t="s">
        <v>124</v>
      </c>
      <c r="H147" s="35">
        <f>Result!H65</f>
        <v>80.861075164692451</v>
      </c>
      <c r="I147" s="35">
        <f>Result!I65</f>
        <v>-20.69524983530755</v>
      </c>
    </row>
    <row r="148" spans="2:9" ht="18.75" customHeight="1" x14ac:dyDescent="0.25">
      <c r="B148" s="444" t="s">
        <v>54</v>
      </c>
      <c r="C148" s="445"/>
      <c r="D148" s="445"/>
      <c r="E148" s="445"/>
      <c r="F148" s="445"/>
      <c r="G148" s="446"/>
      <c r="H148" s="39" t="s">
        <v>66</v>
      </c>
      <c r="I148" s="39" t="s">
        <v>67</v>
      </c>
    </row>
    <row r="149" spans="2:9" ht="18.75" customHeight="1" x14ac:dyDescent="0.25">
      <c r="B149" s="254"/>
      <c r="C149" s="91"/>
      <c r="D149" s="91"/>
      <c r="E149" s="91"/>
      <c r="F149" s="91"/>
      <c r="G149" s="92" t="s">
        <v>123</v>
      </c>
      <c r="H149" s="35">
        <f>Result!H67</f>
        <v>324.17047516469245</v>
      </c>
      <c r="I149" s="35">
        <f>Result!I67</f>
        <v>281.14440016469246</v>
      </c>
    </row>
    <row r="150" spans="2:9" ht="18.75" customHeight="1" x14ac:dyDescent="0.25">
      <c r="B150" s="254"/>
      <c r="C150" s="91"/>
      <c r="D150" s="91"/>
      <c r="E150" s="91"/>
      <c r="F150" s="91"/>
      <c r="G150" s="92" t="s">
        <v>124</v>
      </c>
      <c r="H150" s="35">
        <f>Result!H68</f>
        <v>-30.827724835307549</v>
      </c>
      <c r="I150" s="35">
        <f>Result!I68</f>
        <v>-82.838399835307541</v>
      </c>
    </row>
    <row r="151" spans="2:9" ht="18.75" customHeight="1" x14ac:dyDescent="0.25">
      <c r="B151" s="447" t="s">
        <v>55</v>
      </c>
      <c r="C151" s="448"/>
      <c r="D151" s="448"/>
      <c r="E151" s="448"/>
      <c r="F151" s="448"/>
      <c r="G151" s="449"/>
      <c r="H151" s="40" t="s">
        <v>66</v>
      </c>
      <c r="I151" s="40" t="s">
        <v>67</v>
      </c>
    </row>
    <row r="152" spans="2:9" ht="18.75" customHeight="1" x14ac:dyDescent="0.25">
      <c r="B152" s="254"/>
      <c r="C152" s="91"/>
      <c r="D152" s="91"/>
      <c r="E152" s="91"/>
      <c r="F152" s="91"/>
      <c r="G152" s="92" t="s">
        <v>123</v>
      </c>
      <c r="H152" s="35">
        <f>Result!H70</f>
        <v>248.92392516469243</v>
      </c>
      <c r="I152" s="35">
        <f>Result!I70</f>
        <v>192.20590016469242</v>
      </c>
    </row>
    <row r="153" spans="2:9" ht="18.75" customHeight="1" x14ac:dyDescent="0.25">
      <c r="B153" s="294"/>
      <c r="C153" s="295"/>
      <c r="D153" s="295"/>
      <c r="E153" s="295"/>
      <c r="F153" s="295"/>
      <c r="G153" s="296" t="s">
        <v>124</v>
      </c>
      <c r="H153" s="35">
        <f>Result!H71</f>
        <v>42.485825164692457</v>
      </c>
      <c r="I153" s="35">
        <f>Result!I71</f>
        <v>-13.216899835307537</v>
      </c>
    </row>
    <row r="158" spans="2:9" ht="18.75" customHeight="1" x14ac:dyDescent="0.25">
      <c r="B158" s="270" t="s">
        <v>630</v>
      </c>
    </row>
    <row r="159" spans="2:9" ht="18.75" customHeight="1" x14ac:dyDescent="0.25">
      <c r="B159" s="317" t="s">
        <v>493</v>
      </c>
    </row>
    <row r="160" spans="2:9" ht="18.75" customHeight="1" x14ac:dyDescent="0.25">
      <c r="B160" s="12" t="s">
        <v>494</v>
      </c>
    </row>
    <row r="161" spans="1:11" ht="18.75" customHeight="1" x14ac:dyDescent="0.25">
      <c r="B161" s="514"/>
      <c r="C161" s="514"/>
      <c r="D161" s="514" t="s">
        <v>602</v>
      </c>
      <c r="E161" s="514"/>
      <c r="F161" s="514" t="s">
        <v>600</v>
      </c>
      <c r="G161" s="514"/>
      <c r="H161" s="514" t="s">
        <v>601</v>
      </c>
      <c r="I161" s="514"/>
    </row>
    <row r="162" spans="1:11" ht="18.75" customHeight="1" x14ac:dyDescent="0.25">
      <c r="B162" s="514"/>
      <c r="C162" s="514"/>
      <c r="D162" s="515" t="s">
        <v>476</v>
      </c>
      <c r="E162" s="515"/>
      <c r="F162" s="515" t="s">
        <v>476</v>
      </c>
      <c r="G162" s="515"/>
      <c r="H162" s="515" t="s">
        <v>476</v>
      </c>
      <c r="I162" s="515"/>
    </row>
    <row r="163" spans="1:11" ht="18.75" customHeight="1" x14ac:dyDescent="0.25">
      <c r="B163" s="511" t="s">
        <v>135</v>
      </c>
      <c r="C163" s="512"/>
      <c r="D163" s="513">
        <f>Result!D76</f>
        <v>599.44050065876979</v>
      </c>
      <c r="E163" s="513">
        <f>Result!E76</f>
        <v>0</v>
      </c>
      <c r="F163" s="513">
        <f>Result!F76</f>
        <v>586.6855006587698</v>
      </c>
      <c r="G163" s="513">
        <f>Result!G76</f>
        <v>0</v>
      </c>
      <c r="H163" s="513">
        <f>Result!H76</f>
        <v>582.81950065876981</v>
      </c>
      <c r="I163" s="513">
        <f>Result!I76</f>
        <v>0</v>
      </c>
    </row>
    <row r="164" spans="1:11" ht="18.75" customHeight="1" x14ac:dyDescent="0.25">
      <c r="B164" s="511" t="s">
        <v>137</v>
      </c>
      <c r="C164" s="512"/>
      <c r="D164" s="513">
        <f>Result!D77</f>
        <v>1959.8696897306922</v>
      </c>
      <c r="E164" s="513">
        <f>Result!E77</f>
        <v>0</v>
      </c>
      <c r="F164" s="513">
        <f>Result!F77</f>
        <v>1959.8696897306922</v>
      </c>
      <c r="G164" s="513">
        <f>Result!G77</f>
        <v>0</v>
      </c>
      <c r="H164" s="513">
        <f>Result!H77</f>
        <v>1959.8696897306922</v>
      </c>
      <c r="I164" s="513">
        <f>Result!I77</f>
        <v>0</v>
      </c>
    </row>
    <row r="165" spans="1:11" ht="18.75" customHeight="1" x14ac:dyDescent="0.25">
      <c r="B165" s="518" t="s">
        <v>479</v>
      </c>
      <c r="C165" s="519"/>
      <c r="D165" s="520" t="str">
        <f>Result!D78</f>
        <v>AMAN (OK)</v>
      </c>
      <c r="E165" s="520">
        <f>Result!E78</f>
        <v>0</v>
      </c>
      <c r="F165" s="520" t="str">
        <f>Result!F78</f>
        <v>AMAN (OK)</v>
      </c>
      <c r="G165" s="520">
        <f>Result!G78</f>
        <v>0</v>
      </c>
      <c r="H165" s="520" t="str">
        <f>Result!H78</f>
        <v>AMAN (OK)</v>
      </c>
      <c r="I165" s="520">
        <f>Result!I78</f>
        <v>0</v>
      </c>
    </row>
    <row r="166" spans="1:11" ht="18.75" customHeight="1" x14ac:dyDescent="0.25">
      <c r="B166" s="511" t="s">
        <v>139</v>
      </c>
      <c r="C166" s="512"/>
      <c r="D166" s="513">
        <f>Result!D79</f>
        <v>-20.69524983530755</v>
      </c>
      <c r="E166" s="513">
        <f>Result!E79</f>
        <v>0</v>
      </c>
      <c r="F166" s="513">
        <f>Result!F79</f>
        <v>-82.838399835307541</v>
      </c>
      <c r="G166" s="513">
        <f>Result!G79</f>
        <v>0</v>
      </c>
      <c r="H166" s="513">
        <f>Result!H79</f>
        <v>42.485825164692457</v>
      </c>
      <c r="I166" s="513">
        <f>Result!I79</f>
        <v>0</v>
      </c>
    </row>
    <row r="167" spans="1:11" ht="18.75" customHeight="1" x14ac:dyDescent="0.25">
      <c r="B167" s="516" t="s">
        <v>141</v>
      </c>
      <c r="C167" s="517"/>
      <c r="D167" s="513">
        <f>Result!D80</f>
        <v>-73.30075576600639</v>
      </c>
      <c r="E167" s="513">
        <f>Result!E80</f>
        <v>0</v>
      </c>
      <c r="F167" s="513">
        <f>Result!F80</f>
        <v>-73.30075576600639</v>
      </c>
      <c r="G167" s="513">
        <f>Result!G80</f>
        <v>0</v>
      </c>
      <c r="H167" s="513">
        <f>Result!H80</f>
        <v>-73.30075576600639</v>
      </c>
      <c r="I167" s="513">
        <f>Result!I80</f>
        <v>0</v>
      </c>
    </row>
    <row r="168" spans="1:11" ht="18.75" customHeight="1" x14ac:dyDescent="0.25">
      <c r="B168" s="518" t="s">
        <v>478</v>
      </c>
      <c r="C168" s="519"/>
      <c r="D168" s="520" t="str">
        <f>Result!D81</f>
        <v>AMAN (OK)</v>
      </c>
      <c r="E168" s="520">
        <f>Result!E81</f>
        <v>0</v>
      </c>
      <c r="F168" s="520" t="str">
        <f>Result!F81</f>
        <v>SISA GAYA DILIMPAHKAN</v>
      </c>
      <c r="G168" s="520">
        <f>Result!G81</f>
        <v>0</v>
      </c>
      <c r="H168" s="520" t="str">
        <f>Result!H81</f>
        <v>AMAN (OK)</v>
      </c>
      <c r="I168" s="520">
        <f>Result!I81</f>
        <v>0</v>
      </c>
    </row>
    <row r="169" spans="1:11" ht="18.75" customHeight="1" x14ac:dyDescent="0.25">
      <c r="B169" s="511" t="s">
        <v>142</v>
      </c>
      <c r="C169" s="512"/>
      <c r="D169" s="513">
        <f>Result!D82</f>
        <v>237.41150016469246</v>
      </c>
      <c r="E169" s="513">
        <f>Result!E82</f>
        <v>0</v>
      </c>
      <c r="F169" s="513">
        <f>Result!F82</f>
        <v>354.44515593069883</v>
      </c>
      <c r="G169" s="513">
        <f>Result!G82</f>
        <v>0</v>
      </c>
      <c r="H169" s="513">
        <f>Result!H82</f>
        <v>248.92392516469243</v>
      </c>
      <c r="I169" s="513">
        <f>Result!I82</f>
        <v>0</v>
      </c>
    </row>
    <row r="170" spans="1:11" ht="18.75" customHeight="1" x14ac:dyDescent="0.25">
      <c r="B170" s="511" t="s">
        <v>143</v>
      </c>
      <c r="C170" s="512"/>
      <c r="D170" s="513">
        <f>Result!D83</f>
        <v>489.96742243267306</v>
      </c>
      <c r="E170" s="513">
        <f>Result!E83</f>
        <v>0</v>
      </c>
      <c r="F170" s="513">
        <f>Result!F83</f>
        <v>489.96742243267306</v>
      </c>
      <c r="G170" s="513">
        <f>Result!G83</f>
        <v>0</v>
      </c>
      <c r="H170" s="513">
        <f>Result!H83</f>
        <v>489.96742243267306</v>
      </c>
      <c r="I170" s="513">
        <f>Result!I83</f>
        <v>0</v>
      </c>
    </row>
    <row r="171" spans="1:11" ht="18.75" customHeight="1" x14ac:dyDescent="0.25">
      <c r="B171" s="518" t="s">
        <v>477</v>
      </c>
      <c r="C171" s="519"/>
      <c r="D171" s="520" t="str">
        <f>Result!D84</f>
        <v>AMAN (OK)</v>
      </c>
      <c r="E171" s="520">
        <f>Result!E84</f>
        <v>0</v>
      </c>
      <c r="F171" s="520" t="str">
        <f>Result!F84</f>
        <v>AMAN (OK)</v>
      </c>
      <c r="G171" s="520">
        <f>Result!G84</f>
        <v>0</v>
      </c>
      <c r="H171" s="520" t="str">
        <f>Result!H84</f>
        <v>AMAN (OK)</v>
      </c>
      <c r="I171" s="520">
        <f>Result!I84</f>
        <v>0</v>
      </c>
    </row>
    <row r="172" spans="1:11" s="246" customFormat="1" ht="18.75" customHeight="1" x14ac:dyDescent="0.25">
      <c r="A172" s="30"/>
      <c r="B172" s="439"/>
      <c r="C172" s="439"/>
      <c r="D172" s="440"/>
      <c r="E172" s="440"/>
      <c r="F172" s="440"/>
      <c r="G172" s="440"/>
      <c r="H172" s="440"/>
      <c r="I172" s="440"/>
    </row>
    <row r="173" spans="1:11" ht="18.75" customHeight="1" x14ac:dyDescent="0.25">
      <c r="A173" s="388" t="s">
        <v>654</v>
      </c>
      <c r="B173" s="389" t="s">
        <v>647</v>
      </c>
      <c r="C173" s="390"/>
      <c r="D173" s="390"/>
      <c r="E173" s="390"/>
      <c r="F173" s="390"/>
      <c r="G173" s="391"/>
      <c r="H173" s="392"/>
      <c r="I173" s="393"/>
    </row>
    <row r="174" spans="1:11" ht="18.75" customHeight="1" x14ac:dyDescent="0.25">
      <c r="A174" s="337" t="s">
        <v>58</v>
      </c>
      <c r="B174" s="338" t="s">
        <v>501</v>
      </c>
      <c r="C174" s="339"/>
      <c r="D174" s="339"/>
      <c r="E174" s="339"/>
      <c r="F174" s="339"/>
      <c r="G174" s="339"/>
      <c r="H174" s="339"/>
      <c r="I174" s="339"/>
      <c r="J174" s="17"/>
      <c r="K174" s="4"/>
    </row>
    <row r="175" spans="1:11" ht="18.75" customHeight="1" x14ac:dyDescent="0.25">
      <c r="A175" s="2"/>
      <c r="B175" s="3"/>
      <c r="C175" s="4"/>
      <c r="D175" s="4"/>
      <c r="E175" s="4"/>
      <c r="F175" s="4"/>
      <c r="G175" s="4"/>
      <c r="H175" s="4"/>
      <c r="I175" s="4"/>
      <c r="J175" s="17"/>
      <c r="K175" s="4"/>
    </row>
    <row r="176" spans="1:11" ht="18.75" customHeight="1" x14ac:dyDescent="0.25">
      <c r="A176" s="2"/>
      <c r="B176" s="3"/>
      <c r="C176" s="4"/>
      <c r="D176" s="4"/>
      <c r="E176" s="4"/>
      <c r="F176" s="4"/>
      <c r="G176" s="4"/>
      <c r="H176" s="4"/>
      <c r="I176" s="4"/>
      <c r="J176" s="17"/>
      <c r="K176" s="4"/>
    </row>
    <row r="177" spans="1:11" ht="18.75" customHeight="1" x14ac:dyDescent="0.25">
      <c r="A177" s="2"/>
      <c r="B177" s="3"/>
      <c r="C177" s="4"/>
      <c r="D177" s="4"/>
      <c r="E177" s="4"/>
      <c r="F177" s="4"/>
      <c r="G177" s="4"/>
      <c r="H177" s="4"/>
      <c r="I177" s="4"/>
      <c r="J177" s="17"/>
      <c r="K177" s="4"/>
    </row>
    <row r="178" spans="1:11" ht="18.75" customHeight="1" x14ac:dyDescent="0.25">
      <c r="A178" s="2"/>
      <c r="B178" s="3"/>
      <c r="C178" s="4"/>
      <c r="D178" s="4"/>
      <c r="E178" s="4"/>
      <c r="F178" s="4"/>
      <c r="G178" s="4"/>
      <c r="H178" s="4"/>
      <c r="I178" s="4"/>
      <c r="J178" s="17"/>
      <c r="K178" s="4"/>
    </row>
    <row r="179" spans="1:11" ht="18.75" customHeight="1" x14ac:dyDescent="0.25">
      <c r="A179" s="2"/>
      <c r="B179" s="3"/>
      <c r="C179" s="4"/>
      <c r="D179" s="4"/>
      <c r="E179" s="4"/>
      <c r="F179" s="4"/>
      <c r="G179" s="4"/>
      <c r="H179" s="4"/>
      <c r="I179" s="4"/>
      <c r="J179" s="17"/>
      <c r="K179" s="4"/>
    </row>
    <row r="180" spans="1:11" ht="18.75" customHeight="1" x14ac:dyDescent="0.25">
      <c r="A180" s="2"/>
      <c r="B180" s="3"/>
      <c r="C180" s="4"/>
      <c r="D180" s="4"/>
      <c r="E180" s="4"/>
      <c r="F180" s="4"/>
      <c r="G180" s="4"/>
      <c r="H180" s="4"/>
      <c r="I180" s="4"/>
      <c r="J180" s="17"/>
      <c r="K180" s="4"/>
    </row>
    <row r="181" spans="1:11" ht="18.75" customHeight="1" x14ac:dyDescent="0.25">
      <c r="A181" s="2"/>
      <c r="B181" s="3"/>
      <c r="C181" s="4"/>
      <c r="D181" s="4"/>
      <c r="E181" s="4"/>
      <c r="F181" s="4"/>
      <c r="G181" s="4"/>
      <c r="H181" s="4"/>
      <c r="I181" s="4"/>
      <c r="J181" s="17"/>
      <c r="K181" s="4"/>
    </row>
    <row r="182" spans="1:11" ht="18.75" customHeight="1" x14ac:dyDescent="0.25">
      <c r="A182" s="2"/>
      <c r="B182" s="3"/>
      <c r="C182" s="4"/>
      <c r="D182" s="4"/>
      <c r="E182" s="4"/>
      <c r="F182" s="4"/>
      <c r="G182" s="4"/>
      <c r="H182" s="4"/>
      <c r="I182" s="4"/>
      <c r="J182" s="17"/>
      <c r="K182" s="4"/>
    </row>
    <row r="183" spans="1:11" ht="18.75" customHeight="1" x14ac:dyDescent="0.25">
      <c r="A183" s="2"/>
      <c r="B183" s="3"/>
      <c r="C183" s="4"/>
      <c r="D183" s="4"/>
      <c r="E183" s="4"/>
      <c r="F183" s="4"/>
      <c r="G183" s="4"/>
      <c r="H183" s="4"/>
      <c r="I183" s="4"/>
      <c r="J183" s="17"/>
      <c r="K183" s="4"/>
    </row>
    <row r="184" spans="1:11" ht="18.75" customHeight="1" x14ac:dyDescent="0.25">
      <c r="A184" s="2"/>
      <c r="B184" s="3"/>
      <c r="C184" s="4"/>
      <c r="D184" s="4"/>
      <c r="E184" s="4"/>
      <c r="F184" s="4"/>
      <c r="G184" s="4"/>
      <c r="H184" s="4"/>
      <c r="I184" s="4"/>
      <c r="J184" s="17"/>
      <c r="K184" s="4"/>
    </row>
    <row r="185" spans="1:11" ht="18.75" customHeight="1" x14ac:dyDescent="0.25">
      <c r="A185" s="2"/>
      <c r="B185" s="285" t="s">
        <v>56</v>
      </c>
      <c r="C185" s="286"/>
      <c r="D185" s="286"/>
      <c r="E185" s="286"/>
      <c r="F185" s="287"/>
      <c r="G185" s="141" t="s">
        <v>66</v>
      </c>
      <c r="H185" s="141" t="s">
        <v>67</v>
      </c>
      <c r="I185" s="38"/>
    </row>
    <row r="186" spans="1:11" ht="18.75" customHeight="1" x14ac:dyDescent="0.25">
      <c r="A186" s="2"/>
      <c r="B186" s="4" t="s">
        <v>495</v>
      </c>
      <c r="C186" s="4"/>
      <c r="D186" s="4"/>
      <c r="E186" s="4"/>
      <c r="F186" s="6" t="s">
        <v>68</v>
      </c>
      <c r="G186" s="33">
        <f>'Fondasi Dalam'!I27</f>
        <v>401.17849999999999</v>
      </c>
      <c r="H186" s="33">
        <f>'Fondasi Dalam'!J27</f>
        <v>235.1705</v>
      </c>
      <c r="I186" s="5" t="s">
        <v>69</v>
      </c>
    </row>
    <row r="187" spans="1:11" ht="18.75" customHeight="1" x14ac:dyDescent="0.25">
      <c r="A187" s="2"/>
      <c r="B187" s="4" t="s">
        <v>496</v>
      </c>
      <c r="C187" s="4"/>
      <c r="D187" s="4"/>
      <c r="E187" s="4"/>
      <c r="F187" s="6" t="s">
        <v>70</v>
      </c>
      <c r="G187" s="33">
        <f>'Fondasi Dalam'!I28</f>
        <v>57.660699999999999</v>
      </c>
      <c r="H187" s="33">
        <f>'Fondasi Dalam'!J28</f>
        <v>50.259349999999998</v>
      </c>
      <c r="I187" s="5" t="s">
        <v>71</v>
      </c>
    </row>
    <row r="188" spans="1:11" ht="18.75" customHeight="1" x14ac:dyDescent="0.25">
      <c r="A188" s="2"/>
      <c r="B188" s="4" t="s">
        <v>497</v>
      </c>
      <c r="C188" s="4"/>
      <c r="D188" s="4"/>
      <c r="E188" s="4"/>
      <c r="F188" s="6" t="s">
        <v>72</v>
      </c>
      <c r="G188" s="33">
        <f>'Fondasi Dalam'!I29</f>
        <v>80.337400000000002</v>
      </c>
      <c r="H188" s="33">
        <f>'Fondasi Dalam'!J29</f>
        <v>207.84739999999999</v>
      </c>
      <c r="I188" s="5" t="s">
        <v>71</v>
      </c>
    </row>
    <row r="189" spans="1:11" ht="18.75" customHeight="1" x14ac:dyDescent="0.25">
      <c r="A189" s="2"/>
      <c r="B189" s="291" t="s">
        <v>54</v>
      </c>
      <c r="C189" s="292"/>
      <c r="D189" s="292"/>
      <c r="E189" s="292"/>
      <c r="F189" s="293"/>
      <c r="G189" s="39" t="s">
        <v>66</v>
      </c>
      <c r="H189" s="39" t="s">
        <v>67</v>
      </c>
      <c r="I189" s="138"/>
    </row>
    <row r="190" spans="1:11" ht="18.75" customHeight="1" x14ac:dyDescent="0.25">
      <c r="A190" s="2"/>
      <c r="B190" s="4" t="s">
        <v>495</v>
      </c>
      <c r="C190" s="4"/>
      <c r="D190" s="4"/>
      <c r="E190" s="4"/>
      <c r="F190" s="6" t="s">
        <v>73</v>
      </c>
      <c r="G190" s="33">
        <f>'Fondasi Dalam'!I32</f>
        <v>388.42349999999999</v>
      </c>
      <c r="H190" s="33">
        <f>'Fondasi Dalam'!J32</f>
        <v>198.35</v>
      </c>
      <c r="I190" s="5" t="s">
        <v>69</v>
      </c>
    </row>
    <row r="191" spans="1:11" ht="18.75" customHeight="1" x14ac:dyDescent="0.25">
      <c r="A191" s="2"/>
      <c r="B191" s="4" t="s">
        <v>496</v>
      </c>
      <c r="C191" s="4"/>
      <c r="D191" s="4"/>
      <c r="E191" s="4"/>
      <c r="F191" s="6" t="s">
        <v>74</v>
      </c>
      <c r="G191" s="33">
        <f>'Fondasi Dalam'!I33</f>
        <v>126.9393</v>
      </c>
      <c r="H191" s="33">
        <f>'Fondasi Dalam'!J33</f>
        <v>124.5427</v>
      </c>
      <c r="I191" s="5" t="s">
        <v>71</v>
      </c>
    </row>
    <row r="192" spans="1:11" ht="18.75" customHeight="1" x14ac:dyDescent="0.25">
      <c r="A192" s="2"/>
      <c r="B192" s="4" t="s">
        <v>497</v>
      </c>
      <c r="C192" s="4"/>
      <c r="D192" s="4"/>
      <c r="E192" s="4"/>
      <c r="F192" s="6" t="s">
        <v>75</v>
      </c>
      <c r="G192" s="33">
        <f>'Fondasi Dalam'!I34</f>
        <v>228.05889999999999</v>
      </c>
      <c r="H192" s="33">
        <f>'Fondasi Dalam'!J34</f>
        <v>239.4401</v>
      </c>
      <c r="I192" s="5" t="s">
        <v>71</v>
      </c>
    </row>
    <row r="193" spans="1:10" ht="18.75" customHeight="1" x14ac:dyDescent="0.25">
      <c r="A193" s="2"/>
      <c r="B193" s="288" t="s">
        <v>55</v>
      </c>
      <c r="C193" s="289"/>
      <c r="D193" s="289"/>
      <c r="E193" s="289"/>
      <c r="F193" s="290"/>
      <c r="G193" s="40" t="s">
        <v>66</v>
      </c>
      <c r="H193" s="40" t="s">
        <v>67</v>
      </c>
      <c r="I193" s="138"/>
    </row>
    <row r="194" spans="1:10" ht="18.75" customHeight="1" x14ac:dyDescent="0.25">
      <c r="A194" s="2"/>
      <c r="B194" s="4" t="s">
        <v>495</v>
      </c>
      <c r="C194" s="4"/>
      <c r="D194" s="4"/>
      <c r="E194" s="4"/>
      <c r="F194" s="6" t="s">
        <v>76</v>
      </c>
      <c r="G194" s="33">
        <f>'Fondasi Dalam'!I37</f>
        <v>384.5575</v>
      </c>
      <c r="H194" s="33">
        <f>'Fondasi Dalam'!J37</f>
        <v>159.71600000000001</v>
      </c>
      <c r="I194" s="5" t="s">
        <v>69</v>
      </c>
    </row>
    <row r="195" spans="1:10" ht="18.75" customHeight="1" x14ac:dyDescent="0.25">
      <c r="A195" s="2"/>
      <c r="B195" s="4" t="s">
        <v>496</v>
      </c>
      <c r="C195" s="4"/>
      <c r="D195" s="4"/>
      <c r="E195" s="4"/>
      <c r="F195" s="6" t="s">
        <v>77</v>
      </c>
      <c r="G195" s="33">
        <f>'Fondasi Dalam'!I38</f>
        <v>73.680999999999997</v>
      </c>
      <c r="H195" s="33">
        <f>'Fondasi Dalam'!J38</f>
        <v>66.284499999999994</v>
      </c>
      <c r="I195" s="5" t="s">
        <v>71</v>
      </c>
    </row>
    <row r="196" spans="1:10" ht="18.75" customHeight="1" x14ac:dyDescent="0.25">
      <c r="A196" s="2"/>
      <c r="B196" s="4" t="s">
        <v>497</v>
      </c>
      <c r="C196" s="4"/>
      <c r="D196" s="4"/>
      <c r="E196" s="4"/>
      <c r="F196" s="6" t="s">
        <v>78</v>
      </c>
      <c r="G196" s="33">
        <f>'Fondasi Dalam'!I39</f>
        <v>132.75710000000001</v>
      </c>
      <c r="H196" s="33">
        <f>'Fondasi Dalam'!J39</f>
        <v>139.13829999999999</v>
      </c>
      <c r="I196" s="5" t="s">
        <v>71</v>
      </c>
    </row>
    <row r="197" spans="1:10" ht="18.75" customHeight="1" x14ac:dyDescent="0.25">
      <c r="A197" s="2"/>
      <c r="B197" s="4"/>
      <c r="C197" s="4"/>
      <c r="D197" s="4"/>
      <c r="E197" s="4"/>
      <c r="F197" s="6"/>
      <c r="G197" s="41"/>
      <c r="H197" s="17"/>
      <c r="I197" s="17"/>
    </row>
    <row r="198" spans="1:10" ht="18.75" customHeight="1" x14ac:dyDescent="0.25">
      <c r="A198" s="2"/>
      <c r="B198" s="4" t="s">
        <v>631</v>
      </c>
      <c r="C198" s="4"/>
      <c r="D198" s="4"/>
      <c r="E198" s="4"/>
      <c r="F198" s="6" t="s">
        <v>79</v>
      </c>
      <c r="G198" s="35">
        <f>'Fondasi Dalam'!I41</f>
        <v>5</v>
      </c>
      <c r="H198" s="5" t="s">
        <v>6</v>
      </c>
      <c r="I198" s="4"/>
    </row>
    <row r="200" spans="1:10" ht="18.75" customHeight="1" x14ac:dyDescent="0.25">
      <c r="A200" s="337" t="s">
        <v>290</v>
      </c>
      <c r="B200" s="338" t="s">
        <v>632</v>
      </c>
      <c r="C200" s="339"/>
      <c r="D200" s="339"/>
      <c r="E200" s="339"/>
      <c r="F200" s="339"/>
      <c r="G200" s="339"/>
      <c r="H200" s="339"/>
      <c r="I200" s="339"/>
      <c r="J200" s="17"/>
    </row>
    <row r="201" spans="1:10" ht="18.75" customHeight="1" x14ac:dyDescent="0.25">
      <c r="A201" s="2"/>
      <c r="B201" s="3" t="s">
        <v>80</v>
      </c>
      <c r="C201" s="4"/>
      <c r="D201" s="4"/>
      <c r="E201" s="4"/>
      <c r="F201" s="3" t="s">
        <v>81</v>
      </c>
      <c r="G201" s="4"/>
      <c r="H201" s="4"/>
      <c r="I201" s="4"/>
      <c r="J201" s="17"/>
    </row>
    <row r="202" spans="1:10" ht="37.5" customHeight="1" x14ac:dyDescent="0.25">
      <c r="A202" s="2"/>
      <c r="B202" s="508" t="s">
        <v>626</v>
      </c>
      <c r="C202" s="509"/>
      <c r="D202" s="509"/>
      <c r="E202" s="510"/>
      <c r="F202" s="508" t="s">
        <v>627</v>
      </c>
      <c r="G202" s="509"/>
      <c r="H202" s="509"/>
      <c r="I202" s="510"/>
      <c r="J202" s="17"/>
    </row>
    <row r="203" spans="1:10" ht="18.75" customHeight="1" x14ac:dyDescent="0.25">
      <c r="A203" s="2"/>
      <c r="B203" s="318" t="s">
        <v>83</v>
      </c>
      <c r="C203" s="318" t="s">
        <v>84</v>
      </c>
      <c r="D203" s="318" t="s">
        <v>85</v>
      </c>
      <c r="E203" s="319" t="s">
        <v>498</v>
      </c>
      <c r="F203" s="318" t="s">
        <v>83</v>
      </c>
      <c r="G203" s="318" t="s">
        <v>84</v>
      </c>
      <c r="H203" s="318" t="s">
        <v>87</v>
      </c>
      <c r="I203" s="319" t="s">
        <v>499</v>
      </c>
      <c r="J203" s="17"/>
    </row>
    <row r="204" spans="1:10" ht="18.75" customHeight="1" x14ac:dyDescent="0.25">
      <c r="A204" s="2"/>
      <c r="B204" s="320"/>
      <c r="C204" s="320" t="s">
        <v>90</v>
      </c>
      <c r="D204" s="320" t="s">
        <v>91</v>
      </c>
      <c r="E204" s="321" t="s">
        <v>500</v>
      </c>
      <c r="F204" s="320"/>
      <c r="G204" s="320" t="s">
        <v>90</v>
      </c>
      <c r="H204" s="320" t="s">
        <v>91</v>
      </c>
      <c r="I204" s="321" t="s">
        <v>500</v>
      </c>
      <c r="J204" s="17"/>
    </row>
    <row r="205" spans="1:10" ht="18.75" customHeight="1" x14ac:dyDescent="0.25">
      <c r="A205" s="2"/>
      <c r="B205" s="132">
        <f>'Fondasi Dalam'!B48</f>
        <v>1</v>
      </c>
      <c r="C205" s="133">
        <f>'Fondasi Dalam'!C48</f>
        <v>2</v>
      </c>
      <c r="D205" s="134">
        <f>'Fondasi Dalam'!D48</f>
        <v>-0.5</v>
      </c>
      <c r="E205" s="135">
        <f>'Fondasi Dalam'!E48</f>
        <v>0.5</v>
      </c>
      <c r="F205" s="132">
        <f>'Fondasi Dalam'!F48</f>
        <v>1</v>
      </c>
      <c r="G205" s="133">
        <f>'Fondasi Dalam'!G48</f>
        <v>2</v>
      </c>
      <c r="H205" s="134">
        <f>'Fondasi Dalam'!H48</f>
        <v>-0.5</v>
      </c>
      <c r="I205" s="135">
        <f>'Fondasi Dalam'!I48</f>
        <v>0.5</v>
      </c>
      <c r="J205" s="17"/>
    </row>
    <row r="206" spans="1:10" ht="18.75" customHeight="1" x14ac:dyDescent="0.25">
      <c r="A206" s="2"/>
      <c r="B206" s="132">
        <f>'Fondasi Dalam'!B49</f>
        <v>2</v>
      </c>
      <c r="C206" s="133">
        <f>'Fondasi Dalam'!C49</f>
        <v>2</v>
      </c>
      <c r="D206" s="134">
        <f>'Fondasi Dalam'!D49</f>
        <v>0.5</v>
      </c>
      <c r="E206" s="135">
        <f>'Fondasi Dalam'!E49</f>
        <v>0.5</v>
      </c>
      <c r="F206" s="132">
        <f>'Fondasi Dalam'!F49</f>
        <v>2</v>
      </c>
      <c r="G206" s="133">
        <f>'Fondasi Dalam'!G49</f>
        <v>2</v>
      </c>
      <c r="H206" s="134">
        <f>'Fondasi Dalam'!H49</f>
        <v>0.5</v>
      </c>
      <c r="I206" s="135">
        <f>'Fondasi Dalam'!I49</f>
        <v>0.5</v>
      </c>
      <c r="J206" s="17"/>
    </row>
    <row r="207" spans="1:10" ht="18.75" customHeight="1" x14ac:dyDescent="0.25">
      <c r="A207" s="2"/>
      <c r="B207" s="132" t="str">
        <f>'Fondasi Dalam'!B50</f>
        <v/>
      </c>
      <c r="C207" s="132" t="str">
        <f>'Fondasi Dalam'!C50</f>
        <v/>
      </c>
      <c r="D207" s="134" t="str">
        <f>'Fondasi Dalam'!D50</f>
        <v/>
      </c>
      <c r="E207" s="135" t="str">
        <f>'Fondasi Dalam'!E50</f>
        <v/>
      </c>
      <c r="F207" s="132" t="str">
        <f>'Fondasi Dalam'!F50</f>
        <v/>
      </c>
      <c r="G207" s="132" t="str">
        <f>'Fondasi Dalam'!G50</f>
        <v/>
      </c>
      <c r="H207" s="134" t="str">
        <f>'Fondasi Dalam'!H50</f>
        <v/>
      </c>
      <c r="I207" s="135" t="str">
        <f>'Fondasi Dalam'!I50</f>
        <v/>
      </c>
      <c r="J207" s="17"/>
    </row>
    <row r="208" spans="1:10" ht="18.75" customHeight="1" x14ac:dyDescent="0.25">
      <c r="A208" s="2"/>
      <c r="B208" s="132" t="str">
        <f>'Fondasi Dalam'!B51</f>
        <v/>
      </c>
      <c r="C208" s="132" t="str">
        <f>'Fondasi Dalam'!C51</f>
        <v/>
      </c>
      <c r="D208" s="134" t="str">
        <f>'Fondasi Dalam'!D51</f>
        <v/>
      </c>
      <c r="E208" s="135" t="str">
        <f>'Fondasi Dalam'!E51</f>
        <v/>
      </c>
      <c r="F208" s="132" t="str">
        <f>'Fondasi Dalam'!F51</f>
        <v/>
      </c>
      <c r="G208" s="132" t="str">
        <f>'Fondasi Dalam'!G51</f>
        <v/>
      </c>
      <c r="H208" s="134" t="str">
        <f>'Fondasi Dalam'!H51</f>
        <v/>
      </c>
      <c r="I208" s="135" t="str">
        <f>'Fondasi Dalam'!I51</f>
        <v/>
      </c>
      <c r="J208" s="17"/>
    </row>
    <row r="209" spans="1:11" ht="18.75" customHeight="1" x14ac:dyDescent="0.25">
      <c r="A209" s="2"/>
      <c r="B209" s="275" t="s">
        <v>94</v>
      </c>
      <c r="C209" s="49">
        <f>'Fondasi Dalam'!C52</f>
        <v>4</v>
      </c>
      <c r="D209" s="52" t="s">
        <v>95</v>
      </c>
      <c r="E209" s="50">
        <f>SUM(E205:E208)</f>
        <v>1</v>
      </c>
      <c r="F209" s="53" t="s">
        <v>94</v>
      </c>
      <c r="G209" s="49">
        <f>'Fondasi Dalam'!G52</f>
        <v>4</v>
      </c>
      <c r="H209" s="52" t="s">
        <v>96</v>
      </c>
      <c r="I209" s="50">
        <f>'Fondasi Dalam'!I52</f>
        <v>1</v>
      </c>
      <c r="J209" s="17"/>
    </row>
    <row r="210" spans="1:11" ht="18.75" customHeight="1" x14ac:dyDescent="0.25">
      <c r="A210" s="2"/>
      <c r="B210" s="55" t="s">
        <v>98</v>
      </c>
      <c r="C210" s="56"/>
      <c r="D210" s="56"/>
      <c r="E210" s="56"/>
      <c r="F210" s="56"/>
      <c r="G210" s="57" t="s">
        <v>99</v>
      </c>
      <c r="H210" s="50">
        <f>'Fondasi Dalam'!I53</f>
        <v>1.8</v>
      </c>
      <c r="I210" s="50" t="str">
        <f>'Fondasi Dalam'!J53</f>
        <v>m</v>
      </c>
      <c r="J210" s="5"/>
    </row>
    <row r="211" spans="1:11" ht="18.75" customHeight="1" x14ac:dyDescent="0.25">
      <c r="A211" s="2"/>
      <c r="B211" s="55" t="s">
        <v>100</v>
      </c>
      <c r="C211" s="56"/>
      <c r="D211" s="56"/>
      <c r="E211" s="56"/>
      <c r="F211" s="56"/>
      <c r="G211" s="57" t="s">
        <v>101</v>
      </c>
      <c r="H211" s="50">
        <f>'Fondasi Dalam'!I54</f>
        <v>1.8</v>
      </c>
      <c r="I211" s="50" t="str">
        <f>'Fondasi Dalam'!J54</f>
        <v>m</v>
      </c>
      <c r="J211" s="5"/>
    </row>
    <row r="212" spans="1:11" ht="18.75" customHeight="1" x14ac:dyDescent="0.25">
      <c r="A212" s="2"/>
      <c r="B212" s="4" t="s">
        <v>102</v>
      </c>
      <c r="C212" s="4"/>
      <c r="D212" s="4"/>
      <c r="E212" s="4"/>
      <c r="F212" s="20"/>
      <c r="G212" s="6" t="s">
        <v>25</v>
      </c>
      <c r="H212" s="50">
        <f>'Fondasi Dalam'!I56</f>
        <v>1000</v>
      </c>
      <c r="I212" s="5" t="s">
        <v>12</v>
      </c>
    </row>
    <row r="213" spans="1:11" ht="18.75" customHeight="1" x14ac:dyDescent="0.25">
      <c r="A213" s="2"/>
      <c r="B213" s="4" t="s">
        <v>103</v>
      </c>
      <c r="C213" s="4"/>
      <c r="D213" s="4"/>
      <c r="E213" s="4"/>
      <c r="F213" s="429" t="s">
        <v>104</v>
      </c>
      <c r="G213" s="20" t="s">
        <v>105</v>
      </c>
      <c r="H213" s="428" t="s">
        <v>106</v>
      </c>
      <c r="I213" s="5"/>
    </row>
    <row r="214" spans="1:11" ht="18.75" customHeight="1" x14ac:dyDescent="0.25">
      <c r="A214" s="2"/>
      <c r="B214" s="3"/>
      <c r="C214" s="4"/>
      <c r="D214" s="4"/>
      <c r="E214" s="4"/>
      <c r="F214" s="49">
        <f>'Fondasi Dalam'!G58</f>
        <v>750</v>
      </c>
      <c r="G214" s="20" t="s">
        <v>105</v>
      </c>
      <c r="H214" s="49">
        <f>'Fondasi Dalam'!I58</f>
        <v>1200</v>
      </c>
      <c r="I214" s="5"/>
    </row>
    <row r="215" spans="1:11" ht="18.75" customHeight="1" x14ac:dyDescent="0.25">
      <c r="A215" s="2"/>
      <c r="B215" s="3"/>
      <c r="C215" s="4"/>
      <c r="D215" s="4"/>
      <c r="E215" s="4"/>
      <c r="F215" s="20"/>
      <c r="G215" s="20" t="s">
        <v>107</v>
      </c>
      <c r="H215" s="2" t="s">
        <v>108</v>
      </c>
      <c r="I215" s="5"/>
    </row>
    <row r="216" spans="1:11" ht="18.75" customHeight="1" x14ac:dyDescent="0.25">
      <c r="A216" s="2"/>
      <c r="B216" s="3"/>
      <c r="C216" s="4"/>
      <c r="D216" s="4"/>
      <c r="E216" s="4"/>
      <c r="F216" s="20"/>
      <c r="G216" s="20"/>
      <c r="H216" s="20"/>
      <c r="I216" s="5"/>
    </row>
    <row r="217" spans="1:11" ht="18.75" customHeight="1" x14ac:dyDescent="0.25">
      <c r="A217" s="2"/>
      <c r="B217" s="4" t="s">
        <v>533</v>
      </c>
      <c r="C217" s="4"/>
      <c r="D217" s="4"/>
      <c r="E217" s="4"/>
      <c r="F217" s="4"/>
      <c r="G217" s="6" t="s">
        <v>21</v>
      </c>
      <c r="H217" s="322">
        <f>'Fondasi Dalam'!I61</f>
        <v>400</v>
      </c>
      <c r="I217" s="5" t="s">
        <v>12</v>
      </c>
    </row>
    <row r="218" spans="1:11" ht="18.75" customHeight="1" x14ac:dyDescent="0.25">
      <c r="A218" s="2"/>
      <c r="B218" s="4" t="s">
        <v>103</v>
      </c>
      <c r="C218" s="4"/>
      <c r="D218" s="4"/>
      <c r="E218" s="4"/>
      <c r="F218" s="20"/>
      <c r="G218" s="20" t="s">
        <v>109</v>
      </c>
      <c r="H218" s="428" t="s">
        <v>110</v>
      </c>
      <c r="I218" s="5"/>
    </row>
    <row r="219" spans="1:11" ht="18.75" customHeight="1" x14ac:dyDescent="0.25">
      <c r="A219" s="2"/>
      <c r="B219" s="3"/>
      <c r="C219" s="4"/>
      <c r="D219" s="4"/>
      <c r="E219" s="4"/>
      <c r="F219" s="20"/>
      <c r="G219" s="20" t="s">
        <v>109</v>
      </c>
      <c r="H219" s="49">
        <f>'Fondasi Dalam'!I63</f>
        <v>375</v>
      </c>
      <c r="I219" s="5"/>
    </row>
    <row r="220" spans="1:11" ht="18.75" customHeight="1" x14ac:dyDescent="0.25">
      <c r="A220" s="2"/>
      <c r="B220" s="4"/>
      <c r="C220" s="4"/>
      <c r="D220" s="4"/>
      <c r="E220" s="4"/>
      <c r="F220" s="4"/>
      <c r="G220" s="20" t="s">
        <v>107</v>
      </c>
      <c r="H220" s="2" t="s">
        <v>108</v>
      </c>
      <c r="I220" s="5"/>
    </row>
    <row r="222" spans="1:11" ht="18.75" customHeight="1" x14ac:dyDescent="0.25">
      <c r="A222" s="337" t="s">
        <v>291</v>
      </c>
      <c r="B222" s="338" t="s">
        <v>633</v>
      </c>
      <c r="C222" s="339"/>
      <c r="D222" s="339"/>
      <c r="E222" s="339"/>
      <c r="F222" s="339"/>
      <c r="G222" s="339"/>
      <c r="H222" s="339"/>
      <c r="I222" s="339"/>
      <c r="J222" s="17"/>
      <c r="K222" s="4"/>
    </row>
    <row r="223" spans="1:11" ht="18.75" customHeight="1" x14ac:dyDescent="0.25">
      <c r="A223" s="2"/>
      <c r="B223" s="4" t="s">
        <v>111</v>
      </c>
      <c r="C223" s="4"/>
      <c r="D223" s="4"/>
      <c r="E223" s="4"/>
      <c r="F223" s="4"/>
      <c r="G223" s="58" t="s">
        <v>112</v>
      </c>
      <c r="H223" s="35">
        <f>'Fondasi Dalam'!I67</f>
        <v>117.02880000000002</v>
      </c>
      <c r="I223" s="5" t="s">
        <v>69</v>
      </c>
      <c r="J223" s="4"/>
    </row>
    <row r="224" spans="1:11" ht="18.75" customHeight="1" x14ac:dyDescent="0.25">
      <c r="A224" s="2"/>
      <c r="B224" s="4" t="s">
        <v>162</v>
      </c>
      <c r="C224" s="4"/>
      <c r="D224" s="4"/>
      <c r="E224" s="4"/>
      <c r="F224" s="4"/>
      <c r="J224" s="4"/>
    </row>
    <row r="225" spans="1:11" ht="18.75" customHeight="1" x14ac:dyDescent="0.25">
      <c r="A225" s="2"/>
      <c r="B225" s="4"/>
      <c r="C225" s="4"/>
      <c r="D225" s="4"/>
      <c r="E225" s="4"/>
      <c r="F225" s="4"/>
      <c r="G225" s="58" t="s">
        <v>163</v>
      </c>
      <c r="H225" s="35">
        <f>'Fondasi Dalam'!I68</f>
        <v>16.200000000000003</v>
      </c>
      <c r="I225" s="5" t="s">
        <v>69</v>
      </c>
      <c r="J225" s="4"/>
    </row>
    <row r="226" spans="1:11" ht="18.75" customHeight="1" x14ac:dyDescent="0.25">
      <c r="A226" s="2"/>
      <c r="B226" s="4" t="s">
        <v>113</v>
      </c>
      <c r="C226" s="4"/>
      <c r="D226" s="4"/>
      <c r="E226" s="4"/>
      <c r="F226" s="4"/>
      <c r="G226" s="58" t="s">
        <v>114</v>
      </c>
      <c r="H226" s="35">
        <f>'Fondasi Dalam'!I69</f>
        <v>31.104000000000006</v>
      </c>
      <c r="I226" s="5" t="s">
        <v>69</v>
      </c>
      <c r="J226" s="4"/>
    </row>
    <row r="227" spans="1:11" ht="18.75" customHeight="1" x14ac:dyDescent="0.25">
      <c r="A227" s="2"/>
      <c r="B227" s="4" t="s">
        <v>634</v>
      </c>
      <c r="C227" s="4"/>
      <c r="D227" s="4"/>
      <c r="E227" s="4"/>
      <c r="F227" s="4"/>
      <c r="G227" s="58" t="s">
        <v>165</v>
      </c>
      <c r="H227" s="35">
        <f>'Fondasi Dalam'!I70</f>
        <v>33.929200658769766</v>
      </c>
      <c r="I227" s="5" t="s">
        <v>69</v>
      </c>
      <c r="J227" s="4"/>
    </row>
    <row r="228" spans="1:11" ht="18.75" customHeight="1" x14ac:dyDescent="0.25">
      <c r="A228" s="2"/>
      <c r="B228" s="4"/>
      <c r="C228" s="4"/>
      <c r="D228" s="4"/>
      <c r="E228" s="4"/>
      <c r="F228" s="4"/>
      <c r="G228" s="4"/>
      <c r="H228" s="4"/>
      <c r="I228" s="122"/>
      <c r="J228" s="17"/>
      <c r="K228" s="4"/>
    </row>
    <row r="229" spans="1:11" ht="18.75" customHeight="1" x14ac:dyDescent="0.25">
      <c r="A229" s="2"/>
      <c r="B229" s="4" t="s">
        <v>115</v>
      </c>
      <c r="C229" s="4"/>
      <c r="D229" s="4"/>
      <c r="E229" s="4"/>
      <c r="H229" s="120"/>
      <c r="I229" s="91"/>
    </row>
    <row r="230" spans="1:11" ht="18.75" customHeight="1" x14ac:dyDescent="0.25">
      <c r="A230" s="2"/>
      <c r="B230" s="4"/>
      <c r="C230" s="4"/>
      <c r="D230" s="4"/>
      <c r="E230" s="4"/>
      <c r="F230" s="6" t="s">
        <v>164</v>
      </c>
      <c r="G230" s="401" t="s">
        <v>66</v>
      </c>
      <c r="H230" s="401" t="s">
        <v>67</v>
      </c>
      <c r="I230" s="254"/>
    </row>
    <row r="231" spans="1:11" ht="18.75" customHeight="1" x14ac:dyDescent="0.25">
      <c r="A231" s="2"/>
      <c r="B231" s="323" t="s">
        <v>56</v>
      </c>
      <c r="C231" s="324"/>
      <c r="D231" s="324"/>
      <c r="E231" s="325"/>
      <c r="F231" s="6"/>
      <c r="G231" s="60">
        <f>'Fondasi Dalam'!I73</f>
        <v>599.44050065876979</v>
      </c>
      <c r="H231" s="60">
        <f>'Fondasi Dalam'!J73</f>
        <v>433.43250065876981</v>
      </c>
      <c r="I231" s="332" t="s">
        <v>69</v>
      </c>
    </row>
    <row r="232" spans="1:11" ht="18.75" customHeight="1" x14ac:dyDescent="0.25">
      <c r="A232" s="2"/>
      <c r="B232" s="326" t="s">
        <v>54</v>
      </c>
      <c r="C232" s="327"/>
      <c r="D232" s="327"/>
      <c r="E232" s="328"/>
      <c r="F232" s="6"/>
      <c r="G232" s="61">
        <f>'Fondasi Dalam'!I74</f>
        <v>586.6855006587698</v>
      </c>
      <c r="H232" s="61">
        <f>'Fondasi Dalam'!J74</f>
        <v>396.61200065876983</v>
      </c>
      <c r="I232" s="332" t="s">
        <v>69</v>
      </c>
    </row>
    <row r="233" spans="1:11" ht="18.75" customHeight="1" x14ac:dyDescent="0.25">
      <c r="A233" s="2"/>
      <c r="B233" s="329" t="s">
        <v>55</v>
      </c>
      <c r="C233" s="330"/>
      <c r="D233" s="330"/>
      <c r="E233" s="331"/>
      <c r="F233" s="6"/>
      <c r="G233" s="62">
        <f>'Fondasi Dalam'!I75</f>
        <v>582.81950065876981</v>
      </c>
      <c r="H233" s="62">
        <f>'Fondasi Dalam'!J75</f>
        <v>357.97800065876982</v>
      </c>
      <c r="I233" s="332" t="s">
        <v>69</v>
      </c>
    </row>
    <row r="234" spans="1:11" ht="18.75" customHeight="1" x14ac:dyDescent="0.25">
      <c r="A234" s="2"/>
      <c r="B234" s="17"/>
      <c r="C234" s="17"/>
      <c r="D234" s="17"/>
      <c r="E234" s="17"/>
      <c r="F234" s="17"/>
      <c r="G234" s="17"/>
      <c r="H234" s="6"/>
      <c r="I234" s="179"/>
      <c r="J234" s="4"/>
      <c r="K234" s="17"/>
    </row>
    <row r="235" spans="1:11" ht="18.75" customHeight="1" x14ac:dyDescent="0.25">
      <c r="A235" s="2"/>
      <c r="B235" s="4" t="s">
        <v>635</v>
      </c>
      <c r="C235" s="4"/>
      <c r="D235" s="4"/>
      <c r="E235" s="4"/>
      <c r="F235" s="4"/>
      <c r="G235" s="6" t="s">
        <v>119</v>
      </c>
      <c r="H235" s="35">
        <f>'Fondasi Dalam'!I77</f>
        <v>0.5</v>
      </c>
      <c r="I235" s="5" t="s">
        <v>6</v>
      </c>
      <c r="J235" s="4"/>
    </row>
    <row r="236" spans="1:11" ht="18.75" customHeight="1" x14ac:dyDescent="0.25">
      <c r="A236" s="2"/>
      <c r="B236" s="4" t="s">
        <v>636</v>
      </c>
      <c r="C236" s="4"/>
      <c r="D236" s="4"/>
      <c r="E236" s="4"/>
      <c r="F236" s="4"/>
      <c r="G236" s="6" t="s">
        <v>120</v>
      </c>
      <c r="H236" s="35">
        <f>'Fondasi Dalam'!I78</f>
        <v>0.5</v>
      </c>
      <c r="I236" s="5" t="s">
        <v>6</v>
      </c>
      <c r="J236" s="4"/>
    </row>
    <row r="237" spans="1:11" ht="18.75" customHeight="1" x14ac:dyDescent="0.25">
      <c r="A237" s="2"/>
      <c r="B237" s="4" t="s">
        <v>637</v>
      </c>
      <c r="C237" s="4"/>
      <c r="D237" s="4"/>
      <c r="E237" s="4"/>
      <c r="F237" s="4"/>
      <c r="G237" s="6" t="s">
        <v>121</v>
      </c>
      <c r="H237" s="35">
        <f>'Fondasi Dalam'!I79</f>
        <v>-0.5</v>
      </c>
      <c r="I237" s="5" t="s">
        <v>6</v>
      </c>
      <c r="J237" s="4"/>
    </row>
    <row r="238" spans="1:11" ht="18.75" customHeight="1" x14ac:dyDescent="0.25">
      <c r="A238" s="2"/>
      <c r="B238" s="4" t="s">
        <v>638</v>
      </c>
      <c r="C238" s="4"/>
      <c r="D238" s="4"/>
      <c r="E238" s="4"/>
      <c r="F238" s="4"/>
      <c r="G238" s="6" t="s">
        <v>122</v>
      </c>
      <c r="H238" s="35">
        <f>'Fondasi Dalam'!I80</f>
        <v>-0.5</v>
      </c>
      <c r="I238" s="5" t="s">
        <v>6</v>
      </c>
      <c r="J238" s="4"/>
    </row>
    <row r="240" spans="1:11" ht="18.75" customHeight="1" x14ac:dyDescent="0.25">
      <c r="A240" s="337" t="s">
        <v>429</v>
      </c>
      <c r="B240" s="338" t="s">
        <v>639</v>
      </c>
      <c r="C240" s="339"/>
      <c r="D240" s="339"/>
      <c r="E240" s="339"/>
      <c r="F240" s="339"/>
      <c r="G240" s="339"/>
      <c r="H240" s="339"/>
      <c r="I240" s="339"/>
      <c r="J240" s="17"/>
    </row>
    <row r="241" spans="2:10" ht="18.75" customHeight="1" x14ac:dyDescent="0.25">
      <c r="B241" s="400" t="s">
        <v>167</v>
      </c>
      <c r="C241" s="400"/>
      <c r="D241" s="400"/>
      <c r="E241" s="400"/>
      <c r="F241" s="400"/>
      <c r="G241" s="400"/>
      <c r="H241" s="526" t="s">
        <v>166</v>
      </c>
      <c r="I241" s="526"/>
    </row>
    <row r="242" spans="2:10" ht="18.75" customHeight="1" x14ac:dyDescent="0.25">
      <c r="B242" s="285" t="s">
        <v>56</v>
      </c>
      <c r="C242" s="286"/>
      <c r="D242" s="286"/>
      <c r="E242" s="286"/>
      <c r="F242" s="286"/>
      <c r="G242" s="287"/>
      <c r="H242" s="141" t="s">
        <v>66</v>
      </c>
      <c r="I242" s="141" t="s">
        <v>67</v>
      </c>
    </row>
    <row r="243" spans="2:10" ht="18.75" customHeight="1" x14ac:dyDescent="0.25">
      <c r="B243" s="4"/>
      <c r="C243" s="4"/>
      <c r="D243" s="4"/>
      <c r="E243" s="4"/>
      <c r="F243" s="4"/>
      <c r="G243" s="6" t="s">
        <v>123</v>
      </c>
      <c r="H243" s="35">
        <f>'Fondasi Dalam'!I85</f>
        <v>218.85917516469246</v>
      </c>
      <c r="I243" s="35">
        <f>'Fondasi Dalam'!J85</f>
        <v>237.41150016469246</v>
      </c>
    </row>
    <row r="244" spans="2:10" ht="18.75" customHeight="1" x14ac:dyDescent="0.25">
      <c r="B244" s="4"/>
      <c r="C244" s="4"/>
      <c r="D244" s="4"/>
      <c r="E244" s="4"/>
      <c r="F244" s="4"/>
      <c r="G244" s="6" t="s">
        <v>124</v>
      </c>
      <c r="H244" s="35">
        <f>'Fondasi Dalam'!I86</f>
        <v>80.861075164692451</v>
      </c>
      <c r="I244" s="35">
        <f>'Fondasi Dalam'!J86</f>
        <v>-20.69524983530755</v>
      </c>
    </row>
    <row r="245" spans="2:10" ht="18.75" customHeight="1" x14ac:dyDescent="0.25">
      <c r="B245" s="291" t="s">
        <v>54</v>
      </c>
      <c r="C245" s="292"/>
      <c r="D245" s="292"/>
      <c r="E245" s="292"/>
      <c r="F245" s="292"/>
      <c r="G245" s="293"/>
      <c r="H245" s="39" t="s">
        <v>66</v>
      </c>
      <c r="I245" s="39" t="s">
        <v>67</v>
      </c>
    </row>
    <row r="246" spans="2:10" ht="18.75" customHeight="1" x14ac:dyDescent="0.25">
      <c r="B246" s="4"/>
      <c r="C246" s="4"/>
      <c r="D246" s="4"/>
      <c r="E246" s="4"/>
      <c r="F246" s="4"/>
      <c r="G246" s="6" t="s">
        <v>123</v>
      </c>
      <c r="H246" s="35">
        <f>'Fondasi Dalam'!I88</f>
        <v>324.17047516469245</v>
      </c>
      <c r="I246" s="35">
        <f>'Fondasi Dalam'!J88</f>
        <v>281.14440016469246</v>
      </c>
    </row>
    <row r="247" spans="2:10" ht="18.75" customHeight="1" x14ac:dyDescent="0.25">
      <c r="B247" s="4"/>
      <c r="C247" s="4"/>
      <c r="D247" s="4"/>
      <c r="E247" s="4"/>
      <c r="F247" s="4"/>
      <c r="G247" s="6" t="s">
        <v>124</v>
      </c>
      <c r="H247" s="35">
        <f>'Fondasi Dalam'!I89</f>
        <v>-30.827724835307549</v>
      </c>
      <c r="I247" s="35">
        <f>'Fondasi Dalam'!J89</f>
        <v>-82.838399835307541</v>
      </c>
    </row>
    <row r="248" spans="2:10" ht="18.75" customHeight="1" x14ac:dyDescent="0.25">
      <c r="B248" s="288" t="s">
        <v>55</v>
      </c>
      <c r="C248" s="289"/>
      <c r="D248" s="289"/>
      <c r="E248" s="289"/>
      <c r="F248" s="289"/>
      <c r="G248" s="290"/>
      <c r="H248" s="40" t="s">
        <v>66</v>
      </c>
      <c r="I248" s="40" t="s">
        <v>67</v>
      </c>
    </row>
    <row r="249" spans="2:10" ht="18.75" customHeight="1" x14ac:dyDescent="0.25">
      <c r="B249" s="4"/>
      <c r="C249" s="4"/>
      <c r="D249" s="4"/>
      <c r="E249" s="4"/>
      <c r="F249" s="4"/>
      <c r="G249" s="6" t="s">
        <v>123</v>
      </c>
      <c r="H249" s="35">
        <f>'Fondasi Dalam'!I91</f>
        <v>248.92392516469243</v>
      </c>
      <c r="I249" s="35">
        <f>'Fondasi Dalam'!J91</f>
        <v>192.20590016469242</v>
      </c>
    </row>
    <row r="250" spans="2:10" ht="18.75" customHeight="1" x14ac:dyDescent="0.25">
      <c r="B250" s="4"/>
      <c r="C250" s="4"/>
      <c r="D250" s="4"/>
      <c r="E250" s="4"/>
      <c r="F250" s="4"/>
      <c r="G250" s="6" t="s">
        <v>124</v>
      </c>
      <c r="H250" s="35">
        <f>'Fondasi Dalam'!I92</f>
        <v>42.485825164692457</v>
      </c>
      <c r="I250" s="35">
        <f>'Fondasi Dalam'!J92</f>
        <v>-13.216899835307537</v>
      </c>
    </row>
    <row r="251" spans="2:10" ht="18.75" customHeight="1" x14ac:dyDescent="0.25">
      <c r="B251" s="4"/>
      <c r="C251" s="4"/>
      <c r="D251" s="4"/>
      <c r="E251" s="4"/>
      <c r="F251" s="4"/>
      <c r="G251" s="4"/>
      <c r="H251" s="6"/>
      <c r="I251" s="59"/>
      <c r="J251" s="17"/>
    </row>
    <row r="252" spans="2:10" ht="18.75" customHeight="1" x14ac:dyDescent="0.25">
      <c r="B252" s="21" t="s">
        <v>125</v>
      </c>
      <c r="C252" s="21"/>
      <c r="D252" s="21"/>
      <c r="E252" s="21"/>
      <c r="F252" s="21"/>
      <c r="G252" s="65" t="s">
        <v>546</v>
      </c>
      <c r="H252" s="66">
        <f>'Fondasi Dalam'!I94</f>
        <v>2</v>
      </c>
      <c r="I252" s="67" t="s">
        <v>126</v>
      </c>
    </row>
    <row r="253" spans="2:10" ht="18.75" customHeight="1" x14ac:dyDescent="0.25">
      <c r="B253" s="21" t="s">
        <v>127</v>
      </c>
      <c r="C253" s="21"/>
      <c r="D253" s="21"/>
      <c r="E253" s="21"/>
      <c r="F253" s="21"/>
      <c r="G253" s="65" t="s">
        <v>547</v>
      </c>
      <c r="H253" s="66">
        <f>'Fondasi Dalam'!I95</f>
        <v>2</v>
      </c>
      <c r="I253" s="67" t="s">
        <v>126</v>
      </c>
    </row>
    <row r="254" spans="2:10" ht="18.75" customHeight="1" x14ac:dyDescent="0.25">
      <c r="B254" s="21"/>
      <c r="C254" s="21"/>
      <c r="D254" s="21"/>
      <c r="E254" s="21"/>
      <c r="F254" s="21"/>
      <c r="G254" s="68" t="s">
        <v>128</v>
      </c>
      <c r="H254" s="69">
        <f>'Fondasi Dalam'!I96</f>
        <v>16.699244233993621</v>
      </c>
      <c r="I254" s="67"/>
    </row>
    <row r="255" spans="2:10" ht="18.75" customHeight="1" x14ac:dyDescent="0.25">
      <c r="B255" s="21" t="s">
        <v>129</v>
      </c>
      <c r="C255" s="21"/>
      <c r="D255" s="21"/>
      <c r="E255" s="21"/>
      <c r="F255" s="21"/>
      <c r="I255" s="67"/>
    </row>
    <row r="256" spans="2:10" ht="18.75" customHeight="1" x14ac:dyDescent="0.25">
      <c r="B256" s="21"/>
      <c r="C256" s="21"/>
      <c r="D256" s="21"/>
      <c r="E256" s="21"/>
      <c r="F256" s="21"/>
      <c r="G256" s="65" t="s">
        <v>548</v>
      </c>
      <c r="H256" s="70">
        <f>'Fondasi Dalam'!I97</f>
        <v>0.81445284184451539</v>
      </c>
      <c r="I256" s="67"/>
    </row>
    <row r="257" spans="2:9" ht="18.75" customHeight="1" x14ac:dyDescent="0.25">
      <c r="B257" s="21" t="s">
        <v>130</v>
      </c>
      <c r="C257" s="21"/>
      <c r="D257" s="21"/>
      <c r="E257" s="21"/>
      <c r="F257" s="21"/>
      <c r="G257" s="4"/>
      <c r="H257" s="4"/>
      <c r="I257" s="5"/>
    </row>
    <row r="258" spans="2:9" ht="18.75" customHeight="1" x14ac:dyDescent="0.25">
      <c r="B258" s="21"/>
      <c r="C258" s="21"/>
      <c r="D258" s="21"/>
      <c r="E258" s="21"/>
      <c r="F258" s="21"/>
      <c r="G258" s="65" t="s">
        <v>131</v>
      </c>
      <c r="H258" s="69">
        <f>'Fondasi Dalam'!I99</f>
        <v>489.96742243267306</v>
      </c>
      <c r="I258" s="67" t="s">
        <v>69</v>
      </c>
    </row>
    <row r="259" spans="2:9" ht="18.75" customHeight="1" x14ac:dyDescent="0.25">
      <c r="B259" s="21" t="s">
        <v>132</v>
      </c>
      <c r="C259" s="21"/>
      <c r="D259" s="21"/>
      <c r="E259" s="21"/>
      <c r="F259" s="21"/>
      <c r="G259" s="65" t="s">
        <v>133</v>
      </c>
      <c r="H259" s="69">
        <f>'Fondasi Dalam'!I100</f>
        <v>1959.8696897306922</v>
      </c>
      <c r="I259" s="67" t="s">
        <v>69</v>
      </c>
    </row>
    <row r="261" spans="2:9" ht="18.75" customHeight="1" x14ac:dyDescent="0.25">
      <c r="B261" s="336" t="s">
        <v>56</v>
      </c>
      <c r="C261" s="336"/>
      <c r="D261" s="336"/>
      <c r="E261" s="336"/>
      <c r="F261" s="336"/>
      <c r="G261" s="396"/>
      <c r="H261" s="397"/>
    </row>
    <row r="262" spans="2:9" ht="18.75" customHeight="1" x14ac:dyDescent="0.25">
      <c r="B262" s="4" t="s">
        <v>134</v>
      </c>
      <c r="C262" s="20" t="s">
        <v>135</v>
      </c>
      <c r="D262" s="20" t="s">
        <v>136</v>
      </c>
      <c r="E262" s="20" t="s">
        <v>137</v>
      </c>
      <c r="F262" s="4"/>
      <c r="G262" s="4"/>
    </row>
    <row r="263" spans="2:9" ht="18.75" customHeight="1" x14ac:dyDescent="0.25">
      <c r="B263" s="4"/>
      <c r="C263" s="50">
        <f>'Fondasi Dalam'!E104</f>
        <v>599.44050065876979</v>
      </c>
      <c r="D263" s="20" t="str">
        <f>IF(C263&lt;=E263,"&lt;","&gt;")</f>
        <v>&lt;</v>
      </c>
      <c r="E263" s="50">
        <f>'Fondasi Dalam'!G104</f>
        <v>1959.8696897306922</v>
      </c>
      <c r="F263" s="2" t="s">
        <v>138</v>
      </c>
      <c r="G263" s="3" t="str">
        <f>IF(C263&lt;E263,"AMAN (OK)","BAHAYA (NG)")</f>
        <v>AMAN (OK)</v>
      </c>
    </row>
    <row r="264" spans="2:9" ht="18.75" customHeight="1" x14ac:dyDescent="0.25">
      <c r="B264" s="4"/>
      <c r="C264" s="4"/>
      <c r="D264" s="4"/>
      <c r="E264" s="4"/>
      <c r="F264" s="4"/>
      <c r="G264" s="4"/>
    </row>
    <row r="265" spans="2:9" ht="18.75" customHeight="1" x14ac:dyDescent="0.25">
      <c r="B265" s="4"/>
      <c r="C265" s="20" t="s">
        <v>139</v>
      </c>
      <c r="D265" s="20" t="s">
        <v>140</v>
      </c>
      <c r="E265" s="72" t="s">
        <v>141</v>
      </c>
      <c r="F265" s="4"/>
      <c r="G265" s="4"/>
    </row>
    <row r="266" spans="2:9" ht="18.75" customHeight="1" x14ac:dyDescent="0.25">
      <c r="B266" s="4"/>
      <c r="C266" s="50">
        <f>'Fondasi Dalam'!E107</f>
        <v>-20.69524983530755</v>
      </c>
      <c r="D266" s="20" t="str">
        <f>IF(C266&lt;=E266,"&lt;","&gt;")</f>
        <v>&gt;</v>
      </c>
      <c r="E266" s="50">
        <f>'Fondasi Dalam'!G107</f>
        <v>-73.30075576600639</v>
      </c>
      <c r="F266" s="2" t="s">
        <v>138</v>
      </c>
      <c r="G266" s="3" t="str">
        <f>IF(C266&gt;E266,"AMAN (OK)","SISA GAYA DILIMPAHKAN")</f>
        <v>AMAN (OK)</v>
      </c>
    </row>
    <row r="267" spans="2:9" ht="18.75" customHeight="1" x14ac:dyDescent="0.25">
      <c r="B267" s="4"/>
      <c r="C267" s="4"/>
      <c r="D267" s="4"/>
      <c r="E267" s="4"/>
      <c r="F267" s="4"/>
      <c r="G267" s="4"/>
    </row>
    <row r="268" spans="2:9" ht="18.75" customHeight="1" x14ac:dyDescent="0.25">
      <c r="B268" s="4"/>
      <c r="C268" s="20" t="s">
        <v>142</v>
      </c>
      <c r="D268" s="20" t="s">
        <v>136</v>
      </c>
      <c r="E268" s="20" t="s">
        <v>143</v>
      </c>
      <c r="F268" s="4"/>
      <c r="G268" s="4"/>
    </row>
    <row r="269" spans="2:9" ht="18.75" customHeight="1" x14ac:dyDescent="0.25">
      <c r="B269" s="4"/>
      <c r="C269" s="50">
        <f>'Fondasi Dalam'!E110</f>
        <v>237.41150016469246</v>
      </c>
      <c r="D269" s="20" t="str">
        <f>IF(C269&lt;=E269,"&lt;","&gt;")</f>
        <v>&lt;</v>
      </c>
      <c r="E269" s="50">
        <f>'Fondasi Dalam'!G110</f>
        <v>489.96742243267306</v>
      </c>
      <c r="F269" s="2" t="s">
        <v>138</v>
      </c>
      <c r="G269" s="3" t="str">
        <f>IF(C269&lt;E269,"AMAN (OK)","BAHAYA (NG)")</f>
        <v>AMAN (OK)</v>
      </c>
    </row>
    <row r="270" spans="2:9" ht="18.75" customHeight="1" x14ac:dyDescent="0.25">
      <c r="B270" s="4"/>
      <c r="C270" s="36"/>
      <c r="D270" s="20"/>
      <c r="E270" s="36"/>
      <c r="F270" s="2"/>
      <c r="G270" s="3"/>
    </row>
    <row r="271" spans="2:9" ht="18.75" customHeight="1" x14ac:dyDescent="0.25">
      <c r="B271" s="4"/>
      <c r="C271" s="36"/>
      <c r="D271" s="20"/>
      <c r="E271" s="36"/>
      <c r="F271" s="2"/>
      <c r="G271" s="3"/>
    </row>
    <row r="272" spans="2:9" ht="18.75" customHeight="1" x14ac:dyDescent="0.25">
      <c r="B272" s="4"/>
      <c r="C272" s="36"/>
      <c r="D272" s="20"/>
      <c r="E272" s="36"/>
      <c r="F272" s="2"/>
      <c r="G272" s="3"/>
    </row>
    <row r="273" spans="2:8" ht="18.75" customHeight="1" x14ac:dyDescent="0.25">
      <c r="B273" s="4"/>
      <c r="C273" s="36"/>
      <c r="D273" s="20"/>
      <c r="E273" s="36"/>
      <c r="F273" s="2"/>
      <c r="G273" s="3"/>
    </row>
    <row r="274" spans="2:8" ht="18.75" customHeight="1" x14ac:dyDescent="0.25">
      <c r="B274" s="4"/>
      <c r="C274" s="36"/>
      <c r="D274" s="20"/>
      <c r="E274" s="36"/>
      <c r="F274" s="2"/>
      <c r="G274" s="3"/>
    </row>
    <row r="275" spans="2:8" ht="18.75" customHeight="1" x14ac:dyDescent="0.25">
      <c r="B275" s="4"/>
      <c r="C275" s="36"/>
      <c r="D275" s="20"/>
      <c r="E275" s="36"/>
      <c r="F275" s="2"/>
      <c r="G275" s="3"/>
    </row>
    <row r="276" spans="2:8" ht="18.75" customHeight="1" x14ac:dyDescent="0.25">
      <c r="B276" s="4"/>
      <c r="C276" s="36"/>
      <c r="D276" s="20"/>
      <c r="E276" s="36"/>
      <c r="F276" s="2"/>
      <c r="G276" s="3"/>
    </row>
    <row r="277" spans="2:8" ht="18.75" customHeight="1" x14ac:dyDescent="0.25">
      <c r="B277" s="335" t="s">
        <v>54</v>
      </c>
      <c r="C277" s="335"/>
      <c r="D277" s="335"/>
      <c r="E277" s="335"/>
      <c r="F277" s="335"/>
      <c r="G277" s="395"/>
      <c r="H277" s="398"/>
    </row>
    <row r="278" spans="2:8" ht="18.75" customHeight="1" x14ac:dyDescent="0.25">
      <c r="B278" s="4" t="s">
        <v>134</v>
      </c>
      <c r="C278" s="20" t="s">
        <v>135</v>
      </c>
      <c r="D278" s="20" t="s">
        <v>136</v>
      </c>
      <c r="E278" s="20" t="s">
        <v>137</v>
      </c>
      <c r="F278" s="4"/>
      <c r="G278" s="4"/>
    </row>
    <row r="279" spans="2:8" ht="18.75" customHeight="1" x14ac:dyDescent="0.25">
      <c r="B279" s="4"/>
      <c r="C279" s="50">
        <f>'Fondasi Dalam'!E114</f>
        <v>586.6855006587698</v>
      </c>
      <c r="D279" s="20" t="str">
        <f>IF(C279&lt;=E279,"&lt;","&gt;")</f>
        <v>&lt;</v>
      </c>
      <c r="E279" s="50">
        <f>'Fondasi Dalam'!G114</f>
        <v>1959.8696897306922</v>
      </c>
      <c r="F279" s="2" t="s">
        <v>138</v>
      </c>
      <c r="G279" s="3" t="str">
        <f>IF(C279&lt;E279,"AMAN (OK)","BAHAYA (NG)")</f>
        <v>AMAN (OK)</v>
      </c>
    </row>
    <row r="280" spans="2:8" ht="18.75" customHeight="1" x14ac:dyDescent="0.25">
      <c r="B280" s="4"/>
      <c r="C280" s="4"/>
      <c r="D280" s="4"/>
      <c r="E280" s="4"/>
      <c r="F280" s="4"/>
      <c r="G280" s="4"/>
    </row>
    <row r="281" spans="2:8" ht="18.75" customHeight="1" x14ac:dyDescent="0.25">
      <c r="B281" s="4"/>
      <c r="C281" s="20" t="s">
        <v>139</v>
      </c>
      <c r="D281" s="20" t="s">
        <v>140</v>
      </c>
      <c r="E281" s="72" t="s">
        <v>141</v>
      </c>
      <c r="F281" s="4"/>
      <c r="G281" s="4"/>
    </row>
    <row r="282" spans="2:8" ht="18.75" customHeight="1" x14ac:dyDescent="0.25">
      <c r="B282" s="4"/>
      <c r="C282" s="50">
        <f>'Fondasi Dalam'!E117</f>
        <v>-82.838399835307541</v>
      </c>
      <c r="D282" s="20" t="str">
        <f>IF(C282&lt;=E282,"&lt;","&gt;")</f>
        <v>&lt;</v>
      </c>
      <c r="E282" s="50">
        <f>'Fondasi Dalam'!G117</f>
        <v>-73.30075576600639</v>
      </c>
      <c r="F282" s="2" t="s">
        <v>138</v>
      </c>
      <c r="G282" s="3" t="str">
        <f>IF(C282&gt;E282,"AMAN (OK)","SISA GAYA DILIMPAHKAN")</f>
        <v>SISA GAYA DILIMPAHKAN</v>
      </c>
    </row>
    <row r="283" spans="2:8" ht="18.75" customHeight="1" x14ac:dyDescent="0.25">
      <c r="B283" s="4"/>
      <c r="C283" s="4"/>
      <c r="D283" s="4"/>
      <c r="E283" s="4"/>
      <c r="F283" s="4"/>
      <c r="G283" s="4"/>
    </row>
    <row r="284" spans="2:8" ht="18.75" customHeight="1" x14ac:dyDescent="0.25">
      <c r="B284" s="4"/>
      <c r="C284" s="20" t="s">
        <v>142</v>
      </c>
      <c r="D284" s="20" t="s">
        <v>136</v>
      </c>
      <c r="E284" s="20" t="s">
        <v>143</v>
      </c>
      <c r="F284" s="4"/>
      <c r="G284" s="4"/>
    </row>
    <row r="285" spans="2:8" ht="18.75" customHeight="1" x14ac:dyDescent="0.25">
      <c r="B285" s="4"/>
      <c r="C285" s="50">
        <f>'Fondasi Dalam'!E120</f>
        <v>354.44515593069883</v>
      </c>
      <c r="D285" s="20" t="str">
        <f>IF(C285&lt;=E285,"&lt;","&gt;")</f>
        <v>&lt;</v>
      </c>
      <c r="E285" s="50">
        <f>'Fondasi Dalam'!G120</f>
        <v>489.96742243267306</v>
      </c>
      <c r="F285" s="2" t="s">
        <v>138</v>
      </c>
      <c r="G285" s="3" t="str">
        <f>IF(C285&lt;E285,"AMAN (OK)","BAHAYA (NG)")</f>
        <v>AMAN (OK)</v>
      </c>
    </row>
    <row r="286" spans="2:8" ht="18.75" customHeight="1" x14ac:dyDescent="0.25">
      <c r="B286" s="4"/>
      <c r="C286" s="4"/>
      <c r="D286" s="4"/>
      <c r="E286" s="4"/>
      <c r="F286" s="4"/>
      <c r="G286" s="4"/>
    </row>
    <row r="287" spans="2:8" ht="18.75" customHeight="1" x14ac:dyDescent="0.25">
      <c r="B287" s="334" t="s">
        <v>55</v>
      </c>
      <c r="C287" s="334"/>
      <c r="D287" s="334"/>
      <c r="E287" s="334"/>
      <c r="F287" s="334"/>
      <c r="G287" s="394"/>
      <c r="H287" s="399"/>
    </row>
    <row r="288" spans="2:8" ht="18.75" customHeight="1" x14ac:dyDescent="0.25">
      <c r="B288" s="4" t="s">
        <v>134</v>
      </c>
      <c r="C288" s="20" t="s">
        <v>135</v>
      </c>
      <c r="D288" s="20" t="s">
        <v>136</v>
      </c>
      <c r="E288" s="20" t="s">
        <v>137</v>
      </c>
      <c r="F288" s="4"/>
      <c r="G288" s="4"/>
    </row>
    <row r="289" spans="1:9" ht="18.75" customHeight="1" x14ac:dyDescent="0.25">
      <c r="B289" s="4"/>
      <c r="C289" s="50">
        <f>'Fondasi Dalam'!E124</f>
        <v>582.81950065876981</v>
      </c>
      <c r="D289" s="20" t="str">
        <f>IF(C289&lt;=E289,"&lt;","&gt;")</f>
        <v>&lt;</v>
      </c>
      <c r="E289" s="50">
        <f>'Fondasi Dalam'!G124</f>
        <v>1959.8696897306922</v>
      </c>
      <c r="F289" s="2" t="s">
        <v>138</v>
      </c>
      <c r="G289" s="3" t="str">
        <f>IF(C289&lt;E289,"AMAN (OK)","BAHAYA (NG)")</f>
        <v>AMAN (OK)</v>
      </c>
    </row>
    <row r="290" spans="1:9" ht="18.75" customHeight="1" x14ac:dyDescent="0.25">
      <c r="B290" s="4"/>
      <c r="C290" s="4"/>
      <c r="D290" s="4"/>
      <c r="E290" s="4"/>
      <c r="F290" s="4"/>
      <c r="G290" s="4"/>
    </row>
    <row r="291" spans="1:9" ht="18.75" customHeight="1" x14ac:dyDescent="0.25">
      <c r="B291" s="4"/>
      <c r="C291" s="20" t="s">
        <v>139</v>
      </c>
      <c r="D291" s="20" t="s">
        <v>140</v>
      </c>
      <c r="E291" s="72" t="s">
        <v>141</v>
      </c>
      <c r="F291" s="4"/>
      <c r="G291" s="4"/>
    </row>
    <row r="292" spans="1:9" ht="18.75" customHeight="1" x14ac:dyDescent="0.25">
      <c r="B292" s="4"/>
      <c r="C292" s="50">
        <f>'Fondasi Dalam'!E127</f>
        <v>42.485825164692457</v>
      </c>
      <c r="D292" s="20" t="str">
        <f>IF(C292&lt;=E292,"&lt;","&gt;")</f>
        <v>&gt;</v>
      </c>
      <c r="E292" s="50">
        <f>'Fondasi Dalam'!G127</f>
        <v>-73.30075576600639</v>
      </c>
      <c r="F292" s="2" t="s">
        <v>138</v>
      </c>
      <c r="G292" s="3" t="str">
        <f>IF(C292&gt;E292,"AMAN (OK)","SISA GAYA DILIMPAHKAN")</f>
        <v>AMAN (OK)</v>
      </c>
    </row>
    <row r="293" spans="1:9" ht="18.75" customHeight="1" x14ac:dyDescent="0.25">
      <c r="B293" s="4"/>
      <c r="C293" s="4"/>
      <c r="D293" s="4"/>
      <c r="E293" s="4"/>
      <c r="F293" s="4"/>
      <c r="G293" s="4"/>
    </row>
    <row r="294" spans="1:9" ht="18.75" customHeight="1" x14ac:dyDescent="0.25">
      <c r="B294" s="4"/>
      <c r="C294" s="20" t="s">
        <v>142</v>
      </c>
      <c r="D294" s="20" t="s">
        <v>136</v>
      </c>
      <c r="E294" s="20" t="s">
        <v>143</v>
      </c>
      <c r="F294" s="4"/>
      <c r="G294" s="4"/>
    </row>
    <row r="295" spans="1:9" ht="18.75" customHeight="1" x14ac:dyDescent="0.25">
      <c r="B295" s="4"/>
      <c r="C295" s="50">
        <f>'Fondasi Dalam'!E130</f>
        <v>248.92392516469243</v>
      </c>
      <c r="D295" s="20" t="str">
        <f>IF(C295&lt;=E295,"&lt;","&gt;")</f>
        <v>&lt;</v>
      </c>
      <c r="E295" s="50">
        <f>'Fondasi Dalam'!G130</f>
        <v>489.96742243267306</v>
      </c>
      <c r="F295" s="2" t="s">
        <v>138</v>
      </c>
      <c r="G295" s="3" t="str">
        <f>IF(C295&lt;E295,"AMAN (OK)","BAHAYA (NG)")</f>
        <v>AMAN (OK)</v>
      </c>
    </row>
    <row r="298" spans="1:9" ht="18.75" customHeight="1" x14ac:dyDescent="0.25">
      <c r="A298" s="386" t="s">
        <v>655</v>
      </c>
      <c r="B298" s="387" t="s">
        <v>428</v>
      </c>
      <c r="C298" s="407"/>
      <c r="D298" s="407"/>
      <c r="E298" s="407"/>
      <c r="F298" s="407"/>
      <c r="G298" s="407"/>
      <c r="H298" s="407"/>
      <c r="I298" s="407"/>
    </row>
    <row r="299" spans="1:9" ht="18.75" customHeight="1" x14ac:dyDescent="0.25">
      <c r="A299" s="352" t="s">
        <v>313</v>
      </c>
      <c r="B299" s="108" t="s">
        <v>426</v>
      </c>
      <c r="C299" s="114"/>
      <c r="D299" s="114"/>
      <c r="E299" s="114"/>
      <c r="F299" s="114"/>
      <c r="G299" s="114"/>
      <c r="H299" s="114"/>
      <c r="I299" s="114"/>
    </row>
    <row r="300" spans="1:9" s="246" customFormat="1" ht="18.75" customHeight="1" x14ac:dyDescent="0.25">
      <c r="A300" s="410"/>
      <c r="B300" s="409"/>
      <c r="C300" s="249"/>
      <c r="D300" s="249"/>
      <c r="E300" s="249"/>
      <c r="F300" s="249"/>
      <c r="G300" s="249"/>
      <c r="H300" s="249"/>
      <c r="I300" s="249"/>
    </row>
    <row r="301" spans="1:9" s="246" customFormat="1" ht="18.75" customHeight="1" x14ac:dyDescent="0.25">
      <c r="A301" s="410"/>
      <c r="B301" s="409"/>
      <c r="C301" s="249"/>
      <c r="D301" s="249"/>
      <c r="E301" s="249"/>
      <c r="F301" s="249"/>
      <c r="G301" s="249"/>
      <c r="H301" s="249"/>
      <c r="I301" s="249"/>
    </row>
    <row r="302" spans="1:9" s="246" customFormat="1" ht="18.75" customHeight="1" x14ac:dyDescent="0.25">
      <c r="A302" s="410"/>
      <c r="B302" s="409"/>
      <c r="C302" s="249"/>
      <c r="D302" s="249"/>
      <c r="E302" s="249"/>
      <c r="F302" s="249"/>
      <c r="G302" s="249"/>
      <c r="H302" s="249"/>
      <c r="I302" s="249"/>
    </row>
    <row r="303" spans="1:9" s="246" customFormat="1" ht="18.75" customHeight="1" x14ac:dyDescent="0.25">
      <c r="A303" s="410"/>
      <c r="B303" s="409"/>
      <c r="C303" s="249"/>
      <c r="D303" s="249"/>
      <c r="E303" s="249"/>
      <c r="F303" s="249"/>
      <c r="G303" s="249"/>
      <c r="H303" s="249"/>
      <c r="I303" s="249"/>
    </row>
    <row r="304" spans="1:9" s="246" customFormat="1" ht="18.75" customHeight="1" x14ac:dyDescent="0.25">
      <c r="A304" s="410"/>
      <c r="B304" s="409"/>
      <c r="C304" s="249"/>
      <c r="D304" s="249"/>
      <c r="E304" s="249"/>
      <c r="F304" s="249"/>
      <c r="G304" s="249"/>
      <c r="H304" s="249"/>
      <c r="I304" s="249"/>
    </row>
    <row r="305" spans="1:9" s="246" customFormat="1" ht="18.75" customHeight="1" x14ac:dyDescent="0.25">
      <c r="A305" s="410"/>
      <c r="B305" s="409"/>
      <c r="C305" s="249"/>
      <c r="D305" s="249"/>
      <c r="E305" s="249"/>
      <c r="F305" s="249"/>
      <c r="G305" s="249"/>
      <c r="H305" s="249"/>
      <c r="I305" s="249"/>
    </row>
    <row r="306" spans="1:9" s="246" customFormat="1" ht="18.75" customHeight="1" x14ac:dyDescent="0.25">
      <c r="A306" s="410"/>
      <c r="B306" s="409"/>
      <c r="C306" s="249"/>
      <c r="D306" s="249"/>
      <c r="E306" s="249"/>
      <c r="F306" s="249"/>
      <c r="G306" s="249"/>
      <c r="H306" s="249"/>
      <c r="I306" s="249"/>
    </row>
    <row r="307" spans="1:9" s="246" customFormat="1" ht="18.75" customHeight="1" x14ac:dyDescent="0.25">
      <c r="A307" s="410"/>
      <c r="B307" s="409"/>
      <c r="C307" s="249"/>
      <c r="D307" s="249"/>
      <c r="E307" s="249"/>
      <c r="F307" s="249"/>
      <c r="G307" s="249"/>
      <c r="H307" s="249"/>
      <c r="I307" s="249"/>
    </row>
    <row r="308" spans="1:9" s="246" customFormat="1" ht="18.75" customHeight="1" x14ac:dyDescent="0.25">
      <c r="A308" s="410"/>
      <c r="B308" s="409"/>
      <c r="C308" s="249"/>
      <c r="D308" s="249"/>
      <c r="E308" s="249"/>
      <c r="F308" s="249"/>
      <c r="G308" s="249"/>
      <c r="H308" s="249"/>
      <c r="I308" s="249"/>
    </row>
    <row r="309" spans="1:9" s="246" customFormat="1" ht="18.75" customHeight="1" x14ac:dyDescent="0.25">
      <c r="A309" s="410"/>
      <c r="B309" s="409"/>
      <c r="C309" s="249"/>
      <c r="D309" s="249"/>
      <c r="E309" s="249"/>
      <c r="F309" s="249"/>
      <c r="G309" s="249"/>
      <c r="H309" s="249"/>
      <c r="I309" s="249"/>
    </row>
    <row r="310" spans="1:9" s="246" customFormat="1" ht="18.75" customHeight="1" x14ac:dyDescent="0.25">
      <c r="A310" s="410"/>
      <c r="B310" s="409"/>
      <c r="C310" s="249"/>
      <c r="D310" s="249"/>
      <c r="E310" s="249"/>
      <c r="F310" s="249"/>
      <c r="G310" s="249"/>
      <c r="H310" s="249"/>
      <c r="I310" s="249"/>
    </row>
    <row r="311" spans="1:9" ht="18.75" customHeight="1" x14ac:dyDescent="0.25">
      <c r="A311" s="353"/>
      <c r="B311" s="91" t="s">
        <v>172</v>
      </c>
      <c r="C311" s="91"/>
      <c r="D311" s="91"/>
      <c r="E311" s="91"/>
      <c r="F311" s="100"/>
      <c r="G311" s="92" t="s">
        <v>173</v>
      </c>
      <c r="H311" s="142">
        <f>'Geser &amp; Penulang Pilecap'!H15</f>
        <v>0.1285</v>
      </c>
      <c r="I311" s="300" t="s">
        <v>6</v>
      </c>
    </row>
    <row r="312" spans="1:9" ht="18.75" customHeight="1" x14ac:dyDescent="0.25">
      <c r="A312" s="353"/>
      <c r="B312" s="91" t="s">
        <v>174</v>
      </c>
      <c r="C312" s="91"/>
      <c r="D312" s="91"/>
      <c r="E312" s="91"/>
      <c r="F312" s="100"/>
      <c r="G312" s="92" t="s">
        <v>423</v>
      </c>
      <c r="H312" s="142">
        <f>'Geser &amp; Penulang Pilecap'!H16</f>
        <v>0.27150000000000002</v>
      </c>
      <c r="I312" s="300" t="s">
        <v>6</v>
      </c>
    </row>
    <row r="313" spans="1:9" ht="18.75" customHeight="1" x14ac:dyDescent="0.25">
      <c r="A313" s="353"/>
      <c r="B313" s="255" t="s">
        <v>176</v>
      </c>
      <c r="C313" s="255"/>
      <c r="D313" s="255"/>
      <c r="E313" s="255"/>
      <c r="F313" s="256"/>
      <c r="G313" s="257" t="s">
        <v>403</v>
      </c>
      <c r="H313" s="258">
        <f>'Geser &amp; Penulang Pilecap'!H17</f>
        <v>0.56424999999999992</v>
      </c>
      <c r="I313" s="343" t="s">
        <v>6</v>
      </c>
    </row>
    <row r="314" spans="1:9" ht="18.75" customHeight="1" x14ac:dyDescent="0.25">
      <c r="A314" s="353"/>
      <c r="B314" s="255" t="s">
        <v>404</v>
      </c>
      <c r="C314" s="255"/>
      <c r="D314" s="255"/>
      <c r="E314" s="255"/>
      <c r="F314" s="256"/>
      <c r="G314" s="260" t="s">
        <v>407</v>
      </c>
      <c r="H314" s="258">
        <f>'Geser &amp; Penulang Pilecap'!H18</f>
        <v>9.7502399999999998</v>
      </c>
      <c r="I314" s="343" t="s">
        <v>177</v>
      </c>
    </row>
    <row r="315" spans="1:9" ht="18.75" customHeight="1" x14ac:dyDescent="0.25">
      <c r="A315" s="353"/>
      <c r="B315" s="255" t="s">
        <v>111</v>
      </c>
      <c r="C315" s="255"/>
      <c r="D315" s="255"/>
      <c r="E315" s="255"/>
      <c r="F315" s="256"/>
      <c r="G315" s="260" t="s">
        <v>408</v>
      </c>
      <c r="H315" s="258">
        <f>'Geser &amp; Penulang Pilecap'!H19</f>
        <v>36.685277999999997</v>
      </c>
      <c r="I315" s="343" t="s">
        <v>177</v>
      </c>
    </row>
    <row r="316" spans="1:9" ht="18.75" customHeight="1" x14ac:dyDescent="0.25">
      <c r="A316" s="353"/>
      <c r="B316" s="255" t="s">
        <v>405</v>
      </c>
      <c r="C316" s="255"/>
      <c r="D316" s="255"/>
      <c r="E316" s="255"/>
      <c r="F316" s="256"/>
      <c r="G316" s="260" t="s">
        <v>406</v>
      </c>
      <c r="H316" s="258">
        <f>'Geser &amp; Penulang Pilecap'!H20</f>
        <v>5.0782499999999997</v>
      </c>
      <c r="I316" s="343" t="s">
        <v>177</v>
      </c>
    </row>
    <row r="317" spans="1:9" ht="18.75" customHeight="1" x14ac:dyDescent="0.25">
      <c r="A317" s="353"/>
      <c r="B317" s="100" t="s">
        <v>442</v>
      </c>
      <c r="C317" s="100"/>
      <c r="D317" s="100"/>
      <c r="E317" s="100"/>
      <c r="F317" s="100"/>
      <c r="G317" s="100"/>
      <c r="H317" s="100"/>
      <c r="I317" s="100"/>
    </row>
    <row r="318" spans="1:9" ht="18.75" customHeight="1" x14ac:dyDescent="0.25">
      <c r="A318" s="344"/>
      <c r="B318" s="522" t="s">
        <v>327</v>
      </c>
      <c r="C318" s="522"/>
      <c r="D318" s="522"/>
      <c r="E318" s="522" t="s">
        <v>502</v>
      </c>
      <c r="F318" s="522"/>
      <c r="G318" s="341" t="s">
        <v>604</v>
      </c>
      <c r="H318" s="341" t="s">
        <v>603</v>
      </c>
      <c r="I318" s="249"/>
    </row>
    <row r="319" spans="1:9" ht="18.75" customHeight="1" x14ac:dyDescent="0.25">
      <c r="A319" s="344"/>
      <c r="B319" s="522" t="s">
        <v>503</v>
      </c>
      <c r="C319" s="522"/>
      <c r="D319" s="522"/>
      <c r="E319" s="522"/>
      <c r="F319" s="522"/>
      <c r="G319" s="342" t="s">
        <v>322</v>
      </c>
      <c r="H319" s="342" t="s">
        <v>322</v>
      </c>
      <c r="I319" s="249"/>
    </row>
    <row r="320" spans="1:9" ht="18.75" customHeight="1" x14ac:dyDescent="0.25">
      <c r="A320" s="344"/>
      <c r="B320" s="523">
        <v>1</v>
      </c>
      <c r="C320" s="523"/>
      <c r="D320" s="50" t="str">
        <f>'Geser &amp; Penulang Pilecap'!D24</f>
        <v/>
      </c>
      <c r="E320" s="523" t="str">
        <f>'Geser &amp; Penulang Pilecap'!E24</f>
        <v/>
      </c>
      <c r="F320" s="523"/>
      <c r="G320" s="340" t="str">
        <f>'Geser &amp; Penulang Pilecap'!F24</f>
        <v/>
      </c>
      <c r="H320" s="50" t="str">
        <f>'Geser &amp; Penulang Pilecap'!G24</f>
        <v/>
      </c>
      <c r="I320" s="249"/>
    </row>
    <row r="321" spans="1:9" ht="18.75" customHeight="1" x14ac:dyDescent="0.25">
      <c r="A321" s="344"/>
      <c r="B321" s="523">
        <v>2</v>
      </c>
      <c r="C321" s="523"/>
      <c r="D321" s="50">
        <f>'Geser &amp; Penulang Pilecap'!D25</f>
        <v>0.5</v>
      </c>
      <c r="E321" s="523" t="str">
        <f>'Geser &amp; Penulang Pilecap'!E25</f>
        <v>YA</v>
      </c>
      <c r="F321" s="523"/>
      <c r="G321" s="340">
        <f>'Geser &amp; Penulang Pilecap'!F25</f>
        <v>324.17047516469245</v>
      </c>
      <c r="H321" s="50">
        <f>'Geser &amp; Penulang Pilecap'!G25</f>
        <v>648.3409503293849</v>
      </c>
      <c r="I321" s="249"/>
    </row>
    <row r="322" spans="1:9" ht="18.75" customHeight="1" x14ac:dyDescent="0.25">
      <c r="A322" s="344"/>
      <c r="B322" s="523">
        <v>3</v>
      </c>
      <c r="C322" s="523"/>
      <c r="D322" s="50" t="str">
        <f>'Geser &amp; Penulang Pilecap'!D26</f>
        <v/>
      </c>
      <c r="E322" s="523" t="str">
        <f>'Geser &amp; Penulang Pilecap'!E26</f>
        <v/>
      </c>
      <c r="F322" s="523"/>
      <c r="G322" s="340" t="str">
        <f>'Geser &amp; Penulang Pilecap'!F26</f>
        <v/>
      </c>
      <c r="H322" s="50" t="str">
        <f>'Geser &amp; Penulang Pilecap'!G26</f>
        <v/>
      </c>
      <c r="I322" s="249"/>
    </row>
    <row r="323" spans="1:9" ht="18.75" customHeight="1" x14ac:dyDescent="0.25">
      <c r="A323" s="344"/>
      <c r="B323" s="523">
        <v>4</v>
      </c>
      <c r="C323" s="523"/>
      <c r="D323" s="50" t="str">
        <f>'Geser &amp; Penulang Pilecap'!D27</f>
        <v/>
      </c>
      <c r="E323" s="523" t="str">
        <f>'Geser &amp; Penulang Pilecap'!E27</f>
        <v/>
      </c>
      <c r="F323" s="523"/>
      <c r="G323" s="340" t="str">
        <f>'Geser &amp; Penulang Pilecap'!F27</f>
        <v/>
      </c>
      <c r="H323" s="50" t="str">
        <f>'Geser &amp; Penulang Pilecap'!G27</f>
        <v/>
      </c>
      <c r="I323" s="249"/>
    </row>
    <row r="324" spans="1:9" ht="18.75" customHeight="1" x14ac:dyDescent="0.25">
      <c r="A324" s="344"/>
      <c r="B324" s="249"/>
      <c r="C324" s="249"/>
      <c r="D324" s="249"/>
      <c r="E324" s="249"/>
      <c r="F324" s="100"/>
      <c r="G324" s="372" t="s">
        <v>605</v>
      </c>
      <c r="H324" s="355">
        <f>SUM(H320:H323)</f>
        <v>648.3409503293849</v>
      </c>
      <c r="I324" s="249"/>
    </row>
    <row r="325" spans="1:9" ht="18.75" customHeight="1" x14ac:dyDescent="0.25">
      <c r="A325" s="344"/>
      <c r="B325" s="249"/>
      <c r="C325" s="249"/>
      <c r="D325" s="249"/>
      <c r="E325" s="249"/>
      <c r="F325" s="249"/>
      <c r="G325" s="249"/>
      <c r="H325" s="249"/>
      <c r="I325" s="249"/>
    </row>
    <row r="326" spans="1:9" ht="18.75" customHeight="1" x14ac:dyDescent="0.25">
      <c r="A326" s="344"/>
      <c r="B326" s="91" t="s">
        <v>178</v>
      </c>
      <c r="C326" s="91"/>
      <c r="D326" s="91"/>
      <c r="E326" s="91"/>
      <c r="F326" s="100"/>
      <c r="G326" s="92" t="s">
        <v>554</v>
      </c>
      <c r="H326" s="258">
        <f>'Geser &amp; Penulang Pilecap'!H30</f>
        <v>596.82718232938487</v>
      </c>
      <c r="I326" s="300" t="s">
        <v>177</v>
      </c>
    </row>
    <row r="327" spans="1:9" ht="18.75" customHeight="1" x14ac:dyDescent="0.25">
      <c r="A327" s="344"/>
      <c r="B327" s="249"/>
      <c r="C327" s="249"/>
      <c r="D327" s="249"/>
      <c r="E327" s="249"/>
      <c r="F327" s="249"/>
      <c r="G327" s="249"/>
      <c r="H327" s="249"/>
      <c r="I327" s="249"/>
    </row>
    <row r="328" spans="1:9" ht="18.75" customHeight="1" x14ac:dyDescent="0.25">
      <c r="A328" s="352" t="s">
        <v>315</v>
      </c>
      <c r="B328" s="108" t="s">
        <v>427</v>
      </c>
      <c r="C328" s="114"/>
      <c r="D328" s="114"/>
      <c r="E328" s="114"/>
      <c r="F328" s="114"/>
      <c r="G328" s="114"/>
      <c r="H328" s="114"/>
      <c r="I328" s="114"/>
    </row>
    <row r="329" spans="1:9" ht="18.75" customHeight="1" x14ac:dyDescent="0.25">
      <c r="A329" s="353"/>
      <c r="B329" s="117"/>
      <c r="C329" s="117"/>
      <c r="D329" s="117"/>
      <c r="E329" s="117"/>
      <c r="F329" s="117"/>
      <c r="G329" s="117"/>
      <c r="H329" s="117"/>
      <c r="I329" s="117"/>
    </row>
    <row r="330" spans="1:9" ht="18.75" customHeight="1" x14ac:dyDescent="0.25">
      <c r="A330" s="353"/>
      <c r="B330" s="117"/>
      <c r="C330" s="117"/>
      <c r="D330" s="117"/>
      <c r="E330" s="117"/>
      <c r="F330" s="117"/>
      <c r="G330" s="117"/>
      <c r="H330" s="117"/>
      <c r="I330" s="117"/>
    </row>
    <row r="331" spans="1:9" ht="18.75" customHeight="1" x14ac:dyDescent="0.25">
      <c r="A331" s="353"/>
      <c r="B331" s="117"/>
      <c r="C331" s="117"/>
      <c r="D331" s="117"/>
      <c r="E331" s="117"/>
      <c r="F331" s="117"/>
      <c r="G331" s="117"/>
      <c r="H331" s="117"/>
      <c r="I331" s="117"/>
    </row>
    <row r="332" spans="1:9" ht="18.75" customHeight="1" x14ac:dyDescent="0.25">
      <c r="A332" s="353"/>
      <c r="B332" s="117"/>
      <c r="C332" s="117"/>
      <c r="D332" s="117"/>
      <c r="E332" s="117"/>
      <c r="F332" s="117"/>
      <c r="G332" s="117"/>
      <c r="H332" s="117"/>
      <c r="I332" s="117"/>
    </row>
    <row r="333" spans="1:9" ht="18.75" customHeight="1" x14ac:dyDescent="0.25">
      <c r="A333" s="353"/>
      <c r="B333" s="117"/>
      <c r="C333" s="117"/>
      <c r="D333" s="117"/>
      <c r="E333" s="117"/>
      <c r="F333" s="117"/>
      <c r="G333" s="117"/>
      <c r="H333" s="117"/>
      <c r="I333" s="117"/>
    </row>
    <row r="334" spans="1:9" ht="18.75" customHeight="1" x14ac:dyDescent="0.25">
      <c r="A334" s="353"/>
      <c r="B334" s="117"/>
      <c r="C334" s="117"/>
      <c r="D334" s="117"/>
      <c r="E334" s="117"/>
      <c r="F334" s="117"/>
      <c r="G334" s="117"/>
      <c r="H334" s="117"/>
      <c r="I334" s="117"/>
    </row>
    <row r="335" spans="1:9" ht="18.75" customHeight="1" x14ac:dyDescent="0.25">
      <c r="A335" s="353"/>
      <c r="B335" s="117"/>
      <c r="C335" s="117"/>
      <c r="D335" s="117"/>
      <c r="E335" s="117"/>
      <c r="F335" s="117"/>
      <c r="G335" s="117"/>
      <c r="H335" s="117"/>
      <c r="I335" s="117"/>
    </row>
    <row r="336" spans="1:9" ht="18.75" customHeight="1" x14ac:dyDescent="0.25">
      <c r="A336" s="353"/>
      <c r="B336" s="117"/>
      <c r="C336" s="117"/>
      <c r="D336" s="117"/>
      <c r="E336" s="117"/>
      <c r="F336" s="117"/>
      <c r="G336" s="117"/>
      <c r="H336" s="117"/>
      <c r="I336" s="117"/>
    </row>
    <row r="337" spans="1:9" ht="18.75" customHeight="1" x14ac:dyDescent="0.25">
      <c r="A337" s="353"/>
      <c r="B337" s="117"/>
      <c r="C337" s="117"/>
      <c r="D337" s="117"/>
      <c r="E337" s="117"/>
      <c r="F337" s="117"/>
      <c r="G337" s="117"/>
      <c r="H337" s="117"/>
      <c r="I337" s="117"/>
    </row>
    <row r="338" spans="1:9" ht="18.75" customHeight="1" x14ac:dyDescent="0.25">
      <c r="A338" s="353"/>
      <c r="B338" s="117"/>
      <c r="C338" s="117"/>
      <c r="D338" s="117"/>
      <c r="E338" s="117"/>
      <c r="F338" s="117"/>
      <c r="G338" s="117"/>
      <c r="H338" s="117"/>
      <c r="I338" s="117"/>
    </row>
    <row r="339" spans="1:9" ht="18.75" customHeight="1" x14ac:dyDescent="0.25">
      <c r="A339" s="353"/>
      <c r="B339" s="117"/>
      <c r="C339" s="117"/>
      <c r="D339" s="117"/>
      <c r="E339" s="117"/>
      <c r="F339" s="117"/>
      <c r="G339" s="117"/>
      <c r="H339" s="117"/>
      <c r="I339" s="117"/>
    </row>
    <row r="340" spans="1:9" ht="18.75" customHeight="1" x14ac:dyDescent="0.25">
      <c r="A340" s="353"/>
      <c r="B340" s="117" t="s">
        <v>314</v>
      </c>
      <c r="C340" s="117"/>
      <c r="D340" s="117"/>
      <c r="E340" s="117"/>
      <c r="F340" s="117"/>
      <c r="G340" s="117"/>
      <c r="H340" s="117"/>
      <c r="I340" s="117"/>
    </row>
    <row r="341" spans="1:9" ht="18.75" customHeight="1" x14ac:dyDescent="0.25">
      <c r="A341" s="353"/>
      <c r="B341" s="185" t="s">
        <v>550</v>
      </c>
      <c r="C341" s="35">
        <f>'Geser &amp; Penulang Pilecap'!C45</f>
        <v>0.4</v>
      </c>
      <c r="D341" s="244" t="s">
        <v>6</v>
      </c>
      <c r="E341" s="185" t="s">
        <v>334</v>
      </c>
      <c r="F341" s="70">
        <f>'Geser &amp; Penulang Pilecap'!F45</f>
        <v>0.3</v>
      </c>
      <c r="G341" s="244" t="s">
        <v>6</v>
      </c>
      <c r="H341" s="185"/>
      <c r="I341" s="333"/>
    </row>
    <row r="342" spans="1:9" ht="18.75" customHeight="1" x14ac:dyDescent="0.25">
      <c r="A342" s="353"/>
      <c r="B342" s="185" t="s">
        <v>335</v>
      </c>
      <c r="C342" s="69">
        <f>'Geser &amp; Penulang Pilecap'!C46</f>
        <v>0.7</v>
      </c>
      <c r="D342" s="244" t="s">
        <v>6</v>
      </c>
      <c r="E342" s="185" t="s">
        <v>336</v>
      </c>
      <c r="F342" s="70">
        <f>'Geser &amp; Penulang Pilecap'!F46</f>
        <v>0.35</v>
      </c>
      <c r="G342" s="244" t="s">
        <v>6</v>
      </c>
      <c r="H342" s="117"/>
      <c r="I342" s="117"/>
    </row>
    <row r="343" spans="1:9" ht="18.75" customHeight="1" x14ac:dyDescent="0.25">
      <c r="A343" s="353"/>
      <c r="B343" s="185"/>
      <c r="C343" s="181"/>
      <c r="D343" s="244"/>
      <c r="E343" s="185" t="s">
        <v>338</v>
      </c>
      <c r="F343" s="70">
        <f>'Geser &amp; Penulang Pilecap'!F47</f>
        <v>0.35</v>
      </c>
      <c r="G343" s="244" t="s">
        <v>6</v>
      </c>
      <c r="H343" s="117"/>
      <c r="I343" s="117"/>
    </row>
    <row r="344" spans="1:9" ht="18.75" customHeight="1" x14ac:dyDescent="0.25">
      <c r="A344" s="353"/>
      <c r="B344" s="185" t="s">
        <v>359</v>
      </c>
      <c r="C344" s="69">
        <f>'Geser &amp; Penulang Pilecap'!C48</f>
        <v>1.7999999999999998</v>
      </c>
      <c r="D344" s="244" t="s">
        <v>6</v>
      </c>
      <c r="E344" s="117"/>
      <c r="F344" s="117"/>
      <c r="G344" s="244"/>
      <c r="H344" s="117"/>
      <c r="I344" s="117"/>
    </row>
    <row r="345" spans="1:9" ht="18.75" customHeight="1" x14ac:dyDescent="0.25">
      <c r="A345" s="353"/>
      <c r="B345" s="185" t="s">
        <v>339</v>
      </c>
      <c r="C345" s="35">
        <f>'Geser &amp; Penulang Pilecap'!C49</f>
        <v>0.4</v>
      </c>
      <c r="D345" s="244" t="s">
        <v>6</v>
      </c>
      <c r="E345" s="185" t="s">
        <v>358</v>
      </c>
      <c r="F345" s="70">
        <f>'Geser &amp; Penulang Pilecap'!F49</f>
        <v>521.40165032938489</v>
      </c>
      <c r="G345" s="244" t="s">
        <v>69</v>
      </c>
      <c r="H345" s="193"/>
      <c r="I345" s="117"/>
    </row>
    <row r="346" spans="1:9" ht="18.75" customHeight="1" x14ac:dyDescent="0.25">
      <c r="A346" s="353"/>
      <c r="B346" s="117"/>
      <c r="C346" s="117"/>
      <c r="D346" s="117"/>
      <c r="E346" s="117"/>
      <c r="F346" s="117"/>
      <c r="G346" s="117"/>
      <c r="H346" s="117"/>
      <c r="I346" s="117"/>
    </row>
    <row r="347" spans="1:9" ht="18.75" customHeight="1" x14ac:dyDescent="0.25">
      <c r="A347" s="353"/>
      <c r="B347" s="524" t="s">
        <v>316</v>
      </c>
      <c r="C347" s="524" t="s">
        <v>317</v>
      </c>
      <c r="D347" s="524"/>
      <c r="E347" s="524"/>
      <c r="F347" s="524" t="s">
        <v>318</v>
      </c>
      <c r="G347" s="524" t="s">
        <v>319</v>
      </c>
      <c r="H347" s="524" t="s">
        <v>320</v>
      </c>
      <c r="I347" s="117"/>
    </row>
    <row r="348" spans="1:9" ht="18.75" customHeight="1" x14ac:dyDescent="0.25">
      <c r="A348" s="353"/>
      <c r="B348" s="524"/>
      <c r="C348" s="356" t="s">
        <v>504</v>
      </c>
      <c r="D348" s="356" t="s">
        <v>321</v>
      </c>
      <c r="E348" s="356" t="s">
        <v>505</v>
      </c>
      <c r="F348" s="524"/>
      <c r="G348" s="524"/>
      <c r="H348" s="524"/>
      <c r="I348" s="117"/>
    </row>
    <row r="349" spans="1:9" ht="18.75" customHeight="1" x14ac:dyDescent="0.25">
      <c r="A349" s="353"/>
      <c r="B349" s="524"/>
      <c r="C349" s="356" t="s">
        <v>91</v>
      </c>
      <c r="D349" s="356" t="s">
        <v>91</v>
      </c>
      <c r="E349" s="356" t="s">
        <v>91</v>
      </c>
      <c r="F349" s="356" t="s">
        <v>506</v>
      </c>
      <c r="G349" s="356" t="s">
        <v>322</v>
      </c>
      <c r="H349" s="356" t="s">
        <v>348</v>
      </c>
      <c r="I349" s="117"/>
    </row>
    <row r="350" spans="1:9" ht="18.75" customHeight="1" x14ac:dyDescent="0.25">
      <c r="A350" s="353"/>
      <c r="B350" s="357" t="s">
        <v>340</v>
      </c>
      <c r="C350" s="358">
        <f>'Geser &amp; Penulang Pilecap'!C54</f>
        <v>0.7</v>
      </c>
      <c r="D350" s="358">
        <f>'Geser &amp; Penulang Pilecap'!D54</f>
        <v>0.4</v>
      </c>
      <c r="E350" s="358">
        <f>'Geser &amp; Penulang Pilecap'!E54</f>
        <v>1.8</v>
      </c>
      <c r="F350" s="359">
        <f>'Geser &amp; Penulang Pilecap'!F54</f>
        <v>0.504</v>
      </c>
      <c r="G350" s="360">
        <f>'Geser &amp; Penulang Pilecap'!G54</f>
        <v>12.096</v>
      </c>
      <c r="H350" s="361">
        <f>'Geser &amp; Penulang Pilecap'!H54</f>
        <v>4.2336</v>
      </c>
      <c r="I350" s="117"/>
    </row>
    <row r="351" spans="1:9" ht="18.75" customHeight="1" x14ac:dyDescent="0.25">
      <c r="A351" s="353"/>
      <c r="B351" s="357" t="s">
        <v>341</v>
      </c>
      <c r="C351" s="358">
        <f>'Geser &amp; Penulang Pilecap'!C55</f>
        <v>0.7</v>
      </c>
      <c r="D351" s="358">
        <f>'Geser &amp; Penulang Pilecap'!D55</f>
        <v>2.1</v>
      </c>
      <c r="E351" s="358">
        <f>'Geser &amp; Penulang Pilecap'!E55</f>
        <v>1.8</v>
      </c>
      <c r="F351" s="359">
        <f>'Geser &amp; Penulang Pilecap'!F55</f>
        <v>2.6459999999999999</v>
      </c>
      <c r="G351" s="360">
        <f>'Geser &amp; Penulang Pilecap'!G55</f>
        <v>45.511199999999995</v>
      </c>
      <c r="H351" s="362">
        <f>'Geser &amp; Penulang Pilecap'!H55</f>
        <v>15.928919999999998</v>
      </c>
      <c r="I351" s="117"/>
    </row>
    <row r="352" spans="1:9" ht="18.75" customHeight="1" x14ac:dyDescent="0.25">
      <c r="A352" s="353"/>
      <c r="B352" s="117"/>
      <c r="C352" s="117"/>
      <c r="D352" s="117"/>
      <c r="E352" s="117"/>
      <c r="F352" s="363" t="s">
        <v>342</v>
      </c>
      <c r="G352" s="364">
        <f>'Geser &amp; Penulang Pilecap'!G56</f>
        <v>57.607199999999992</v>
      </c>
      <c r="H352" s="365"/>
      <c r="I352" s="117"/>
    </row>
    <row r="353" spans="1:9" ht="18.75" customHeight="1" x14ac:dyDescent="0.25">
      <c r="A353" s="353"/>
      <c r="B353" s="117"/>
      <c r="C353" s="117"/>
      <c r="D353" s="117"/>
      <c r="E353" s="117"/>
      <c r="F353" s="170"/>
      <c r="G353" s="366" t="s">
        <v>343</v>
      </c>
      <c r="H353" s="367">
        <f>'Geser &amp; Penulang Pilecap'!H57</f>
        <v>20.162519999999997</v>
      </c>
      <c r="I353" s="345"/>
    </row>
    <row r="354" spans="1:9" ht="18.75" customHeight="1" x14ac:dyDescent="0.25">
      <c r="A354" s="353"/>
      <c r="B354" s="117" t="s">
        <v>324</v>
      </c>
      <c r="C354" s="117"/>
      <c r="D354" s="117"/>
      <c r="E354" s="117"/>
      <c r="F354" s="117"/>
      <c r="G354" s="185" t="s">
        <v>325</v>
      </c>
      <c r="H354" s="357">
        <f>'Geser &amp; Penulang Pilecap'!H58</f>
        <v>1.2</v>
      </c>
      <c r="I354" s="346"/>
    </row>
    <row r="355" spans="1:9" ht="18.75" customHeight="1" x14ac:dyDescent="0.25">
      <c r="A355" s="353"/>
      <c r="B355" s="117" t="s">
        <v>326</v>
      </c>
      <c r="C355" s="117"/>
      <c r="D355" s="117"/>
      <c r="E355" s="117"/>
      <c r="F355" s="117"/>
      <c r="G355" s="185" t="s">
        <v>360</v>
      </c>
      <c r="H355" s="358">
        <f>'Geser &amp; Penulang Pilecap'!H59</f>
        <v>31.251023999999994</v>
      </c>
      <c r="I355" s="244" t="s">
        <v>216</v>
      </c>
    </row>
    <row r="356" spans="1:9" ht="18.75" customHeight="1" x14ac:dyDescent="0.25">
      <c r="A356" s="353"/>
      <c r="B356" s="117"/>
      <c r="C356" s="117"/>
      <c r="D356" s="117"/>
      <c r="E356" s="117"/>
      <c r="F356" s="117"/>
      <c r="G356" s="117"/>
      <c r="H356" s="117"/>
      <c r="I356" s="117"/>
    </row>
    <row r="357" spans="1:9" ht="18.75" customHeight="1" x14ac:dyDescent="0.25">
      <c r="A357" s="353"/>
      <c r="B357" s="521" t="s">
        <v>509</v>
      </c>
      <c r="C357" s="521"/>
      <c r="D357" s="521" t="s">
        <v>328</v>
      </c>
      <c r="E357" s="521"/>
      <c r="F357" s="521"/>
      <c r="G357" s="521" t="s">
        <v>507</v>
      </c>
      <c r="H357" s="521"/>
      <c r="I357" s="244"/>
    </row>
    <row r="358" spans="1:9" ht="18.75" customHeight="1" x14ac:dyDescent="0.25">
      <c r="A358" s="353"/>
      <c r="B358" s="521" t="s">
        <v>329</v>
      </c>
      <c r="C358" s="521"/>
      <c r="D358" s="521" t="s">
        <v>508</v>
      </c>
      <c r="E358" s="521"/>
      <c r="F358" s="521"/>
      <c r="G358" s="521" t="s">
        <v>323</v>
      </c>
      <c r="H358" s="521"/>
      <c r="I358" s="244"/>
    </row>
    <row r="359" spans="1:9" ht="18.75" customHeight="1" x14ac:dyDescent="0.25">
      <c r="A359" s="353"/>
      <c r="B359" s="49">
        <v>1</v>
      </c>
      <c r="C359" s="50" t="str">
        <f>'Geser &amp; Penulang Pilecap'!C63</f>
        <v/>
      </c>
      <c r="D359" s="368"/>
      <c r="E359" s="369" t="s">
        <v>352</v>
      </c>
      <c r="F359" s="50" t="str">
        <f>'Geser &amp; Penulang Pilecap'!F63</f>
        <v/>
      </c>
      <c r="G359" s="368"/>
      <c r="H359" s="340" t="str">
        <f>'Geser &amp; Penulang Pilecap'!H63</f>
        <v/>
      </c>
      <c r="I359" s="244"/>
    </row>
    <row r="360" spans="1:9" ht="18.75" customHeight="1" x14ac:dyDescent="0.25">
      <c r="A360" s="353"/>
      <c r="B360" s="49">
        <v>2</v>
      </c>
      <c r="C360" s="50">
        <f>'Geser &amp; Penulang Pilecap'!C64</f>
        <v>0.5</v>
      </c>
      <c r="D360" s="368"/>
      <c r="E360" s="369" t="s">
        <v>353</v>
      </c>
      <c r="F360" s="50">
        <f>'Geser &amp; Penulang Pilecap'!F64</f>
        <v>0.3</v>
      </c>
      <c r="G360" s="368"/>
      <c r="H360" s="340">
        <f>'Geser &amp; Penulang Pilecap'!H64</f>
        <v>156.42049509881545</v>
      </c>
      <c r="I360" s="244"/>
    </row>
    <row r="361" spans="1:9" ht="18.75" customHeight="1" x14ac:dyDescent="0.25">
      <c r="A361" s="353"/>
      <c r="B361" s="49">
        <v>3</v>
      </c>
      <c r="C361" s="50" t="str">
        <f>'Geser &amp; Penulang Pilecap'!C65</f>
        <v/>
      </c>
      <c r="D361" s="368"/>
      <c r="E361" s="369" t="s">
        <v>354</v>
      </c>
      <c r="F361" s="50" t="str">
        <f>'Geser &amp; Penulang Pilecap'!F65</f>
        <v/>
      </c>
      <c r="G361" s="368"/>
      <c r="H361" s="340" t="str">
        <f>'Geser &amp; Penulang Pilecap'!H65</f>
        <v/>
      </c>
      <c r="I361" s="244"/>
    </row>
    <row r="362" spans="1:9" ht="18.75" customHeight="1" x14ac:dyDescent="0.25">
      <c r="A362" s="353"/>
      <c r="B362" s="49">
        <v>4</v>
      </c>
      <c r="C362" s="50" t="str">
        <f>'Geser &amp; Penulang Pilecap'!C66</f>
        <v/>
      </c>
      <c r="D362" s="368"/>
      <c r="E362" s="369" t="s">
        <v>355</v>
      </c>
      <c r="F362" s="50" t="str">
        <f>'Geser &amp; Penulang Pilecap'!F66</f>
        <v/>
      </c>
      <c r="G362" s="368"/>
      <c r="H362" s="340" t="str">
        <f>'Geser &amp; Penulang Pilecap'!H66</f>
        <v/>
      </c>
      <c r="I362" s="244"/>
    </row>
    <row r="363" spans="1:9" ht="18.75" customHeight="1" x14ac:dyDescent="0.25">
      <c r="A363" s="353"/>
      <c r="B363" s="117" t="s">
        <v>330</v>
      </c>
      <c r="C363" s="117"/>
      <c r="D363" s="117"/>
      <c r="E363" s="117"/>
      <c r="F363" s="117"/>
      <c r="G363" s="185" t="s">
        <v>346</v>
      </c>
      <c r="H363" s="359">
        <f>'Geser &amp; Penulang Pilecap'!H67</f>
        <v>156.42049509881545</v>
      </c>
      <c r="I363" s="244" t="s">
        <v>216</v>
      </c>
    </row>
    <row r="364" spans="1:9" ht="18.75" customHeight="1" x14ac:dyDescent="0.25">
      <c r="A364" s="353"/>
      <c r="B364" s="117" t="s">
        <v>331</v>
      </c>
      <c r="C364" s="117"/>
      <c r="D364" s="117"/>
      <c r="E364" s="117"/>
      <c r="F364" s="117"/>
      <c r="G364" s="185" t="s">
        <v>347</v>
      </c>
      <c r="H364" s="359">
        <f>'Geser &amp; Penulang Pilecap'!H68</f>
        <v>125.16947109881545</v>
      </c>
      <c r="I364" s="244" t="s">
        <v>216</v>
      </c>
    </row>
    <row r="365" spans="1:9" ht="18.75" customHeight="1" x14ac:dyDescent="0.25">
      <c r="A365" s="353"/>
      <c r="B365" s="117"/>
      <c r="C365" s="117"/>
      <c r="D365" s="117"/>
      <c r="E365" s="117"/>
      <c r="F365" s="117"/>
      <c r="G365" s="185" t="s">
        <v>356</v>
      </c>
      <c r="H365" s="358">
        <f>'Geser &amp; Penulang Pilecap'!H69</f>
        <v>1.8</v>
      </c>
      <c r="I365" s="244" t="s">
        <v>6</v>
      </c>
    </row>
    <row r="366" spans="1:9" ht="18.75" customHeight="1" x14ac:dyDescent="0.25">
      <c r="A366" s="353"/>
      <c r="B366" s="117" t="s">
        <v>332</v>
      </c>
      <c r="C366" s="117"/>
      <c r="D366" s="117"/>
      <c r="E366" s="117"/>
      <c r="F366" s="117"/>
      <c r="G366" s="185" t="s">
        <v>357</v>
      </c>
      <c r="H366" s="359">
        <f>'Geser &amp; Penulang Pilecap'!H70</f>
        <v>69.538595054897471</v>
      </c>
      <c r="I366" s="244" t="s">
        <v>216</v>
      </c>
    </row>
    <row r="367" spans="1:9" ht="18.75" customHeight="1" x14ac:dyDescent="0.25">
      <c r="A367" s="353"/>
      <c r="B367" s="117"/>
      <c r="C367" s="117"/>
      <c r="D367" s="117"/>
      <c r="E367" s="117"/>
      <c r="F367" s="117"/>
      <c r="G367" s="185"/>
      <c r="H367" s="333"/>
      <c r="I367" s="244"/>
    </row>
    <row r="368" spans="1:9" ht="18.75" customHeight="1" x14ac:dyDescent="0.25">
      <c r="A368" s="352" t="s">
        <v>433</v>
      </c>
      <c r="B368" s="108" t="s">
        <v>430</v>
      </c>
      <c r="C368" s="114"/>
      <c r="D368" s="114"/>
      <c r="E368" s="114"/>
      <c r="F368" s="114"/>
      <c r="G368" s="114"/>
      <c r="H368" s="114"/>
      <c r="I368" s="114"/>
    </row>
    <row r="369" spans="1:9" s="246" customFormat="1" ht="18.75" customHeight="1" x14ac:dyDescent="0.25">
      <c r="A369" s="410"/>
      <c r="B369" s="409"/>
      <c r="C369" s="249"/>
      <c r="D369" s="249"/>
      <c r="E369" s="249"/>
      <c r="F369" s="249"/>
      <c r="G369" s="249"/>
      <c r="H369" s="249"/>
      <c r="I369" s="249"/>
    </row>
    <row r="370" spans="1:9" s="246" customFormat="1" ht="18.75" customHeight="1" x14ac:dyDescent="0.25">
      <c r="A370" s="410"/>
      <c r="B370" s="409"/>
      <c r="C370" s="249"/>
      <c r="D370" s="249"/>
      <c r="E370" s="249"/>
      <c r="F370" s="249"/>
      <c r="G370" s="249"/>
      <c r="H370" s="249"/>
      <c r="I370" s="249"/>
    </row>
    <row r="371" spans="1:9" s="246" customFormat="1" ht="18.75" customHeight="1" x14ac:dyDescent="0.25">
      <c r="A371" s="410"/>
      <c r="B371" s="409"/>
      <c r="C371" s="249"/>
      <c r="D371" s="249"/>
      <c r="E371" s="249"/>
      <c r="F371" s="249"/>
      <c r="G371" s="249"/>
      <c r="H371" s="249"/>
      <c r="I371" s="249"/>
    </row>
    <row r="372" spans="1:9" s="246" customFormat="1" ht="18.75" customHeight="1" x14ac:dyDescent="0.25">
      <c r="A372" s="410"/>
      <c r="B372" s="409"/>
      <c r="C372" s="249"/>
      <c r="D372" s="249"/>
      <c r="E372" s="249"/>
      <c r="F372" s="249"/>
      <c r="G372" s="249"/>
      <c r="H372" s="249"/>
      <c r="I372" s="249"/>
    </row>
    <row r="373" spans="1:9" s="246" customFormat="1" ht="18.75" customHeight="1" x14ac:dyDescent="0.25">
      <c r="A373" s="410"/>
      <c r="B373" s="409"/>
      <c r="C373" s="249"/>
      <c r="D373" s="249"/>
      <c r="E373" s="249"/>
      <c r="F373" s="249"/>
      <c r="G373" s="249"/>
      <c r="H373" s="249"/>
      <c r="I373" s="249"/>
    </row>
    <row r="374" spans="1:9" s="246" customFormat="1" ht="18.75" customHeight="1" x14ac:dyDescent="0.25">
      <c r="A374" s="410"/>
      <c r="B374" s="409"/>
      <c r="C374" s="249"/>
      <c r="D374" s="249"/>
      <c r="E374" s="249"/>
      <c r="F374" s="249"/>
      <c r="G374" s="249"/>
      <c r="H374" s="249"/>
      <c r="I374" s="249"/>
    </row>
    <row r="375" spans="1:9" s="246" customFormat="1" ht="18.75" customHeight="1" x14ac:dyDescent="0.25">
      <c r="A375" s="410"/>
      <c r="B375" s="409"/>
      <c r="C375" s="249"/>
      <c r="D375" s="249"/>
      <c r="E375" s="249"/>
      <c r="F375" s="249"/>
      <c r="G375" s="249"/>
      <c r="H375" s="249"/>
      <c r="I375" s="249"/>
    </row>
    <row r="376" spans="1:9" s="246" customFormat="1" ht="18.75" customHeight="1" x14ac:dyDescent="0.25">
      <c r="A376" s="410"/>
      <c r="B376" s="409"/>
      <c r="C376" s="249"/>
      <c r="D376" s="249"/>
      <c r="E376" s="249"/>
      <c r="F376" s="249"/>
      <c r="G376" s="249"/>
      <c r="H376" s="249"/>
      <c r="I376" s="249"/>
    </row>
    <row r="377" spans="1:9" s="246" customFormat="1" ht="18.75" customHeight="1" x14ac:dyDescent="0.25">
      <c r="A377" s="410"/>
      <c r="B377" s="409"/>
      <c r="C377" s="249"/>
      <c r="D377" s="249"/>
      <c r="E377" s="249"/>
      <c r="F377" s="249"/>
      <c r="G377" s="249"/>
      <c r="H377" s="249"/>
      <c r="I377" s="249"/>
    </row>
    <row r="378" spans="1:9" s="246" customFormat="1" ht="18.75" customHeight="1" x14ac:dyDescent="0.25">
      <c r="A378" s="410"/>
      <c r="B378" s="409"/>
      <c r="C378" s="249"/>
      <c r="D378" s="249"/>
      <c r="E378" s="249"/>
      <c r="F378" s="249"/>
      <c r="G378" s="249"/>
      <c r="H378" s="249"/>
      <c r="I378" s="249"/>
    </row>
    <row r="379" spans="1:9" s="246" customFormat="1" ht="18.75" customHeight="1" x14ac:dyDescent="0.25">
      <c r="A379" s="410"/>
      <c r="B379" s="409"/>
      <c r="C379" s="249"/>
      <c r="D379" s="249"/>
      <c r="E379" s="249"/>
      <c r="F379" s="249"/>
      <c r="G379" s="249"/>
      <c r="H379" s="249"/>
      <c r="I379" s="249"/>
    </row>
    <row r="380" spans="1:9" ht="18.75" customHeight="1" x14ac:dyDescent="0.25">
      <c r="A380" s="353"/>
      <c r="B380" s="91" t="s">
        <v>172</v>
      </c>
      <c r="C380" s="91"/>
      <c r="D380" s="91"/>
      <c r="E380" s="91"/>
      <c r="F380" s="100"/>
      <c r="G380" s="92" t="s">
        <v>173</v>
      </c>
      <c r="H380" s="142">
        <f>'Geser &amp; Penulang Pilecap'!H84</f>
        <v>0.1285</v>
      </c>
      <c r="I380" s="300" t="s">
        <v>6</v>
      </c>
    </row>
    <row r="381" spans="1:9" ht="18.75" customHeight="1" x14ac:dyDescent="0.25">
      <c r="A381" s="353"/>
      <c r="B381" s="91" t="s">
        <v>174</v>
      </c>
      <c r="C381" s="91"/>
      <c r="D381" s="91"/>
      <c r="E381" s="91"/>
      <c r="F381" s="100"/>
      <c r="G381" s="92" t="s">
        <v>423</v>
      </c>
      <c r="H381" s="142">
        <f>'Geser &amp; Penulang Pilecap'!H85</f>
        <v>0.27150000000000002</v>
      </c>
      <c r="I381" s="300" t="s">
        <v>6</v>
      </c>
    </row>
    <row r="382" spans="1:9" ht="18.75" customHeight="1" x14ac:dyDescent="0.25">
      <c r="A382" s="353"/>
      <c r="B382" s="255" t="s">
        <v>176</v>
      </c>
      <c r="C382" s="255"/>
      <c r="D382" s="255"/>
      <c r="E382" s="255"/>
      <c r="F382" s="256"/>
      <c r="G382" s="257" t="s">
        <v>412</v>
      </c>
      <c r="H382" s="258">
        <f>'Geser &amp; Penulang Pilecap'!H86</f>
        <v>0.46425000000000005</v>
      </c>
      <c r="I382" s="343" t="s">
        <v>6</v>
      </c>
    </row>
    <row r="383" spans="1:9" ht="18.75" customHeight="1" x14ac:dyDescent="0.25">
      <c r="A383" s="353"/>
      <c r="B383" s="255" t="s">
        <v>404</v>
      </c>
      <c r="C383" s="255"/>
      <c r="D383" s="255"/>
      <c r="E383" s="255"/>
      <c r="F383" s="256"/>
      <c r="G383" s="260" t="s">
        <v>415</v>
      </c>
      <c r="H383" s="258">
        <f>'Geser &amp; Penulang Pilecap'!H87</f>
        <v>8.02224</v>
      </c>
      <c r="I383" s="343" t="s">
        <v>177</v>
      </c>
    </row>
    <row r="384" spans="1:9" ht="18.75" customHeight="1" x14ac:dyDescent="0.25">
      <c r="A384" s="353"/>
      <c r="B384" s="255" t="s">
        <v>111</v>
      </c>
      <c r="C384" s="255"/>
      <c r="D384" s="255"/>
      <c r="E384" s="255"/>
      <c r="F384" s="256"/>
      <c r="G384" s="260" t="s">
        <v>416</v>
      </c>
      <c r="H384" s="258">
        <f>'Geser &amp; Penulang Pilecap'!H88</f>
        <v>30.183678</v>
      </c>
      <c r="I384" s="343" t="s">
        <v>177</v>
      </c>
    </row>
    <row r="385" spans="1:9" ht="18.75" customHeight="1" x14ac:dyDescent="0.25">
      <c r="A385" s="353"/>
      <c r="B385" s="255" t="s">
        <v>405</v>
      </c>
      <c r="C385" s="255"/>
      <c r="D385" s="255"/>
      <c r="E385" s="255"/>
      <c r="F385" s="256"/>
      <c r="G385" s="260" t="s">
        <v>411</v>
      </c>
      <c r="H385" s="258">
        <f>'Geser &amp; Penulang Pilecap'!H89</f>
        <v>4.1782500000000002</v>
      </c>
      <c r="I385" s="343" t="s">
        <v>177</v>
      </c>
    </row>
    <row r="386" spans="1:9" ht="18.75" customHeight="1" x14ac:dyDescent="0.25">
      <c r="A386" s="353"/>
      <c r="B386" s="100" t="s">
        <v>442</v>
      </c>
      <c r="C386" s="100"/>
      <c r="D386" s="100"/>
      <c r="E386" s="100"/>
      <c r="F386" s="100"/>
      <c r="G386" s="100"/>
      <c r="H386" s="100"/>
      <c r="I386" s="100"/>
    </row>
    <row r="387" spans="1:9" ht="18.75" customHeight="1" x14ac:dyDescent="0.25">
      <c r="A387" s="344"/>
      <c r="B387" s="525" t="s">
        <v>327</v>
      </c>
      <c r="C387" s="525"/>
      <c r="D387" s="525"/>
      <c r="E387" s="525" t="s">
        <v>607</v>
      </c>
      <c r="F387" s="525"/>
      <c r="G387" s="370" t="s">
        <v>608</v>
      </c>
      <c r="H387" s="370" t="s">
        <v>609</v>
      </c>
      <c r="I387" s="249"/>
    </row>
    <row r="388" spans="1:9" ht="18.75" customHeight="1" x14ac:dyDescent="0.25">
      <c r="A388" s="344"/>
      <c r="B388" s="525" t="s">
        <v>606</v>
      </c>
      <c r="C388" s="525"/>
      <c r="D388" s="525"/>
      <c r="E388" s="525"/>
      <c r="F388" s="525"/>
      <c r="G388" s="371" t="s">
        <v>322</v>
      </c>
      <c r="H388" s="371" t="s">
        <v>322</v>
      </c>
      <c r="I388" s="249"/>
    </row>
    <row r="389" spans="1:9" ht="18.75" customHeight="1" x14ac:dyDescent="0.25">
      <c r="A389" s="344"/>
      <c r="B389" s="523">
        <v>1</v>
      </c>
      <c r="C389" s="523"/>
      <c r="D389" s="50" t="str">
        <f>'Geser &amp; Penulang Pilecap'!D93</f>
        <v/>
      </c>
      <c r="E389" s="523" t="str">
        <f>'Geser &amp; Penulang Pilecap'!E93</f>
        <v/>
      </c>
      <c r="F389" s="523"/>
      <c r="G389" s="340" t="str">
        <f>'Geser &amp; Penulang Pilecap'!F93</f>
        <v/>
      </c>
      <c r="H389" s="50" t="str">
        <f>'Geser &amp; Penulang Pilecap'!G93</f>
        <v/>
      </c>
      <c r="I389" s="249"/>
    </row>
    <row r="390" spans="1:9" ht="18.75" customHeight="1" x14ac:dyDescent="0.25">
      <c r="A390" s="344"/>
      <c r="B390" s="523">
        <v>2</v>
      </c>
      <c r="C390" s="523"/>
      <c r="D390" s="50">
        <f>'Geser &amp; Penulang Pilecap'!D94</f>
        <v>0.5</v>
      </c>
      <c r="E390" s="523" t="str">
        <f>'Geser &amp; Penulang Pilecap'!E94</f>
        <v>YA</v>
      </c>
      <c r="F390" s="523"/>
      <c r="G390" s="340">
        <f>'Geser &amp; Penulang Pilecap'!F94</f>
        <v>324.17047516469245</v>
      </c>
      <c r="H390" s="50">
        <f>'Geser &amp; Penulang Pilecap'!G94</f>
        <v>648.3409503293849</v>
      </c>
      <c r="I390" s="249"/>
    </row>
    <row r="391" spans="1:9" ht="18.75" customHeight="1" x14ac:dyDescent="0.25">
      <c r="A391" s="344"/>
      <c r="B391" s="523">
        <v>3</v>
      </c>
      <c r="C391" s="523"/>
      <c r="D391" s="50" t="str">
        <f>'Geser &amp; Penulang Pilecap'!D95</f>
        <v/>
      </c>
      <c r="E391" s="523" t="str">
        <f>'Geser &amp; Penulang Pilecap'!E95</f>
        <v/>
      </c>
      <c r="F391" s="523"/>
      <c r="G391" s="340" t="str">
        <f>'Geser &amp; Penulang Pilecap'!F95</f>
        <v/>
      </c>
      <c r="H391" s="50" t="str">
        <f>'Geser &amp; Penulang Pilecap'!G95</f>
        <v/>
      </c>
      <c r="I391" s="249"/>
    </row>
    <row r="392" spans="1:9" ht="18.75" customHeight="1" x14ac:dyDescent="0.25">
      <c r="A392" s="344"/>
      <c r="B392" s="523">
        <v>4</v>
      </c>
      <c r="C392" s="523"/>
      <c r="D392" s="50" t="str">
        <f>'Geser &amp; Penulang Pilecap'!D96</f>
        <v/>
      </c>
      <c r="E392" s="523" t="str">
        <f>'Geser &amp; Penulang Pilecap'!E96</f>
        <v/>
      </c>
      <c r="F392" s="523"/>
      <c r="G392" s="340" t="str">
        <f>'Geser &amp; Penulang Pilecap'!F96</f>
        <v/>
      </c>
      <c r="H392" s="50" t="str">
        <f>'Geser &amp; Penulang Pilecap'!G96</f>
        <v/>
      </c>
      <c r="I392" s="249"/>
    </row>
    <row r="393" spans="1:9" ht="18.75" customHeight="1" x14ac:dyDescent="0.25">
      <c r="A393" s="344"/>
      <c r="B393" s="249"/>
      <c r="C393" s="249"/>
      <c r="D393" s="249"/>
      <c r="E393" s="249"/>
      <c r="G393" s="373" t="s">
        <v>610</v>
      </c>
      <c r="H393" s="374">
        <f>'Geser &amp; Penulang Pilecap'!G97</f>
        <v>648.3409503293849</v>
      </c>
      <c r="I393" s="249"/>
    </row>
    <row r="394" spans="1:9" ht="18.75" customHeight="1" x14ac:dyDescent="0.25">
      <c r="A394" s="344"/>
      <c r="B394" s="249"/>
      <c r="C394" s="249"/>
      <c r="D394" s="249"/>
      <c r="E394" s="249"/>
      <c r="F394" s="249"/>
      <c r="G394" s="249"/>
      <c r="H394" s="249"/>
      <c r="I394" s="249"/>
    </row>
    <row r="395" spans="1:9" ht="18.75" customHeight="1" x14ac:dyDescent="0.25">
      <c r="A395" s="344"/>
      <c r="B395" s="91" t="s">
        <v>194</v>
      </c>
      <c r="C395" s="91"/>
      <c r="D395" s="91"/>
      <c r="E395" s="91"/>
      <c r="F395" s="100"/>
      <c r="G395" s="92" t="s">
        <v>557</v>
      </c>
      <c r="H395" s="258">
        <f>'Geser &amp; Penulang Pilecap'!H99</f>
        <v>605.95678232938485</v>
      </c>
      <c r="I395" s="300" t="s">
        <v>177</v>
      </c>
    </row>
    <row r="396" spans="1:9" ht="18.75" customHeight="1" x14ac:dyDescent="0.25">
      <c r="A396" s="344"/>
      <c r="B396" s="249"/>
      <c r="C396" s="249"/>
      <c r="D396" s="249"/>
      <c r="E396" s="249"/>
      <c r="F396" s="249"/>
      <c r="G396" s="249"/>
      <c r="H396" s="249"/>
      <c r="I396" s="249"/>
    </row>
    <row r="397" spans="1:9" ht="18.75" customHeight="1" x14ac:dyDescent="0.25">
      <c r="A397" s="352" t="s">
        <v>434</v>
      </c>
      <c r="B397" s="108" t="s">
        <v>431</v>
      </c>
      <c r="C397" s="114"/>
      <c r="D397" s="114"/>
      <c r="E397" s="114"/>
      <c r="F397" s="114"/>
      <c r="G397" s="114"/>
      <c r="H397" s="114"/>
      <c r="I397" s="114"/>
    </row>
    <row r="398" spans="1:9" ht="18.75" customHeight="1" x14ac:dyDescent="0.25">
      <c r="A398" s="353"/>
      <c r="B398" s="117"/>
      <c r="C398" s="117"/>
      <c r="D398" s="117"/>
      <c r="E398" s="117"/>
      <c r="F398" s="117"/>
      <c r="G398" s="117"/>
      <c r="H398" s="117"/>
      <c r="I398" s="117"/>
    </row>
    <row r="399" spans="1:9" ht="18.75" customHeight="1" x14ac:dyDescent="0.25">
      <c r="A399" s="353"/>
      <c r="B399" s="117"/>
      <c r="C399" s="117"/>
      <c r="D399" s="117"/>
      <c r="E399" s="117"/>
      <c r="F399" s="117"/>
      <c r="G399" s="117"/>
      <c r="H399" s="117"/>
      <c r="I399" s="117"/>
    </row>
    <row r="400" spans="1:9" ht="18.75" customHeight="1" x14ac:dyDescent="0.25">
      <c r="A400" s="353"/>
      <c r="B400" s="117"/>
      <c r="C400" s="117"/>
      <c r="D400" s="117"/>
      <c r="E400" s="117"/>
      <c r="F400" s="117"/>
      <c r="G400" s="117"/>
      <c r="H400" s="117"/>
      <c r="I400" s="117"/>
    </row>
    <row r="401" spans="1:9" ht="18.75" customHeight="1" x14ac:dyDescent="0.25">
      <c r="A401" s="353"/>
      <c r="B401" s="117"/>
      <c r="C401" s="117"/>
      <c r="D401" s="117"/>
      <c r="E401" s="117"/>
      <c r="F401" s="117"/>
      <c r="G401" s="117"/>
      <c r="H401" s="117"/>
      <c r="I401" s="117"/>
    </row>
    <row r="402" spans="1:9" ht="18.75" customHeight="1" x14ac:dyDescent="0.25">
      <c r="A402" s="353"/>
      <c r="B402" s="117"/>
      <c r="C402" s="117"/>
      <c r="D402" s="117"/>
      <c r="E402" s="117"/>
      <c r="F402" s="117"/>
      <c r="G402" s="117"/>
      <c r="H402" s="117"/>
      <c r="I402" s="117"/>
    </row>
    <row r="403" spans="1:9" ht="18.75" customHeight="1" x14ac:dyDescent="0.25">
      <c r="A403" s="353"/>
      <c r="B403" s="117"/>
      <c r="C403" s="117"/>
      <c r="D403" s="117"/>
      <c r="E403" s="117"/>
      <c r="F403" s="117"/>
      <c r="G403" s="117"/>
      <c r="H403" s="117"/>
      <c r="I403" s="117"/>
    </row>
    <row r="404" spans="1:9" ht="18.75" customHeight="1" x14ac:dyDescent="0.25">
      <c r="A404" s="353"/>
      <c r="B404" s="117"/>
      <c r="C404" s="117"/>
      <c r="D404" s="117"/>
      <c r="E404" s="117"/>
      <c r="F404" s="117"/>
      <c r="G404" s="117"/>
      <c r="H404" s="117"/>
      <c r="I404" s="117"/>
    </row>
    <row r="405" spans="1:9" ht="18.75" customHeight="1" x14ac:dyDescent="0.25">
      <c r="A405" s="353"/>
      <c r="B405" s="117"/>
      <c r="C405" s="117"/>
      <c r="D405" s="117"/>
      <c r="E405" s="117"/>
      <c r="F405" s="117"/>
      <c r="G405" s="117"/>
      <c r="H405" s="117"/>
      <c r="I405" s="117"/>
    </row>
    <row r="406" spans="1:9" ht="18.75" customHeight="1" x14ac:dyDescent="0.25">
      <c r="A406" s="353"/>
      <c r="B406" s="117"/>
      <c r="C406" s="117"/>
      <c r="D406" s="117"/>
      <c r="E406" s="117"/>
      <c r="F406" s="117"/>
      <c r="G406" s="117"/>
      <c r="H406" s="117"/>
      <c r="I406" s="117"/>
    </row>
    <row r="407" spans="1:9" ht="18.75" customHeight="1" x14ac:dyDescent="0.25">
      <c r="A407" s="353"/>
      <c r="B407" s="117"/>
      <c r="C407" s="117"/>
      <c r="D407" s="117"/>
      <c r="E407" s="117"/>
      <c r="F407" s="117"/>
      <c r="G407" s="117"/>
      <c r="H407" s="117"/>
      <c r="I407" s="117"/>
    </row>
    <row r="408" spans="1:9" ht="18.75" customHeight="1" x14ac:dyDescent="0.25">
      <c r="A408" s="353"/>
      <c r="B408" s="117"/>
      <c r="C408" s="117"/>
      <c r="D408" s="117"/>
      <c r="E408" s="117"/>
      <c r="F408" s="117"/>
      <c r="G408" s="117"/>
      <c r="H408" s="117"/>
      <c r="I408" s="117"/>
    </row>
    <row r="409" spans="1:9" ht="18.75" customHeight="1" x14ac:dyDescent="0.25">
      <c r="A409" s="353"/>
      <c r="B409" s="117" t="s">
        <v>314</v>
      </c>
      <c r="C409" s="117"/>
      <c r="D409" s="117"/>
      <c r="E409" s="117"/>
      <c r="F409" s="117"/>
      <c r="G409" s="117"/>
      <c r="H409" s="117"/>
      <c r="I409" s="117"/>
    </row>
    <row r="410" spans="1:9" ht="18.75" customHeight="1" x14ac:dyDescent="0.25">
      <c r="A410" s="353"/>
      <c r="B410" s="185" t="s">
        <v>147</v>
      </c>
      <c r="C410" s="35">
        <f>'Geser &amp; Penulang Pilecap'!C115</f>
        <v>0.6</v>
      </c>
      <c r="D410" s="244" t="s">
        <v>6</v>
      </c>
      <c r="E410" s="185" t="s">
        <v>373</v>
      </c>
      <c r="F410" s="70">
        <f>'Geser &amp; Penulang Pilecap'!F115</f>
        <v>0.2</v>
      </c>
      <c r="G410" s="244" t="s">
        <v>6</v>
      </c>
      <c r="H410" s="185"/>
      <c r="I410" s="333"/>
    </row>
    <row r="411" spans="1:9" ht="18.75" customHeight="1" x14ac:dyDescent="0.25">
      <c r="A411" s="353"/>
      <c r="B411" s="185" t="s">
        <v>337</v>
      </c>
      <c r="C411" s="69">
        <f>'Geser &amp; Penulang Pilecap'!C116</f>
        <v>0.60000000000000009</v>
      </c>
      <c r="D411" s="244" t="s">
        <v>6</v>
      </c>
      <c r="E411" s="185" t="s">
        <v>374</v>
      </c>
      <c r="F411" s="70">
        <f>'Geser &amp; Penulang Pilecap'!F116</f>
        <v>0.30000000000000004</v>
      </c>
      <c r="G411" s="244" t="s">
        <v>6</v>
      </c>
      <c r="H411" s="117"/>
      <c r="I411" s="117"/>
    </row>
    <row r="412" spans="1:9" ht="18.75" customHeight="1" x14ac:dyDescent="0.25">
      <c r="A412" s="353"/>
      <c r="B412" s="185"/>
      <c r="C412" s="181"/>
      <c r="D412" s="244"/>
      <c r="E412" s="185" t="s">
        <v>375</v>
      </c>
      <c r="F412" s="70">
        <f>'Geser &amp; Penulang Pilecap'!F117</f>
        <v>0.30000000000000004</v>
      </c>
      <c r="G412" s="244" t="s">
        <v>6</v>
      </c>
      <c r="H412" s="117"/>
      <c r="I412" s="117"/>
    </row>
    <row r="413" spans="1:9" ht="18.75" customHeight="1" x14ac:dyDescent="0.25">
      <c r="A413" s="353"/>
      <c r="B413" s="185" t="s">
        <v>376</v>
      </c>
      <c r="C413" s="69">
        <f>'Geser &amp; Penulang Pilecap'!C118</f>
        <v>1.8000000000000003</v>
      </c>
      <c r="D413" s="244" t="s">
        <v>6</v>
      </c>
      <c r="E413" s="117"/>
      <c r="F413" s="117"/>
      <c r="G413" s="244"/>
      <c r="H413" s="117"/>
      <c r="I413" s="117"/>
    </row>
    <row r="414" spans="1:9" ht="18.75" customHeight="1" x14ac:dyDescent="0.25">
      <c r="A414" s="353"/>
      <c r="B414" s="185" t="s">
        <v>339</v>
      </c>
      <c r="C414" s="35">
        <f>'Geser &amp; Penulang Pilecap'!C119</f>
        <v>0.4</v>
      </c>
      <c r="D414" s="244" t="s">
        <v>6</v>
      </c>
      <c r="E414" s="185" t="s">
        <v>358</v>
      </c>
      <c r="F414" s="70">
        <f>'Geser &amp; Penulang Pilecap'!F119</f>
        <v>521.40165032938489</v>
      </c>
      <c r="G414" s="244" t="s">
        <v>69</v>
      </c>
      <c r="H414" s="193"/>
      <c r="I414" s="117"/>
    </row>
    <row r="415" spans="1:9" ht="18.75" customHeight="1" x14ac:dyDescent="0.25">
      <c r="A415" s="353"/>
      <c r="B415" s="185"/>
      <c r="C415" s="122"/>
      <c r="D415" s="244"/>
      <c r="E415" s="185"/>
      <c r="F415" s="333"/>
      <c r="G415" s="244"/>
      <c r="H415" s="193"/>
      <c r="I415" s="117"/>
    </row>
    <row r="416" spans="1:9" ht="18.75" customHeight="1" x14ac:dyDescent="0.25">
      <c r="A416" s="353"/>
      <c r="B416" s="524" t="s">
        <v>316</v>
      </c>
      <c r="C416" s="524" t="s">
        <v>317</v>
      </c>
      <c r="D416" s="524"/>
      <c r="E416" s="524"/>
      <c r="F416" s="524" t="s">
        <v>318</v>
      </c>
      <c r="G416" s="524" t="s">
        <v>319</v>
      </c>
      <c r="H416" s="524" t="s">
        <v>320</v>
      </c>
      <c r="I416" s="117"/>
    </row>
    <row r="417" spans="1:9" ht="18.75" customHeight="1" x14ac:dyDescent="0.25">
      <c r="A417" s="353"/>
      <c r="B417" s="524"/>
      <c r="C417" s="356" t="s">
        <v>510</v>
      </c>
      <c r="D417" s="356" t="s">
        <v>321</v>
      </c>
      <c r="E417" s="356" t="s">
        <v>511</v>
      </c>
      <c r="F417" s="524"/>
      <c r="G417" s="524"/>
      <c r="H417" s="524"/>
      <c r="I417" s="117"/>
    </row>
    <row r="418" spans="1:9" ht="18.75" customHeight="1" x14ac:dyDescent="0.25">
      <c r="A418" s="353"/>
      <c r="B418" s="524"/>
      <c r="C418" s="356" t="s">
        <v>91</v>
      </c>
      <c r="D418" s="356" t="s">
        <v>91</v>
      </c>
      <c r="E418" s="356" t="s">
        <v>91</v>
      </c>
      <c r="F418" s="356" t="s">
        <v>506</v>
      </c>
      <c r="G418" s="356" t="s">
        <v>322</v>
      </c>
      <c r="H418" s="356" t="s">
        <v>348</v>
      </c>
      <c r="I418" s="117"/>
    </row>
    <row r="419" spans="1:9" ht="18.75" customHeight="1" x14ac:dyDescent="0.25">
      <c r="A419" s="353"/>
      <c r="B419" s="357" t="s">
        <v>340</v>
      </c>
      <c r="C419" s="358">
        <f>'Geser &amp; Penulang Pilecap'!C124</f>
        <v>0.60000000000000009</v>
      </c>
      <c r="D419" s="358">
        <f>'Geser &amp; Penulang Pilecap'!D124</f>
        <v>0.4</v>
      </c>
      <c r="E419" s="358">
        <f>'Geser &amp; Penulang Pilecap'!E124</f>
        <v>1.7999999999999998</v>
      </c>
      <c r="F419" s="359">
        <f>'Geser &amp; Penulang Pilecap'!F124</f>
        <v>0.43200000000000005</v>
      </c>
      <c r="G419" s="360">
        <f>'Geser &amp; Penulang Pilecap'!G124</f>
        <v>0.43200000000000005</v>
      </c>
      <c r="H419" s="361">
        <f>'Geser &amp; Penulang Pilecap'!H124</f>
        <v>0.12960000000000002</v>
      </c>
      <c r="I419" s="117"/>
    </row>
    <row r="420" spans="1:9" ht="18.75" customHeight="1" x14ac:dyDescent="0.25">
      <c r="A420" s="353"/>
      <c r="B420" s="357" t="s">
        <v>341</v>
      </c>
      <c r="C420" s="358">
        <f>'Geser &amp; Penulang Pilecap'!C125</f>
        <v>0.60000000000000009</v>
      </c>
      <c r="D420" s="358">
        <f>'Geser &amp; Penulang Pilecap'!D125</f>
        <v>2.1</v>
      </c>
      <c r="E420" s="358">
        <f>'Geser &amp; Penulang Pilecap'!E125</f>
        <v>1.7999999999999998</v>
      </c>
      <c r="F420" s="359">
        <f>'Geser &amp; Penulang Pilecap'!F125</f>
        <v>2.2680000000000002</v>
      </c>
      <c r="G420" s="360">
        <f>'Geser &amp; Penulang Pilecap'!G125</f>
        <v>4.0824000000000007</v>
      </c>
      <c r="H420" s="362">
        <f>'Geser &amp; Penulang Pilecap'!H125</f>
        <v>1.2247200000000005</v>
      </c>
      <c r="I420" s="117"/>
    </row>
    <row r="421" spans="1:9" ht="18.75" customHeight="1" x14ac:dyDescent="0.25">
      <c r="A421" s="353"/>
      <c r="B421" s="117"/>
      <c r="C421" s="117"/>
      <c r="D421" s="117"/>
      <c r="E421" s="117"/>
      <c r="F421" s="363" t="s">
        <v>342</v>
      </c>
      <c r="G421" s="364">
        <f>'Geser &amp; Penulang Pilecap'!G126</f>
        <v>4.5144000000000011</v>
      </c>
      <c r="H421" s="365">
        <f>'Geser &amp; Penulang Pilecap'!H126</f>
        <v>0</v>
      </c>
      <c r="I421" s="117"/>
    </row>
    <row r="422" spans="1:9" ht="18.75" customHeight="1" x14ac:dyDescent="0.25">
      <c r="A422" s="353"/>
      <c r="B422" s="117"/>
      <c r="C422" s="117"/>
      <c r="D422" s="117"/>
      <c r="E422" s="117"/>
      <c r="F422" s="170"/>
      <c r="G422" s="366" t="s">
        <v>343</v>
      </c>
      <c r="H422" s="367">
        <f>'Geser &amp; Penulang Pilecap'!H127</f>
        <v>1.3543200000000004</v>
      </c>
      <c r="I422" s="345"/>
    </row>
    <row r="423" spans="1:9" ht="18.75" customHeight="1" x14ac:dyDescent="0.25">
      <c r="A423" s="353"/>
      <c r="B423" s="117" t="s">
        <v>324</v>
      </c>
      <c r="C423" s="117"/>
      <c r="D423" s="117"/>
      <c r="E423" s="117"/>
      <c r="F423" s="117"/>
      <c r="G423" s="185" t="s">
        <v>325</v>
      </c>
      <c r="H423" s="357">
        <f>'Geser &amp; Penulang Pilecap'!H128</f>
        <v>1.2</v>
      </c>
      <c r="I423" s="346"/>
    </row>
    <row r="424" spans="1:9" ht="18.75" customHeight="1" x14ac:dyDescent="0.25">
      <c r="A424" s="353"/>
      <c r="B424" s="117" t="s">
        <v>326</v>
      </c>
      <c r="C424" s="117"/>
      <c r="D424" s="117"/>
      <c r="E424" s="117"/>
      <c r="F424" s="117"/>
      <c r="G424" s="185" t="s">
        <v>377</v>
      </c>
      <c r="H424" s="358">
        <f>'Geser &amp; Penulang Pilecap'!H129</f>
        <v>6.8091840000000019</v>
      </c>
      <c r="I424" s="244" t="s">
        <v>216</v>
      </c>
    </row>
    <row r="425" spans="1:9" ht="18.75" customHeight="1" x14ac:dyDescent="0.25">
      <c r="A425" s="353"/>
      <c r="B425" s="117"/>
      <c r="C425" s="117"/>
      <c r="D425" s="117"/>
      <c r="E425" s="117"/>
      <c r="F425" s="117"/>
      <c r="G425" s="117"/>
      <c r="H425" s="117"/>
      <c r="I425" s="117"/>
    </row>
    <row r="426" spans="1:9" ht="18.75" customHeight="1" x14ac:dyDescent="0.25">
      <c r="A426" s="353"/>
      <c r="B426" s="521" t="s">
        <v>509</v>
      </c>
      <c r="C426" s="521"/>
      <c r="D426" s="521" t="s">
        <v>328</v>
      </c>
      <c r="E426" s="521"/>
      <c r="F426" s="521"/>
      <c r="G426" s="521" t="s">
        <v>512</v>
      </c>
      <c r="H426" s="521"/>
      <c r="I426" s="244"/>
    </row>
    <row r="427" spans="1:9" ht="18.75" customHeight="1" x14ac:dyDescent="0.25">
      <c r="A427" s="353"/>
      <c r="B427" s="521" t="s">
        <v>366</v>
      </c>
      <c r="C427" s="521"/>
      <c r="D427" s="521" t="s">
        <v>513</v>
      </c>
      <c r="E427" s="521"/>
      <c r="F427" s="521"/>
      <c r="G427" s="521" t="s">
        <v>323</v>
      </c>
      <c r="H427" s="521"/>
      <c r="I427" s="244"/>
    </row>
    <row r="428" spans="1:9" ht="18.75" customHeight="1" x14ac:dyDescent="0.25">
      <c r="A428" s="353"/>
      <c r="B428" s="49">
        <v>1</v>
      </c>
      <c r="C428" s="50" t="str">
        <f>'Geser &amp; Penulang Pilecap'!C133</f>
        <v/>
      </c>
      <c r="D428" s="368"/>
      <c r="E428" s="369" t="s">
        <v>368</v>
      </c>
      <c r="F428" s="50" t="str">
        <f>'Geser &amp; Penulang Pilecap'!F133</f>
        <v/>
      </c>
      <c r="G428" s="368"/>
      <c r="H428" s="340" t="str">
        <f>'Geser &amp; Penulang Pilecap'!H133</f>
        <v/>
      </c>
      <c r="I428" s="244"/>
    </row>
    <row r="429" spans="1:9" ht="18.75" customHeight="1" x14ac:dyDescent="0.25">
      <c r="A429" s="353"/>
      <c r="B429" s="49">
        <v>2</v>
      </c>
      <c r="C429" s="50">
        <f>'Geser &amp; Penulang Pilecap'!C134</f>
        <v>0.5</v>
      </c>
      <c r="D429" s="368"/>
      <c r="E429" s="369" t="s">
        <v>369</v>
      </c>
      <c r="F429" s="50">
        <f>'Geser &amp; Penulang Pilecap'!F134</f>
        <v>0.3</v>
      </c>
      <c r="G429" s="368"/>
      <c r="H429" s="340">
        <f>'Geser &amp; Penulang Pilecap'!H134</f>
        <v>156.42049509881545</v>
      </c>
      <c r="I429" s="244"/>
    </row>
    <row r="430" spans="1:9" ht="18.75" customHeight="1" x14ac:dyDescent="0.25">
      <c r="A430" s="353"/>
      <c r="B430" s="49">
        <v>3</v>
      </c>
      <c r="C430" s="50" t="str">
        <f>'Geser &amp; Penulang Pilecap'!C135</f>
        <v/>
      </c>
      <c r="D430" s="368"/>
      <c r="E430" s="369" t="s">
        <v>370</v>
      </c>
      <c r="F430" s="50" t="str">
        <f>'Geser &amp; Penulang Pilecap'!F135</f>
        <v/>
      </c>
      <c r="G430" s="368"/>
      <c r="H430" s="340" t="str">
        <f>'Geser &amp; Penulang Pilecap'!H135</f>
        <v/>
      </c>
      <c r="I430" s="244"/>
    </row>
    <row r="431" spans="1:9" ht="18.75" customHeight="1" x14ac:dyDescent="0.25">
      <c r="A431" s="353"/>
      <c r="B431" s="49">
        <v>4</v>
      </c>
      <c r="C431" s="50" t="str">
        <f>'Geser &amp; Penulang Pilecap'!C136</f>
        <v/>
      </c>
      <c r="D431" s="368"/>
      <c r="E431" s="369" t="s">
        <v>371</v>
      </c>
      <c r="F431" s="50" t="str">
        <f>'Geser &amp; Penulang Pilecap'!F136</f>
        <v/>
      </c>
      <c r="G431" s="368"/>
      <c r="H431" s="340" t="str">
        <f>'Geser &amp; Penulang Pilecap'!H136</f>
        <v/>
      </c>
      <c r="I431" s="244"/>
    </row>
    <row r="432" spans="1:9" ht="18.75" customHeight="1" x14ac:dyDescent="0.25">
      <c r="A432" s="353"/>
      <c r="B432" s="117" t="s">
        <v>330</v>
      </c>
      <c r="C432" s="117"/>
      <c r="D432" s="117"/>
      <c r="E432" s="117"/>
      <c r="F432" s="117"/>
      <c r="G432" s="185" t="s">
        <v>346</v>
      </c>
      <c r="H432" s="359">
        <f>'Geser &amp; Penulang Pilecap'!H137</f>
        <v>156.42049509881545</v>
      </c>
      <c r="I432" s="244" t="s">
        <v>216</v>
      </c>
    </row>
    <row r="433" spans="1:9" ht="18.75" customHeight="1" x14ac:dyDescent="0.25">
      <c r="A433" s="353"/>
      <c r="B433" s="117" t="s">
        <v>331</v>
      </c>
      <c r="C433" s="117"/>
      <c r="D433" s="117"/>
      <c r="E433" s="117"/>
      <c r="F433" s="117"/>
      <c r="G433" s="185" t="s">
        <v>347</v>
      </c>
      <c r="H433" s="359">
        <f>'Geser &amp; Penulang Pilecap'!H138</f>
        <v>149.61131109881546</v>
      </c>
      <c r="I433" s="244" t="s">
        <v>216</v>
      </c>
    </row>
    <row r="434" spans="1:9" ht="18.75" customHeight="1" x14ac:dyDescent="0.25">
      <c r="A434" s="353"/>
      <c r="B434" s="117"/>
      <c r="C434" s="117"/>
      <c r="D434" s="117"/>
      <c r="E434" s="117"/>
      <c r="F434" s="117"/>
      <c r="G434" s="185" t="s">
        <v>378</v>
      </c>
      <c r="H434" s="358">
        <f>'Geser &amp; Penulang Pilecap'!H139</f>
        <v>1.7999999999999998</v>
      </c>
      <c r="I434" s="244" t="s">
        <v>6</v>
      </c>
    </row>
    <row r="435" spans="1:9" ht="18.75" customHeight="1" x14ac:dyDescent="0.25">
      <c r="A435" s="353"/>
      <c r="B435" s="117" t="s">
        <v>332</v>
      </c>
      <c r="C435" s="117"/>
      <c r="D435" s="117"/>
      <c r="E435" s="117"/>
      <c r="F435" s="117"/>
      <c r="G435" s="185" t="s">
        <v>379</v>
      </c>
      <c r="H435" s="359">
        <f>'Geser &amp; Penulang Pilecap'!H140</f>
        <v>83.117395054897486</v>
      </c>
      <c r="I435" s="244" t="s">
        <v>216</v>
      </c>
    </row>
    <row r="436" spans="1:9" ht="18.75" customHeight="1" x14ac:dyDescent="0.25">
      <c r="A436" s="353"/>
      <c r="B436" s="117"/>
      <c r="C436" s="117"/>
      <c r="D436" s="117"/>
      <c r="E436" s="117"/>
      <c r="F436" s="117"/>
      <c r="G436" s="185"/>
      <c r="H436" s="333"/>
      <c r="I436" s="244"/>
    </row>
    <row r="437" spans="1:9" ht="18.75" customHeight="1" x14ac:dyDescent="0.25">
      <c r="A437" s="386" t="s">
        <v>435</v>
      </c>
      <c r="B437" s="387" t="s">
        <v>170</v>
      </c>
      <c r="C437" s="402"/>
      <c r="D437" s="402"/>
      <c r="E437" s="403"/>
      <c r="F437" s="404"/>
      <c r="G437" s="386"/>
      <c r="H437" s="387"/>
      <c r="I437" s="402"/>
    </row>
    <row r="438" spans="1:9" ht="18.75" customHeight="1" x14ac:dyDescent="0.25">
      <c r="A438" s="352" t="s">
        <v>436</v>
      </c>
      <c r="B438" s="88" t="s">
        <v>640</v>
      </c>
      <c r="C438" s="89"/>
      <c r="D438" s="89"/>
      <c r="E438" s="89"/>
      <c r="F438" s="89"/>
      <c r="G438" s="89"/>
      <c r="H438" s="89"/>
      <c r="I438" s="89"/>
    </row>
    <row r="439" spans="1:9" ht="18.75" customHeight="1" x14ac:dyDescent="0.25">
      <c r="A439" s="353"/>
      <c r="B439" s="91" t="s">
        <v>172</v>
      </c>
      <c r="C439" s="91"/>
      <c r="D439" s="91"/>
      <c r="E439" s="91"/>
      <c r="F439" s="100"/>
      <c r="G439" s="92" t="s">
        <v>173</v>
      </c>
      <c r="H439" s="142">
        <f>'Geser &amp; Penulang Pilecap'!H144</f>
        <v>0.1285</v>
      </c>
      <c r="I439" s="300" t="s">
        <v>6</v>
      </c>
    </row>
    <row r="440" spans="1:9" ht="18.75" customHeight="1" x14ac:dyDescent="0.25">
      <c r="A440" s="353"/>
      <c r="B440" s="91" t="s">
        <v>174</v>
      </c>
      <c r="C440" s="91"/>
      <c r="D440" s="91"/>
      <c r="E440" s="91"/>
      <c r="F440" s="100"/>
      <c r="G440" s="92" t="s">
        <v>175</v>
      </c>
      <c r="H440" s="142">
        <f>'Geser &amp; Penulang Pilecap'!H145</f>
        <v>0.27150000000000002</v>
      </c>
      <c r="I440" s="300" t="s">
        <v>6</v>
      </c>
    </row>
    <row r="441" spans="1:9" ht="18.75" customHeight="1" x14ac:dyDescent="0.25">
      <c r="A441" s="353"/>
      <c r="B441" s="91" t="s">
        <v>178</v>
      </c>
      <c r="C441" s="91"/>
      <c r="D441" s="91"/>
      <c r="E441" s="91"/>
      <c r="F441" s="100"/>
      <c r="G441" s="92" t="s">
        <v>443</v>
      </c>
      <c r="H441" s="258">
        <f>'Geser &amp; Penulang Pilecap'!H146</f>
        <v>596.82718232938487</v>
      </c>
      <c r="I441" s="300" t="s">
        <v>177</v>
      </c>
    </row>
    <row r="442" spans="1:9" ht="18.75" customHeight="1" x14ac:dyDescent="0.25">
      <c r="A442" s="353"/>
      <c r="B442" s="91" t="s">
        <v>179</v>
      </c>
      <c r="C442" s="91"/>
      <c r="D442" s="91"/>
      <c r="E442" s="91"/>
      <c r="F442" s="91"/>
      <c r="G442" s="92" t="s">
        <v>180</v>
      </c>
      <c r="H442" s="35">
        <f>'Geser &amp; Penulang Pilecap'!H147</f>
        <v>1800.0000000000002</v>
      </c>
      <c r="I442" s="300" t="s">
        <v>12</v>
      </c>
    </row>
    <row r="443" spans="1:9" ht="18.75" customHeight="1" x14ac:dyDescent="0.25">
      <c r="A443" s="353"/>
      <c r="B443" s="91" t="s">
        <v>174</v>
      </c>
      <c r="C443" s="91"/>
      <c r="D443" s="91"/>
      <c r="E443" s="91"/>
      <c r="F443" s="91"/>
      <c r="G443" s="92" t="s">
        <v>181</v>
      </c>
      <c r="H443" s="143">
        <f>'Geser &amp; Penulang Pilecap'!H148</f>
        <v>271.5</v>
      </c>
      <c r="I443" s="300" t="s">
        <v>12</v>
      </c>
    </row>
    <row r="444" spans="1:9" ht="18.75" customHeight="1" x14ac:dyDescent="0.25">
      <c r="A444" s="353"/>
      <c r="B444" s="91" t="s">
        <v>182</v>
      </c>
      <c r="C444" s="91"/>
      <c r="D444" s="91"/>
      <c r="E444" s="91"/>
      <c r="F444" s="91"/>
      <c r="G444" s="92" t="s">
        <v>574</v>
      </c>
      <c r="H444" s="35">
        <f>'Geser &amp; Penulang Pilecap'!H149</f>
        <v>1</v>
      </c>
      <c r="I444" s="300"/>
    </row>
    <row r="445" spans="1:9" ht="18.75" customHeight="1" x14ac:dyDescent="0.25">
      <c r="A445" s="353"/>
      <c r="B445" s="91"/>
      <c r="C445" s="91"/>
      <c r="D445" s="91"/>
      <c r="E445" s="91"/>
      <c r="F445" s="91"/>
      <c r="G445" s="92"/>
      <c r="H445" s="122"/>
      <c r="I445" s="300"/>
    </row>
    <row r="446" spans="1:9" ht="18.75" customHeight="1" x14ac:dyDescent="0.25">
      <c r="A446" s="353"/>
      <c r="B446" s="91" t="s">
        <v>622</v>
      </c>
      <c r="C446" s="91"/>
      <c r="D446" s="91"/>
      <c r="E446" s="91"/>
      <c r="F446" s="91"/>
      <c r="G446" s="92" t="s">
        <v>611</v>
      </c>
      <c r="H446" s="142">
        <f>'Geser &amp; Penulang Pilecap'!H151</f>
        <v>1338.3600692638736</v>
      </c>
      <c r="I446" s="300" t="s">
        <v>69</v>
      </c>
    </row>
    <row r="447" spans="1:9" ht="18.75" customHeight="1" x14ac:dyDescent="0.25">
      <c r="A447" s="353"/>
      <c r="B447" s="91"/>
      <c r="C447" s="91"/>
      <c r="D447" s="91"/>
      <c r="E447" s="91"/>
      <c r="F447" s="91"/>
      <c r="G447" s="92" t="s">
        <v>597</v>
      </c>
      <c r="H447" s="142">
        <f>'Geser &amp; Penulang Pilecap'!H152</f>
        <v>1791.9154260699636</v>
      </c>
      <c r="I447" s="300" t="s">
        <v>69</v>
      </c>
    </row>
    <row r="448" spans="1:9" ht="18.75" customHeight="1" x14ac:dyDescent="0.25">
      <c r="A448" s="353"/>
      <c r="B448" s="91"/>
      <c r="C448" s="91"/>
      <c r="D448" s="91"/>
      <c r="E448" s="91"/>
      <c r="F448" s="91"/>
      <c r="G448" s="92" t="s">
        <v>444</v>
      </c>
      <c r="H448" s="142">
        <f>'Geser &amp; Penulang Pilecap'!H153</f>
        <v>892.24004617591561</v>
      </c>
      <c r="I448" s="300" t="s">
        <v>69</v>
      </c>
    </row>
    <row r="449" spans="1:9" ht="18.75" customHeight="1" x14ac:dyDescent="0.25">
      <c r="A449" s="353"/>
      <c r="B449" s="91" t="s">
        <v>184</v>
      </c>
      <c r="C449" s="91"/>
      <c r="D449" s="91"/>
      <c r="E449" s="91"/>
      <c r="F449" s="91"/>
      <c r="G449" s="92" t="s">
        <v>185</v>
      </c>
      <c r="H449" s="142">
        <f>'Geser &amp; Penulang Pilecap'!H154</f>
        <v>892.24004617591561</v>
      </c>
      <c r="I449" s="300" t="s">
        <v>69</v>
      </c>
    </row>
    <row r="450" spans="1:9" ht="18.75" customHeight="1" x14ac:dyDescent="0.25">
      <c r="A450" s="353"/>
      <c r="B450" s="91" t="s">
        <v>186</v>
      </c>
      <c r="C450" s="91"/>
      <c r="D450" s="91"/>
      <c r="E450" s="91"/>
      <c r="F450" s="91"/>
      <c r="G450" s="92" t="s">
        <v>187</v>
      </c>
      <c r="H450" s="35">
        <f>'Geser &amp; Penulang Pilecap'!H155</f>
        <v>0.75</v>
      </c>
      <c r="I450" s="300"/>
    </row>
    <row r="451" spans="1:9" ht="18.75" customHeight="1" x14ac:dyDescent="0.25">
      <c r="A451" s="353"/>
      <c r="B451" s="91" t="s">
        <v>188</v>
      </c>
      <c r="C451" s="91"/>
      <c r="D451" s="91"/>
      <c r="E451" s="91"/>
      <c r="F451" s="91"/>
      <c r="G451" s="92" t="s">
        <v>189</v>
      </c>
      <c r="H451" s="142">
        <f>'Geser &amp; Penulang Pilecap'!H156</f>
        <v>669.18003463193668</v>
      </c>
      <c r="I451" s="300" t="s">
        <v>69</v>
      </c>
    </row>
    <row r="452" spans="1:9" ht="18.75" customHeight="1" x14ac:dyDescent="0.25">
      <c r="A452" s="353"/>
      <c r="B452" s="91" t="s">
        <v>419</v>
      </c>
      <c r="C452" s="91"/>
      <c r="D452" s="91"/>
      <c r="E452" s="100"/>
      <c r="F452" s="100"/>
      <c r="G452" s="100"/>
      <c r="H452" s="100"/>
      <c r="I452" s="91"/>
    </row>
    <row r="453" spans="1:9" ht="18.75" customHeight="1" x14ac:dyDescent="0.25">
      <c r="A453" s="353"/>
      <c r="B453" s="91"/>
      <c r="C453" s="91" t="s">
        <v>413</v>
      </c>
      <c r="D453" s="423" t="s">
        <v>190</v>
      </c>
      <c r="E453" s="179" t="s">
        <v>191</v>
      </c>
      <c r="F453" s="423" t="s">
        <v>192</v>
      </c>
      <c r="G453" s="91"/>
      <c r="H453" s="100"/>
      <c r="I453" s="100"/>
    </row>
    <row r="454" spans="1:9" ht="18.75" customHeight="1" x14ac:dyDescent="0.25">
      <c r="A454" s="353"/>
      <c r="B454" s="91"/>
      <c r="C454" s="91"/>
      <c r="D454" s="142">
        <f>'Geser &amp; Penulang Pilecap'!D159</f>
        <v>669.18003463193668</v>
      </c>
      <c r="E454" s="209" t="str">
        <f>IF(D454&lt;=F454,"&lt;","&gt;")</f>
        <v>&gt;</v>
      </c>
      <c r="F454" s="142">
        <f>'Geser &amp; Penulang Pilecap'!F159</f>
        <v>596.82718232938487</v>
      </c>
      <c r="G454" s="210" t="s">
        <v>138</v>
      </c>
      <c r="H454" s="211" t="str">
        <f>IF(D454&gt;F454,"AMAN (OK)","BAHAYA (NG)")</f>
        <v>AMAN (OK)</v>
      </c>
      <c r="I454" s="100"/>
    </row>
    <row r="455" spans="1:9" ht="18.75" customHeight="1" x14ac:dyDescent="0.25">
      <c r="A455" s="353"/>
      <c r="B455" s="91"/>
      <c r="C455" s="91"/>
      <c r="D455" s="91"/>
      <c r="E455" s="91"/>
      <c r="F455" s="100"/>
      <c r="G455" s="100"/>
      <c r="H455" s="100"/>
      <c r="I455" s="100"/>
    </row>
    <row r="456" spans="1:9" ht="18.75" customHeight="1" x14ac:dyDescent="0.25">
      <c r="A456" s="353"/>
      <c r="B456" s="91"/>
      <c r="C456" s="91"/>
      <c r="D456" s="91"/>
      <c r="E456" s="91"/>
      <c r="F456" s="91"/>
      <c r="G456" s="100"/>
      <c r="H456" s="100"/>
      <c r="I456" s="100"/>
    </row>
    <row r="457" spans="1:9" ht="18.75" customHeight="1" x14ac:dyDescent="0.25">
      <c r="A457" s="352" t="s">
        <v>437</v>
      </c>
      <c r="B457" s="88" t="s">
        <v>641</v>
      </c>
      <c r="C457" s="89"/>
      <c r="D457" s="89"/>
      <c r="E457" s="89"/>
      <c r="F457" s="89"/>
      <c r="G457" s="102"/>
      <c r="H457" s="212"/>
      <c r="I457" s="89"/>
    </row>
    <row r="458" spans="1:9" ht="18.75" customHeight="1" x14ac:dyDescent="0.25">
      <c r="A458" s="353"/>
      <c r="B458" s="91" t="s">
        <v>172</v>
      </c>
      <c r="C458" s="91"/>
      <c r="D458" s="91"/>
      <c r="E458" s="91"/>
      <c r="F458" s="100"/>
      <c r="G458" s="92" t="s">
        <v>173</v>
      </c>
      <c r="H458" s="142">
        <f>'Geser &amp; Penulang Pilecap'!H163</f>
        <v>0.1285</v>
      </c>
      <c r="I458" s="300" t="s">
        <v>6</v>
      </c>
    </row>
    <row r="459" spans="1:9" ht="18.75" customHeight="1" x14ac:dyDescent="0.25">
      <c r="A459" s="353"/>
      <c r="B459" s="91" t="s">
        <v>174</v>
      </c>
      <c r="C459" s="91"/>
      <c r="D459" s="91"/>
      <c r="E459" s="91"/>
      <c r="F459" s="100"/>
      <c r="G459" s="92" t="s">
        <v>175</v>
      </c>
      <c r="H459" s="142">
        <f>'Geser &amp; Penulang Pilecap'!H164</f>
        <v>0.27150000000000002</v>
      </c>
      <c r="I459" s="300" t="s">
        <v>6</v>
      </c>
    </row>
    <row r="460" spans="1:9" ht="18.75" customHeight="1" x14ac:dyDescent="0.25">
      <c r="A460" s="353"/>
      <c r="B460" s="91" t="s">
        <v>194</v>
      </c>
      <c r="C460" s="91"/>
      <c r="D460" s="91"/>
      <c r="E460" s="91"/>
      <c r="F460" s="100"/>
      <c r="G460" s="92" t="s">
        <v>448</v>
      </c>
      <c r="H460" s="258">
        <f>'Geser &amp; Penulang Pilecap'!H165</f>
        <v>605.95678232938485</v>
      </c>
      <c r="I460" s="300" t="s">
        <v>177</v>
      </c>
    </row>
    <row r="461" spans="1:9" ht="18.75" customHeight="1" x14ac:dyDescent="0.25">
      <c r="A461" s="353"/>
      <c r="B461" s="91" t="s">
        <v>195</v>
      </c>
      <c r="C461" s="91"/>
      <c r="D461" s="91"/>
      <c r="E461" s="91"/>
      <c r="F461" s="91"/>
      <c r="G461" s="92" t="s">
        <v>196</v>
      </c>
      <c r="H461" s="143">
        <f>'Geser &amp; Penulang Pilecap'!H166</f>
        <v>1799.9999999999998</v>
      </c>
      <c r="I461" s="300" t="s">
        <v>12</v>
      </c>
    </row>
    <row r="462" spans="1:9" ht="18.75" customHeight="1" x14ac:dyDescent="0.25">
      <c r="A462" s="353"/>
      <c r="B462" s="91" t="s">
        <v>174</v>
      </c>
      <c r="C462" s="91"/>
      <c r="D462" s="91"/>
      <c r="E462" s="91"/>
      <c r="F462" s="91"/>
      <c r="G462" s="92" t="s">
        <v>181</v>
      </c>
      <c r="H462" s="143">
        <f>'Geser &amp; Penulang Pilecap'!H167</f>
        <v>271.5</v>
      </c>
      <c r="I462" s="300" t="s">
        <v>12</v>
      </c>
    </row>
    <row r="463" spans="1:9" ht="18.75" customHeight="1" x14ac:dyDescent="0.25">
      <c r="A463" s="353"/>
      <c r="B463" s="91" t="s">
        <v>182</v>
      </c>
      <c r="C463" s="91"/>
      <c r="D463" s="91"/>
      <c r="E463" s="91"/>
      <c r="F463" s="91"/>
      <c r="G463" s="92" t="s">
        <v>574</v>
      </c>
      <c r="H463" s="35">
        <f>'Geser &amp; Penulang Pilecap'!H168</f>
        <v>1</v>
      </c>
      <c r="I463" s="300"/>
    </row>
    <row r="464" spans="1:9" ht="18.75" customHeight="1" x14ac:dyDescent="0.25">
      <c r="A464" s="353"/>
      <c r="C464" s="91"/>
      <c r="D464" s="91"/>
      <c r="E464" s="91"/>
      <c r="F464" s="91"/>
      <c r="G464" s="100"/>
      <c r="H464" s="207"/>
      <c r="I464" s="300"/>
    </row>
    <row r="465" spans="1:9" ht="18.75" customHeight="1" x14ac:dyDescent="0.25">
      <c r="A465" s="353"/>
      <c r="B465" s="91" t="s">
        <v>621</v>
      </c>
      <c r="C465" s="91"/>
      <c r="D465" s="91"/>
      <c r="E465" s="91"/>
      <c r="F465" s="91"/>
      <c r="G465" s="92" t="s">
        <v>611</v>
      </c>
      <c r="H465" s="142">
        <f>'Geser &amp; Penulang Pilecap'!H170</f>
        <v>1338.3600692638734</v>
      </c>
      <c r="I465" s="300" t="s">
        <v>69</v>
      </c>
    </row>
    <row r="466" spans="1:9" ht="18.75" customHeight="1" x14ac:dyDescent="0.25">
      <c r="A466" s="353"/>
      <c r="B466" s="91"/>
      <c r="C466" s="91"/>
      <c r="D466" s="91"/>
      <c r="E466" s="91"/>
      <c r="F466" s="91"/>
      <c r="G466" s="92" t="s">
        <v>597</v>
      </c>
      <c r="H466" s="142">
        <f>'Geser &amp; Penulang Pilecap'!H171</f>
        <v>1791.915426069964</v>
      </c>
      <c r="I466" s="300" t="s">
        <v>69</v>
      </c>
    </row>
    <row r="467" spans="1:9" ht="18.75" customHeight="1" x14ac:dyDescent="0.25">
      <c r="A467" s="353"/>
      <c r="B467" s="91"/>
      <c r="C467" s="91"/>
      <c r="D467" s="91"/>
      <c r="E467" s="91"/>
      <c r="F467" s="91"/>
      <c r="G467" s="92" t="s">
        <v>444</v>
      </c>
      <c r="H467" s="142">
        <f>'Geser &amp; Penulang Pilecap'!H172</f>
        <v>892.24004617591538</v>
      </c>
      <c r="I467" s="300" t="s">
        <v>69</v>
      </c>
    </row>
    <row r="468" spans="1:9" ht="18.75" customHeight="1" x14ac:dyDescent="0.25">
      <c r="A468" s="353"/>
      <c r="B468" s="91" t="s">
        <v>184</v>
      </c>
      <c r="C468" s="91"/>
      <c r="D468" s="91"/>
      <c r="E468" s="91"/>
      <c r="F468" s="91"/>
      <c r="G468" s="92" t="s">
        <v>185</v>
      </c>
      <c r="H468" s="142">
        <f>'Geser &amp; Penulang Pilecap'!H173</f>
        <v>892.24004617591538</v>
      </c>
      <c r="I468" s="300" t="s">
        <v>69</v>
      </c>
    </row>
    <row r="469" spans="1:9" ht="18.75" customHeight="1" x14ac:dyDescent="0.25">
      <c r="A469" s="353"/>
      <c r="B469" s="91" t="s">
        <v>186</v>
      </c>
      <c r="C469" s="91"/>
      <c r="D469" s="91"/>
      <c r="E469" s="91"/>
      <c r="F469" s="91"/>
      <c r="G469" s="92" t="s">
        <v>187</v>
      </c>
      <c r="H469" s="35">
        <f>'Geser &amp; Penulang Pilecap'!H174</f>
        <v>0.75</v>
      </c>
      <c r="I469" s="300"/>
    </row>
    <row r="470" spans="1:9" ht="18.75" customHeight="1" x14ac:dyDescent="0.25">
      <c r="A470" s="353"/>
      <c r="B470" s="91" t="s">
        <v>188</v>
      </c>
      <c r="C470" s="91"/>
      <c r="D470" s="91"/>
      <c r="E470" s="91"/>
      <c r="F470" s="91"/>
      <c r="G470" s="92" t="s">
        <v>189</v>
      </c>
      <c r="H470" s="142">
        <f>'Geser &amp; Penulang Pilecap'!H175</f>
        <v>669.18003463193656</v>
      </c>
      <c r="I470" s="300" t="s">
        <v>69</v>
      </c>
    </row>
    <row r="471" spans="1:9" ht="18.75" customHeight="1" x14ac:dyDescent="0.25">
      <c r="A471" s="353"/>
      <c r="B471" s="91"/>
      <c r="C471" s="91"/>
      <c r="D471" s="91"/>
      <c r="E471" s="91"/>
      <c r="F471" s="91"/>
      <c r="G471" s="92"/>
      <c r="H471" s="213"/>
      <c r="I471" s="300"/>
    </row>
    <row r="472" spans="1:9" ht="18.75" customHeight="1" x14ac:dyDescent="0.25">
      <c r="A472" s="353"/>
      <c r="B472" s="91" t="s">
        <v>420</v>
      </c>
      <c r="C472" s="91"/>
      <c r="D472" s="91"/>
      <c r="E472" s="100"/>
      <c r="F472" s="100"/>
      <c r="G472" s="100"/>
      <c r="H472" s="100"/>
      <c r="I472" s="91"/>
    </row>
    <row r="473" spans="1:9" ht="18.75" customHeight="1" x14ac:dyDescent="0.25">
      <c r="A473" s="353"/>
      <c r="B473" s="91"/>
      <c r="C473" s="91" t="s">
        <v>413</v>
      </c>
      <c r="D473" s="423" t="s">
        <v>190</v>
      </c>
      <c r="E473" s="179" t="s">
        <v>191</v>
      </c>
      <c r="F473" s="423" t="s">
        <v>192</v>
      </c>
      <c r="G473" s="91"/>
      <c r="H473" s="100"/>
      <c r="I473" s="100"/>
    </row>
    <row r="474" spans="1:9" ht="18.75" customHeight="1" x14ac:dyDescent="0.25">
      <c r="A474" s="353"/>
      <c r="B474" s="91"/>
      <c r="C474" s="91"/>
      <c r="D474" s="142">
        <f>'Geser &amp; Penulang Pilecap'!D178</f>
        <v>669.18003463193656</v>
      </c>
      <c r="E474" s="209" t="str">
        <f>IF(D474&lt;=F474,"&lt;","&gt;")</f>
        <v>&gt;</v>
      </c>
      <c r="F474" s="142">
        <f>'Geser &amp; Penulang Pilecap'!F178</f>
        <v>605.95678232938485</v>
      </c>
      <c r="G474" s="210" t="s">
        <v>138</v>
      </c>
      <c r="H474" s="211" t="str">
        <f>IF(D474&gt;F474,"AMAN (OK)","BAHAYA (NG)")</f>
        <v>AMAN (OK)</v>
      </c>
      <c r="I474" s="100"/>
    </row>
    <row r="475" spans="1:9" ht="18.75" customHeight="1" x14ac:dyDescent="0.25">
      <c r="A475" s="353"/>
      <c r="B475" s="91"/>
      <c r="C475" s="91"/>
      <c r="D475" s="91"/>
      <c r="E475" s="91"/>
      <c r="F475" s="91"/>
      <c r="G475" s="92"/>
      <c r="H475" s="213"/>
      <c r="I475" s="91"/>
    </row>
    <row r="476" spans="1:9" ht="18.75" customHeight="1" x14ac:dyDescent="0.25">
      <c r="A476" s="353"/>
      <c r="B476" s="91"/>
      <c r="C476" s="91"/>
      <c r="D476" s="91"/>
      <c r="E476" s="91"/>
      <c r="F476" s="91"/>
      <c r="G476" s="92"/>
      <c r="H476" s="213"/>
      <c r="I476" s="91"/>
    </row>
    <row r="477" spans="1:9" ht="18.75" customHeight="1" x14ac:dyDescent="0.25">
      <c r="A477" s="352" t="s">
        <v>438</v>
      </c>
      <c r="B477" s="88" t="s">
        <v>642</v>
      </c>
      <c r="C477" s="89"/>
      <c r="D477" s="89"/>
      <c r="E477" s="89"/>
      <c r="F477" s="89"/>
      <c r="G477" s="102"/>
      <c r="H477" s="212"/>
      <c r="I477" s="89"/>
    </row>
    <row r="478" spans="1:9" ht="18.75" customHeight="1" x14ac:dyDescent="0.25">
      <c r="A478" s="353"/>
      <c r="B478" s="91"/>
      <c r="C478" s="91"/>
      <c r="D478" s="91"/>
      <c r="E478" s="91"/>
      <c r="F478" s="91"/>
      <c r="G478" s="92"/>
      <c r="H478" s="213"/>
      <c r="I478" s="91"/>
    </row>
    <row r="479" spans="1:9" ht="18.75" customHeight="1" x14ac:dyDescent="0.25">
      <c r="A479" s="353"/>
      <c r="B479" s="91"/>
      <c r="C479" s="91"/>
      <c r="D479" s="91"/>
      <c r="E479" s="91"/>
      <c r="F479" s="91"/>
      <c r="G479" s="92"/>
      <c r="H479" s="213"/>
      <c r="I479" s="91"/>
    </row>
    <row r="480" spans="1:9" ht="18.75" customHeight="1" x14ac:dyDescent="0.25">
      <c r="A480" s="353"/>
      <c r="B480" s="91"/>
      <c r="C480" s="91"/>
      <c r="D480" s="91"/>
      <c r="E480" s="91"/>
      <c r="F480" s="91"/>
      <c r="G480" s="92"/>
      <c r="H480" s="213"/>
      <c r="I480" s="91"/>
    </row>
    <row r="481" spans="1:9" ht="18.75" customHeight="1" x14ac:dyDescent="0.25">
      <c r="A481" s="353"/>
      <c r="B481" s="91"/>
      <c r="C481" s="91"/>
      <c r="D481" s="91"/>
      <c r="E481" s="91"/>
      <c r="F481" s="91"/>
      <c r="G481" s="92"/>
      <c r="H481" s="213"/>
      <c r="I481" s="91"/>
    </row>
    <row r="482" spans="1:9" ht="18.75" customHeight="1" x14ac:dyDescent="0.25">
      <c r="A482" s="353"/>
      <c r="B482" s="91"/>
      <c r="C482" s="91"/>
      <c r="D482" s="91"/>
      <c r="E482" s="91"/>
      <c r="F482" s="91"/>
      <c r="G482" s="92"/>
      <c r="H482" s="213"/>
      <c r="I482" s="91"/>
    </row>
    <row r="483" spans="1:9" ht="18.75" customHeight="1" x14ac:dyDescent="0.25">
      <c r="A483" s="353"/>
      <c r="B483" s="91"/>
      <c r="C483" s="91"/>
      <c r="D483" s="91"/>
      <c r="E483" s="91"/>
      <c r="F483" s="91"/>
      <c r="G483" s="92"/>
      <c r="H483" s="213"/>
      <c r="I483" s="91"/>
    </row>
    <row r="484" spans="1:9" ht="18.75" customHeight="1" x14ac:dyDescent="0.25">
      <c r="A484" s="353"/>
      <c r="B484" s="91"/>
      <c r="C484" s="91"/>
      <c r="D484" s="91"/>
      <c r="E484" s="91"/>
      <c r="F484" s="91"/>
      <c r="G484" s="92"/>
      <c r="H484" s="213"/>
      <c r="I484" s="91"/>
    </row>
    <row r="485" spans="1:9" ht="18.75" customHeight="1" x14ac:dyDescent="0.25">
      <c r="A485" s="353"/>
      <c r="B485" s="91"/>
      <c r="C485" s="91"/>
      <c r="D485" s="91"/>
      <c r="E485" s="91"/>
      <c r="F485" s="91"/>
      <c r="G485" s="92"/>
      <c r="H485" s="213"/>
      <c r="I485" s="91"/>
    </row>
    <row r="486" spans="1:9" ht="18.75" customHeight="1" x14ac:dyDescent="0.25">
      <c r="A486" s="353"/>
      <c r="B486" s="91"/>
      <c r="C486" s="91"/>
      <c r="D486" s="91"/>
      <c r="E486" s="91"/>
      <c r="F486" s="91"/>
      <c r="G486" s="92"/>
      <c r="H486" s="213"/>
      <c r="I486" s="91"/>
    </row>
    <row r="487" spans="1:9" ht="18.75" customHeight="1" x14ac:dyDescent="0.25">
      <c r="A487" s="353"/>
      <c r="B487" s="91"/>
      <c r="C487" s="91"/>
      <c r="D487" s="91"/>
      <c r="E487" s="91"/>
      <c r="F487" s="91"/>
      <c r="G487" s="92"/>
      <c r="H487" s="213"/>
      <c r="I487" s="91"/>
    </row>
    <row r="488" spans="1:9" ht="18.75" customHeight="1" x14ac:dyDescent="0.25">
      <c r="A488" s="353"/>
      <c r="B488" s="91"/>
      <c r="C488" s="91"/>
      <c r="D488" s="91"/>
      <c r="E488" s="91"/>
      <c r="F488" s="91"/>
      <c r="G488" s="92"/>
      <c r="H488" s="213"/>
      <c r="I488" s="91"/>
    </row>
    <row r="489" spans="1:9" ht="18.75" customHeight="1" x14ac:dyDescent="0.25">
      <c r="A489" s="353"/>
      <c r="B489" s="91" t="s">
        <v>172</v>
      </c>
      <c r="C489" s="100"/>
      <c r="D489" s="100"/>
      <c r="E489" s="100"/>
      <c r="F489" s="100"/>
      <c r="G489" s="92" t="s">
        <v>173</v>
      </c>
      <c r="H489" s="142">
        <f>'Geser &amp; Penulang Pilecap'!H192</f>
        <v>0.1285</v>
      </c>
      <c r="I489" s="300" t="s">
        <v>6</v>
      </c>
    </row>
    <row r="490" spans="1:9" ht="18.75" customHeight="1" x14ac:dyDescent="0.25">
      <c r="A490" s="353"/>
      <c r="B490" s="91" t="s">
        <v>174</v>
      </c>
      <c r="C490" s="91"/>
      <c r="D490" s="91"/>
      <c r="E490" s="91"/>
      <c r="F490" s="91"/>
      <c r="G490" s="92" t="s">
        <v>175</v>
      </c>
      <c r="H490" s="142">
        <f>'Geser &amp; Penulang Pilecap'!H193</f>
        <v>0.27150000000000002</v>
      </c>
      <c r="I490" s="300" t="s">
        <v>6</v>
      </c>
    </row>
    <row r="491" spans="1:9" ht="18.75" customHeight="1" x14ac:dyDescent="0.25">
      <c r="A491" s="353"/>
      <c r="B491" s="91" t="s">
        <v>198</v>
      </c>
      <c r="C491" s="91"/>
      <c r="D491" s="91"/>
      <c r="E491" s="91"/>
      <c r="F491" s="91"/>
      <c r="G491" s="92" t="s">
        <v>583</v>
      </c>
      <c r="H491" s="142">
        <f>'Geser &amp; Penulang Pilecap'!H194</f>
        <v>0.67149999999999999</v>
      </c>
      <c r="I491" s="300" t="s">
        <v>6</v>
      </c>
    </row>
    <row r="492" spans="1:9" ht="18.75" customHeight="1" x14ac:dyDescent="0.25">
      <c r="A492" s="353"/>
      <c r="B492" s="91" t="s">
        <v>199</v>
      </c>
      <c r="C492" s="91"/>
      <c r="D492" s="91"/>
      <c r="E492" s="91"/>
      <c r="F492" s="91"/>
      <c r="G492" s="92" t="s">
        <v>584</v>
      </c>
      <c r="H492" s="142">
        <f>'Geser &amp; Penulang Pilecap'!H195</f>
        <v>1.2715000000000001</v>
      </c>
      <c r="I492" s="300" t="s">
        <v>6</v>
      </c>
    </row>
    <row r="493" spans="1:9" ht="18.75" customHeight="1" x14ac:dyDescent="0.25">
      <c r="A493" s="353"/>
      <c r="B493" s="91" t="s">
        <v>200</v>
      </c>
      <c r="C493" s="91"/>
      <c r="D493" s="91"/>
      <c r="E493" s="91"/>
      <c r="F493" s="91"/>
      <c r="G493" s="92" t="s">
        <v>201</v>
      </c>
      <c r="H493" s="142">
        <f>'Geser &amp; Penulang Pilecap'!H196</f>
        <v>662.68</v>
      </c>
      <c r="I493" s="300" t="s">
        <v>177</v>
      </c>
    </row>
    <row r="494" spans="1:9" ht="18.75" customHeight="1" x14ac:dyDescent="0.25">
      <c r="A494" s="353"/>
      <c r="B494" s="91" t="s">
        <v>202</v>
      </c>
      <c r="C494" s="91"/>
      <c r="D494" s="91"/>
      <c r="E494" s="91"/>
      <c r="F494" s="91"/>
      <c r="G494" s="92" t="s">
        <v>203</v>
      </c>
      <c r="H494" s="142">
        <f>'Geser &amp; Penulang Pilecap'!H197</f>
        <v>1.0550490000000001</v>
      </c>
      <c r="I494" s="300" t="s">
        <v>204</v>
      </c>
    </row>
    <row r="495" spans="1:9" ht="18.75" customHeight="1" x14ac:dyDescent="0.25">
      <c r="A495" s="353"/>
      <c r="B495" s="91" t="s">
        <v>205</v>
      </c>
      <c r="C495" s="91"/>
      <c r="D495" s="91"/>
      <c r="E495" s="91"/>
      <c r="F495" s="91"/>
      <c r="G495" s="92" t="s">
        <v>206</v>
      </c>
      <c r="H495" s="142">
        <f>'Geser &amp; Penulang Pilecap'!H198</f>
        <v>3.8860000000000001</v>
      </c>
      <c r="I495" s="300" t="s">
        <v>207</v>
      </c>
    </row>
    <row r="496" spans="1:9" ht="18.75" customHeight="1" x14ac:dyDescent="0.25">
      <c r="A496" s="353"/>
      <c r="B496" s="91" t="s">
        <v>182</v>
      </c>
      <c r="C496" s="91"/>
      <c r="D496" s="91"/>
      <c r="E496" s="91"/>
      <c r="F496" s="91"/>
      <c r="G496" s="92" t="s">
        <v>574</v>
      </c>
      <c r="H496" s="35">
        <f>'Geser &amp; Penulang Pilecap'!H199</f>
        <v>1</v>
      </c>
      <c r="I496" s="300"/>
    </row>
    <row r="497" spans="1:9" ht="18.75" customHeight="1" x14ac:dyDescent="0.25">
      <c r="A497" s="353"/>
      <c r="C497" s="91"/>
      <c r="D497" s="91"/>
      <c r="E497" s="91"/>
      <c r="F497" s="91"/>
      <c r="G497" s="100"/>
      <c r="H497" s="207"/>
      <c r="I497" s="300"/>
    </row>
    <row r="498" spans="1:9" ht="18.75" customHeight="1" x14ac:dyDescent="0.25">
      <c r="A498" s="353"/>
      <c r="B498" s="91" t="s">
        <v>623</v>
      </c>
      <c r="C498" s="91"/>
      <c r="D498" s="91"/>
      <c r="E498" s="91"/>
      <c r="F498" s="91"/>
      <c r="G498" s="92" t="s">
        <v>612</v>
      </c>
      <c r="H498" s="142">
        <f>'Geser &amp; Penulang Pilecap'!H201</f>
        <v>2.7386127875258306</v>
      </c>
      <c r="I498" s="300" t="s">
        <v>28</v>
      </c>
    </row>
    <row r="499" spans="1:9" ht="18.75" customHeight="1" x14ac:dyDescent="0.25">
      <c r="A499" s="353"/>
      <c r="B499" s="91"/>
      <c r="C499" s="91"/>
      <c r="D499" s="91"/>
      <c r="E499" s="91"/>
      <c r="F499" s="91"/>
      <c r="G499" s="92" t="s">
        <v>613</v>
      </c>
      <c r="H499" s="142">
        <f>'Geser &amp; Penulang Pilecap'!H202</f>
        <v>2.1884471374670302</v>
      </c>
      <c r="I499" s="300" t="s">
        <v>28</v>
      </c>
    </row>
    <row r="500" spans="1:9" ht="18.75" customHeight="1" x14ac:dyDescent="0.25">
      <c r="A500" s="353"/>
      <c r="B500" s="91"/>
      <c r="C500" s="91"/>
      <c r="D500" s="91"/>
      <c r="E500" s="91"/>
      <c r="F500" s="91"/>
      <c r="G500" s="92" t="s">
        <v>614</v>
      </c>
      <c r="H500" s="142">
        <f>'Geser &amp; Penulang Pilecap'!H203</f>
        <v>1.8257418583505536</v>
      </c>
      <c r="I500" s="300" t="s">
        <v>28</v>
      </c>
    </row>
    <row r="501" spans="1:9" ht="18.75" customHeight="1" x14ac:dyDescent="0.25">
      <c r="A501" s="353"/>
      <c r="B501" s="91" t="s">
        <v>208</v>
      </c>
      <c r="C501" s="91"/>
      <c r="D501" s="91"/>
      <c r="E501" s="91"/>
      <c r="F501" s="100"/>
      <c r="G501" s="92" t="s">
        <v>615</v>
      </c>
      <c r="H501" s="142">
        <f>'Geser &amp; Penulang Pilecap'!H204</f>
        <v>1.8257418583505536</v>
      </c>
      <c r="I501" s="300" t="s">
        <v>28</v>
      </c>
    </row>
    <row r="502" spans="1:9" ht="18.75" customHeight="1" x14ac:dyDescent="0.25">
      <c r="A502" s="353"/>
      <c r="B502" s="91" t="s">
        <v>209</v>
      </c>
      <c r="C502" s="91"/>
      <c r="D502" s="91"/>
      <c r="E502" s="91"/>
      <c r="F502" s="100"/>
      <c r="G502" s="92" t="s">
        <v>187</v>
      </c>
      <c r="H502" s="35">
        <f>'Geser &amp; Penulang Pilecap'!H205</f>
        <v>0.75</v>
      </c>
      <c r="I502" s="300"/>
    </row>
    <row r="503" spans="1:9" ht="18.75" customHeight="1" x14ac:dyDescent="0.25">
      <c r="A503" s="353"/>
      <c r="B503" s="91" t="s">
        <v>210</v>
      </c>
      <c r="C503" s="91"/>
      <c r="D503" s="91"/>
      <c r="E503" s="91"/>
      <c r="F503" s="91"/>
      <c r="G503" s="92" t="s">
        <v>616</v>
      </c>
      <c r="H503" s="35">
        <f>'Geser &amp; Penulang Pilecap'!H206</f>
        <v>1444.6853414331699</v>
      </c>
      <c r="I503" s="300" t="s">
        <v>69</v>
      </c>
    </row>
    <row r="504" spans="1:9" ht="18.75" customHeight="1" x14ac:dyDescent="0.25">
      <c r="A504" s="353"/>
      <c r="B504" s="91" t="s">
        <v>439</v>
      </c>
      <c r="C504" s="91"/>
      <c r="D504" s="91"/>
      <c r="E504" s="91"/>
      <c r="F504" s="91"/>
      <c r="G504" s="92"/>
      <c r="H504" s="122"/>
      <c r="I504" s="91"/>
    </row>
    <row r="505" spans="1:9" ht="18.75" customHeight="1" x14ac:dyDescent="0.25">
      <c r="A505" s="353"/>
      <c r="B505" s="100"/>
      <c r="C505" s="91" t="s">
        <v>134</v>
      </c>
      <c r="D505" s="423" t="s">
        <v>211</v>
      </c>
      <c r="E505" s="179" t="s">
        <v>191</v>
      </c>
      <c r="F505" s="423" t="s">
        <v>212</v>
      </c>
      <c r="G505" s="214"/>
      <c r="H505" s="100"/>
      <c r="I505" s="100"/>
    </row>
    <row r="506" spans="1:9" ht="18.75" customHeight="1" x14ac:dyDescent="0.25">
      <c r="A506" s="353"/>
      <c r="B506" s="91"/>
      <c r="C506" s="91"/>
      <c r="D506" s="142">
        <f>'Geser &amp; Penulang Pilecap'!D209</f>
        <v>1444.6853414331699</v>
      </c>
      <c r="E506" s="209" t="str">
        <f>IF(D506&lt;=F506,"&lt;","&gt;")</f>
        <v>&gt;</v>
      </c>
      <c r="F506" s="142">
        <f>'Geser &amp; Penulang Pilecap'!F209</f>
        <v>662.68</v>
      </c>
      <c r="G506" s="210" t="s">
        <v>138</v>
      </c>
      <c r="H506" s="211" t="str">
        <f>IF(D506&gt;F506,"AMAN (OK)","BAHAYA (NG)")</f>
        <v>AMAN (OK)</v>
      </c>
      <c r="I506" s="100"/>
    </row>
    <row r="507" spans="1:9" ht="18.75" customHeight="1" x14ac:dyDescent="0.25">
      <c r="A507" s="353"/>
      <c r="B507" s="91"/>
      <c r="C507" s="91"/>
      <c r="D507" s="91"/>
      <c r="E507" s="91"/>
      <c r="F507" s="91"/>
      <c r="G507" s="91"/>
      <c r="H507" s="91"/>
      <c r="I507" s="91"/>
    </row>
    <row r="508" spans="1:9" ht="18.75" customHeight="1" x14ac:dyDescent="0.25">
      <c r="A508" s="352" t="s">
        <v>656</v>
      </c>
      <c r="B508" s="108" t="s">
        <v>643</v>
      </c>
      <c r="C508" s="114"/>
      <c r="D508" s="114"/>
      <c r="E508" s="114"/>
      <c r="F508" s="114"/>
      <c r="G508" s="114"/>
      <c r="H508" s="114"/>
      <c r="I508" s="114"/>
    </row>
    <row r="509" spans="1:9" ht="18.75" customHeight="1" x14ac:dyDescent="0.25">
      <c r="A509" s="353"/>
      <c r="B509" s="91" t="s">
        <v>172</v>
      </c>
      <c r="C509" s="100"/>
      <c r="D509" s="100"/>
      <c r="E509" s="100"/>
      <c r="F509" s="100"/>
      <c r="G509" s="92" t="s">
        <v>173</v>
      </c>
      <c r="H509" s="142">
        <f>'Geser &amp; Penulang Pilecap'!H213</f>
        <v>0.1285</v>
      </c>
      <c r="I509" s="300" t="s">
        <v>6</v>
      </c>
    </row>
    <row r="510" spans="1:9" ht="18.75" customHeight="1" x14ac:dyDescent="0.25">
      <c r="A510" s="353"/>
      <c r="B510" s="117" t="s">
        <v>380</v>
      </c>
      <c r="C510" s="117"/>
      <c r="D510" s="117"/>
      <c r="E510" s="117"/>
      <c r="F510" s="117"/>
      <c r="G510" s="185" t="s">
        <v>580</v>
      </c>
      <c r="H510" s="70">
        <f>'Geser &amp; Penulang Pilecap'!H214</f>
        <v>1.8257418583505536</v>
      </c>
      <c r="I510" s="244" t="s">
        <v>28</v>
      </c>
    </row>
    <row r="511" spans="1:9" ht="18.75" customHeight="1" x14ac:dyDescent="0.25">
      <c r="A511" s="353"/>
      <c r="B511" s="117" t="s">
        <v>381</v>
      </c>
      <c r="C511" s="117"/>
      <c r="D511" s="117"/>
      <c r="E511" s="117"/>
      <c r="F511" s="117"/>
      <c r="G511" s="185" t="s">
        <v>382</v>
      </c>
      <c r="H511" s="69">
        <f>'Geser &amp; Penulang Pilecap'!H215</f>
        <v>0.75</v>
      </c>
      <c r="I511" s="244"/>
    </row>
    <row r="512" spans="1:9" ht="18.75" customHeight="1" x14ac:dyDescent="0.25">
      <c r="A512" s="353"/>
      <c r="B512" s="117" t="s">
        <v>383</v>
      </c>
      <c r="C512" s="117"/>
      <c r="D512" s="117"/>
      <c r="E512" s="117"/>
      <c r="F512" s="117"/>
      <c r="G512" s="185" t="s">
        <v>384</v>
      </c>
      <c r="H512" s="69">
        <f>'Geser &amp; Penulang Pilecap'!H216</f>
        <v>1</v>
      </c>
      <c r="I512" s="244" t="s">
        <v>6</v>
      </c>
    </row>
    <row r="513" spans="1:9" ht="18.75" customHeight="1" x14ac:dyDescent="0.25">
      <c r="A513" s="353"/>
      <c r="B513" s="117" t="s">
        <v>385</v>
      </c>
      <c r="C513" s="117"/>
      <c r="D513" s="117"/>
      <c r="E513" s="117"/>
      <c r="F513" s="117"/>
      <c r="G513" s="185" t="s">
        <v>93</v>
      </c>
      <c r="H513" s="69">
        <f>'Geser &amp; Penulang Pilecap'!H217</f>
        <v>1</v>
      </c>
      <c r="I513" s="244" t="s">
        <v>6</v>
      </c>
    </row>
    <row r="514" spans="1:9" ht="18.75" customHeight="1" x14ac:dyDescent="0.25">
      <c r="A514" s="353"/>
      <c r="B514" s="117" t="s">
        <v>386</v>
      </c>
      <c r="C514" s="117"/>
      <c r="D514" s="117"/>
      <c r="E514" s="117"/>
      <c r="F514" s="117"/>
      <c r="G514" s="185" t="s">
        <v>545</v>
      </c>
      <c r="H514" s="69">
        <f>'Geser &amp; Penulang Pilecap'!H218</f>
        <v>0.4</v>
      </c>
      <c r="I514" s="244" t="s">
        <v>6</v>
      </c>
    </row>
    <row r="515" spans="1:9" ht="18.75" customHeight="1" x14ac:dyDescent="0.25">
      <c r="A515" s="353"/>
      <c r="B515" s="117"/>
      <c r="C515" s="117"/>
      <c r="D515" s="117"/>
      <c r="E515" s="117"/>
      <c r="F515" s="117"/>
      <c r="G515" s="117"/>
      <c r="H515" s="117"/>
      <c r="I515" s="117"/>
    </row>
    <row r="516" spans="1:9" ht="18.75" customHeight="1" x14ac:dyDescent="0.25">
      <c r="A516" s="353"/>
      <c r="B516" s="117"/>
      <c r="C516" s="117"/>
      <c r="D516" s="117"/>
      <c r="E516" s="117"/>
      <c r="F516" s="117"/>
      <c r="G516" s="117"/>
      <c r="H516" s="117"/>
      <c r="I516" s="117"/>
    </row>
    <row r="517" spans="1:9" ht="18.75" customHeight="1" x14ac:dyDescent="0.25">
      <c r="A517" s="353"/>
      <c r="B517" s="117"/>
      <c r="C517" s="117"/>
      <c r="D517" s="117"/>
      <c r="E517" s="117"/>
      <c r="F517" s="117"/>
      <c r="G517" s="117"/>
      <c r="H517" s="117"/>
      <c r="I517" s="117"/>
    </row>
    <row r="518" spans="1:9" ht="18.75" customHeight="1" x14ac:dyDescent="0.25">
      <c r="A518" s="353"/>
      <c r="B518" s="117"/>
      <c r="C518" s="117"/>
      <c r="D518" s="117"/>
      <c r="E518" s="117"/>
      <c r="F518" s="117"/>
      <c r="G518" s="117"/>
      <c r="H518" s="117"/>
      <c r="I518" s="117"/>
    </row>
    <row r="519" spans="1:9" ht="18.75" customHeight="1" x14ac:dyDescent="0.25">
      <c r="A519" s="353"/>
      <c r="B519" s="117"/>
      <c r="C519" s="117"/>
      <c r="D519" s="117"/>
      <c r="E519" s="117"/>
      <c r="F519" s="117"/>
      <c r="G519" s="117"/>
      <c r="H519" s="117"/>
      <c r="I519" s="117"/>
    </row>
    <row r="520" spans="1:9" ht="18.75" customHeight="1" x14ac:dyDescent="0.25">
      <c r="A520" s="353"/>
      <c r="B520" s="117"/>
      <c r="C520" s="117"/>
      <c r="D520" s="117"/>
      <c r="E520" s="117"/>
      <c r="F520" s="117"/>
      <c r="G520" s="117"/>
      <c r="H520" s="117"/>
      <c r="I520" s="117"/>
    </row>
    <row r="521" spans="1:9" ht="18.75" customHeight="1" x14ac:dyDescent="0.25">
      <c r="A521" s="353"/>
      <c r="B521" s="117"/>
      <c r="C521" s="117"/>
      <c r="D521" s="117"/>
      <c r="E521" s="117"/>
      <c r="F521" s="117"/>
      <c r="G521" s="117"/>
      <c r="H521" s="117"/>
      <c r="I521" s="117"/>
    </row>
    <row r="522" spans="1:9" ht="18.75" customHeight="1" x14ac:dyDescent="0.25">
      <c r="A522" s="353"/>
      <c r="B522" s="117"/>
      <c r="C522" s="117"/>
      <c r="D522" s="117"/>
      <c r="E522" s="117"/>
      <c r="F522" s="117"/>
      <c r="G522" s="117"/>
      <c r="H522" s="117"/>
      <c r="I522" s="117"/>
    </row>
    <row r="523" spans="1:9" ht="18.75" customHeight="1" x14ac:dyDescent="0.25">
      <c r="A523" s="353"/>
      <c r="B523" s="117"/>
      <c r="C523" s="117"/>
      <c r="D523" s="117"/>
      <c r="E523" s="117"/>
      <c r="F523" s="117"/>
      <c r="G523" s="117"/>
      <c r="H523" s="117"/>
      <c r="I523" s="117"/>
    </row>
    <row r="524" spans="1:9" ht="18.75" customHeight="1" x14ac:dyDescent="0.25">
      <c r="A524" s="353"/>
      <c r="B524" s="117"/>
      <c r="C524" s="117"/>
      <c r="D524" s="117"/>
      <c r="E524" s="117"/>
      <c r="F524" s="117"/>
      <c r="G524" s="117"/>
      <c r="H524" s="117"/>
      <c r="I524" s="117"/>
    </row>
    <row r="525" spans="1:9" ht="18.75" customHeight="1" x14ac:dyDescent="0.25">
      <c r="A525" s="353"/>
      <c r="B525" s="117"/>
      <c r="C525" s="117"/>
      <c r="D525" s="117"/>
      <c r="E525" s="117"/>
      <c r="F525" s="117"/>
      <c r="G525" s="117"/>
      <c r="H525" s="117"/>
      <c r="I525" s="117"/>
    </row>
    <row r="526" spans="1:9" ht="18.75" customHeight="1" x14ac:dyDescent="0.25">
      <c r="A526" s="353"/>
      <c r="B526" s="117"/>
      <c r="C526" s="117"/>
      <c r="D526" s="117"/>
      <c r="E526" s="117"/>
      <c r="F526" s="117"/>
      <c r="G526" s="117"/>
      <c r="H526" s="117"/>
      <c r="I526" s="117"/>
    </row>
    <row r="527" spans="1:9" ht="18.75" customHeight="1" x14ac:dyDescent="0.25">
      <c r="A527" s="353"/>
      <c r="B527" s="185" t="s">
        <v>387</v>
      </c>
      <c r="C527" s="69">
        <f>'Geser &amp; Penulang Pilecap'!C229</f>
        <v>0.5</v>
      </c>
      <c r="D527" s="117" t="s">
        <v>6</v>
      </c>
      <c r="E527" s="117"/>
      <c r="F527" s="117"/>
      <c r="G527" s="117"/>
      <c r="H527" s="117"/>
      <c r="I527" s="117"/>
    </row>
    <row r="528" spans="1:9" ht="18.75" customHeight="1" x14ac:dyDescent="0.25">
      <c r="A528" s="353"/>
      <c r="B528" s="185" t="s">
        <v>388</v>
      </c>
      <c r="C528" s="69">
        <f>'Geser &amp; Penulang Pilecap'!C230</f>
        <v>0.5</v>
      </c>
      <c r="D528" s="117" t="s">
        <v>6</v>
      </c>
      <c r="E528" s="117"/>
      <c r="F528" s="117"/>
      <c r="G528" s="185" t="s">
        <v>389</v>
      </c>
      <c r="H528" s="69">
        <f>'Geser &amp; Penulang Pilecap'!H230</f>
        <v>0.5</v>
      </c>
      <c r="I528" s="244" t="s">
        <v>6</v>
      </c>
    </row>
    <row r="529" spans="1:9" ht="18.75" customHeight="1" x14ac:dyDescent="0.25">
      <c r="A529" s="353"/>
      <c r="B529" s="117" t="s">
        <v>390</v>
      </c>
      <c r="C529" s="117"/>
      <c r="D529" s="117"/>
      <c r="E529" s="117"/>
      <c r="F529" s="117"/>
      <c r="G529" s="185" t="s">
        <v>418</v>
      </c>
      <c r="H529" s="69">
        <f>'Geser &amp; Penulang Pilecap'!H231</f>
        <v>0.4</v>
      </c>
      <c r="I529" s="244" t="s">
        <v>6</v>
      </c>
    </row>
    <row r="530" spans="1:9" ht="18.75" customHeight="1" x14ac:dyDescent="0.25">
      <c r="A530" s="353"/>
      <c r="B530" s="117" t="s">
        <v>391</v>
      </c>
      <c r="C530" s="117"/>
      <c r="D530" s="117"/>
      <c r="E530" s="117"/>
      <c r="F530" s="117"/>
      <c r="G530" s="185" t="s">
        <v>175</v>
      </c>
      <c r="H530" s="69">
        <f>'Geser &amp; Penulang Pilecap'!H232</f>
        <v>271.5</v>
      </c>
      <c r="I530" s="244" t="s">
        <v>12</v>
      </c>
    </row>
    <row r="531" spans="1:9" ht="18.75" customHeight="1" x14ac:dyDescent="0.25">
      <c r="A531" s="353"/>
      <c r="B531" s="117" t="s">
        <v>392</v>
      </c>
      <c r="C531" s="117"/>
      <c r="D531" s="117"/>
      <c r="E531" s="117"/>
      <c r="F531" s="117"/>
      <c r="G531" s="185" t="s">
        <v>393</v>
      </c>
      <c r="H531" s="69">
        <f>'Geser &amp; Penulang Pilecap'!H233</f>
        <v>2585.3981633974481</v>
      </c>
      <c r="I531" s="244" t="s">
        <v>12</v>
      </c>
    </row>
    <row r="532" spans="1:9" ht="18.75" customHeight="1" x14ac:dyDescent="0.25">
      <c r="A532" s="353"/>
      <c r="B532" s="117" t="s">
        <v>397</v>
      </c>
      <c r="C532" s="117"/>
      <c r="D532" s="117"/>
      <c r="E532" s="117"/>
      <c r="F532" s="117"/>
      <c r="G532" s="185" t="s">
        <v>617</v>
      </c>
      <c r="H532" s="69">
        <f>'Geser &amp; Penulang Pilecap'!H235</f>
        <v>1281.5532092738147</v>
      </c>
      <c r="I532" s="244" t="s">
        <v>69</v>
      </c>
    </row>
    <row r="533" spans="1:9" ht="18.75" customHeight="1" x14ac:dyDescent="0.25">
      <c r="A533" s="353"/>
      <c r="B533" s="117" t="s">
        <v>398</v>
      </c>
      <c r="C533" s="117"/>
      <c r="D533" s="117"/>
      <c r="E533" s="117"/>
      <c r="F533" s="117"/>
      <c r="G533" s="185" t="s">
        <v>399</v>
      </c>
      <c r="H533" s="70">
        <f>'Geser &amp; Penulang Pilecap'!H236</f>
        <v>961.16490695536095</v>
      </c>
      <c r="I533" s="244" t="s">
        <v>69</v>
      </c>
    </row>
    <row r="534" spans="1:9" ht="18.75" customHeight="1" x14ac:dyDescent="0.25">
      <c r="A534" s="353"/>
      <c r="B534" s="117" t="s">
        <v>400</v>
      </c>
      <c r="C534" s="117"/>
      <c r="D534" s="117"/>
      <c r="E534" s="117"/>
      <c r="F534" s="117"/>
      <c r="G534" s="185" t="s">
        <v>333</v>
      </c>
      <c r="H534" s="70">
        <f>'Geser &amp; Penulang Pilecap'!H237</f>
        <v>324.17047516469245</v>
      </c>
      <c r="I534" s="244" t="s">
        <v>69</v>
      </c>
    </row>
    <row r="535" spans="1:9" ht="18.75" customHeight="1" x14ac:dyDescent="0.25">
      <c r="A535" s="353"/>
      <c r="B535" s="94" t="s">
        <v>440</v>
      </c>
      <c r="C535" s="94"/>
      <c r="D535" s="94"/>
      <c r="E535" s="94"/>
      <c r="F535" s="94"/>
      <c r="G535" s="98"/>
      <c r="H535" s="215"/>
      <c r="I535" s="215"/>
    </row>
    <row r="536" spans="1:9" ht="18.75" customHeight="1" x14ac:dyDescent="0.25">
      <c r="A536" s="353"/>
      <c r="B536" s="117"/>
      <c r="C536" s="217" t="s">
        <v>134</v>
      </c>
      <c r="D536" s="424" t="s">
        <v>402</v>
      </c>
      <c r="E536" s="95" t="s">
        <v>140</v>
      </c>
      <c r="F536" s="424" t="s">
        <v>401</v>
      </c>
      <c r="G536" s="98"/>
      <c r="H536" s="215"/>
      <c r="I536" s="117"/>
    </row>
    <row r="537" spans="1:9" ht="18.75" customHeight="1" x14ac:dyDescent="0.25">
      <c r="A537" s="353"/>
      <c r="B537" s="94"/>
      <c r="C537" s="94"/>
      <c r="D537" s="153">
        <f>'Geser &amp; Penulang Pilecap'!D240</f>
        <v>961.16490695536095</v>
      </c>
      <c r="E537" s="215" t="str">
        <f>IF(D537&gt;F537,"&gt;","&lt;")</f>
        <v>&gt;</v>
      </c>
      <c r="F537" s="153">
        <f>'Geser &amp; Penulang Pilecap'!F240</f>
        <v>324.17047516469245</v>
      </c>
      <c r="G537" s="95" t="s">
        <v>138</v>
      </c>
      <c r="H537" s="211" t="str">
        <f>IF(D537&gt;F537,"AMAN (OK)","BAHAYA (NG)")</f>
        <v>AMAN (OK)</v>
      </c>
      <c r="I537" s="117"/>
    </row>
    <row r="538" spans="1:9" ht="18.75" customHeight="1" x14ac:dyDescent="0.25">
      <c r="A538" s="353"/>
      <c r="B538" s="91"/>
      <c r="C538" s="91"/>
      <c r="D538" s="91"/>
      <c r="E538" s="91"/>
      <c r="F538" s="91"/>
      <c r="G538" s="91"/>
      <c r="H538" s="91"/>
      <c r="I538" s="91"/>
    </row>
    <row r="539" spans="1:9" ht="18.75" customHeight="1" x14ac:dyDescent="0.25">
      <c r="A539" s="386" t="s">
        <v>657</v>
      </c>
      <c r="B539" s="387" t="s">
        <v>213</v>
      </c>
      <c r="C539" s="402"/>
      <c r="D539" s="402"/>
      <c r="E539" s="402"/>
      <c r="F539" s="402"/>
      <c r="G539" s="402"/>
      <c r="H539" s="402"/>
      <c r="I539" s="402"/>
    </row>
    <row r="540" spans="1:9" ht="18.75" customHeight="1" x14ac:dyDescent="0.25">
      <c r="A540" s="352" t="s">
        <v>658</v>
      </c>
      <c r="B540" s="88" t="s">
        <v>644</v>
      </c>
      <c r="C540" s="89"/>
      <c r="D540" s="89"/>
      <c r="E540" s="89"/>
      <c r="F540" s="89"/>
      <c r="G540" s="89"/>
      <c r="H540" s="89"/>
      <c r="I540" s="89"/>
    </row>
    <row r="541" spans="1:9" ht="18.75" customHeight="1" x14ac:dyDescent="0.25">
      <c r="A541" s="353"/>
      <c r="B541" s="91" t="s">
        <v>215</v>
      </c>
      <c r="C541" s="91"/>
      <c r="D541" s="91"/>
      <c r="E541" s="91"/>
      <c r="F541" s="91"/>
      <c r="G541" s="92" t="s">
        <v>421</v>
      </c>
      <c r="H541" s="142">
        <f>'Geser &amp; Penulang Pilecap'!H245</f>
        <v>69.538595054897471</v>
      </c>
      <c r="I541" s="300" t="s">
        <v>216</v>
      </c>
    </row>
    <row r="542" spans="1:9" ht="18.75" customHeight="1" x14ac:dyDescent="0.25">
      <c r="A542" s="353"/>
      <c r="B542" s="91" t="s">
        <v>217</v>
      </c>
      <c r="C542" s="91"/>
      <c r="D542" s="91"/>
      <c r="E542" s="100"/>
      <c r="F542" s="100"/>
      <c r="G542" s="92" t="s">
        <v>23</v>
      </c>
      <c r="H542" s="35">
        <f>'Geser &amp; Penulang Pilecap'!H246</f>
        <v>1000</v>
      </c>
      <c r="I542" s="300" t="s">
        <v>12</v>
      </c>
    </row>
    <row r="543" spans="1:9" ht="18.75" customHeight="1" x14ac:dyDescent="0.25">
      <c r="A543" s="353"/>
      <c r="B543" s="91" t="s">
        <v>59</v>
      </c>
      <c r="C543" s="91"/>
      <c r="D543" s="91"/>
      <c r="E543" s="100"/>
      <c r="F543" s="100"/>
      <c r="G543" s="92" t="s">
        <v>422</v>
      </c>
      <c r="H543" s="35">
        <f>'Geser &amp; Penulang Pilecap'!H247</f>
        <v>400</v>
      </c>
      <c r="I543" s="300" t="s">
        <v>12</v>
      </c>
    </row>
    <row r="544" spans="1:9" ht="18.75" customHeight="1" x14ac:dyDescent="0.25">
      <c r="A544" s="353"/>
      <c r="B544" s="91" t="s">
        <v>218</v>
      </c>
      <c r="C544" s="91"/>
      <c r="D544" s="91"/>
      <c r="E544" s="100"/>
      <c r="F544" s="100"/>
      <c r="G544" s="92" t="s">
        <v>173</v>
      </c>
      <c r="H544" s="143">
        <f>'Geser &amp; Penulang Pilecap'!H248</f>
        <v>128.5</v>
      </c>
      <c r="I544" s="300" t="s">
        <v>12</v>
      </c>
    </row>
    <row r="545" spans="1:9" ht="18.75" customHeight="1" x14ac:dyDescent="0.25">
      <c r="A545" s="353"/>
      <c r="B545" s="91" t="s">
        <v>219</v>
      </c>
      <c r="C545" s="91"/>
      <c r="D545" s="91"/>
      <c r="E545" s="100"/>
      <c r="F545" s="100"/>
      <c r="G545" s="92" t="s">
        <v>423</v>
      </c>
      <c r="H545" s="143">
        <f>'Geser &amp; Penulang Pilecap'!H249</f>
        <v>271.5</v>
      </c>
      <c r="I545" s="300" t="s">
        <v>12</v>
      </c>
    </row>
    <row r="546" spans="1:9" ht="18.75" customHeight="1" x14ac:dyDescent="0.25">
      <c r="A546" s="353"/>
      <c r="B546" s="91" t="s">
        <v>220</v>
      </c>
      <c r="C546" s="91"/>
      <c r="D546" s="91"/>
      <c r="E546" s="100"/>
      <c r="F546" s="100"/>
      <c r="G546" s="220" t="s">
        <v>221</v>
      </c>
      <c r="H546" s="143">
        <f>'Geser &amp; Penulang Pilecap'!H250</f>
        <v>30</v>
      </c>
      <c r="I546" s="300" t="s">
        <v>28</v>
      </c>
    </row>
    <row r="547" spans="1:9" ht="18.75" customHeight="1" x14ac:dyDescent="0.25">
      <c r="A547" s="353"/>
      <c r="B547" s="91" t="s">
        <v>222</v>
      </c>
      <c r="C547" s="91"/>
      <c r="D547" s="91"/>
      <c r="E547" s="100"/>
      <c r="F547" s="100"/>
      <c r="G547" s="92" t="s">
        <v>223</v>
      </c>
      <c r="H547" s="143">
        <f>'Geser &amp; Penulang Pilecap'!H251</f>
        <v>400</v>
      </c>
      <c r="I547" s="300" t="s">
        <v>28</v>
      </c>
    </row>
    <row r="548" spans="1:9" ht="18.75" customHeight="1" x14ac:dyDescent="0.25">
      <c r="A548" s="353"/>
      <c r="B548" s="221" t="s">
        <v>32</v>
      </c>
      <c r="C548" s="91"/>
      <c r="D548" s="91"/>
      <c r="E548" s="100"/>
      <c r="F548" s="100"/>
      <c r="G548" s="92" t="s">
        <v>224</v>
      </c>
      <c r="H548" s="145">
        <f>'Geser &amp; Penulang Pilecap'!H252</f>
        <v>200000</v>
      </c>
      <c r="I548" s="300" t="s">
        <v>28</v>
      </c>
    </row>
    <row r="549" spans="1:9" ht="18.75" customHeight="1" x14ac:dyDescent="0.25">
      <c r="A549" s="354"/>
      <c r="B549" s="94" t="s">
        <v>225</v>
      </c>
      <c r="C549" s="94"/>
      <c r="D549" s="94"/>
      <c r="E549" s="94"/>
      <c r="F549" s="94"/>
      <c r="G549" s="98" t="s">
        <v>226</v>
      </c>
      <c r="H549" s="147" t="str">
        <f>'Geser &amp; Penulang Pilecap'!H253</f>
        <v>-</v>
      </c>
      <c r="I549" s="224"/>
    </row>
    <row r="550" spans="1:9" ht="18.75" customHeight="1" x14ac:dyDescent="0.25">
      <c r="A550" s="354"/>
      <c r="B550" s="94" t="s">
        <v>227</v>
      </c>
      <c r="C550" s="94"/>
      <c r="D550" s="94"/>
      <c r="E550" s="94"/>
      <c r="F550" s="94"/>
      <c r="G550" s="98" t="s">
        <v>618</v>
      </c>
      <c r="H550" s="149">
        <f>'Geser &amp; Penulang Pilecap'!H254</f>
        <v>0.83571428571428574</v>
      </c>
      <c r="I550" s="224"/>
    </row>
    <row r="551" spans="1:9" ht="18.75" customHeight="1" x14ac:dyDescent="0.25">
      <c r="A551" s="354"/>
      <c r="B551" s="94" t="s">
        <v>228</v>
      </c>
      <c r="C551" s="94"/>
      <c r="D551" s="94"/>
      <c r="E551" s="94"/>
      <c r="F551" s="94"/>
      <c r="G551" s="98" t="s">
        <v>226</v>
      </c>
      <c r="H551" s="149" t="str">
        <f>'Geser &amp; Penulang Pilecap'!H255</f>
        <v>-</v>
      </c>
      <c r="I551" s="224"/>
    </row>
    <row r="552" spans="1:9" ht="18.75" customHeight="1" x14ac:dyDescent="0.25">
      <c r="A552" s="354"/>
      <c r="B552" s="94" t="s">
        <v>229</v>
      </c>
      <c r="C552" s="94"/>
      <c r="D552" s="94"/>
      <c r="E552" s="94"/>
      <c r="F552" s="96" t="s">
        <v>138</v>
      </c>
      <c r="G552" s="98" t="s">
        <v>226</v>
      </c>
      <c r="H552" s="149">
        <f>'Geser &amp; Penulang Pilecap'!H256</f>
        <v>0.83571428571428574</v>
      </c>
      <c r="I552" s="224"/>
    </row>
    <row r="553" spans="1:9" ht="18.75" customHeight="1" x14ac:dyDescent="0.25">
      <c r="A553" s="354"/>
      <c r="B553" s="94" t="s">
        <v>230</v>
      </c>
      <c r="C553" s="94"/>
      <c r="D553" s="94"/>
      <c r="E553" s="94"/>
      <c r="F553" s="96"/>
      <c r="G553" s="98"/>
      <c r="H553" s="95"/>
      <c r="I553" s="224"/>
    </row>
    <row r="554" spans="1:9" ht="18.75" customHeight="1" x14ac:dyDescent="0.25">
      <c r="A554" s="354"/>
      <c r="B554" s="94"/>
      <c r="C554" s="219"/>
      <c r="D554" s="94"/>
      <c r="E554" s="94"/>
      <c r="F554" s="94"/>
      <c r="G554" s="98" t="s">
        <v>231</v>
      </c>
      <c r="H554" s="151">
        <f>'Geser &amp; Penulang Pilecap'!H258</f>
        <v>3.1966071428571427E-2</v>
      </c>
      <c r="I554" s="224"/>
    </row>
    <row r="555" spans="1:9" ht="18.75" customHeight="1" x14ac:dyDescent="0.25">
      <c r="A555" s="354"/>
      <c r="B555" s="94" t="s">
        <v>232</v>
      </c>
      <c r="C555" s="94"/>
      <c r="D555" s="222"/>
      <c r="E555" s="95"/>
      <c r="F555" s="217"/>
      <c r="G555" s="98" t="s">
        <v>233</v>
      </c>
      <c r="H555" s="151">
        <f>'Geser &amp; Penulang Pilecap'!H259</f>
        <v>2.397455357142857E-2</v>
      </c>
      <c r="I555" s="224"/>
    </row>
    <row r="556" spans="1:9" ht="18.75" customHeight="1" x14ac:dyDescent="0.25">
      <c r="A556" s="354"/>
      <c r="B556" s="94" t="s">
        <v>234</v>
      </c>
      <c r="C556" s="94"/>
      <c r="D556" s="94"/>
      <c r="E556" s="217" t="s">
        <v>235</v>
      </c>
      <c r="F556" s="94"/>
      <c r="G556" s="98" t="s">
        <v>236</v>
      </c>
      <c r="H556" s="151">
        <f>'Geser &amp; Penulang Pilecap'!H260</f>
        <v>3.4232659844072883E-3</v>
      </c>
      <c r="I556" s="224"/>
    </row>
    <row r="557" spans="1:9" ht="18.75" customHeight="1" x14ac:dyDescent="0.25">
      <c r="A557" s="354"/>
      <c r="B557" s="94"/>
      <c r="C557" s="94"/>
      <c r="D557" s="94"/>
      <c r="E557" s="94" t="s">
        <v>237</v>
      </c>
      <c r="F557" s="94"/>
      <c r="G557" s="98" t="s">
        <v>238</v>
      </c>
      <c r="H557" s="151">
        <f>'Geser &amp; Penulang Pilecap'!H261</f>
        <v>3.4999999999999996E-3</v>
      </c>
      <c r="I557" s="224"/>
    </row>
    <row r="558" spans="1:9" ht="18.75" customHeight="1" x14ac:dyDescent="0.25">
      <c r="A558" s="354"/>
      <c r="B558" s="94"/>
      <c r="C558" s="94"/>
      <c r="D558" s="94"/>
      <c r="E558" s="94"/>
      <c r="F558" s="94"/>
      <c r="G558" s="98"/>
      <c r="H558" s="152"/>
      <c r="I558" s="224"/>
    </row>
    <row r="559" spans="1:9" ht="18.75" customHeight="1" x14ac:dyDescent="0.25">
      <c r="A559" s="354"/>
      <c r="B559" s="94" t="s">
        <v>239</v>
      </c>
      <c r="C559" s="94"/>
      <c r="D559" s="94"/>
      <c r="E559" s="94"/>
      <c r="F559" s="98"/>
      <c r="G559" s="98" t="s">
        <v>240</v>
      </c>
      <c r="H559" s="153">
        <f>'Geser &amp; Penulang Pilecap'!H263</f>
        <v>0.85</v>
      </c>
      <c r="I559" s="224"/>
    </row>
    <row r="560" spans="1:9" ht="18.75" customHeight="1" x14ac:dyDescent="0.25">
      <c r="A560" s="354"/>
      <c r="B560" s="94" t="s">
        <v>424</v>
      </c>
      <c r="C560" s="94"/>
      <c r="D560" s="94"/>
      <c r="E560" s="94"/>
      <c r="F560" s="98"/>
      <c r="G560" s="98" t="s">
        <v>244</v>
      </c>
      <c r="H560" s="149">
        <f>'Geser &amp; Penulang Pilecap'!H264</f>
        <v>81.810111829291145</v>
      </c>
      <c r="I560" s="224" t="s">
        <v>71</v>
      </c>
    </row>
    <row r="561" spans="1:9" ht="18.75" customHeight="1" x14ac:dyDescent="0.25">
      <c r="A561" s="354"/>
      <c r="B561" s="94" t="s">
        <v>245</v>
      </c>
      <c r="C561" s="219"/>
      <c r="D561" s="94"/>
      <c r="E561" s="94"/>
      <c r="F561" s="94"/>
      <c r="G561" s="223" t="s">
        <v>246</v>
      </c>
      <c r="H561" s="149">
        <f>'Geser &amp; Penulang Pilecap'!H265</f>
        <v>1.1098577486006891</v>
      </c>
      <c r="I561" s="347"/>
    </row>
    <row r="562" spans="1:9" ht="18.75" customHeight="1" x14ac:dyDescent="0.25">
      <c r="A562" s="354"/>
      <c r="B562" s="94" t="s">
        <v>247</v>
      </c>
      <c r="C562" s="94"/>
      <c r="D562" s="94"/>
      <c r="E562" s="94"/>
      <c r="F562" s="94"/>
      <c r="I562" s="348"/>
    </row>
    <row r="563" spans="1:9" ht="18.75" customHeight="1" x14ac:dyDescent="0.25">
      <c r="A563" s="354"/>
      <c r="B563" s="94"/>
      <c r="C563" s="94"/>
      <c r="D563" s="94"/>
      <c r="E563" s="94"/>
      <c r="F563" s="94"/>
      <c r="G563" s="98" t="s">
        <v>248</v>
      </c>
      <c r="H563" s="149">
        <f>'Geser &amp; Penulang Pilecap'!H266</f>
        <v>15.686274509803921</v>
      </c>
      <c r="I563" s="348"/>
    </row>
    <row r="564" spans="1:9" ht="18.75" customHeight="1" x14ac:dyDescent="0.25">
      <c r="A564" s="354"/>
      <c r="B564" s="94" t="s">
        <v>249</v>
      </c>
      <c r="C564" s="219"/>
      <c r="D564" s="94"/>
      <c r="E564" s="94"/>
      <c r="F564" s="94"/>
      <c r="G564" s="223" t="s">
        <v>250</v>
      </c>
      <c r="H564" s="151">
        <f>'Geser &amp; Penulang Pilecap'!H267</f>
        <v>2.8378062894338827E-3</v>
      </c>
      <c r="I564" s="347"/>
    </row>
    <row r="565" spans="1:9" ht="18.75" customHeight="1" x14ac:dyDescent="0.25">
      <c r="A565" s="354"/>
      <c r="B565" s="94" t="s">
        <v>251</v>
      </c>
      <c r="C565" s="94"/>
      <c r="D565" s="94"/>
      <c r="E565" s="94"/>
      <c r="F565" s="94"/>
      <c r="G565" s="215"/>
      <c r="H565" s="224"/>
      <c r="I565" s="349"/>
    </row>
    <row r="566" spans="1:9" ht="18.75" customHeight="1" x14ac:dyDescent="0.25">
      <c r="A566" s="354"/>
      <c r="B566" s="94"/>
      <c r="C566" s="94" t="s">
        <v>134</v>
      </c>
      <c r="D566" s="95" t="s">
        <v>252</v>
      </c>
      <c r="E566" s="95" t="s">
        <v>253</v>
      </c>
      <c r="F566" s="95" t="s">
        <v>254</v>
      </c>
      <c r="G566" s="98"/>
      <c r="H566" s="215"/>
      <c r="I566" s="94"/>
    </row>
    <row r="567" spans="1:9" ht="18.75" customHeight="1" x14ac:dyDescent="0.25">
      <c r="A567" s="354"/>
      <c r="B567" s="94"/>
      <c r="C567" s="94"/>
      <c r="D567" s="215">
        <f>'Geser &amp; Penulang Pilecap'!D270</f>
        <v>3.4232659844072883E-3</v>
      </c>
      <c r="E567" s="215">
        <f>'Geser &amp; Penulang Pilecap'!E270</f>
        <v>2.8378062894338827E-3</v>
      </c>
      <c r="F567" s="215">
        <f>'Geser &amp; Penulang Pilecap'!F270</f>
        <v>2.397455357142857E-2</v>
      </c>
      <c r="G567" s="96" t="s">
        <v>138</v>
      </c>
      <c r="H567" s="225" t="str">
        <f>IF(D567&lt;E567,(IF(E567&lt;F567,"[ OK ]","[ NOT OK ]")),"[ Pakai ρmin ]")</f>
        <v>[ Pakai ρmin ]</v>
      </c>
      <c r="I567" s="94"/>
    </row>
    <row r="568" spans="1:9" ht="18.75" customHeight="1" x14ac:dyDescent="0.25">
      <c r="A568" s="354"/>
      <c r="B568" s="94"/>
      <c r="C568" s="94"/>
      <c r="D568" s="94"/>
      <c r="E568" s="94"/>
      <c r="F568" s="94"/>
      <c r="G568" s="98"/>
      <c r="H568" s="95"/>
      <c r="I568" s="349"/>
    </row>
    <row r="569" spans="1:9" ht="18.75" customHeight="1" x14ac:dyDescent="0.25">
      <c r="A569" s="354"/>
      <c r="B569" s="94" t="s">
        <v>255</v>
      </c>
      <c r="C569" s="94"/>
      <c r="D569" s="94"/>
      <c r="E569" s="94"/>
      <c r="F569" s="94"/>
      <c r="G569" s="98" t="s">
        <v>256</v>
      </c>
      <c r="H569" s="151">
        <f>'Geser &amp; Penulang Pilecap'!H272</f>
        <v>3.4232659844072883E-3</v>
      </c>
      <c r="I569" s="348"/>
    </row>
    <row r="570" spans="1:9" ht="18.75" customHeight="1" x14ac:dyDescent="0.25">
      <c r="A570" s="354"/>
      <c r="B570" s="94"/>
      <c r="C570" s="94"/>
      <c r="D570" s="215"/>
      <c r="E570" s="215"/>
      <c r="F570" s="215"/>
      <c r="G570" s="225"/>
      <c r="H570" s="224"/>
      <c r="I570" s="349"/>
    </row>
    <row r="571" spans="1:9" ht="18.75" customHeight="1" x14ac:dyDescent="0.25">
      <c r="A571" s="354"/>
      <c r="B571" s="94" t="s">
        <v>257</v>
      </c>
      <c r="C571" s="94"/>
      <c r="D571" s="94"/>
      <c r="E571" s="94"/>
      <c r="F571" s="94"/>
      <c r="G571" s="98" t="s">
        <v>258</v>
      </c>
      <c r="H571" s="156">
        <f>'Geser &amp; Penulang Pilecap'!H274</f>
        <v>929.41671476657882</v>
      </c>
      <c r="I571" s="224" t="s">
        <v>259</v>
      </c>
    </row>
    <row r="572" spans="1:9" ht="18.75" customHeight="1" x14ac:dyDescent="0.25">
      <c r="A572" s="354"/>
      <c r="B572" s="94" t="s">
        <v>260</v>
      </c>
      <c r="C572" s="94"/>
      <c r="D572" s="94"/>
      <c r="E572" s="94"/>
      <c r="F572" s="94"/>
      <c r="G572" s="98" t="s">
        <v>261</v>
      </c>
      <c r="H572" s="157">
        <f>'Geser &amp; Penulang Pilecap'!H275</f>
        <v>305.06094035298952</v>
      </c>
      <c r="I572" s="224" t="s">
        <v>12</v>
      </c>
    </row>
    <row r="573" spans="1:9" ht="18.75" customHeight="1" x14ac:dyDescent="0.25">
      <c r="A573" s="354"/>
      <c r="B573" s="94" t="s">
        <v>262</v>
      </c>
      <c r="C573" s="94"/>
      <c r="D573" s="94"/>
      <c r="E573" s="94"/>
      <c r="F573" s="94"/>
      <c r="G573" s="98" t="s">
        <v>441</v>
      </c>
      <c r="H573" s="157">
        <f>'Geser &amp; Penulang Pilecap'!H276</f>
        <v>1200</v>
      </c>
      <c r="I573" s="224" t="s">
        <v>12</v>
      </c>
    </row>
    <row r="574" spans="1:9" ht="18.75" customHeight="1" x14ac:dyDescent="0.25">
      <c r="A574" s="354"/>
      <c r="B574" s="94" t="s">
        <v>262</v>
      </c>
      <c r="C574" s="94"/>
      <c r="D574" s="94"/>
      <c r="E574" s="94"/>
      <c r="F574" s="94"/>
      <c r="G574" s="98" t="s">
        <v>263</v>
      </c>
      <c r="H574" s="157">
        <f>'Geser &amp; Penulang Pilecap'!H277</f>
        <v>450</v>
      </c>
      <c r="I574" s="224" t="s">
        <v>12</v>
      </c>
    </row>
    <row r="575" spans="1:9" ht="18.75" customHeight="1" x14ac:dyDescent="0.25">
      <c r="A575" s="354"/>
      <c r="B575" s="94" t="s">
        <v>264</v>
      </c>
      <c r="C575" s="94"/>
      <c r="D575" s="94"/>
      <c r="E575" s="94"/>
      <c r="F575" s="94"/>
      <c r="G575" s="98" t="s">
        <v>25</v>
      </c>
      <c r="H575" s="157">
        <f>'Geser &amp; Penulang Pilecap'!H278</f>
        <v>305.06094035298952</v>
      </c>
      <c r="I575" s="224" t="s">
        <v>12</v>
      </c>
    </row>
    <row r="576" spans="1:9" ht="18.75" customHeight="1" x14ac:dyDescent="0.25">
      <c r="A576" s="354"/>
      <c r="B576" s="94" t="s">
        <v>265</v>
      </c>
      <c r="C576" s="94"/>
      <c r="D576" s="94"/>
      <c r="E576" s="94"/>
      <c r="F576" s="94"/>
      <c r="G576" s="98" t="s">
        <v>25</v>
      </c>
      <c r="H576" s="158">
        <f>'Geser &amp; Penulang Pilecap'!H279</f>
        <v>300</v>
      </c>
      <c r="I576" s="224" t="s">
        <v>12</v>
      </c>
    </row>
    <row r="577" spans="1:9" ht="18.75" customHeight="1" x14ac:dyDescent="0.25">
      <c r="A577" s="354"/>
      <c r="B577" s="94" t="s">
        <v>266</v>
      </c>
      <c r="C577" s="94"/>
      <c r="D577" s="94"/>
      <c r="E577" s="94"/>
      <c r="G577" s="427">
        <f>'Geser &amp; Penulang Pilecap'!G280</f>
        <v>19</v>
      </c>
      <c r="H577" s="187">
        <f>'Geser &amp; Penulang Pilecap'!H280</f>
        <v>300</v>
      </c>
      <c r="I577" s="224"/>
    </row>
    <row r="578" spans="1:9" ht="18.75" customHeight="1" x14ac:dyDescent="0.25">
      <c r="A578" s="354"/>
      <c r="B578" s="94" t="s">
        <v>267</v>
      </c>
      <c r="C578" s="94"/>
      <c r="D578" s="94"/>
      <c r="E578" s="94"/>
      <c r="F578" s="94"/>
      <c r="G578" s="98" t="s">
        <v>268</v>
      </c>
      <c r="H578" s="159">
        <f>'Geser &amp; Penulang Pilecap'!H281</f>
        <v>945.09578995492927</v>
      </c>
      <c r="I578" s="224" t="s">
        <v>259</v>
      </c>
    </row>
    <row r="579" spans="1:9" ht="18.75" customHeight="1" x14ac:dyDescent="0.25">
      <c r="A579" s="354"/>
      <c r="B579" s="94"/>
      <c r="C579" s="94"/>
      <c r="D579" s="94"/>
      <c r="E579" s="94"/>
      <c r="F579" s="94"/>
      <c r="G579" s="94"/>
      <c r="H579" s="94"/>
      <c r="I579" s="224"/>
    </row>
    <row r="580" spans="1:9" ht="18.75" customHeight="1" x14ac:dyDescent="0.25">
      <c r="A580" s="354"/>
      <c r="B580" s="94" t="s">
        <v>269</v>
      </c>
      <c r="C580" s="94"/>
      <c r="D580" s="94"/>
      <c r="E580" s="94"/>
      <c r="F580" s="94"/>
      <c r="G580" s="98" t="s">
        <v>270</v>
      </c>
      <c r="H580" s="149">
        <f>'Geser &amp; Penulang Pilecap'!H283</f>
        <v>378.03831598197166</v>
      </c>
      <c r="I580" s="350" t="s">
        <v>69</v>
      </c>
    </row>
    <row r="581" spans="1:9" ht="18.75" customHeight="1" x14ac:dyDescent="0.25">
      <c r="A581" s="354"/>
      <c r="B581" s="94" t="s">
        <v>271</v>
      </c>
      <c r="C581" s="94"/>
      <c r="D581" s="94"/>
      <c r="E581" s="94"/>
      <c r="F581" s="95"/>
      <c r="G581" s="98" t="s">
        <v>272</v>
      </c>
      <c r="H581" s="299">
        <f>'Geser &amp; Penulang Pilecap'!H284</f>
        <v>21.310714285714287</v>
      </c>
      <c r="I581" s="224" t="s">
        <v>69</v>
      </c>
    </row>
    <row r="582" spans="1:9" ht="18.75" customHeight="1" x14ac:dyDescent="0.25">
      <c r="A582" s="354"/>
      <c r="B582" s="217" t="s">
        <v>273</v>
      </c>
      <c r="C582" s="94"/>
      <c r="D582" s="94"/>
      <c r="E582" s="94"/>
      <c r="F582" s="94"/>
      <c r="G582" s="98" t="s">
        <v>274</v>
      </c>
      <c r="H582" s="217" t="s">
        <v>275</v>
      </c>
      <c r="I582" s="94"/>
    </row>
    <row r="583" spans="1:9" ht="18.75" customHeight="1" x14ac:dyDescent="0.25">
      <c r="A583" s="354"/>
      <c r="B583" s="217"/>
      <c r="C583" s="94"/>
      <c r="D583" s="94"/>
      <c r="E583" s="94"/>
      <c r="F583" s="94"/>
      <c r="G583" s="228">
        <f>H581</f>
        <v>21.310714285714287</v>
      </c>
      <c r="H583" s="229">
        <f>H580</f>
        <v>378.03831598197166</v>
      </c>
      <c r="I583" s="94"/>
    </row>
    <row r="584" spans="1:9" ht="18.75" customHeight="1" x14ac:dyDescent="0.25">
      <c r="A584" s="354"/>
      <c r="B584" s="94"/>
      <c r="C584" s="94"/>
      <c r="D584" s="94"/>
      <c r="E584" s="94"/>
      <c r="F584" s="94"/>
      <c r="G584" s="98"/>
      <c r="H584" s="229"/>
      <c r="I584" s="350"/>
    </row>
    <row r="585" spans="1:9" ht="18.75" customHeight="1" x14ac:dyDescent="0.25">
      <c r="A585" s="354"/>
      <c r="B585" s="217" t="s">
        <v>276</v>
      </c>
      <c r="C585" s="94"/>
      <c r="D585" s="98"/>
      <c r="E585" s="94"/>
      <c r="F585" s="95"/>
      <c r="G585" s="98" t="s">
        <v>277</v>
      </c>
      <c r="H585" s="153">
        <f>'Geser &amp; Penulang Pilecap'!H289</f>
        <v>17.739354529068553</v>
      </c>
      <c r="I585" s="350" t="s">
        <v>12</v>
      </c>
    </row>
    <row r="586" spans="1:9" ht="18.75" customHeight="1" x14ac:dyDescent="0.25">
      <c r="A586" s="354"/>
      <c r="B586" s="94" t="s">
        <v>271</v>
      </c>
      <c r="C586" s="98"/>
      <c r="D586" s="95"/>
      <c r="E586" s="94"/>
      <c r="F586" s="95"/>
      <c r="G586" s="98" t="s">
        <v>278</v>
      </c>
      <c r="H586" s="149">
        <f>'Geser &amp; Penulang Pilecap'!H290</f>
        <v>378.03831598197166</v>
      </c>
      <c r="I586" s="350" t="s">
        <v>69</v>
      </c>
    </row>
    <row r="587" spans="1:9" ht="18.75" customHeight="1" x14ac:dyDescent="0.25">
      <c r="A587" s="354"/>
      <c r="B587" s="94" t="s">
        <v>269</v>
      </c>
      <c r="C587" s="98"/>
      <c r="D587" s="95"/>
      <c r="E587" s="94"/>
      <c r="F587" s="95"/>
      <c r="G587" s="98" t="s">
        <v>279</v>
      </c>
      <c r="H587" s="149">
        <f>'Geser &amp; Penulang Pilecap'!H291</f>
        <v>378.03831598197166</v>
      </c>
      <c r="I587" s="350" t="s">
        <v>69</v>
      </c>
    </row>
    <row r="588" spans="1:9" ht="18.75" customHeight="1" x14ac:dyDescent="0.25">
      <c r="A588" s="354"/>
      <c r="B588" s="217"/>
      <c r="C588" s="94"/>
      <c r="D588" s="94"/>
      <c r="E588" s="94"/>
      <c r="F588" s="94"/>
      <c r="G588" s="95"/>
      <c r="H588" s="224"/>
      <c r="I588" s="349"/>
    </row>
    <row r="589" spans="1:9" ht="18.75" customHeight="1" x14ac:dyDescent="0.25">
      <c r="A589" s="354"/>
      <c r="B589" s="217" t="s">
        <v>280</v>
      </c>
      <c r="C589" s="94"/>
      <c r="D589" s="94"/>
      <c r="E589" s="94"/>
      <c r="F589" s="94"/>
      <c r="G589" s="95"/>
      <c r="H589" s="224"/>
      <c r="I589" s="349"/>
    </row>
    <row r="590" spans="1:9" ht="18.75" customHeight="1" x14ac:dyDescent="0.25">
      <c r="A590" s="354"/>
      <c r="B590" s="94"/>
      <c r="C590" s="217" t="s">
        <v>281</v>
      </c>
      <c r="D590" s="94"/>
      <c r="E590" s="98"/>
      <c r="F590" s="95"/>
      <c r="G590" s="224"/>
      <c r="H590" s="94"/>
      <c r="I590" s="94"/>
    </row>
    <row r="591" spans="1:9" ht="18.75" customHeight="1" x14ac:dyDescent="0.25">
      <c r="A591" s="354"/>
      <c r="B591" s="217"/>
      <c r="C591" s="94"/>
      <c r="D591" s="95" t="s">
        <v>282</v>
      </c>
      <c r="E591" s="94"/>
      <c r="F591" s="95" t="s">
        <v>283</v>
      </c>
      <c r="G591" s="98"/>
      <c r="H591" s="95"/>
      <c r="I591" s="94"/>
    </row>
    <row r="592" spans="1:9" ht="18.75" customHeight="1" x14ac:dyDescent="0.25">
      <c r="A592" s="354"/>
      <c r="B592" s="94"/>
      <c r="C592" s="94"/>
      <c r="D592" s="215">
        <f>'Geser &amp; Penulang Pilecap'!D296</f>
        <v>4.2914861144768342E-2</v>
      </c>
      <c r="E592" s="95" t="str">
        <f>IF(D592&lt;F592,"&lt;","&gt;")</f>
        <v>&gt;</v>
      </c>
      <c r="F592" s="95">
        <f>'Geser &amp; Penulang Pilecap'!F296</f>
        <v>2E-3</v>
      </c>
      <c r="I592" s="94"/>
    </row>
    <row r="593" spans="1:9" ht="18.75" customHeight="1" x14ac:dyDescent="0.25">
      <c r="A593" s="354"/>
      <c r="B593" s="217" t="s">
        <v>284</v>
      </c>
      <c r="C593" s="94"/>
      <c r="D593" s="94"/>
      <c r="E593" s="94"/>
      <c r="F593" s="94"/>
      <c r="G593" s="96" t="s">
        <v>138</v>
      </c>
      <c r="H593" s="230" t="str">
        <f>IF(D592&lt;=F592,"Tekanan Terkontrol",IF(D592&lt;0.005,"Transisi",IF(D592&gt;0.005,"Tegangan Terkontrol","EROR")))</f>
        <v>Tegangan Terkontrol</v>
      </c>
      <c r="I593" s="224"/>
    </row>
    <row r="594" spans="1:9" ht="18.75" customHeight="1" x14ac:dyDescent="0.25">
      <c r="A594" s="354"/>
      <c r="B594" s="217"/>
      <c r="C594" s="94"/>
      <c r="D594" s="94"/>
      <c r="E594" s="94"/>
      <c r="F594" s="94"/>
      <c r="G594" s="96"/>
      <c r="H594" s="230"/>
      <c r="I594" s="224"/>
    </row>
    <row r="595" spans="1:9" ht="18.75" customHeight="1" x14ac:dyDescent="0.25">
      <c r="A595" s="354"/>
      <c r="B595" s="217" t="s">
        <v>285</v>
      </c>
      <c r="C595" s="94"/>
      <c r="D595" s="94"/>
      <c r="E595" s="94"/>
      <c r="F595" s="94"/>
      <c r="G595" s="98" t="str">
        <f>IF(D592&lt;=F592,"φ =",IF(D592&lt;0.005,"φ = 0,65 + 0,25 * (εs' - εs-yield)/(0,005 - εs-yield) =",IF(D592&gt;0.005,"φ =","EROR")))</f>
        <v>φ =</v>
      </c>
      <c r="H595" s="153">
        <f>'Geser &amp; Penulang Pilecap'!H299</f>
        <v>0.9</v>
      </c>
      <c r="I595" s="224"/>
    </row>
    <row r="596" spans="1:9" ht="18.75" customHeight="1" x14ac:dyDescent="0.25">
      <c r="A596" s="354"/>
      <c r="B596" s="217" t="s">
        <v>286</v>
      </c>
      <c r="C596" s="94"/>
      <c r="D596" s="94"/>
      <c r="E596" s="94"/>
      <c r="F596" s="94"/>
      <c r="G596" s="98" t="s">
        <v>287</v>
      </c>
      <c r="H596" s="149">
        <f>'Geser &amp; Penulang Pilecap'!H300</f>
        <v>99.835187723409518</v>
      </c>
      <c r="I596" s="224" t="s">
        <v>71</v>
      </c>
    </row>
    <row r="597" spans="1:9" ht="18.75" customHeight="1" x14ac:dyDescent="0.25">
      <c r="A597" s="354"/>
      <c r="B597" s="94"/>
      <c r="C597" s="94" t="s">
        <v>134</v>
      </c>
      <c r="D597" s="425" t="s">
        <v>288</v>
      </c>
      <c r="E597" s="95" t="s">
        <v>191</v>
      </c>
      <c r="F597" s="425" t="s">
        <v>289</v>
      </c>
      <c r="G597" s="94"/>
      <c r="H597" s="94"/>
      <c r="I597" s="94"/>
    </row>
    <row r="598" spans="1:9" ht="18.75" customHeight="1" x14ac:dyDescent="0.25">
      <c r="A598" s="354"/>
      <c r="B598" s="94"/>
      <c r="C598" s="94"/>
      <c r="D598" s="149">
        <f>'Geser &amp; Penulang Pilecap'!D303</f>
        <v>89.851668951068575</v>
      </c>
      <c r="E598" s="95" t="str">
        <f>IF(D598&gt;F598,"&gt;","&lt;")</f>
        <v>&gt;</v>
      </c>
      <c r="F598" s="149">
        <f>'Geser &amp; Penulang Pilecap'!F303</f>
        <v>69.538595054897471</v>
      </c>
      <c r="G598" s="96" t="s">
        <v>138</v>
      </c>
      <c r="H598" s="225" t="str">
        <f>IF(D598&gt;=F598,"AMAN  (OK)","BAHAYA  (NG)")</f>
        <v>AMAN  (OK)</v>
      </c>
      <c r="I598" s="94"/>
    </row>
    <row r="599" spans="1:9" ht="18.75" customHeight="1" x14ac:dyDescent="0.25">
      <c r="A599" s="353"/>
      <c r="B599" s="104"/>
      <c r="C599" s="91"/>
      <c r="D599" s="91"/>
      <c r="E599" s="100"/>
      <c r="F599" s="100"/>
      <c r="G599" s="100"/>
      <c r="H599" s="91"/>
      <c r="I599" s="91"/>
    </row>
    <row r="600" spans="1:9" ht="18.75" customHeight="1" x14ac:dyDescent="0.25">
      <c r="A600" s="352" t="s">
        <v>659</v>
      </c>
      <c r="B600" s="88" t="s">
        <v>645</v>
      </c>
      <c r="C600" s="89"/>
      <c r="D600" s="89"/>
      <c r="E600" s="89"/>
      <c r="F600" s="89"/>
      <c r="G600" s="89"/>
      <c r="H600" s="89"/>
      <c r="I600" s="89"/>
    </row>
    <row r="601" spans="1:9" ht="18.75" customHeight="1" x14ac:dyDescent="0.25">
      <c r="A601" s="353"/>
      <c r="B601" s="91"/>
      <c r="C601" s="91"/>
      <c r="D601" s="91"/>
      <c r="E601" s="91"/>
      <c r="F601" s="91"/>
      <c r="G601" s="92" t="s">
        <v>425</v>
      </c>
      <c r="H601" s="142">
        <f>'Geser &amp; Penulang Pilecap'!H306</f>
        <v>83.117395054897486</v>
      </c>
      <c r="I601" s="300" t="s">
        <v>216</v>
      </c>
    </row>
    <row r="602" spans="1:9" ht="18.75" customHeight="1" x14ac:dyDescent="0.25">
      <c r="A602" s="353"/>
      <c r="B602" s="91" t="s">
        <v>217</v>
      </c>
      <c r="C602" s="91"/>
      <c r="D602" s="91"/>
      <c r="E602" s="100"/>
      <c r="F602" s="100"/>
      <c r="G602" s="92" t="s">
        <v>23</v>
      </c>
      <c r="H602" s="143">
        <f>'Geser &amp; Penulang Pilecap'!H307</f>
        <v>1000</v>
      </c>
      <c r="I602" s="300" t="s">
        <v>12</v>
      </c>
    </row>
    <row r="603" spans="1:9" ht="18.75" customHeight="1" x14ac:dyDescent="0.25">
      <c r="A603" s="353"/>
      <c r="B603" s="91" t="s">
        <v>59</v>
      </c>
      <c r="C603" s="91"/>
      <c r="D603" s="91"/>
      <c r="E603" s="100"/>
      <c r="F603" s="100"/>
      <c r="G603" s="92" t="s">
        <v>422</v>
      </c>
      <c r="H603" s="143">
        <f>'Geser &amp; Penulang Pilecap'!H308</f>
        <v>400</v>
      </c>
      <c r="I603" s="300" t="s">
        <v>12</v>
      </c>
    </row>
    <row r="604" spans="1:9" ht="18.75" customHeight="1" x14ac:dyDescent="0.25">
      <c r="A604" s="353"/>
      <c r="B604" s="91" t="s">
        <v>218</v>
      </c>
      <c r="C604" s="91"/>
      <c r="D604" s="91"/>
      <c r="E604" s="100"/>
      <c r="F604" s="100"/>
      <c r="G604" s="92" t="s">
        <v>173</v>
      </c>
      <c r="H604" s="143">
        <f>'Geser &amp; Penulang Pilecap'!H309</f>
        <v>128.5</v>
      </c>
      <c r="I604" s="300" t="s">
        <v>12</v>
      </c>
    </row>
    <row r="605" spans="1:9" ht="18.75" customHeight="1" x14ac:dyDescent="0.25">
      <c r="A605" s="353"/>
      <c r="B605" s="91" t="s">
        <v>219</v>
      </c>
      <c r="C605" s="91"/>
      <c r="D605" s="91"/>
      <c r="E605" s="100"/>
      <c r="F605" s="100"/>
      <c r="G605" s="92" t="s">
        <v>175</v>
      </c>
      <c r="H605" s="143">
        <f>'Geser &amp; Penulang Pilecap'!H310</f>
        <v>271.5</v>
      </c>
      <c r="I605" s="300" t="s">
        <v>12</v>
      </c>
    </row>
    <row r="606" spans="1:9" ht="18.75" customHeight="1" x14ac:dyDescent="0.25">
      <c r="A606" s="353"/>
      <c r="B606" s="91" t="s">
        <v>220</v>
      </c>
      <c r="C606" s="91"/>
      <c r="D606" s="91"/>
      <c r="E606" s="100"/>
      <c r="F606" s="100"/>
      <c r="G606" s="220" t="s">
        <v>221</v>
      </c>
      <c r="H606" s="143">
        <f>'Geser &amp; Penulang Pilecap'!H311</f>
        <v>30</v>
      </c>
      <c r="I606" s="300" t="s">
        <v>28</v>
      </c>
    </row>
    <row r="607" spans="1:9" ht="18.75" customHeight="1" x14ac:dyDescent="0.25">
      <c r="A607" s="353"/>
      <c r="B607" s="91" t="s">
        <v>222</v>
      </c>
      <c r="C607" s="91"/>
      <c r="D607" s="91"/>
      <c r="E607" s="100"/>
      <c r="F607" s="100"/>
      <c r="G607" s="92" t="s">
        <v>223</v>
      </c>
      <c r="H607" s="143">
        <f>'Geser &amp; Penulang Pilecap'!H312</f>
        <v>400</v>
      </c>
      <c r="I607" s="300" t="s">
        <v>28</v>
      </c>
    </row>
    <row r="608" spans="1:9" ht="18.75" customHeight="1" x14ac:dyDescent="0.25">
      <c r="A608" s="353"/>
      <c r="B608" s="221" t="s">
        <v>32</v>
      </c>
      <c r="C608" s="91"/>
      <c r="D608" s="91"/>
      <c r="E608" s="100"/>
      <c r="F608" s="100"/>
      <c r="G608" s="92" t="s">
        <v>224</v>
      </c>
      <c r="H608" s="143">
        <f>'Geser &amp; Penulang Pilecap'!H313</f>
        <v>200000</v>
      </c>
      <c r="I608" s="300" t="s">
        <v>28</v>
      </c>
    </row>
    <row r="609" spans="1:9" ht="18.75" customHeight="1" x14ac:dyDescent="0.25">
      <c r="A609" s="354"/>
      <c r="B609" s="94" t="s">
        <v>225</v>
      </c>
      <c r="C609" s="94"/>
      <c r="D609" s="94"/>
      <c r="E609" s="94"/>
      <c r="F609" s="94"/>
      <c r="G609" s="98" t="s">
        <v>226</v>
      </c>
      <c r="H609" s="147" t="str">
        <f>'Geser &amp; Penulang Pilecap'!H314</f>
        <v>-</v>
      </c>
      <c r="I609" s="224"/>
    </row>
    <row r="610" spans="1:9" ht="18.75" customHeight="1" x14ac:dyDescent="0.25">
      <c r="A610" s="354"/>
      <c r="B610" s="94" t="s">
        <v>227</v>
      </c>
      <c r="C610" s="94"/>
      <c r="D610" s="94"/>
      <c r="E610" s="94"/>
      <c r="F610" s="94"/>
      <c r="G610" s="98" t="s">
        <v>618</v>
      </c>
      <c r="H610" s="149">
        <f>'Geser &amp; Penulang Pilecap'!H315</f>
        <v>0.83571428571428574</v>
      </c>
      <c r="I610" s="224"/>
    </row>
    <row r="611" spans="1:9" ht="18.75" customHeight="1" x14ac:dyDescent="0.25">
      <c r="A611" s="354"/>
      <c r="B611" s="94" t="s">
        <v>228</v>
      </c>
      <c r="C611" s="94"/>
      <c r="D611" s="94"/>
      <c r="E611" s="94"/>
      <c r="F611" s="94"/>
      <c r="G611" s="98" t="s">
        <v>226</v>
      </c>
      <c r="H611" s="149" t="str">
        <f>'Geser &amp; Penulang Pilecap'!H316</f>
        <v>-</v>
      </c>
      <c r="I611" s="224"/>
    </row>
    <row r="612" spans="1:9" ht="18.75" customHeight="1" x14ac:dyDescent="0.25">
      <c r="A612" s="354"/>
      <c r="B612" s="94" t="s">
        <v>229</v>
      </c>
      <c r="C612" s="94"/>
      <c r="D612" s="94"/>
      <c r="E612" s="94"/>
      <c r="F612" s="96" t="s">
        <v>138</v>
      </c>
      <c r="G612" s="98" t="s">
        <v>226</v>
      </c>
      <c r="H612" s="149">
        <f>'Geser &amp; Penulang Pilecap'!H317</f>
        <v>0.83571428571428574</v>
      </c>
      <c r="I612" s="224"/>
    </row>
    <row r="613" spans="1:9" ht="18.75" customHeight="1" x14ac:dyDescent="0.25">
      <c r="A613" s="354"/>
      <c r="B613" s="94" t="s">
        <v>230</v>
      </c>
      <c r="C613" s="94"/>
      <c r="D613" s="94"/>
      <c r="E613" s="94"/>
      <c r="F613" s="96"/>
      <c r="G613" s="98"/>
      <c r="H613" s="95"/>
      <c r="I613" s="224"/>
    </row>
    <row r="614" spans="1:9" ht="18.75" customHeight="1" x14ac:dyDescent="0.25">
      <c r="A614" s="354"/>
      <c r="B614" s="94"/>
      <c r="C614" s="219"/>
      <c r="D614" s="94"/>
      <c r="E614" s="94"/>
      <c r="F614" s="94"/>
      <c r="G614" s="98" t="s">
        <v>231</v>
      </c>
      <c r="H614" s="151">
        <f>'Geser &amp; Penulang Pilecap'!H319</f>
        <v>3.1966071428571427E-2</v>
      </c>
      <c r="I614" s="224"/>
    </row>
    <row r="615" spans="1:9" ht="18.75" customHeight="1" x14ac:dyDescent="0.25">
      <c r="A615" s="354"/>
      <c r="B615" s="94" t="s">
        <v>232</v>
      </c>
      <c r="C615" s="94"/>
      <c r="D615" s="222"/>
      <c r="E615" s="95"/>
      <c r="F615" s="217"/>
      <c r="G615" s="98" t="s">
        <v>233</v>
      </c>
      <c r="H615" s="151">
        <f>'Geser &amp; Penulang Pilecap'!H320</f>
        <v>2.397455357142857E-2</v>
      </c>
      <c r="I615" s="224"/>
    </row>
    <row r="616" spans="1:9" ht="18.75" customHeight="1" x14ac:dyDescent="0.25">
      <c r="A616" s="354"/>
      <c r="B616" s="94" t="s">
        <v>234</v>
      </c>
      <c r="C616" s="94"/>
      <c r="D616" s="94"/>
      <c r="E616" s="217" t="s">
        <v>235</v>
      </c>
      <c r="F616" s="94"/>
      <c r="G616" s="98" t="s">
        <v>236</v>
      </c>
      <c r="H616" s="151">
        <f>'Geser &amp; Penulang Pilecap'!H321</f>
        <v>3.4232659844072883E-3</v>
      </c>
      <c r="I616" s="224"/>
    </row>
    <row r="617" spans="1:9" ht="18.75" customHeight="1" x14ac:dyDescent="0.25">
      <c r="A617" s="354"/>
      <c r="B617" s="94"/>
      <c r="C617" s="94"/>
      <c r="D617" s="94"/>
      <c r="E617" s="94" t="s">
        <v>237</v>
      </c>
      <c r="F617" s="94"/>
      <c r="G617" s="98" t="s">
        <v>238</v>
      </c>
      <c r="H617" s="151">
        <f>'Geser &amp; Penulang Pilecap'!H322</f>
        <v>3.4999999999999996E-3</v>
      </c>
      <c r="I617" s="224"/>
    </row>
    <row r="618" spans="1:9" ht="18.75" customHeight="1" x14ac:dyDescent="0.25">
      <c r="A618" s="354"/>
      <c r="B618" s="94"/>
      <c r="C618" s="94"/>
      <c r="D618" s="94"/>
      <c r="E618" s="94"/>
      <c r="F618" s="94"/>
      <c r="G618" s="98"/>
      <c r="H618" s="152"/>
      <c r="I618" s="224"/>
    </row>
    <row r="619" spans="1:9" ht="18.75" customHeight="1" x14ac:dyDescent="0.25">
      <c r="A619" s="354"/>
      <c r="B619" s="94" t="s">
        <v>239</v>
      </c>
      <c r="C619" s="94"/>
      <c r="D619" s="94"/>
      <c r="E619" s="94"/>
      <c r="F619" s="98"/>
      <c r="G619" s="98" t="s">
        <v>240</v>
      </c>
      <c r="H619" s="153">
        <f>'Geser &amp; Penulang Pilecap'!H324</f>
        <v>0.85</v>
      </c>
      <c r="I619" s="224"/>
    </row>
    <row r="620" spans="1:9" ht="18.75" customHeight="1" x14ac:dyDescent="0.25">
      <c r="A620" s="354"/>
      <c r="B620" s="94" t="s">
        <v>241</v>
      </c>
      <c r="C620" s="94"/>
      <c r="D620" s="94"/>
      <c r="E620" s="94"/>
      <c r="F620" s="98"/>
      <c r="G620" s="98" t="s">
        <v>242</v>
      </c>
      <c r="H620" s="149">
        <f>'Geser &amp; Penulang Pilecap'!H325</f>
        <v>83.117395054897486</v>
      </c>
      <c r="I620" s="224" t="s">
        <v>71</v>
      </c>
    </row>
    <row r="621" spans="1:9" ht="18.75" customHeight="1" x14ac:dyDescent="0.25">
      <c r="A621" s="354"/>
      <c r="B621" s="94" t="s">
        <v>243</v>
      </c>
      <c r="C621" s="94"/>
      <c r="D621" s="94"/>
      <c r="E621" s="94"/>
      <c r="F621" s="98"/>
      <c r="G621" s="98" t="s">
        <v>244</v>
      </c>
      <c r="H621" s="149">
        <f>'Geser &amp; Penulang Pilecap'!H326</f>
        <v>97.785170652820568</v>
      </c>
      <c r="I621" s="224" t="s">
        <v>71</v>
      </c>
    </row>
    <row r="622" spans="1:9" ht="18.75" customHeight="1" x14ac:dyDescent="0.25">
      <c r="A622" s="354"/>
      <c r="B622" s="94" t="s">
        <v>245</v>
      </c>
      <c r="C622" s="219"/>
      <c r="D622" s="94"/>
      <c r="E622" s="94"/>
      <c r="F622" s="94"/>
      <c r="G622" s="223" t="s">
        <v>246</v>
      </c>
      <c r="H622" s="149">
        <f>'Geser &amp; Penulang Pilecap'!H327</f>
        <v>1.3265796479258274</v>
      </c>
      <c r="I622" s="347"/>
    </row>
    <row r="623" spans="1:9" ht="18.75" customHeight="1" x14ac:dyDescent="0.25">
      <c r="A623" s="354"/>
      <c r="B623" s="94" t="s">
        <v>247</v>
      </c>
      <c r="C623" s="94"/>
      <c r="D623" s="94"/>
      <c r="E623" s="94"/>
      <c r="F623" s="94"/>
      <c r="I623" s="348"/>
    </row>
    <row r="624" spans="1:9" ht="18.75" customHeight="1" x14ac:dyDescent="0.25">
      <c r="A624" s="354"/>
      <c r="B624" s="94"/>
      <c r="C624" s="94"/>
      <c r="D624" s="94"/>
      <c r="E624" s="94"/>
      <c r="F624" s="94"/>
      <c r="G624" s="98" t="s">
        <v>248</v>
      </c>
      <c r="H624" s="149">
        <f>'Geser &amp; Penulang Pilecap'!H328</f>
        <v>15.686274509803921</v>
      </c>
      <c r="I624" s="348"/>
    </row>
    <row r="625" spans="1:9" ht="18.75" customHeight="1" x14ac:dyDescent="0.25">
      <c r="A625" s="354"/>
      <c r="B625" s="94" t="s">
        <v>249</v>
      </c>
      <c r="C625" s="219"/>
      <c r="D625" s="94"/>
      <c r="E625" s="94"/>
      <c r="F625" s="94"/>
      <c r="G625" s="223" t="s">
        <v>250</v>
      </c>
      <c r="H625" s="151">
        <f>'Geser &amp; Penulang Pilecap'!H329</f>
        <v>3.4075171440249522E-3</v>
      </c>
      <c r="I625" s="347"/>
    </row>
    <row r="626" spans="1:9" ht="18.75" customHeight="1" x14ac:dyDescent="0.25">
      <c r="A626" s="354"/>
      <c r="B626" s="94" t="s">
        <v>251</v>
      </c>
      <c r="C626" s="94"/>
      <c r="D626" s="94"/>
      <c r="E626" s="94"/>
      <c r="F626" s="94"/>
      <c r="G626" s="215"/>
      <c r="H626" s="224"/>
      <c r="I626" s="349"/>
    </row>
    <row r="627" spans="1:9" ht="18.75" customHeight="1" x14ac:dyDescent="0.25">
      <c r="A627" s="354"/>
      <c r="B627" s="94"/>
      <c r="C627" s="94" t="s">
        <v>134</v>
      </c>
      <c r="D627" s="95" t="s">
        <v>252</v>
      </c>
      <c r="E627" s="95" t="s">
        <v>253</v>
      </c>
      <c r="F627" s="95" t="s">
        <v>254</v>
      </c>
      <c r="G627" s="98"/>
      <c r="H627" s="215"/>
      <c r="I627" s="94"/>
    </row>
    <row r="628" spans="1:9" ht="18.75" customHeight="1" x14ac:dyDescent="0.25">
      <c r="A628" s="354"/>
      <c r="B628" s="94"/>
      <c r="C628" s="94"/>
      <c r="D628" s="215">
        <f>'Geser &amp; Penulang Pilecap'!D332</f>
        <v>3.4232659844072883E-3</v>
      </c>
      <c r="E628" s="215">
        <f>H625</f>
        <v>3.4075171440249522E-3</v>
      </c>
      <c r="F628" s="215">
        <f>'Geser &amp; Penulang Pilecap'!F332</f>
        <v>2.397455357142857E-2</v>
      </c>
      <c r="G628" s="96" t="s">
        <v>138</v>
      </c>
      <c r="H628" s="225" t="str">
        <f>IF(D628&lt;E628,(IF(E628&lt;F628,"[ OK ]","[ NOT OK ]")),"[ Pakai ρmin ]")</f>
        <v>[ Pakai ρmin ]</v>
      </c>
      <c r="I628" s="94"/>
    </row>
    <row r="629" spans="1:9" ht="18.75" customHeight="1" x14ac:dyDescent="0.25">
      <c r="A629" s="354"/>
      <c r="B629" s="94"/>
      <c r="C629" s="94"/>
      <c r="D629" s="94"/>
      <c r="E629" s="94"/>
      <c r="F629" s="94"/>
      <c r="G629" s="98"/>
      <c r="H629" s="95"/>
      <c r="I629" s="349"/>
    </row>
    <row r="630" spans="1:9" ht="18.75" customHeight="1" x14ac:dyDescent="0.25">
      <c r="A630" s="354"/>
      <c r="B630" s="94" t="s">
        <v>255</v>
      </c>
      <c r="C630" s="94"/>
      <c r="D630" s="94"/>
      <c r="E630" s="94"/>
      <c r="F630" s="94"/>
      <c r="G630" s="98" t="s">
        <v>256</v>
      </c>
      <c r="H630" s="151">
        <f>'Geser &amp; Penulang Pilecap'!H334</f>
        <v>3.4232659844072883E-3</v>
      </c>
      <c r="I630" s="348"/>
    </row>
    <row r="631" spans="1:9" ht="18.75" customHeight="1" x14ac:dyDescent="0.25">
      <c r="A631" s="354"/>
      <c r="B631" s="94"/>
      <c r="C631" s="94"/>
      <c r="D631" s="215"/>
      <c r="E631" s="215"/>
      <c r="F631" s="215"/>
      <c r="G631" s="225"/>
      <c r="H631" s="224"/>
      <c r="I631" s="349"/>
    </row>
    <row r="632" spans="1:9" ht="18.75" customHeight="1" x14ac:dyDescent="0.25">
      <c r="A632" s="354"/>
      <c r="B632" s="94" t="s">
        <v>257</v>
      </c>
      <c r="C632" s="94"/>
      <c r="D632" s="94"/>
      <c r="E632" s="94"/>
      <c r="F632" s="94"/>
      <c r="G632" s="98" t="s">
        <v>258</v>
      </c>
      <c r="H632" s="186">
        <f>'Geser &amp; Penulang Pilecap'!H336</f>
        <v>929.41671476657882</v>
      </c>
      <c r="I632" s="224" t="s">
        <v>259</v>
      </c>
    </row>
    <row r="633" spans="1:9" ht="18.75" customHeight="1" x14ac:dyDescent="0.25">
      <c r="A633" s="354"/>
      <c r="B633" s="94" t="s">
        <v>260</v>
      </c>
      <c r="C633" s="94"/>
      <c r="D633" s="94"/>
      <c r="E633" s="94"/>
      <c r="F633" s="94"/>
      <c r="G633" s="98" t="s">
        <v>261</v>
      </c>
      <c r="H633" s="153">
        <f>'Geser &amp; Penulang Pilecap'!H337</f>
        <v>305.06094035298952</v>
      </c>
      <c r="I633" s="224" t="s">
        <v>12</v>
      </c>
    </row>
    <row r="634" spans="1:9" ht="18.75" customHeight="1" x14ac:dyDescent="0.25">
      <c r="A634" s="354"/>
      <c r="B634" s="94" t="s">
        <v>262</v>
      </c>
      <c r="C634" s="94"/>
      <c r="D634" s="94"/>
      <c r="E634" s="94"/>
      <c r="F634" s="94"/>
      <c r="G634" s="98" t="s">
        <v>441</v>
      </c>
      <c r="H634" s="157">
        <f>'Geser &amp; Penulang Pilecap'!H338</f>
        <v>1200</v>
      </c>
      <c r="I634" s="224" t="s">
        <v>12</v>
      </c>
    </row>
    <row r="635" spans="1:9" ht="18.75" customHeight="1" x14ac:dyDescent="0.25">
      <c r="A635" s="354"/>
      <c r="B635" s="94" t="s">
        <v>262</v>
      </c>
      <c r="C635" s="94"/>
      <c r="D635" s="94"/>
      <c r="E635" s="94"/>
      <c r="F635" s="94"/>
      <c r="G635" s="98" t="s">
        <v>263</v>
      </c>
      <c r="H635" s="157">
        <f>'Geser &amp; Penulang Pilecap'!H339</f>
        <v>450</v>
      </c>
      <c r="I635" s="224" t="s">
        <v>12</v>
      </c>
    </row>
    <row r="636" spans="1:9" ht="18.75" customHeight="1" x14ac:dyDescent="0.25">
      <c r="A636" s="354"/>
      <c r="B636" s="94" t="s">
        <v>264</v>
      </c>
      <c r="C636" s="94"/>
      <c r="D636" s="94"/>
      <c r="E636" s="94"/>
      <c r="F636" s="94"/>
      <c r="G636" s="98" t="s">
        <v>25</v>
      </c>
      <c r="H636" s="157">
        <f>'Geser &amp; Penulang Pilecap'!H340</f>
        <v>305.06094035298952</v>
      </c>
      <c r="I636" s="224" t="s">
        <v>12</v>
      </c>
    </row>
    <row r="637" spans="1:9" ht="18.75" customHeight="1" x14ac:dyDescent="0.25">
      <c r="A637" s="354"/>
      <c r="B637" s="94" t="s">
        <v>265</v>
      </c>
      <c r="C637" s="94"/>
      <c r="D637" s="94"/>
      <c r="E637" s="94"/>
      <c r="F637" s="94"/>
      <c r="G637" s="98" t="s">
        <v>25</v>
      </c>
      <c r="H637" s="158">
        <f>'Geser &amp; Penulang Pilecap'!H341</f>
        <v>300</v>
      </c>
      <c r="I637" s="224" t="s">
        <v>12</v>
      </c>
    </row>
    <row r="638" spans="1:9" ht="18.75" customHeight="1" x14ac:dyDescent="0.25">
      <c r="A638" s="354"/>
      <c r="B638" s="94" t="s">
        <v>266</v>
      </c>
      <c r="C638" s="94"/>
      <c r="D638" s="94"/>
      <c r="E638" s="94"/>
      <c r="G638" s="427">
        <f>G577</f>
        <v>19</v>
      </c>
      <c r="H638" s="187">
        <f>'Geser &amp; Penulang Pilecap'!H342</f>
        <v>300</v>
      </c>
      <c r="I638" s="224"/>
    </row>
    <row r="639" spans="1:9" ht="18.75" customHeight="1" x14ac:dyDescent="0.25">
      <c r="A639" s="354"/>
      <c r="B639" s="94" t="s">
        <v>267</v>
      </c>
      <c r="C639" s="94"/>
      <c r="D639" s="94"/>
      <c r="E639" s="94"/>
      <c r="F639" s="94"/>
      <c r="G639" s="98" t="s">
        <v>268</v>
      </c>
      <c r="H639" s="159">
        <f>'Geser &amp; Penulang Pilecap'!H343</f>
        <v>945.09578995492927</v>
      </c>
      <c r="I639" s="224" t="s">
        <v>259</v>
      </c>
    </row>
    <row r="640" spans="1:9" ht="18.75" customHeight="1" x14ac:dyDescent="0.25">
      <c r="A640" s="354"/>
      <c r="B640" s="94"/>
      <c r="C640" s="94"/>
      <c r="D640" s="94"/>
      <c r="E640" s="94"/>
      <c r="F640" s="94"/>
      <c r="G640" s="94"/>
      <c r="H640" s="94"/>
      <c r="I640" s="224"/>
    </row>
    <row r="641" spans="1:9" ht="18.75" customHeight="1" x14ac:dyDescent="0.25">
      <c r="A641" s="354"/>
      <c r="B641" s="94" t="s">
        <v>269</v>
      </c>
      <c r="C641" s="94"/>
      <c r="D641" s="94"/>
      <c r="E641" s="94"/>
      <c r="F641" s="94"/>
      <c r="G641" s="98" t="s">
        <v>270</v>
      </c>
      <c r="H641" s="149">
        <f>'Geser &amp; Penulang Pilecap'!H345</f>
        <v>378.03831598197166</v>
      </c>
      <c r="I641" s="350" t="s">
        <v>69</v>
      </c>
    </row>
    <row r="642" spans="1:9" ht="18.75" customHeight="1" x14ac:dyDescent="0.25">
      <c r="A642" s="354"/>
      <c r="B642" s="94" t="s">
        <v>271</v>
      </c>
      <c r="C642" s="94"/>
      <c r="D642" s="94"/>
      <c r="E642" s="94"/>
      <c r="F642" s="95"/>
      <c r="G642" s="98" t="s">
        <v>272</v>
      </c>
      <c r="H642" s="299">
        <f>'Geser &amp; Penulang Pilecap'!H346</f>
        <v>21.310714285714287</v>
      </c>
      <c r="I642" s="224" t="s">
        <v>69</v>
      </c>
    </row>
    <row r="643" spans="1:9" ht="18.75" customHeight="1" x14ac:dyDescent="0.25">
      <c r="A643" s="354"/>
      <c r="B643" s="217" t="s">
        <v>273</v>
      </c>
      <c r="C643" s="94"/>
      <c r="D643" s="94"/>
      <c r="E643" s="94"/>
      <c r="F643" s="94"/>
      <c r="G643" s="98" t="s">
        <v>274</v>
      </c>
      <c r="H643" s="217" t="s">
        <v>275</v>
      </c>
      <c r="I643" s="94"/>
    </row>
    <row r="644" spans="1:9" ht="18.75" customHeight="1" x14ac:dyDescent="0.25">
      <c r="A644" s="354"/>
      <c r="B644" s="217"/>
      <c r="C644" s="94"/>
      <c r="D644" s="94"/>
      <c r="E644" s="94"/>
      <c r="F644" s="94"/>
      <c r="G644" s="228">
        <f>'Geser &amp; Penulang Pilecap'!G349</f>
        <v>21.310714285714287</v>
      </c>
      <c r="H644" s="229">
        <f>'Geser &amp; Penulang Pilecap'!H349</f>
        <v>378.03831598197166</v>
      </c>
      <c r="I644" s="94"/>
    </row>
    <row r="645" spans="1:9" ht="18.75" customHeight="1" x14ac:dyDescent="0.25">
      <c r="A645" s="354"/>
      <c r="B645" s="94"/>
      <c r="C645" s="94"/>
      <c r="D645" s="94"/>
      <c r="E645" s="94"/>
      <c r="F645" s="94"/>
      <c r="G645" s="98"/>
      <c r="H645" s="229"/>
      <c r="I645" s="350"/>
    </row>
    <row r="646" spans="1:9" ht="18.75" customHeight="1" x14ac:dyDescent="0.25">
      <c r="A646" s="354"/>
      <c r="B646" s="217" t="s">
        <v>276</v>
      </c>
      <c r="C646" s="94"/>
      <c r="D646" s="98"/>
      <c r="E646" s="94"/>
      <c r="F646" s="95"/>
      <c r="G646" s="98" t="s">
        <v>277</v>
      </c>
      <c r="H646" s="153">
        <f>'Geser &amp; Penulang Pilecap'!H351</f>
        <v>17.739354529068553</v>
      </c>
      <c r="I646" s="350" t="s">
        <v>12</v>
      </c>
    </row>
    <row r="647" spans="1:9" ht="18.75" customHeight="1" x14ac:dyDescent="0.25">
      <c r="A647" s="354"/>
      <c r="B647" s="94" t="s">
        <v>271</v>
      </c>
      <c r="C647" s="98"/>
      <c r="D647" s="95"/>
      <c r="E647" s="94"/>
      <c r="F647" s="95"/>
      <c r="G647" s="98" t="s">
        <v>278</v>
      </c>
      <c r="H647" s="149">
        <f>'Geser &amp; Penulang Pilecap'!H352</f>
        <v>378.03831598197166</v>
      </c>
      <c r="I647" s="350" t="s">
        <v>69</v>
      </c>
    </row>
    <row r="648" spans="1:9" ht="18.75" customHeight="1" x14ac:dyDescent="0.25">
      <c r="A648" s="354"/>
      <c r="B648" s="94" t="s">
        <v>269</v>
      </c>
      <c r="C648" s="98"/>
      <c r="D648" s="95"/>
      <c r="E648" s="94"/>
      <c r="F648" s="95"/>
      <c r="G648" s="98" t="s">
        <v>279</v>
      </c>
      <c r="H648" s="149">
        <f>'Geser &amp; Penulang Pilecap'!H353</f>
        <v>378.03831598197166</v>
      </c>
      <c r="I648" s="350" t="s">
        <v>69</v>
      </c>
    </row>
    <row r="649" spans="1:9" ht="18.75" customHeight="1" x14ac:dyDescent="0.25">
      <c r="A649" s="354"/>
      <c r="B649" s="217"/>
      <c r="C649" s="94"/>
      <c r="D649" s="94"/>
      <c r="E649" s="94"/>
      <c r="F649" s="94"/>
      <c r="G649" s="95"/>
      <c r="H649" s="224"/>
      <c r="I649" s="349"/>
    </row>
    <row r="650" spans="1:9" ht="18.75" customHeight="1" x14ac:dyDescent="0.25">
      <c r="A650" s="354"/>
      <c r="B650" s="217" t="s">
        <v>280</v>
      </c>
      <c r="C650" s="94"/>
      <c r="D650" s="94"/>
      <c r="E650" s="94"/>
      <c r="F650" s="94"/>
      <c r="G650" s="95"/>
      <c r="H650" s="224"/>
      <c r="I650" s="349"/>
    </row>
    <row r="651" spans="1:9" ht="18.75" customHeight="1" x14ac:dyDescent="0.25">
      <c r="A651" s="354"/>
      <c r="B651" s="217"/>
      <c r="C651" s="217" t="s">
        <v>281</v>
      </c>
      <c r="D651" s="94"/>
      <c r="E651" s="94"/>
      <c r="F651" s="98"/>
      <c r="G651" s="95"/>
      <c r="H651" s="224"/>
      <c r="I651" s="351"/>
    </row>
    <row r="652" spans="1:9" ht="18.75" customHeight="1" x14ac:dyDescent="0.25">
      <c r="A652" s="354"/>
      <c r="B652" s="217"/>
      <c r="C652" s="217"/>
      <c r="D652" s="94" t="s">
        <v>282</v>
      </c>
      <c r="E652" s="94"/>
      <c r="F652" s="94" t="s">
        <v>283</v>
      </c>
      <c r="G652" s="98"/>
      <c r="H652" s="95"/>
      <c r="I652" s="94"/>
    </row>
    <row r="653" spans="1:9" ht="18.75" customHeight="1" x14ac:dyDescent="0.25">
      <c r="A653" s="354"/>
      <c r="B653" s="217"/>
      <c r="C653" s="94"/>
      <c r="D653" s="215">
        <f>'Geser &amp; Penulang Pilecap'!D358</f>
        <v>4.2914861144768342E-2</v>
      </c>
      <c r="E653" s="95" t="str">
        <f>IF(D653&lt;F653,"&lt;","&gt;")</f>
        <v>&gt;</v>
      </c>
      <c r="F653" s="233">
        <f>'Geser &amp; Penulang Pilecap'!F358</f>
        <v>2E-3</v>
      </c>
      <c r="I653" s="94"/>
    </row>
    <row r="654" spans="1:9" ht="18.75" customHeight="1" x14ac:dyDescent="0.25">
      <c r="A654" s="354"/>
      <c r="B654" s="217" t="s">
        <v>284</v>
      </c>
      <c r="C654" s="94"/>
      <c r="D654" s="94"/>
      <c r="E654" s="94"/>
      <c r="F654" s="94"/>
      <c r="G654" s="96" t="s">
        <v>138</v>
      </c>
      <c r="H654" s="230" t="str">
        <f>IF(D653&lt;=F653,"Tekanan Terkontrol",IF(D653&lt;0.005,"Transisi",IF(D653&gt;0.005,"Tegangan Terkontrol","EROR")))</f>
        <v>Tegangan Terkontrol</v>
      </c>
      <c r="I654" s="224"/>
    </row>
    <row r="655" spans="1:9" ht="18.75" customHeight="1" x14ac:dyDescent="0.25">
      <c r="A655" s="354"/>
      <c r="B655" s="217" t="s">
        <v>285</v>
      </c>
      <c r="C655" s="94"/>
      <c r="D655" s="94"/>
      <c r="E655" s="94"/>
      <c r="F655" s="94"/>
      <c r="G655" s="98" t="str">
        <f>IF(D653&lt;=F653,"φ =",IF(D653&lt;0.005,"φ = 0,65 + 0,25 * (εs' - εs-yield)/(0,005 - εs-yield) =",IF(D653&gt;0.005,"φ =","EROR")))</f>
        <v>φ =</v>
      </c>
      <c r="H655" s="153">
        <f>'Geser &amp; Penulang Pilecap'!H361</f>
        <v>0.9</v>
      </c>
      <c r="I655" s="224"/>
    </row>
    <row r="656" spans="1:9" ht="18.75" customHeight="1" x14ac:dyDescent="0.25">
      <c r="A656" s="354"/>
      <c r="B656" s="217" t="s">
        <v>286</v>
      </c>
      <c r="C656" s="94"/>
      <c r="D656" s="94"/>
      <c r="E656" s="94"/>
      <c r="F656" s="94"/>
      <c r="G656" s="98" t="s">
        <v>287</v>
      </c>
      <c r="H656" s="149">
        <f>'Geser &amp; Penulang Pilecap'!H362</f>
        <v>99.835187723409518</v>
      </c>
      <c r="I656" s="224" t="s">
        <v>71</v>
      </c>
    </row>
    <row r="657" spans="1:9" ht="18.75" customHeight="1" x14ac:dyDescent="0.25">
      <c r="A657" s="354"/>
      <c r="B657" s="217"/>
      <c r="C657" s="94"/>
      <c r="D657" s="94"/>
      <c r="E657" s="94"/>
      <c r="F657" s="94"/>
      <c r="G657" s="98"/>
      <c r="H657" s="229"/>
      <c r="I657" s="224"/>
    </row>
    <row r="658" spans="1:9" ht="18.75" customHeight="1" x14ac:dyDescent="0.25">
      <c r="A658" s="354"/>
      <c r="B658" s="94"/>
      <c r="C658" s="94" t="s">
        <v>134</v>
      </c>
      <c r="D658" s="425" t="s">
        <v>288</v>
      </c>
      <c r="E658" s="95" t="s">
        <v>191</v>
      </c>
      <c r="F658" s="425" t="s">
        <v>289</v>
      </c>
      <c r="G658" s="94"/>
      <c r="H658" s="94"/>
      <c r="I658" s="94"/>
    </row>
    <row r="659" spans="1:9" ht="18.75" customHeight="1" x14ac:dyDescent="0.25">
      <c r="A659" s="354"/>
      <c r="B659" s="94"/>
      <c r="C659" s="94"/>
      <c r="D659" s="149">
        <f>'Geser &amp; Penulang Pilecap'!D365</f>
        <v>89.851668951068575</v>
      </c>
      <c r="E659" s="95" t="str">
        <f>IF(D659&gt;F659,"&gt;","&lt;")</f>
        <v>&gt;</v>
      </c>
      <c r="F659" s="149">
        <f>'Geser &amp; Penulang Pilecap'!F365</f>
        <v>83.117395054897486</v>
      </c>
      <c r="G659" s="96" t="s">
        <v>138</v>
      </c>
      <c r="H659" s="225" t="str">
        <f>IF(D659&gt;=F659,"AMAN  (OK)","BAHAYA  (NG)")</f>
        <v>AMAN  (OK)</v>
      </c>
      <c r="I659" s="94"/>
    </row>
    <row r="660" spans="1:9" ht="18.75" customHeight="1" x14ac:dyDescent="0.25">
      <c r="A660" s="353"/>
      <c r="B660" s="179"/>
      <c r="C660" s="179"/>
      <c r="D660" s="179"/>
      <c r="E660" s="100"/>
      <c r="F660" s="100"/>
      <c r="G660" s="92"/>
      <c r="H660" s="179"/>
      <c r="I660" s="91"/>
    </row>
    <row r="661" spans="1:9" ht="18.75" customHeight="1" x14ac:dyDescent="0.25">
      <c r="A661" s="352" t="s">
        <v>660</v>
      </c>
      <c r="B661" s="88" t="s">
        <v>646</v>
      </c>
      <c r="C661" s="89"/>
      <c r="D661" s="89"/>
      <c r="E661" s="109"/>
      <c r="F661" s="109"/>
      <c r="G661" s="109"/>
      <c r="H661" s="89"/>
      <c r="I661" s="89"/>
    </row>
    <row r="662" spans="1:9" ht="18.75" customHeight="1" x14ac:dyDescent="0.25">
      <c r="A662" s="353"/>
      <c r="B662" s="91" t="s">
        <v>292</v>
      </c>
      <c r="C662" s="91"/>
      <c r="D662" s="91"/>
      <c r="E662" s="100"/>
      <c r="F662" s="100"/>
      <c r="G662" s="92" t="s">
        <v>293</v>
      </c>
      <c r="H662" s="144">
        <f>'Geser &amp; Penulang Pilecap'!H368</f>
        <v>2E-3</v>
      </c>
      <c r="I662" s="91"/>
    </row>
    <row r="663" spans="1:9" ht="18.75" customHeight="1" x14ac:dyDescent="0.25">
      <c r="A663" s="353"/>
      <c r="B663" s="91" t="s">
        <v>294</v>
      </c>
      <c r="C663" s="91"/>
      <c r="D663" s="91"/>
      <c r="E663" s="100"/>
      <c r="F663" s="100"/>
      <c r="G663" s="92" t="s">
        <v>295</v>
      </c>
      <c r="H663" s="143">
        <f>'Geser &amp; Penulang Pilecap'!H369</f>
        <v>543</v>
      </c>
      <c r="I663" s="300" t="s">
        <v>259</v>
      </c>
    </row>
    <row r="664" spans="1:9" ht="18.75" customHeight="1" x14ac:dyDescent="0.25">
      <c r="A664" s="353"/>
      <c r="B664" s="91" t="s">
        <v>296</v>
      </c>
      <c r="C664" s="91"/>
      <c r="D664" s="91"/>
      <c r="E664" s="100"/>
      <c r="F664" s="100"/>
      <c r="G664" s="92" t="s">
        <v>297</v>
      </c>
      <c r="H664" s="163">
        <f>'Geser &amp; Penulang Pilecap'!H370</f>
        <v>543</v>
      </c>
      <c r="I664" s="300" t="s">
        <v>259</v>
      </c>
    </row>
    <row r="665" spans="1:9" ht="18.75" customHeight="1" x14ac:dyDescent="0.25">
      <c r="A665" s="353"/>
      <c r="B665" s="91" t="s">
        <v>298</v>
      </c>
      <c r="C665" s="179"/>
      <c r="D665" s="231"/>
      <c r="E665" s="100"/>
      <c r="F665" s="100"/>
      <c r="G665" s="164" t="s">
        <v>169</v>
      </c>
      <c r="H665" s="375">
        <f>'Geser &amp; Penulang Pilecap'!H371</f>
        <v>13</v>
      </c>
      <c r="I665" s="300" t="s">
        <v>12</v>
      </c>
    </row>
    <row r="666" spans="1:9" ht="18.75" customHeight="1" x14ac:dyDescent="0.25">
      <c r="A666" s="353"/>
      <c r="B666" s="91" t="s">
        <v>302</v>
      </c>
      <c r="C666" s="179"/>
      <c r="D666" s="231"/>
      <c r="E666" s="100"/>
      <c r="F666" s="100"/>
      <c r="G666" s="98" t="s">
        <v>445</v>
      </c>
      <c r="H666" s="143">
        <f>'Geser &amp; Penulang Pilecap'!H373</f>
        <v>1200</v>
      </c>
      <c r="I666" s="300" t="s">
        <v>12</v>
      </c>
    </row>
    <row r="667" spans="1:9" ht="18.75" customHeight="1" x14ac:dyDescent="0.25">
      <c r="A667" s="353"/>
      <c r="B667" s="91"/>
      <c r="C667" s="179"/>
      <c r="D667" s="231"/>
      <c r="E667" s="100"/>
      <c r="F667" s="100"/>
      <c r="G667" s="98" t="s">
        <v>446</v>
      </c>
      <c r="H667" s="163">
        <f>'Geser &amp; Penulang Pilecap'!H374</f>
        <v>450</v>
      </c>
      <c r="I667" s="300"/>
    </row>
    <row r="668" spans="1:9" ht="18.75" customHeight="1" x14ac:dyDescent="0.25">
      <c r="A668" s="353"/>
      <c r="B668" s="91" t="s">
        <v>300</v>
      </c>
      <c r="C668" s="179"/>
      <c r="D668" s="231"/>
      <c r="E668" s="100"/>
      <c r="F668" s="100"/>
      <c r="G668" s="92" t="s">
        <v>301</v>
      </c>
      <c r="H668" s="165">
        <f>'Geser &amp; Penulang Pilecap'!H372</f>
        <v>244.44252230970304</v>
      </c>
      <c r="I668" s="300" t="s">
        <v>12</v>
      </c>
    </row>
    <row r="669" spans="1:9" ht="18.75" customHeight="1" x14ac:dyDescent="0.25">
      <c r="A669" s="353"/>
      <c r="B669" s="91" t="s">
        <v>303</v>
      </c>
      <c r="C669" s="179"/>
      <c r="D669" s="231"/>
      <c r="E669" s="100"/>
      <c r="F669" s="100"/>
      <c r="G669" s="98" t="s">
        <v>304</v>
      </c>
      <c r="H669" s="163">
        <f>'Geser &amp; Penulang Pilecap'!H375</f>
        <v>200</v>
      </c>
      <c r="I669" s="300" t="s">
        <v>12</v>
      </c>
    </row>
    <row r="670" spans="1:9" ht="18.75" customHeight="1" x14ac:dyDescent="0.25">
      <c r="A670" s="353"/>
      <c r="B670" s="91" t="s">
        <v>305</v>
      </c>
      <c r="C670" s="91"/>
      <c r="D670" s="91"/>
      <c r="E670" s="100"/>
      <c r="F670" s="100"/>
      <c r="G670" s="92" t="s">
        <v>306</v>
      </c>
      <c r="H670" s="143">
        <f>'Geser &amp; Penulang Pilecap'!H376</f>
        <v>244.44252230970304</v>
      </c>
      <c r="I670" s="300" t="s">
        <v>12</v>
      </c>
    </row>
    <row r="671" spans="1:9" ht="18.75" customHeight="1" x14ac:dyDescent="0.25">
      <c r="A671" s="353"/>
      <c r="B671" s="91" t="s">
        <v>309</v>
      </c>
      <c r="C671" s="91"/>
      <c r="D671" s="91"/>
      <c r="E671" s="100"/>
      <c r="F671" s="100"/>
      <c r="G671" s="98" t="s">
        <v>310</v>
      </c>
      <c r="H671" s="163">
        <f>'Geser &amp; Penulang Pilecap'!H379</f>
        <v>200</v>
      </c>
      <c r="I671" s="300" t="s">
        <v>12</v>
      </c>
    </row>
    <row r="672" spans="1:9" ht="18.75" customHeight="1" x14ac:dyDescent="0.25">
      <c r="A672" s="353"/>
      <c r="B672" s="91" t="s">
        <v>311</v>
      </c>
      <c r="C672" s="91"/>
      <c r="D672" s="91"/>
      <c r="E672" s="100"/>
      <c r="F672" s="268"/>
      <c r="G672" s="267">
        <f>'Geser &amp; Penulang Pilecap'!G380</f>
        <v>13</v>
      </c>
      <c r="H672" s="376">
        <f>'Geser &amp; Penulang Pilecap'!H380</f>
        <v>200</v>
      </c>
      <c r="I672" s="100"/>
    </row>
    <row r="673" spans="1:9" ht="18.75" customHeight="1" x14ac:dyDescent="0.25">
      <c r="A673" s="353"/>
      <c r="B673" s="91" t="s">
        <v>312</v>
      </c>
      <c r="C673" s="91"/>
      <c r="D673" s="91"/>
      <c r="E673" s="100"/>
      <c r="F673" s="268"/>
      <c r="G673" s="267">
        <f>'Geser &amp; Penulang Pilecap'!G381</f>
        <v>13</v>
      </c>
      <c r="H673" s="376">
        <f>'Geser &amp; Penulang Pilecap'!H381</f>
        <v>200</v>
      </c>
      <c r="I673" s="100"/>
    </row>
    <row r="674" spans="1:9" ht="18.75" customHeight="1" x14ac:dyDescent="0.25">
      <c r="A674" s="353"/>
      <c r="B674" s="100"/>
      <c r="C674" s="100"/>
      <c r="D674" s="100"/>
      <c r="E674" s="100"/>
      <c r="F674" s="100"/>
      <c r="G674" s="100"/>
      <c r="H674" s="100"/>
      <c r="I674" s="100"/>
    </row>
    <row r="675" spans="1:9" ht="18.75" customHeight="1" x14ac:dyDescent="0.25">
      <c r="A675" s="353"/>
      <c r="B675" s="197"/>
      <c r="C675" s="197"/>
      <c r="D675" s="197"/>
      <c r="E675" s="197"/>
      <c r="F675" s="197"/>
      <c r="G675" s="197"/>
      <c r="H675" s="197"/>
      <c r="I675" s="197"/>
    </row>
  </sheetData>
  <mergeCells count="104">
    <mergeCell ref="A68:A69"/>
    <mergeCell ref="D68:D69"/>
    <mergeCell ref="B68:C69"/>
    <mergeCell ref="A1:I1"/>
    <mergeCell ref="A3:C6"/>
    <mergeCell ref="F3:I3"/>
    <mergeCell ref="F4:I4"/>
    <mergeCell ref="F5:I5"/>
    <mergeCell ref="F6:I6"/>
    <mergeCell ref="B169:C169"/>
    <mergeCell ref="D169:E169"/>
    <mergeCell ref="F169:G169"/>
    <mergeCell ref="H169:I169"/>
    <mergeCell ref="B170:C170"/>
    <mergeCell ref="D170:E170"/>
    <mergeCell ref="F170:G170"/>
    <mergeCell ref="E390:F390"/>
    <mergeCell ref="E391:F391"/>
    <mergeCell ref="H170:I170"/>
    <mergeCell ref="E387:F388"/>
    <mergeCell ref="E389:F389"/>
    <mergeCell ref="G357:H357"/>
    <mergeCell ref="B319:D319"/>
    <mergeCell ref="H241:I241"/>
    <mergeCell ref="B202:E202"/>
    <mergeCell ref="F202:I202"/>
    <mergeCell ref="B171:C171"/>
    <mergeCell ref="D171:E171"/>
    <mergeCell ref="F171:G171"/>
    <mergeCell ref="H171:I171"/>
    <mergeCell ref="E392:F392"/>
    <mergeCell ref="B320:C320"/>
    <mergeCell ref="B321:C321"/>
    <mergeCell ref="B322:C322"/>
    <mergeCell ref="B323:C323"/>
    <mergeCell ref="B387:D387"/>
    <mergeCell ref="B427:C427"/>
    <mergeCell ref="D427:F427"/>
    <mergeCell ref="D357:F357"/>
    <mergeCell ref="B389:C389"/>
    <mergeCell ref="B390:C390"/>
    <mergeCell ref="B391:C391"/>
    <mergeCell ref="B392:C392"/>
    <mergeCell ref="B388:D388"/>
    <mergeCell ref="G427:H427"/>
    <mergeCell ref="E318:F319"/>
    <mergeCell ref="E320:F320"/>
    <mergeCell ref="E321:F321"/>
    <mergeCell ref="E322:F322"/>
    <mergeCell ref="E323:F323"/>
    <mergeCell ref="B318:D318"/>
    <mergeCell ref="B416:B418"/>
    <mergeCell ref="C416:E416"/>
    <mergeCell ref="F416:F417"/>
    <mergeCell ref="G416:G417"/>
    <mergeCell ref="H416:H417"/>
    <mergeCell ref="B426:C426"/>
    <mergeCell ref="D426:F426"/>
    <mergeCell ref="G426:H426"/>
    <mergeCell ref="B358:C358"/>
    <mergeCell ref="D358:F358"/>
    <mergeCell ref="G358:H358"/>
    <mergeCell ref="B347:B349"/>
    <mergeCell ref="C347:E347"/>
    <mergeCell ref="F347:F348"/>
    <mergeCell ref="G347:G348"/>
    <mergeCell ref="H347:H348"/>
    <mergeCell ref="B357:C357"/>
    <mergeCell ref="B167:C167"/>
    <mergeCell ref="D167:E167"/>
    <mergeCell ref="F167:G167"/>
    <mergeCell ref="H167:I167"/>
    <mergeCell ref="B168:C168"/>
    <mergeCell ref="D168:E168"/>
    <mergeCell ref="F168:G168"/>
    <mergeCell ref="H168:I168"/>
    <mergeCell ref="B165:C165"/>
    <mergeCell ref="D165:E165"/>
    <mergeCell ref="F165:G165"/>
    <mergeCell ref="H165:I165"/>
    <mergeCell ref="B166:C166"/>
    <mergeCell ref="D166:E166"/>
    <mergeCell ref="F166:G166"/>
    <mergeCell ref="H166:I166"/>
    <mergeCell ref="B131:E131"/>
    <mergeCell ref="F131:I131"/>
    <mergeCell ref="B145:G145"/>
    <mergeCell ref="B148:G148"/>
    <mergeCell ref="B163:C163"/>
    <mergeCell ref="D163:E163"/>
    <mergeCell ref="F163:G163"/>
    <mergeCell ref="H163:I163"/>
    <mergeCell ref="B164:C164"/>
    <mergeCell ref="D164:E164"/>
    <mergeCell ref="F164:G164"/>
    <mergeCell ref="H164:I164"/>
    <mergeCell ref="B151:G151"/>
    <mergeCell ref="B161:C162"/>
    <mergeCell ref="D161:E161"/>
    <mergeCell ref="F161:G161"/>
    <mergeCell ref="H161:I161"/>
    <mergeCell ref="D162:E162"/>
    <mergeCell ref="F162:G162"/>
    <mergeCell ref="H162:I162"/>
  </mergeCells>
  <dataValidations disablePrompts="1" count="1">
    <dataValidation type="list" allowBlank="1" showInputMessage="1" showErrorMessage="1" sqref="F5:I6" xr:uid="{6F6034E7-2642-4379-B635-36649B08BE82}">
      <formula1>"Penulangan Daerah Lapangan, Penulangan Daerah Tumpuan"</formula1>
    </dataValidation>
  </dataValidations>
  <hyperlinks>
    <hyperlink ref="F6" r:id="rId1" xr:uid="{2650E492-E8DD-42B7-8CB5-36A00FAA2296}"/>
  </hyperlinks>
  <pageMargins left="0.7" right="0.7" top="0.75" bottom="0.75" header="0.3" footer="0.3"/>
  <pageSetup paperSize="9" orientation="portrait" horizontalDpi="4294967293" verticalDpi="0" r:id="rId2"/>
  <headerFooter>
    <oddHeader>&amp;L&amp;K05-021Versi 1.0&amp;C&amp;K05-021Page &amp;P&amp;R&amp;K05-021Release Date : Mei 2021</oddHeader>
    <oddFooter xml:space="preserve">&amp;L&amp;K05-023Dapatkan program bantu spreadsheet ini hanya di https://www.inpetra.id/ </oddFooter>
  </headerFooter>
  <ignoredErrors>
    <ignoredError sqref="H16:H17 H40:H46 H50:H54 H57:H58 H61:H64 G186:H188 H217 D205:H208 H665 H10:H14 G189:H192 G193:H198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About</vt:lpstr>
      <vt:lpstr>Input (1)</vt:lpstr>
      <vt:lpstr>Input (2)</vt:lpstr>
      <vt:lpstr>Fondasi Dalam</vt:lpstr>
      <vt:lpstr>Geser &amp; Penulang Pilecap</vt:lpstr>
      <vt:lpstr>Result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2021-05-26T01:17:12Z</cp:lastPrinted>
  <dcterms:created xsi:type="dcterms:W3CDTF">2021-05-04T02:47:14Z</dcterms:created>
  <dcterms:modified xsi:type="dcterms:W3CDTF">2021-05-30T02:58:08Z</dcterms:modified>
</cp:coreProperties>
</file>