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ady to Upload/"/>
    </mc:Choice>
  </mc:AlternateContent>
  <xr:revisionPtr revIDLastSave="28" documentId="8_{236D35F3-14ED-47E7-8F0A-44F5CFBC7031}" xr6:coauthVersionLast="47" xr6:coauthVersionMax="47" xr10:uidLastSave="{28431C47-9286-4826-92B8-A565B9CBB99E}"/>
  <bookViews>
    <workbookView xWindow="-120" yWindow="-120" windowWidth="29040" windowHeight="15990" xr2:uid="{00000000-000D-0000-FFFF-FFFF00000000}"/>
  </bookViews>
  <sheets>
    <sheet name="About" sheetId="5" r:id="rId1"/>
    <sheet name="Input" sheetId="1" r:id="rId2"/>
    <sheet name="Process" sheetId="2" r:id="rId3"/>
    <sheet name="Result" sheetId="3" r:id="rId4"/>
    <sheet name="Report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72" i="4" s="1"/>
  <c r="H141" i="4"/>
  <c r="H131" i="4"/>
  <c r="H165" i="4"/>
  <c r="H137" i="4"/>
  <c r="H129" i="4"/>
  <c r="H127" i="4"/>
  <c r="H126" i="4"/>
  <c r="H125" i="4"/>
  <c r="H123" i="4"/>
  <c r="H122" i="4"/>
  <c r="H115" i="4"/>
  <c r="H113" i="4"/>
  <c r="H112" i="4"/>
  <c r="H111" i="4"/>
  <c r="H108" i="4"/>
  <c r="D106" i="4"/>
  <c r="F106" i="4"/>
  <c r="H103" i="4"/>
  <c r="H102" i="4"/>
  <c r="H101" i="4"/>
  <c r="H100" i="4"/>
  <c r="H98" i="4"/>
  <c r="H97" i="4"/>
  <c r="H96" i="4"/>
  <c r="D90" i="4"/>
  <c r="H86" i="4"/>
  <c r="H85" i="4"/>
  <c r="H84" i="4"/>
  <c r="H82" i="4"/>
  <c r="H81" i="4"/>
  <c r="H79" i="4"/>
  <c r="H78" i="4"/>
  <c r="H73" i="4"/>
  <c r="H71" i="4"/>
  <c r="D68" i="4"/>
  <c r="F68" i="4"/>
  <c r="H65" i="4"/>
  <c r="H64" i="4"/>
  <c r="H63" i="4"/>
  <c r="H61" i="4"/>
  <c r="H60" i="4"/>
  <c r="H59" i="4"/>
  <c r="G55" i="4"/>
  <c r="E55" i="4"/>
  <c r="G52" i="4"/>
  <c r="E52" i="4"/>
  <c r="H47" i="4"/>
  <c r="H46" i="4"/>
  <c r="G45" i="4"/>
  <c r="G44" i="4"/>
  <c r="G43" i="4"/>
  <c r="H35" i="4"/>
  <c r="H34" i="4"/>
  <c r="H31" i="4"/>
  <c r="H30" i="4"/>
  <c r="H29" i="4"/>
  <c r="H28" i="4"/>
  <c r="H27" i="4"/>
  <c r="H26" i="4"/>
  <c r="H23" i="4"/>
  <c r="H22" i="4"/>
  <c r="F16" i="3"/>
  <c r="H24" i="2"/>
  <c r="H6" i="3"/>
  <c r="H5" i="3"/>
  <c r="H4" i="3"/>
  <c r="F52" i="4" l="1"/>
  <c r="E68" i="4"/>
  <c r="H68" i="4"/>
  <c r="E90" i="4"/>
  <c r="H90" i="4" s="1"/>
  <c r="H55" i="4"/>
  <c r="F55" i="4"/>
  <c r="H52" i="4"/>
  <c r="H106" i="4" l="1"/>
  <c r="E106" i="4" l="1"/>
  <c r="H79" i="2" l="1"/>
  <c r="I8" i="3" s="1"/>
  <c r="H69" i="2"/>
  <c r="H64" i="2"/>
  <c r="H65" i="2" s="1"/>
  <c r="H66" i="2" s="1"/>
  <c r="H67" i="2" s="1"/>
  <c r="H38" i="2"/>
  <c r="F13" i="3" s="1"/>
  <c r="H39" i="2"/>
  <c r="H23" i="2"/>
  <c r="H22" i="2"/>
  <c r="H21" i="2"/>
  <c r="H16" i="2"/>
  <c r="H14" i="2"/>
  <c r="H17" i="2" s="1"/>
  <c r="F11" i="2"/>
  <c r="H6" i="2"/>
  <c r="H42" i="2" s="1"/>
  <c r="H5" i="2"/>
  <c r="H3" i="2"/>
  <c r="H4" i="2" s="1"/>
  <c r="H52" i="2" s="1"/>
  <c r="H19" i="2" l="1"/>
  <c r="H74" i="4"/>
  <c r="D32" i="2"/>
  <c r="H104" i="2"/>
  <c r="H105" i="2" s="1"/>
  <c r="I7" i="3"/>
  <c r="H40" i="2"/>
  <c r="D47" i="2" s="1"/>
  <c r="H49" i="2" s="1"/>
  <c r="H75" i="2" s="1"/>
  <c r="H53" i="2"/>
  <c r="H54" i="2"/>
  <c r="H56" i="2" s="1"/>
  <c r="H16" i="3" s="1"/>
  <c r="H43" i="2"/>
  <c r="D11" i="2"/>
  <c r="H25" i="2"/>
  <c r="H27" i="2" s="1"/>
  <c r="H28" i="2" s="1"/>
  <c r="E32" i="2" s="1"/>
  <c r="H41" i="2"/>
  <c r="H44" i="2" s="1"/>
  <c r="F47" i="2" s="1"/>
  <c r="H62" i="2"/>
  <c r="H20" i="2" l="1"/>
  <c r="H76" i="4"/>
  <c r="G16" i="3"/>
  <c r="I16" i="3"/>
  <c r="H13" i="3"/>
  <c r="H34" i="2"/>
  <c r="H32" i="2"/>
  <c r="H11" i="2"/>
  <c r="E11" i="2"/>
  <c r="H47" i="2"/>
  <c r="H35" i="2" l="1"/>
  <c r="H92" i="4"/>
  <c r="F32" i="2"/>
  <c r="F90" i="4" s="1"/>
  <c r="H77" i="4"/>
  <c r="I13" i="3"/>
  <c r="G13" i="3"/>
  <c r="E47" i="2"/>
  <c r="H61" i="2"/>
  <c r="H63" i="2" l="1"/>
  <c r="H124" i="4" s="1"/>
  <c r="H60" i="2"/>
  <c r="H121" i="4" s="1"/>
  <c r="H93" i="4"/>
  <c r="H68" i="2" l="1"/>
  <c r="H76" i="2"/>
  <c r="G69" i="2" l="1"/>
  <c r="H130" i="4"/>
  <c r="G131" i="4" s="1"/>
  <c r="F141" i="4" s="1"/>
  <c r="H77" i="2"/>
  <c r="H138" i="4"/>
  <c r="H139" i="4" l="1"/>
  <c r="H78" i="2"/>
  <c r="H7" i="3"/>
  <c r="G46" i="4" s="1"/>
  <c r="H71" i="2"/>
  <c r="H70" i="2"/>
  <c r="F79" i="2"/>
  <c r="G8" i="3" s="1"/>
  <c r="F47" i="4" s="1"/>
  <c r="H132" i="4" l="1"/>
  <c r="H98" i="2"/>
  <c r="H162" i="4" s="1"/>
  <c r="H97" i="2"/>
  <c r="H72" i="2"/>
  <c r="H133" i="4"/>
  <c r="H134" i="4" s="1"/>
  <c r="G79" i="2"/>
  <c r="H140" i="4"/>
  <c r="G141" i="4" s="1"/>
  <c r="H8" i="3" l="1"/>
  <c r="G47" i="4" s="1"/>
  <c r="H80" i="2"/>
  <c r="H142" i="4" s="1"/>
  <c r="H161" i="4"/>
  <c r="H99" i="2"/>
  <c r="H100" i="2" l="1"/>
  <c r="H163" i="4"/>
  <c r="H102" i="2" l="1"/>
  <c r="H166" i="4" s="1"/>
  <c r="H164" i="4"/>
</calcChain>
</file>

<file path=xl/sharedStrings.xml><?xml version="1.0" encoding="utf-8"?>
<sst xmlns="http://schemas.openxmlformats.org/spreadsheetml/2006/main" count="528" uniqueCount="221">
  <si>
    <t>MPa</t>
  </si>
  <si>
    <t>kN</t>
  </si>
  <si>
    <t>→</t>
  </si>
  <si>
    <t>NO.</t>
  </si>
  <si>
    <t>EXPLANATORY</t>
  </si>
  <si>
    <t>FORMULA</t>
  </si>
  <si>
    <t>VALUE</t>
  </si>
  <si>
    <t>UNIT</t>
  </si>
  <si>
    <t>INPUT DATA PERENCANAAN</t>
  </si>
  <si>
    <t>A.</t>
  </si>
  <si>
    <t>&lt;</t>
  </si>
  <si>
    <t>h =</t>
  </si>
  <si>
    <t>A.1.</t>
  </si>
  <si>
    <t>Input Nilai Bahan Struktur</t>
  </si>
  <si>
    <t>Kuat tekan beton,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</si>
  <si>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</si>
  <si>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 xml:space="preserve">Tegangan leleh baja (deform) untuk tulangan lentur,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</si>
  <si>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</si>
  <si>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A.2.</t>
  </si>
  <si>
    <t>Input Nilai Dimensi Balok &amp; Pelat</t>
  </si>
  <si>
    <t>Lebar balok</t>
  </si>
  <si>
    <t>b =</t>
  </si>
  <si>
    <t>mm</t>
  </si>
  <si>
    <t>Tinggi balok</t>
  </si>
  <si>
    <t>Diameter tulangan (deform) yang digunakan,</t>
  </si>
  <si>
    <t>D =</t>
  </si>
  <si>
    <t>Diameter sengkang (polos) yang digunakan,</t>
  </si>
  <si>
    <t>P =</t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</si>
  <si>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</si>
  <si>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</si>
  <si>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Input Nilai Beban</t>
  </si>
  <si>
    <t xml:space="preserve">kN </t>
  </si>
  <si>
    <t>B.</t>
  </si>
  <si>
    <t>Jarak tulangan terhadap sisi luar beton,</t>
  </si>
  <si>
    <r>
      <t>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P + 0,5 * D =</t>
    </r>
  </si>
  <si>
    <r>
      <t>mm</t>
    </r>
    <r>
      <rPr>
        <vertAlign val="superscript"/>
        <sz val="11"/>
        <rFont val="Calibri"/>
        <family val="2"/>
        <scheme val="minor"/>
      </rPr>
      <t>2</t>
    </r>
  </si>
  <si>
    <r>
      <t>Untuk   :  17  ≤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≤  28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</si>
  <si>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</si>
  <si>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r>
      <t>Untuk   :  28  &lt;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&lt;  55 MPa,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</si>
  <si>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' 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 55 MPa,</t>
    </r>
  </si>
  <si>
    <t xml:space="preserve">Faktor bentuk distribusi tegangan beton,            </t>
  </si>
  <si>
    <t>ANALISA NILAI MOMEN PROBABILITAS</t>
  </si>
  <si>
    <t>Jarak pusat beban ke muka tumpuan,</t>
  </si>
  <si>
    <r>
      <t>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</si>
  <si>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uc</t>
    </r>
    <r>
      <rPr>
        <sz val="11"/>
        <rFont val="Calibri"/>
        <family val="2"/>
        <scheme val="minor"/>
      </rPr>
      <t xml:space="preserve"> =</t>
    </r>
  </si>
  <si>
    <t>Gaya geser ultimit akibat beban terfaktor,</t>
  </si>
  <si>
    <t>Gaya tarik horizontal ultimit akibat beban terfaktor,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</si>
  <si>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</si>
  <si>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Luas penampang beton yang menahan penyaluran geser,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</si>
  <si>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</si>
  <si>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Tinggi efektif penampang beton,</t>
  </si>
  <si>
    <r>
      <t>d = h - 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- 0,5 * D =</t>
    </r>
  </si>
  <si>
    <t>Koefisien friksi,</t>
  </si>
  <si>
    <t>μ =</t>
  </si>
  <si>
    <r>
      <rPr>
        <i/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</rPr>
      <t xml:space="preserve"> =</t>
    </r>
  </si>
  <si>
    <t>Kontrol dimensi penampang balok konsol,</t>
  </si>
  <si>
    <t>Syarat :</t>
  </si>
  <si>
    <t>syarat 1 :</t>
  </si>
  <si>
    <t>syarat 2 :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</si>
  <si>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</si>
  <si>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* 0,85 *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600 / ( 600 +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 =                  </t>
    </r>
  </si>
  <si>
    <t>Rasio tulangan maksimum,</t>
  </si>
  <si>
    <r>
      <t>ρ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0,75 * 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 =                  </t>
    </r>
  </si>
  <si>
    <t>Rasio tulangan minimum,</t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</si>
  <si>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( 4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= </t>
    </r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</si>
  <si>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1,4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 =                  </t>
    </r>
  </si>
  <si>
    <t>Jumlah tulangan dlm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</si>
  <si>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) / ( 25 + D ) + 1 =</t>
    </r>
  </si>
  <si>
    <t>Digunakan jumlah tulangan dalam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</si>
  <si>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</si>
  <si>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bh</t>
  </si>
  <si>
    <t>Jarak horisontal pusat ke pusat antara tulangan,</t>
  </si>
  <si>
    <r>
      <t>x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) / (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- 1 ) =</t>
    </r>
  </si>
  <si>
    <t>Rasio tegangan leleh baja dengan kuat tekan efektif beton,</t>
  </si>
  <si>
    <r>
      <t>m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( 0,85 *f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) =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</si>
  <si>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</si>
  <si>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Nilai momen negatif maksimum pada daerah tumpuan,</t>
  </si>
  <si>
    <t>kN.m</t>
  </si>
  <si>
    <t>Faktor tahanan momen,</t>
  </si>
  <si>
    <r>
      <t>R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 = M</t>
    </r>
    <r>
      <rPr>
        <i/>
        <vertAlign val="subscript"/>
        <sz val="11"/>
        <rFont val="Calibri"/>
        <family val="2"/>
        <scheme val="minor"/>
      </rPr>
      <t>u</t>
    </r>
    <r>
      <rPr>
        <i/>
        <sz val="11"/>
        <rFont val="Calibri"/>
        <family val="2"/>
        <scheme val="minor"/>
      </rPr>
      <t xml:space="preserve"> / ( φ</t>
    </r>
    <r>
      <rPr>
        <sz val="11"/>
        <rFont val="Calibri"/>
        <family val="2"/>
        <scheme val="minor"/>
      </rPr>
      <t xml:space="preserve"> * b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</si>
  <si>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Rasio tulangan perlu,</t>
  </si>
  <si>
    <r>
      <t>ρ</t>
    </r>
    <r>
      <rPr>
        <sz val="11"/>
        <rFont val="Calibri"/>
        <family val="2"/>
        <scheme val="minor"/>
      </rPr>
      <t xml:space="preserve"> = 1 / m * ( 1 - [ 1 - 2 * m * Rn / fy ]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) =</t>
    </r>
  </si>
  <si>
    <t>Kontrol nilai rasio tulangan perlu,</t>
  </si>
  <si>
    <t>ρ</t>
  </si>
  <si>
    <t>Rasio tulangan pakai,</t>
  </si>
  <si>
    <r>
      <t>ρ</t>
    </r>
    <r>
      <rPr>
        <sz val="11"/>
        <rFont val="Calibri"/>
        <family val="2"/>
        <scheme val="minor"/>
      </rPr>
      <t xml:space="preserve"> =</t>
    </r>
  </si>
  <si>
    <t>Luas tulangan yang diperlukan,</t>
  </si>
  <si>
    <t>Gaya tarik horizontal terfaktor minimum,</t>
  </si>
  <si>
    <r>
      <t>N</t>
    </r>
    <r>
      <rPr>
        <vertAlign val="subscript"/>
        <sz val="11"/>
        <color theme="1"/>
        <rFont val="Calibri"/>
        <family val="2"/>
        <scheme val="minor"/>
      </rPr>
      <t>uc-min</t>
    </r>
    <r>
      <rPr>
        <sz val="11"/>
        <color theme="1"/>
        <rFont val="Calibri"/>
        <family val="2"/>
        <scheme val="minor"/>
      </rPr>
      <t xml:space="preserve"> = 0,2 * 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</si>
  <si>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Gaya tarik horizontal terfaktor pakai,</t>
  </si>
  <si>
    <r>
      <t>N</t>
    </r>
    <r>
      <rPr>
        <vertAlign val="subscript"/>
        <sz val="11"/>
        <color theme="1"/>
        <rFont val="Calibri"/>
        <family val="2"/>
        <scheme val="minor"/>
      </rPr>
      <t>uc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</si>
  <si>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* 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+ N</t>
    </r>
    <r>
      <rPr>
        <vertAlign val="subscript"/>
        <sz val="11"/>
        <rFont val="Calibri"/>
        <family val="2"/>
        <scheme val="minor"/>
      </rPr>
      <t>uc</t>
    </r>
    <r>
      <rPr>
        <sz val="11"/>
        <rFont val="Calibri"/>
        <family val="2"/>
        <scheme val="minor"/>
      </rPr>
      <t xml:space="preserve"> * ( h - d ) =</t>
    </r>
  </si>
  <si>
    <t>Faktor reduksi untuk gaya momen, geser, &amp; tarik,</t>
  </si>
  <si>
    <t>Faktor reduksi kekuatan gaya momen,</t>
  </si>
  <si>
    <t>Faktor reduksi kekuatan gaya geser,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</si>
  <si>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</rPr>
      <t xml:space="preserve"> =</t>
    </r>
  </si>
  <si>
    <t>Gaya geser rencana perlu,</t>
  </si>
  <si>
    <t>Kondisi I :</t>
  </si>
  <si>
    <t>Kondisi II :</t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</si>
  <si>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 b * d =</t>
    </r>
  </si>
  <si>
    <t>Gaya geser rencana maksimum,</t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</si>
  <si>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0,2 * fc'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</si>
  <si>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(3,3 + 0,08 * fc')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</si>
  <si>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Kondisi III :</t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</si>
  <si>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11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</si>
  <si>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</t>
    </r>
  </si>
  <si>
    <t>Kontrol nilai gaya geser perlu terhadap gaya geser rencana,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</si>
  <si>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</si>
  <si>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</si>
  <si>
    <t>Kebutuhan Tulangan Utama Berdasarkan Gaya Geser Friksi</t>
  </si>
  <si>
    <t>Kebutuhan Tulangan Utama Berdasarkan Gaya Momen</t>
  </si>
  <si>
    <r>
      <t>A</t>
    </r>
    <r>
      <rPr>
        <vertAlign val="subscript"/>
        <sz val="11"/>
        <rFont val="Calibri"/>
        <family val="2"/>
        <scheme val="minor"/>
      </rPr>
      <t>vf</t>
    </r>
    <r>
      <rPr>
        <sz val="11"/>
        <rFont val="Calibri"/>
        <family val="2"/>
        <scheme val="minor"/>
      </rPr>
      <t xml:space="preserve"> = V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/ (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</t>
    </r>
    <r>
      <rPr>
        <sz val="11"/>
        <rFont val="Calibri"/>
        <family val="2"/>
      </rPr>
      <t>μ )</t>
    </r>
    <r>
      <rPr>
        <sz val="11"/>
        <rFont val="Calibri"/>
        <family val="2"/>
        <scheme val="minor"/>
      </rPr>
      <t xml:space="preserve"> = </t>
    </r>
  </si>
  <si>
    <t>Kebutuhan Tulangan Utama Berdasarkan Gaya Tarik Horizontal</t>
  </si>
  <si>
    <t>Gaya tarik horizontal perlu,</t>
  </si>
  <si>
    <r>
      <t>N</t>
    </r>
    <r>
      <rPr>
        <vertAlign val="subscript"/>
        <sz val="11"/>
        <rFont val="Calibri"/>
        <family val="2"/>
        <scheme val="minor"/>
      </rPr>
      <t>nc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uc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</rPr>
      <t>φ</t>
    </r>
    <r>
      <rPr>
        <sz val="11"/>
        <rFont val="Calibri"/>
        <family val="2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</si>
  <si>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nc</t>
    </r>
    <r>
      <rPr>
        <sz val="11"/>
        <rFont val="Calibri"/>
        <family val="2"/>
        <scheme val="minor"/>
      </rPr>
      <t xml:space="preserve">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</si>
  <si>
    <t>Perhitungan Tulangan Utama &amp; Tulangan Sengkang</t>
  </si>
  <si>
    <t>Luas tulangan tarik utama,</t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</si>
  <si>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 A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+ 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</si>
  <si>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 2/3 * A</t>
    </r>
    <r>
      <rPr>
        <vertAlign val="subscript"/>
        <sz val="11"/>
        <color theme="1"/>
        <rFont val="Calibri"/>
        <family val="2"/>
        <scheme val="minor"/>
      </rPr>
      <t>vf</t>
    </r>
    <r>
      <rPr>
        <sz val="11"/>
        <color theme="1"/>
        <rFont val="Calibri"/>
        <family val="2"/>
        <scheme val="minor"/>
      </rPr>
      <t xml:space="preserve"> + 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</si>
  <si>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</t>
    </r>
  </si>
  <si>
    <t>Jumlah tulangan yang diperlukan,</t>
  </si>
  <si>
    <t>Luas tulangan terpakai,</t>
  </si>
  <si>
    <t>Jumlah baris tulangan,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</si>
  <si>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n /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</si>
  <si>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Syarat:</t>
  </si>
  <si>
    <r>
      <t>n</t>
    </r>
    <r>
      <rPr>
        <vertAlign val="subscript"/>
        <sz val="11"/>
        <rFont val="Calibri"/>
        <family val="2"/>
        <scheme val="minor"/>
      </rPr>
      <t>b</t>
    </r>
  </si>
  <si>
    <t>&lt;    1</t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</si>
  <si>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 0,04 * fc'/f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</si>
  <si>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Luas tulangan sengkang,</t>
  </si>
  <si>
    <r>
      <t>A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 = A</t>
    </r>
    <r>
      <rPr>
        <vertAlign val="subscript"/>
        <sz val="11"/>
        <color theme="1"/>
        <rFont val="Calibri"/>
        <family val="2"/>
        <scheme val="minor"/>
      </rPr>
      <t>vf</t>
    </r>
    <r>
      <rPr>
        <sz val="11"/>
        <color theme="1"/>
        <rFont val="Calibri"/>
        <family val="2"/>
        <scheme val="minor"/>
      </rPr>
      <t xml:space="preserve"> / 3 =</t>
    </r>
  </si>
  <si>
    <r>
      <t>A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 = 0,5 * (A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+ 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=</t>
    </r>
  </si>
  <si>
    <t>Digunakan tulangan,</t>
  </si>
  <si>
    <r>
      <t>n = A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/ ( π / 4 * P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</si>
  <si>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Jumlah tulangan sengkang per tulangan utama,</t>
  </si>
  <si>
    <r>
      <t>A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= n *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=</t>
    </r>
  </si>
  <si>
    <r>
      <t>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 n / n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</t>
    </r>
  </si>
  <si>
    <t>jarak antar tulangan sengkang per tulangan utama,</t>
  </si>
  <si>
    <r>
      <t>y = (2/3 * d) / 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</si>
  <si>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t>Panjang Penyaluran</t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</si>
  <si>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 4 * </t>
    </r>
    <r>
      <rPr>
        <sz val="11"/>
        <color theme="1"/>
        <rFont val="Calibri"/>
        <family val="2"/>
      </rPr>
      <t>A</t>
    </r>
    <r>
      <rPr>
        <vertAlign val="subscript"/>
        <sz val="11"/>
        <color theme="1"/>
        <rFont val="Calibri"/>
        <family val="2"/>
      </rPr>
      <t>sc</t>
    </r>
    <r>
      <rPr>
        <sz val="11"/>
        <color theme="1"/>
        <rFont val="Calibri"/>
        <family val="2"/>
      </rPr>
      <t xml:space="preserve"> * D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</si>
  <si>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 </t>
    </r>
    <r>
      <rPr>
        <sz val="11"/>
        <color theme="1"/>
        <rFont val="Calibri"/>
        <family val="2"/>
      </rPr>
      <t>1/3 * A</t>
    </r>
    <r>
      <rPr>
        <vertAlign val="subscript"/>
        <sz val="11"/>
        <color theme="1"/>
        <rFont val="Calibri"/>
        <family val="2"/>
      </rPr>
      <t>sc</t>
    </r>
    <r>
      <rPr>
        <sz val="11"/>
        <color theme="1"/>
        <rFont val="Calibri"/>
        <family val="2"/>
      </rPr>
      <t xml:space="preserve"> * d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</si>
  <si>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</t>
    </r>
  </si>
  <si>
    <r>
      <t>mm</t>
    </r>
    <r>
      <rPr>
        <vertAlign val="superscript"/>
        <sz val="11"/>
        <rFont val="Calibri"/>
        <family val="2"/>
        <scheme val="minor"/>
      </rPr>
      <t>3</t>
    </r>
  </si>
  <si>
    <r>
      <t>Kebutuhan volume total panjang penyaluran untuk 1/3 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>,</t>
    </r>
  </si>
  <si>
    <t>Panjang penyaluran pakai,</t>
  </si>
  <si>
    <r>
      <t>l</t>
    </r>
    <r>
      <rPr>
        <vertAlign val="subscript"/>
        <sz val="11"/>
        <color theme="1"/>
        <rFont val="Calibri"/>
        <family val="2"/>
        <scheme val="minor"/>
      </rPr>
      <t>dh</t>
    </r>
    <r>
      <rPr>
        <sz val="11"/>
        <color theme="1"/>
        <rFont val="Calibri"/>
        <family val="2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</t>
    </r>
  </si>
  <si>
    <t>Panjang penyaluran perlu,</t>
  </si>
  <si>
    <r>
      <t>l</t>
    </r>
    <r>
      <rPr>
        <vertAlign val="subscript"/>
        <sz val="11"/>
        <color theme="1"/>
        <rFont val="Calibri"/>
        <family val="2"/>
        <scheme val="minor"/>
      </rPr>
      <t>dh</t>
    </r>
    <r>
      <rPr>
        <sz val="11"/>
        <color theme="1"/>
        <rFont val="Calibri"/>
        <family val="2"/>
        <scheme val="minor"/>
      </rPr>
      <t xml:space="preserve"> =</t>
    </r>
  </si>
  <si>
    <t>Panjang penyaluran minimum,</t>
  </si>
  <si>
    <r>
      <t>l</t>
    </r>
    <r>
      <rPr>
        <vertAlign val="subscript"/>
        <sz val="11"/>
        <color theme="1"/>
        <rFont val="Calibri"/>
        <family val="2"/>
        <scheme val="minor"/>
      </rPr>
      <t>dh-min</t>
    </r>
    <r>
      <rPr>
        <sz val="11"/>
        <color theme="1"/>
        <rFont val="Calibri"/>
        <family val="2"/>
        <scheme val="minor"/>
      </rPr>
      <t xml:space="preserve">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</si>
  <si>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perlu,</t>
    </r>
  </si>
  <si>
    <r>
      <t>l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</si>
  <si>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 xml:space="preserve"> = 12 * D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</si>
  <si>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pakai,</t>
    </r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</si>
  <si>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/ d</t>
    </r>
  </si>
  <si>
    <t>B.1.</t>
  </si>
  <si>
    <t>B.2.</t>
  </si>
  <si>
    <t>B.3.</t>
  </si>
  <si>
    <t>B.4.</t>
  </si>
  <si>
    <t>B.5.</t>
  </si>
  <si>
    <t>A.3.</t>
  </si>
  <si>
    <r>
      <t>n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/ (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</si>
  <si>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Dimensi &amp; Tulangan Balok</t>
  </si>
  <si>
    <t>Tinggi balok, h</t>
  </si>
  <si>
    <t>Lebar balok, b</t>
  </si>
  <si>
    <r>
      <t>Selimut beton balok, t</t>
    </r>
    <r>
      <rPr>
        <vertAlign val="subscript"/>
        <sz val="11"/>
        <color theme="1"/>
        <rFont val="Calibri"/>
        <family val="2"/>
        <scheme val="minor"/>
      </rPr>
      <t>s</t>
    </r>
  </si>
  <si>
    <t>Tulangan Transversal</t>
  </si>
  <si>
    <t>Kontrol gaya akibat beban terfaktor</t>
  </si>
  <si>
    <t>≤</t>
  </si>
  <si>
    <r>
      <t>Gaya geser ultimit, V</t>
    </r>
    <r>
      <rPr>
        <vertAlign val="subscript"/>
        <sz val="11"/>
        <color theme="1"/>
        <rFont val="Calibri"/>
        <family val="2"/>
        <scheme val="minor"/>
      </rPr>
      <t>u</t>
    </r>
  </si>
  <si>
    <r>
      <t>V</t>
    </r>
    <r>
      <rPr>
        <vertAlign val="subscript"/>
        <sz val="11"/>
        <rFont val="Calibri"/>
        <family val="2"/>
        <scheme val="minor"/>
      </rPr>
      <t>u</t>
    </r>
  </si>
  <si>
    <t>Tulangan Utama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</si>
  <si>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n-max</t>
    </r>
  </si>
  <si>
    <r>
      <t>ρ</t>
    </r>
    <r>
      <rPr>
        <i/>
        <vertAlign val="subscript"/>
        <sz val="11"/>
        <rFont val="Calibri"/>
        <family val="2"/>
        <scheme val="minor"/>
      </rPr>
      <t>min</t>
    </r>
  </si>
  <si>
    <r>
      <t>ρ</t>
    </r>
    <r>
      <rPr>
        <i/>
        <vertAlign val="subscript"/>
        <sz val="11"/>
        <rFont val="Calibri"/>
        <family val="2"/>
        <scheme val="minor"/>
      </rPr>
      <t>maks</t>
    </r>
  </si>
  <si>
    <r>
      <t>A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 </t>
    </r>
    <r>
      <rPr>
        <i/>
        <sz val="11"/>
        <rFont val="Calibri"/>
        <family val="2"/>
        <scheme val="minor"/>
      </rPr>
      <t>ρ</t>
    </r>
    <r>
      <rPr>
        <sz val="11"/>
        <rFont val="Calibri"/>
        <family val="2"/>
        <scheme val="minor"/>
      </rPr>
      <t xml:space="preserve"> * b * d = </t>
    </r>
  </si>
  <si>
    <r>
      <t>Gaya tarik ultimit, N</t>
    </r>
    <r>
      <rPr>
        <vertAlign val="subscript"/>
        <sz val="11"/>
        <color theme="1"/>
        <rFont val="Calibri"/>
        <family val="2"/>
        <scheme val="minor"/>
      </rPr>
      <t>u</t>
    </r>
  </si>
  <si>
    <r>
      <t>N</t>
    </r>
    <r>
      <rPr>
        <vertAlign val="subscript"/>
        <sz val="11"/>
        <rFont val="Calibri"/>
        <family val="2"/>
        <scheme val="minor"/>
      </rPr>
      <t>u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</si>
  <si>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N</t>
    </r>
    <r>
      <rPr>
        <vertAlign val="subscript"/>
        <sz val="11"/>
        <rFont val="Calibri"/>
        <family val="2"/>
        <scheme val="minor"/>
      </rPr>
      <t>n</t>
    </r>
  </si>
  <si>
    <t>DATA PERENCANAAN</t>
  </si>
  <si>
    <t>HASIL PERHITUNGAN PROGRAM BANTU SPREADSHEET</t>
  </si>
  <si>
    <t>Hasil untuk dimensi &amp; tulangan balok</t>
  </si>
  <si>
    <t>Hasil untuk kontrol gaya akibat beban terfaktor</t>
  </si>
  <si>
    <r>
      <t>Kebutuhan volume total panjang penyaluran untuk 1/3 A</t>
    </r>
    <r>
      <rPr>
        <vertAlign val="subscript"/>
        <sz val="11"/>
        <color theme="1"/>
        <rFont val="Calibri"/>
        <family val="2"/>
        <scheme val="minor"/>
      </rPr>
      <t xml:space="preserve">sc </t>
    </r>
    <r>
      <rPr>
        <sz val="11"/>
        <color theme="1"/>
        <rFont val="Calibri"/>
        <family val="2"/>
        <scheme val="minor"/>
      </rPr>
      <t>,</t>
    </r>
  </si>
  <si>
    <t>Nilai Bahan Struktur</t>
  </si>
  <si>
    <t>Nilai Dimensi Balok &amp; Pelat</t>
  </si>
  <si>
    <t>Nilai Gaya Reaksi Akibat Beban Terfaktor</t>
  </si>
  <si>
    <t>Gaya geser ultimit,</t>
  </si>
  <si>
    <t>Gaya tarik horizontal ultimit,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</si>
  <si>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</si>
  <si>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</si>
  <si>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</si>
  <si>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</si>
  <si>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</si>
  <si>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</si>
  <si>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</si>
  <si>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</si>
  <si>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Penulangan Balok Konsol Struktur Beton Bertulang</t>
  </si>
  <si>
    <t>C.</t>
  </si>
  <si>
    <t>C.1.</t>
  </si>
  <si>
    <t>C.2.</t>
  </si>
  <si>
    <t>C.3.</t>
  </si>
  <si>
    <t>C.4.</t>
  </si>
  <si>
    <t>C.5.</t>
  </si>
  <si>
    <t>Judul Program</t>
  </si>
  <si>
    <t>:</t>
  </si>
  <si>
    <t>Versi Program</t>
  </si>
  <si>
    <t>V1.00</t>
  </si>
  <si>
    <t>Update ke 0</t>
  </si>
  <si>
    <t>Mei 2021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</si>
  <si>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</si>
  <si>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</si>
  <si>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</si>
  <si>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</si>
  <si>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</si>
  <si>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</si>
  <si>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</si>
  <si>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</si>
  <si>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Penulangan Penampang Balok konsol Struktur Beton Bertulang</t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</si>
  <si>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0,85 - 0,05 * (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- 28) / 7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</si>
</sst>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name val="Calibri Light"/>
      <family val="2"/>
      <scheme val="major"/>
    </font>
    <font>
      <sz val="11"/>
      <color theme="0" tint="-0.1499984740745262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sz val="11"/>
      <color theme="1"/>
      <name val="Calibri"/>
      <family val="2"/>
      <charset val="1"/>
      <scheme val="minor"/>
    </font>
    <font>
      <b/>
      <sz val="12"/>
      <color theme="0"/>
      <name val="Calibri Light"/>
      <family val="2"/>
      <scheme val="major"/>
    </font>
    <font>
      <b/>
      <sz val="12"/>
      <color theme="0"/>
      <name val="Calibri Light"/>
      <family val="2"/>
      <charset val="1"/>
      <scheme val="major"/>
    </font>
    <font>
      <b/>
      <sz val="11"/>
      <name val="Calibri Light"/>
      <family val="2"/>
      <charset val="1"/>
      <scheme val="major"/>
    </font>
    <font>
      <b/>
      <sz val="1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65">
    <xf numFmtId="0" fontId="0" fillId="0" borderId="0" xfId="0"/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1" fillId="4" borderId="3" xfId="1" applyFont="1" applyFill="1" applyBorder="1" applyAlignment="1">
      <alignment horizontal="center" vertical="center"/>
    </xf>
    <xf numFmtId="2" fontId="11" fillId="4" borderId="3" xfId="1" applyNumberFormat="1" applyFont="1" applyFill="1" applyBorder="1" applyAlignment="1" applyProtection="1">
      <alignment horizontal="center" vertical="center"/>
      <protection locked="0"/>
    </xf>
    <xf numFmtId="1" fontId="11" fillId="4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2" fontId="0" fillId="0" borderId="3" xfId="0" applyNumberForma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2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" fontId="2" fillId="0" borderId="5" xfId="1" applyNumberFormat="1" applyFont="1" applyBorder="1" applyAlignment="1">
      <alignment horizontal="right" vertical="center"/>
    </xf>
    <xf numFmtId="1" fontId="2" fillId="0" borderId="5" xfId="1" applyNumberFormat="1" applyFont="1" applyBorder="1" applyAlignment="1">
      <alignment vertical="center"/>
    </xf>
    <xf numFmtId="1" fontId="2" fillId="0" borderId="6" xfId="1" applyNumberFormat="1" applyFont="1" applyBorder="1" applyAlignment="1">
      <alignment horizontal="right" vertical="center"/>
    </xf>
    <xf numFmtId="0" fontId="2" fillId="3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0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0" fontId="2" fillId="3" borderId="9" xfId="1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9" xfId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2" fontId="10" fillId="0" borderId="0" xfId="1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1" fontId="2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left" vertical="center" indent="1"/>
    </xf>
    <xf numFmtId="1" fontId="2" fillId="0" borderId="0" xfId="1" applyNumberFormat="1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24" fillId="2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5" borderId="0" xfId="1" applyFont="1" applyFill="1" applyBorder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indent="1"/>
    </xf>
    <xf numFmtId="0" fontId="2" fillId="3" borderId="9" xfId="1" applyFont="1" applyFill="1" applyBorder="1" applyAlignment="1">
      <alignment horizontal="left" vertical="center" indent="1"/>
    </xf>
    <xf numFmtId="0" fontId="2" fillId="0" borderId="9" xfId="1" applyFont="1" applyBorder="1" applyAlignment="1">
      <alignment horizontal="left" vertical="center" indent="1"/>
    </xf>
    <xf numFmtId="164" fontId="2" fillId="0" borderId="9" xfId="1" applyNumberFormat="1" applyFont="1" applyBorder="1" applyAlignment="1">
      <alignment horizontal="left" vertical="center" indent="2"/>
    </xf>
    <xf numFmtId="0" fontId="0" fillId="0" borderId="0" xfId="0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" fontId="0" fillId="0" borderId="5" xfId="0" applyNumberFormat="1" applyBorder="1" applyAlignment="1">
      <alignment vertical="center"/>
    </xf>
    <xf numFmtId="164" fontId="2" fillId="0" borderId="6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25" fillId="3" borderId="0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" fillId="3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166" fontId="0" fillId="0" borderId="3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left" vertical="center" indent="1"/>
    </xf>
    <xf numFmtId="164" fontId="2" fillId="0" borderId="0" xfId="1" applyNumberFormat="1" applyFont="1" applyBorder="1" applyAlignment="1">
      <alignment horizontal="left" vertical="center" indent="2"/>
    </xf>
    <xf numFmtId="164" fontId="2" fillId="0" borderId="0" xfId="1" applyNumberFormat="1" applyFont="1" applyBorder="1" applyAlignment="1">
      <alignment horizontal="left" vertical="center" indent="1"/>
    </xf>
    <xf numFmtId="164" fontId="0" fillId="0" borderId="0" xfId="0" applyNumberFormat="1" applyFill="1" applyBorder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8" fillId="5" borderId="0" xfId="1" applyFont="1" applyFill="1" applyAlignment="1">
      <alignment vertical="center"/>
    </xf>
    <xf numFmtId="0" fontId="29" fillId="5" borderId="0" xfId="1" applyFont="1" applyFill="1" applyAlignment="1">
      <alignment vertical="center"/>
    </xf>
    <xf numFmtId="0" fontId="29" fillId="5" borderId="0" xfId="1" applyFont="1" applyFill="1" applyAlignment="1">
      <alignment horizontal="right" vertical="center"/>
    </xf>
    <xf numFmtId="0" fontId="29" fillId="5" borderId="0" xfId="1" applyFont="1" applyFill="1" applyAlignment="1">
      <alignment horizontal="center" vertical="center"/>
    </xf>
    <xf numFmtId="0" fontId="29" fillId="5" borderId="0" xfId="1" applyFont="1" applyFill="1" applyAlignment="1">
      <alignment horizontal="left" vertical="center" indent="1"/>
    </xf>
    <xf numFmtId="0" fontId="30" fillId="5" borderId="0" xfId="1" applyFont="1" applyFill="1" applyBorder="1" applyAlignment="1">
      <alignment horizontal="center" vertical="center"/>
    </xf>
    <xf numFmtId="0" fontId="30" fillId="5" borderId="0" xfId="1" applyFont="1" applyFill="1" applyBorder="1" applyAlignment="1">
      <alignment horizontal="left" vertical="center"/>
    </xf>
    <xf numFmtId="0" fontId="22" fillId="5" borderId="0" xfId="1" applyFont="1" applyFill="1" applyBorder="1" applyAlignment="1">
      <alignment horizontal="right" vertical="center"/>
    </xf>
    <xf numFmtId="0" fontId="22" fillId="5" borderId="0" xfId="1" applyFont="1" applyFill="1" applyBorder="1" applyAlignment="1">
      <alignment horizontal="left" vertical="center"/>
    </xf>
    <xf numFmtId="1" fontId="10" fillId="6" borderId="5" xfId="1" applyNumberFormat="1" applyFont="1" applyFill="1" applyBorder="1" applyAlignment="1">
      <alignment horizontal="center" vertical="center"/>
    </xf>
    <xf numFmtId="1" fontId="10" fillId="6" borderId="4" xfId="1" applyNumberFormat="1" applyFont="1" applyFill="1" applyBorder="1" applyAlignment="1">
      <alignment horizontal="center" vertical="center"/>
    </xf>
    <xf numFmtId="1" fontId="10" fillId="6" borderId="6" xfId="1" applyNumberFormat="1" applyFont="1" applyFill="1" applyBorder="1" applyAlignment="1">
      <alignment horizontal="center" vertical="center"/>
    </xf>
    <xf numFmtId="0" fontId="31" fillId="7" borderId="0" xfId="0" applyFont="1" applyFill="1" applyAlignment="1">
      <alignment vertical="center"/>
    </xf>
    <xf numFmtId="0" fontId="32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vertical="center"/>
    </xf>
    <xf numFmtId="0" fontId="32" fillId="7" borderId="0" xfId="0" quotePrefix="1" applyFont="1" applyFill="1" applyAlignment="1">
      <alignment vertical="center"/>
    </xf>
    <xf numFmtId="0" fontId="33" fillId="7" borderId="0" xfId="2" quotePrefix="1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34" fillId="7" borderId="0" xfId="0" applyFont="1" applyFill="1" applyAlignment="1">
      <alignment vertical="center"/>
    </xf>
    <xf numFmtId="0" fontId="22" fillId="7" borderId="0" xfId="0" applyFont="1" applyFill="1" applyAlignment="1">
      <alignment vertical="center" wrapText="1"/>
    </xf>
    <xf numFmtId="0" fontId="35" fillId="7" borderId="0" xfId="2" applyFont="1" applyFill="1" applyAlignment="1">
      <alignment vertical="center"/>
    </xf>
    <xf numFmtId="0" fontId="36" fillId="7" borderId="0" xfId="0" applyFont="1" applyFill="1" applyAlignment="1">
      <alignment vertical="center"/>
    </xf>
    <xf numFmtId="0" fontId="22" fillId="5" borderId="2" xfId="1" applyFont="1" applyFill="1" applyBorder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20" fontId="0" fillId="0" borderId="5" xfId="0" quotePrefix="1" applyNumberForma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6" fillId="0" borderId="5" xfId="2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123B5A32-2514-4FB3-AC46-F0879DB86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3ACC0-0B68-4CB5-ADEB-26D217D15FBA}"/>
            </a:ext>
          </a:extLst>
        </xdr:cNvPr>
        <xdr:cNvSpPr/>
      </xdr:nvSpPr>
      <xdr:spPr>
        <a:xfrm>
          <a:off x="1724025" y="4695825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48A45-DAD0-46C5-BF5B-0B5A6504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762250"/>
          <a:ext cx="148590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95250</xdr:rowOff>
    </xdr:from>
    <xdr:to>
      <xdr:col>7</xdr:col>
      <xdr:colOff>873675</xdr:colOff>
      <xdr:row>13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AAC948-8AFB-4122-AE8E-5A381C5E2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442" b="22768"/>
        <a:stretch/>
      </xdr:blipFill>
      <xdr:spPr>
        <a:xfrm>
          <a:off x="1038225" y="571500"/>
          <a:ext cx="5760000" cy="2628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773430</xdr:colOff>
      <xdr:row>30</xdr:row>
      <xdr:rowOff>0</xdr:rowOff>
    </xdr:from>
    <xdr:to>
      <xdr:col>4</xdr:col>
      <xdr:colOff>207645</xdr:colOff>
      <xdr:row>31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CC473E-E062-4C6C-B2C3-06DDA6E8EAE3}"/>
            </a:ext>
          </a:extLst>
        </xdr:cNvPr>
        <xdr:cNvSpPr txBox="1"/>
      </xdr:nvSpPr>
      <xdr:spPr>
        <a:xfrm>
          <a:off x="2773680" y="14763750"/>
          <a:ext cx="24384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30</xdr:row>
      <xdr:rowOff>0</xdr:rowOff>
    </xdr:from>
    <xdr:to>
      <xdr:col>5</xdr:col>
      <xdr:colOff>127635</xdr:colOff>
      <xdr:row>31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B464A4-2B1B-4BA4-8D69-724D72015534}"/>
            </a:ext>
          </a:extLst>
        </xdr:cNvPr>
        <xdr:cNvSpPr txBox="1"/>
      </xdr:nvSpPr>
      <xdr:spPr>
        <a:xfrm>
          <a:off x="3560445" y="14763750"/>
          <a:ext cx="1866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30</xdr:row>
      <xdr:rowOff>198120</xdr:rowOff>
    </xdr:from>
    <xdr:to>
      <xdr:col>4</xdr:col>
      <xdr:colOff>192405</xdr:colOff>
      <xdr:row>31</xdr:row>
      <xdr:rowOff>182880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7F6048-524B-4C10-9773-4096BC392747}"/>
            </a:ext>
          </a:extLst>
        </xdr:cNvPr>
        <xdr:cNvSpPr txBox="1"/>
      </xdr:nvSpPr>
      <xdr:spPr>
        <a:xfrm>
          <a:off x="2767965" y="14961870"/>
          <a:ext cx="23431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30</xdr:row>
      <xdr:rowOff>198120</xdr:rowOff>
    </xdr:from>
    <xdr:to>
      <xdr:col>5</xdr:col>
      <xdr:colOff>112395</xdr:colOff>
      <xdr:row>31</xdr:row>
      <xdr:rowOff>182880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190B726-9F49-481D-8618-7D517AFF4643}"/>
            </a:ext>
          </a:extLst>
        </xdr:cNvPr>
        <xdr:cNvSpPr txBox="1"/>
      </xdr:nvSpPr>
      <xdr:spPr>
        <a:xfrm>
          <a:off x="3564255" y="14961870"/>
          <a:ext cx="167640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169545</xdr:colOff>
      <xdr:row>67</xdr:row>
      <xdr:rowOff>228600</xdr:rowOff>
    </xdr:from>
    <xdr:to>
      <xdr:col>8</xdr:col>
      <xdr:colOff>17145</xdr:colOff>
      <xdr:row>68</xdr:row>
      <xdr:rowOff>200025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56296F-4C78-48B8-92E6-2929B99FAC35}"/>
            </a:ext>
          </a:extLst>
        </xdr:cNvPr>
        <xdr:cNvSpPr txBox="1"/>
      </xdr:nvSpPr>
      <xdr:spPr>
        <a:xfrm>
          <a:off x="6094095" y="16621125"/>
          <a:ext cx="9906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169545</xdr:colOff>
      <xdr:row>77</xdr:row>
      <xdr:rowOff>228600</xdr:rowOff>
    </xdr:from>
    <xdr:to>
      <xdr:col>8</xdr:col>
      <xdr:colOff>17145</xdr:colOff>
      <xdr:row>78</xdr:row>
      <xdr:rowOff>200025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9DC3C6F-5062-45B5-B734-0820C7DC724B}"/>
            </a:ext>
          </a:extLst>
        </xdr:cNvPr>
        <xdr:cNvSpPr txBox="1"/>
      </xdr:nvSpPr>
      <xdr:spPr>
        <a:xfrm>
          <a:off x="6094095" y="19002375"/>
          <a:ext cx="9906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6</xdr:col>
      <xdr:colOff>379095</xdr:colOff>
      <xdr:row>77</xdr:row>
      <xdr:rowOff>209550</xdr:rowOff>
    </xdr:from>
    <xdr:to>
      <xdr:col>6</xdr:col>
      <xdr:colOff>666750</xdr:colOff>
      <xdr:row>79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8F9EABB-AD22-41A6-96B5-E87DB4DDCAD1}"/>
            </a:ext>
          </a:extLst>
        </xdr:cNvPr>
        <xdr:cNvSpPr txBox="1"/>
      </xdr:nvSpPr>
      <xdr:spPr>
        <a:xfrm>
          <a:off x="5351145" y="18983325"/>
          <a:ext cx="28765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 editAs="oneCell">
    <xdr:from>
      <xdr:col>1</xdr:col>
      <xdr:colOff>628650</xdr:colOff>
      <xdr:row>83</xdr:row>
      <xdr:rowOff>47625</xdr:rowOff>
    </xdr:from>
    <xdr:to>
      <xdr:col>7</xdr:col>
      <xdr:colOff>911775</xdr:colOff>
      <xdr:row>95</xdr:row>
      <xdr:rowOff>38101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28BC3A6-C1B4-4C62-9946-9FD8556BE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208" b="22393"/>
        <a:stretch/>
      </xdr:blipFill>
      <xdr:spPr>
        <a:xfrm>
          <a:off x="1076325" y="19773900"/>
          <a:ext cx="5760000" cy="2847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1360</xdr:rowOff>
    </xdr:from>
    <xdr:to>
      <xdr:col>8</xdr:col>
      <xdr:colOff>259080</xdr:colOff>
      <xdr:row>6</xdr:row>
      <xdr:rowOff>214175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708F00-ED1C-4B12-A56B-09C09D8934EE}"/>
            </a:ext>
          </a:extLst>
        </xdr:cNvPr>
        <xdr:cNvSpPr txBox="1"/>
      </xdr:nvSpPr>
      <xdr:spPr>
        <a:xfrm>
          <a:off x="4572000" y="1430110"/>
          <a:ext cx="259080" cy="212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8</xdr:col>
      <xdr:colOff>13608</xdr:colOff>
      <xdr:row>6</xdr:row>
      <xdr:rowOff>228600</xdr:rowOff>
    </xdr:from>
    <xdr:to>
      <xdr:col>8</xdr:col>
      <xdr:colOff>272688</xdr:colOff>
      <xdr:row>7</xdr:row>
      <xdr:rowOff>199208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3B24BE1-2415-450C-B49D-AA85ED6BF9A3}"/>
            </a:ext>
          </a:extLst>
        </xdr:cNvPr>
        <xdr:cNvSpPr txBox="1"/>
      </xdr:nvSpPr>
      <xdr:spPr>
        <a:xfrm>
          <a:off x="3976008" y="1609725"/>
          <a:ext cx="259080" cy="20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7</xdr:col>
      <xdr:colOff>118383</xdr:colOff>
      <xdr:row>6</xdr:row>
      <xdr:rowOff>228600</xdr:rowOff>
    </xdr:from>
    <xdr:to>
      <xdr:col>7</xdr:col>
      <xdr:colOff>377463</xdr:colOff>
      <xdr:row>7</xdr:row>
      <xdr:rowOff>199208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B931C8F-D269-4821-A84C-50F8E4FA94BB}"/>
            </a:ext>
          </a:extLst>
        </xdr:cNvPr>
        <xdr:cNvSpPr txBox="1"/>
      </xdr:nvSpPr>
      <xdr:spPr>
        <a:xfrm>
          <a:off x="4080783" y="1609725"/>
          <a:ext cx="259080" cy="20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45</xdr:row>
      <xdr:rowOff>1360</xdr:rowOff>
    </xdr:from>
    <xdr:to>
      <xdr:col>7</xdr:col>
      <xdr:colOff>259080</xdr:colOff>
      <xdr:row>45</xdr:row>
      <xdr:rowOff>214175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BC262BE-810C-43A6-BD86-D63AE8E26E92}"/>
            </a:ext>
          </a:extLst>
        </xdr:cNvPr>
        <xdr:cNvSpPr txBox="1"/>
      </xdr:nvSpPr>
      <xdr:spPr>
        <a:xfrm>
          <a:off x="4572000" y="1382485"/>
          <a:ext cx="259080" cy="212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13608</xdr:colOff>
      <xdr:row>45</xdr:row>
      <xdr:rowOff>228600</xdr:rowOff>
    </xdr:from>
    <xdr:to>
      <xdr:col>7</xdr:col>
      <xdr:colOff>272688</xdr:colOff>
      <xdr:row>46</xdr:row>
      <xdr:rowOff>199208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E02CE07-CF27-4DCD-AEC4-9B332F609334}"/>
            </a:ext>
          </a:extLst>
        </xdr:cNvPr>
        <xdr:cNvSpPr txBox="1"/>
      </xdr:nvSpPr>
      <xdr:spPr>
        <a:xfrm>
          <a:off x="4585608" y="1609725"/>
          <a:ext cx="259080" cy="20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6</xdr:col>
      <xdr:colOff>118383</xdr:colOff>
      <xdr:row>45</xdr:row>
      <xdr:rowOff>228600</xdr:rowOff>
    </xdr:from>
    <xdr:to>
      <xdr:col>6</xdr:col>
      <xdr:colOff>377463</xdr:colOff>
      <xdr:row>46</xdr:row>
      <xdr:rowOff>199208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DADEFD9D-4FE5-4927-AF20-A74243D9C071}"/>
            </a:ext>
          </a:extLst>
        </xdr:cNvPr>
        <xdr:cNvSpPr txBox="1"/>
      </xdr:nvSpPr>
      <xdr:spPr>
        <a:xfrm>
          <a:off x="4080783" y="1609725"/>
          <a:ext cx="259080" cy="20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>
    <xdr:from>
      <xdr:col>3</xdr:col>
      <xdr:colOff>773430</xdr:colOff>
      <xdr:row>88</xdr:row>
      <xdr:rowOff>0</xdr:rowOff>
    </xdr:from>
    <xdr:to>
      <xdr:col>4</xdr:col>
      <xdr:colOff>207645</xdr:colOff>
      <xdr:row>89</xdr:row>
      <xdr:rowOff>22860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0CBB744-FD21-4A71-AE71-FDE20B6AFAA9}"/>
            </a:ext>
          </a:extLst>
        </xdr:cNvPr>
        <xdr:cNvSpPr txBox="1"/>
      </xdr:nvSpPr>
      <xdr:spPr>
        <a:xfrm>
          <a:off x="3030855" y="7105650"/>
          <a:ext cx="3390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88</xdr:row>
      <xdr:rowOff>0</xdr:rowOff>
    </xdr:from>
    <xdr:to>
      <xdr:col>5</xdr:col>
      <xdr:colOff>127635</xdr:colOff>
      <xdr:row>89</xdr:row>
      <xdr:rowOff>22860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0C0C376-5772-4EA4-B0B1-2E697425E041}"/>
            </a:ext>
          </a:extLst>
        </xdr:cNvPr>
        <xdr:cNvSpPr txBox="1"/>
      </xdr:nvSpPr>
      <xdr:spPr>
        <a:xfrm>
          <a:off x="3912870" y="7105650"/>
          <a:ext cx="28194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88</xdr:row>
      <xdr:rowOff>198120</xdr:rowOff>
    </xdr:from>
    <xdr:to>
      <xdr:col>4</xdr:col>
      <xdr:colOff>192405</xdr:colOff>
      <xdr:row>89</xdr:row>
      <xdr:rowOff>182880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3AE92BE-440A-474E-B372-E835C561AC25}"/>
            </a:ext>
          </a:extLst>
        </xdr:cNvPr>
        <xdr:cNvSpPr txBox="1"/>
      </xdr:nvSpPr>
      <xdr:spPr>
        <a:xfrm>
          <a:off x="3025140" y="7303770"/>
          <a:ext cx="32956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88</xdr:row>
      <xdr:rowOff>198120</xdr:rowOff>
    </xdr:from>
    <xdr:to>
      <xdr:col>5</xdr:col>
      <xdr:colOff>112395</xdr:colOff>
      <xdr:row>89</xdr:row>
      <xdr:rowOff>182880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9DB7F1F-F3CD-4645-8770-8AF6494A0589}"/>
            </a:ext>
          </a:extLst>
        </xdr:cNvPr>
        <xdr:cNvSpPr txBox="1"/>
      </xdr:nvSpPr>
      <xdr:spPr>
        <a:xfrm>
          <a:off x="3916680" y="7303770"/>
          <a:ext cx="262890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36195</xdr:colOff>
      <xdr:row>129</xdr:row>
      <xdr:rowOff>228600</xdr:rowOff>
    </xdr:from>
    <xdr:to>
      <xdr:col>7</xdr:col>
      <xdr:colOff>288195</xdr:colOff>
      <xdr:row>130</xdr:row>
      <xdr:rowOff>200025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97D4CAE-54F0-4BF6-B598-E5CBC6ED853B}"/>
            </a:ext>
          </a:extLst>
        </xdr:cNvPr>
        <xdr:cNvSpPr txBox="1"/>
      </xdr:nvSpPr>
      <xdr:spPr>
        <a:xfrm>
          <a:off x="4503420" y="29517975"/>
          <a:ext cx="2520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</a:t>
          </a:r>
          <a:endParaRPr lang="id-ID" sz="1100" b="1"/>
        </a:p>
      </xdr:txBody>
    </xdr:sp>
    <xdr:clientData/>
  </xdr:twoCellAnchor>
  <xdr:twoCellAnchor>
    <xdr:from>
      <xdr:col>7</xdr:col>
      <xdr:colOff>36755</xdr:colOff>
      <xdr:row>139</xdr:row>
      <xdr:rowOff>228600</xdr:rowOff>
    </xdr:from>
    <xdr:to>
      <xdr:col>7</xdr:col>
      <xdr:colOff>252755</xdr:colOff>
      <xdr:row>140</xdr:row>
      <xdr:rowOff>200025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ADBB8B0-065B-4BA4-8460-64042F775648}"/>
            </a:ext>
          </a:extLst>
        </xdr:cNvPr>
        <xdr:cNvSpPr txBox="1"/>
      </xdr:nvSpPr>
      <xdr:spPr>
        <a:xfrm>
          <a:off x="4503980" y="31899225"/>
          <a:ext cx="2160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</a:t>
          </a:r>
          <a:endParaRPr lang="id-ID" sz="1100" b="1"/>
        </a:p>
      </xdr:txBody>
    </xdr:sp>
    <xdr:clientData/>
  </xdr:twoCellAnchor>
  <xdr:twoCellAnchor>
    <xdr:from>
      <xdr:col>5</xdr:col>
      <xdr:colOff>655320</xdr:colOff>
      <xdr:row>139</xdr:row>
      <xdr:rowOff>228600</xdr:rowOff>
    </xdr:from>
    <xdr:to>
      <xdr:col>6</xdr:col>
      <xdr:colOff>200025</xdr:colOff>
      <xdr:row>141</xdr:row>
      <xdr:rowOff>38100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FADACB9-6FDD-415F-9E83-19EDE80B486E}"/>
            </a:ext>
          </a:extLst>
        </xdr:cNvPr>
        <xdr:cNvSpPr txBox="1"/>
      </xdr:nvSpPr>
      <xdr:spPr>
        <a:xfrm>
          <a:off x="3941445" y="33518475"/>
          <a:ext cx="28765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623925</xdr:colOff>
      <xdr:row>4</xdr:row>
      <xdr:rowOff>58634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5E3DFB-B309-413A-BB75-FFB1FF660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1681200" cy="7730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85725</xdr:rowOff>
    </xdr:from>
    <xdr:to>
      <xdr:col>8</xdr:col>
      <xdr:colOff>559350</xdr:colOff>
      <xdr:row>19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73B37C-84C5-44E7-8B04-418102AB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442" b="22768"/>
        <a:stretch/>
      </xdr:blipFill>
      <xdr:spPr>
        <a:xfrm>
          <a:off x="314325" y="2181225"/>
          <a:ext cx="5760000" cy="2628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28575</xdr:rowOff>
    </xdr:from>
    <xdr:to>
      <xdr:col>8</xdr:col>
      <xdr:colOff>559350</xdr:colOff>
      <xdr:row>157</xdr:row>
      <xdr:rowOff>19051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619FBB5-9F4B-4F9C-BFE0-5B0A4BFC4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208" b="22393"/>
        <a:stretch/>
      </xdr:blipFill>
      <xdr:spPr>
        <a:xfrm>
          <a:off x="314325" y="34747200"/>
          <a:ext cx="5760000" cy="2847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7D39-1016-4773-B7FE-6DAD62B1F4AD}">
  <dimension ref="B2:J27"/>
  <sheetViews>
    <sheetView tabSelected="1" workbookViewId="0"/>
  </sheetViews>
  <sheetFormatPr defaultRowHeight="18.75" customHeight="1" x14ac:dyDescent="0.25"/>
  <cols>
    <col min="1" max="1" width="4.28515625" style="143" customWidth="1"/>
    <col min="2" max="2" width="16.7109375" style="143" customWidth="1"/>
    <col min="3" max="3" width="2.85546875" style="142" customWidth="1"/>
    <col min="4" max="16384" width="9.140625" style="143"/>
  </cols>
  <sheetData>
    <row r="2" spans="2:10" ht="15.75" x14ac:dyDescent="0.25">
      <c r="B2" s="141" t="s">
        <v>205</v>
      </c>
      <c r="C2" s="142" t="s">
        <v>206</v>
      </c>
      <c r="D2" s="143" t="s">
        <v>219</v>
      </c>
    </row>
    <row r="3" spans="2:10" ht="15.75" x14ac:dyDescent="0.25">
      <c r="B3" s="141" t="s">
        <v>207</v>
      </c>
      <c r="C3" s="142" t="s">
        <v>206</v>
      </c>
      <c r="D3" s="143" t="s">
        <v>208</v>
      </c>
    </row>
    <row r="4" spans="2:10" ht="15.75" x14ac:dyDescent="0.25">
      <c r="B4" s="141" t="s">
        <v>209</v>
      </c>
      <c r="C4" s="142" t="s">
        <v>206</v>
      </c>
      <c r="D4" s="144" t="s">
        <v>210</v>
      </c>
    </row>
    <row r="5" spans="2:10" ht="15.75" x14ac:dyDescent="0.25">
      <c r="B5" s="141"/>
    </row>
    <row r="6" spans="2:10" ht="15.75" x14ac:dyDescent="0.25">
      <c r="B6" s="141" t="s">
        <v>211</v>
      </c>
      <c r="C6" s="142" t="s">
        <v>206</v>
      </c>
      <c r="D6" s="143" t="s">
        <v>212</v>
      </c>
    </row>
    <row r="7" spans="2:10" ht="15.75" x14ac:dyDescent="0.25">
      <c r="B7" s="141" t="s">
        <v>213</v>
      </c>
      <c r="C7" s="142" t="s">
        <v>206</v>
      </c>
      <c r="D7" s="145" t="s">
        <v>197</v>
      </c>
    </row>
    <row r="8" spans="2:10" ht="15.75" x14ac:dyDescent="0.25">
      <c r="C8" s="143"/>
      <c r="J8" s="146"/>
    </row>
    <row r="10" spans="2:10" ht="15.75" x14ac:dyDescent="0.25">
      <c r="B10" s="147" t="s">
        <v>214</v>
      </c>
      <c r="C10" s="148"/>
      <c r="D10" s="148"/>
      <c r="E10" s="148"/>
      <c r="F10" s="148"/>
      <c r="G10" s="148"/>
      <c r="H10" s="148"/>
      <c r="I10" s="148"/>
    </row>
    <row r="12" spans="2:10" ht="15.75" x14ac:dyDescent="0.25"/>
    <row r="23" spans="2:10" ht="15.75" x14ac:dyDescent="0.25">
      <c r="B23" s="143" t="s">
        <v>215</v>
      </c>
    </row>
    <row r="24" spans="2:10" ht="15.75" x14ac:dyDescent="0.25">
      <c r="B24" s="143" t="s">
        <v>216</v>
      </c>
    </row>
    <row r="26" spans="2:10" ht="15.75" x14ac:dyDescent="0.25">
      <c r="B26" s="143" t="s">
        <v>217</v>
      </c>
      <c r="C26" s="143"/>
    </row>
    <row r="27" spans="2:10" ht="15.75" x14ac:dyDescent="0.25">
      <c r="B27" s="149" t="s">
        <v>218</v>
      </c>
      <c r="C27" s="150"/>
      <c r="D27" s="150"/>
      <c r="E27" s="150"/>
      <c r="F27" s="150"/>
      <c r="G27" s="150"/>
      <c r="H27" s="150"/>
      <c r="I27" s="150"/>
      <c r="J27" s="150"/>
    </row>
  </sheetData>
  <sheetProtection algorithmName="SHA-512" hashValue="5gso8EsuAa5pR7+mYKb/40NGi0kxsSdJmvzcdBsrKCibibl9oPKrdHXuSFHZdWiis41rfQO98qbtU4DiOe2Diw==" saltValue="+6VkvaLFhSMCfAwoNj9aGw==" spinCount="100000" sheet="1" objects="1" scenarios="1"/>
  <hyperlinks>
    <hyperlink ref="D7" r:id="rId1" xr:uid="{13F1EE2F-95A4-44F9-8B4F-9E09F3087CDB}"/>
    <hyperlink ref="B27" r:id="rId2" xr:uid="{CE66464F-E816-4A38-8E94-8084F0DFF843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workbookViewId="0">
      <selection activeCell="O11" sqref="O11"/>
    </sheetView>
  </sheetViews>
  <sheetFormatPr defaultColWidth="9.140625" defaultRowHeight="18.75" customHeight="1" x14ac:dyDescent="0.25"/>
  <cols>
    <col min="1" max="1" width="6.7109375" style="68" customWidth="1"/>
    <col min="2" max="6" width="13.5703125" style="4" customWidth="1"/>
    <col min="7" max="7" width="14.28515625" style="13" customWidth="1"/>
    <col min="8" max="8" width="17.140625" style="17" customWidth="1"/>
    <col min="9" max="9" width="12.140625" style="25" customWidth="1"/>
    <col min="10" max="16384" width="9.140625" style="4"/>
  </cols>
  <sheetData>
    <row r="1" spans="1:13" s="2" customFormat="1" ht="18.75" customHeight="1" x14ac:dyDescent="0.25">
      <c r="A1" s="69" t="s">
        <v>3</v>
      </c>
      <c r="B1" s="151" t="s">
        <v>4</v>
      </c>
      <c r="C1" s="152"/>
      <c r="D1" s="152"/>
      <c r="E1" s="152"/>
      <c r="F1" s="152"/>
      <c r="G1" s="70" t="s">
        <v>5</v>
      </c>
      <c r="H1" s="70" t="s">
        <v>6</v>
      </c>
      <c r="I1" s="70" t="s">
        <v>7</v>
      </c>
      <c r="J1" s="1"/>
      <c r="K1" s="1"/>
      <c r="L1" s="1"/>
      <c r="M1" s="1"/>
    </row>
    <row r="2" spans="1:13" s="2" customFormat="1" ht="18.75" customHeight="1" x14ac:dyDescent="0.25">
      <c r="A2" s="62" t="s">
        <v>9</v>
      </c>
      <c r="B2" s="5" t="s">
        <v>8</v>
      </c>
      <c r="C2" s="3"/>
      <c r="D2" s="3"/>
      <c r="E2" s="3"/>
      <c r="F2" s="3"/>
      <c r="G2" s="26"/>
      <c r="H2" s="3"/>
      <c r="I2" s="37"/>
      <c r="J2" s="1"/>
      <c r="K2" s="1"/>
      <c r="L2" s="1"/>
      <c r="M2" s="1"/>
    </row>
    <row r="3" spans="1:13" s="2" customFormat="1" ht="18.75" customHeight="1" x14ac:dyDescent="0.25">
      <c r="A3" s="63"/>
      <c r="B3" s="23"/>
      <c r="C3" s="22"/>
      <c r="D3" s="22"/>
      <c r="E3" s="22"/>
      <c r="F3" s="22"/>
      <c r="G3" s="27"/>
      <c r="H3" s="22"/>
      <c r="I3" s="38"/>
      <c r="J3" s="1"/>
      <c r="K3" s="1"/>
      <c r="L3" s="1"/>
      <c r="M3" s="1"/>
    </row>
    <row r="4" spans="1:13" s="2" customFormat="1" ht="18.75" customHeight="1" x14ac:dyDescent="0.25">
      <c r="A4" s="63"/>
      <c r="B4" s="23"/>
      <c r="C4" s="22"/>
      <c r="D4" s="22"/>
      <c r="E4" s="22"/>
      <c r="F4" s="22"/>
      <c r="G4" s="27"/>
      <c r="H4" s="22"/>
      <c r="I4" s="38"/>
      <c r="J4" s="1"/>
      <c r="K4" s="1"/>
      <c r="L4" s="1"/>
      <c r="M4" s="1"/>
    </row>
    <row r="5" spans="1:13" s="2" customFormat="1" ht="18.75" customHeight="1" x14ac:dyDescent="0.25">
      <c r="A5" s="63"/>
      <c r="B5" s="23"/>
      <c r="C5" s="22"/>
      <c r="D5" s="22"/>
      <c r="E5" s="22"/>
      <c r="F5" s="22"/>
      <c r="G5" s="27"/>
      <c r="H5" s="22"/>
      <c r="I5" s="38"/>
      <c r="J5" s="1"/>
      <c r="K5" s="1"/>
      <c r="L5" s="1"/>
      <c r="M5" s="1"/>
    </row>
    <row r="6" spans="1:13" s="2" customFormat="1" ht="18.75" customHeight="1" x14ac:dyDescent="0.25">
      <c r="A6" s="63"/>
      <c r="B6" s="23"/>
      <c r="C6" s="22"/>
      <c r="D6" s="22"/>
      <c r="E6" s="22"/>
      <c r="F6" s="22"/>
      <c r="G6" s="27"/>
      <c r="H6" s="22"/>
      <c r="I6" s="38"/>
      <c r="J6" s="1"/>
      <c r="K6" s="1"/>
      <c r="L6" s="1"/>
      <c r="M6" s="1"/>
    </row>
    <row r="7" spans="1:13" s="2" customFormat="1" ht="18.75" customHeight="1" x14ac:dyDescent="0.25">
      <c r="A7" s="63"/>
      <c r="B7" s="23"/>
      <c r="C7" s="22"/>
      <c r="D7" s="22"/>
      <c r="E7" s="22"/>
      <c r="F7" s="22"/>
      <c r="G7" s="27"/>
      <c r="H7" s="22"/>
      <c r="I7" s="38"/>
      <c r="J7" s="1"/>
      <c r="K7" s="1"/>
      <c r="L7" s="1"/>
      <c r="M7" s="1"/>
    </row>
    <row r="8" spans="1:13" s="2" customFormat="1" ht="18.75" customHeight="1" x14ac:dyDescent="0.25">
      <c r="A8" s="63"/>
      <c r="B8" s="23"/>
      <c r="C8" s="22"/>
      <c r="D8" s="22"/>
      <c r="E8" s="22"/>
      <c r="F8" s="22"/>
      <c r="G8" s="27"/>
      <c r="H8" s="22"/>
      <c r="I8" s="38"/>
      <c r="J8" s="1"/>
      <c r="K8" s="1"/>
      <c r="L8" s="1"/>
      <c r="M8" s="1"/>
    </row>
    <row r="9" spans="1:13" s="2" customFormat="1" ht="18.75" customHeight="1" x14ac:dyDescent="0.25">
      <c r="A9" s="63"/>
      <c r="B9" s="23"/>
      <c r="C9" s="22"/>
      <c r="D9" s="22"/>
      <c r="E9" s="22"/>
      <c r="F9" s="22"/>
      <c r="G9" s="27"/>
      <c r="H9" s="22"/>
      <c r="I9" s="38"/>
      <c r="J9" s="1"/>
      <c r="K9" s="1"/>
      <c r="L9" s="1"/>
      <c r="M9" s="1"/>
    </row>
    <row r="10" spans="1:13" s="2" customFormat="1" ht="18.75" customHeight="1" x14ac:dyDescent="0.25">
      <c r="A10" s="63"/>
      <c r="B10" s="23"/>
      <c r="C10" s="22"/>
      <c r="D10" s="22"/>
      <c r="E10" s="22"/>
      <c r="F10" s="22"/>
      <c r="G10" s="27"/>
      <c r="H10" s="22"/>
      <c r="I10" s="38"/>
      <c r="J10" s="1"/>
      <c r="K10" s="1"/>
      <c r="L10" s="1"/>
      <c r="M10" s="1"/>
    </row>
    <row r="11" spans="1:13" s="2" customFormat="1" ht="18.75" customHeight="1" x14ac:dyDescent="0.25">
      <c r="A11" s="63"/>
      <c r="B11" s="23"/>
      <c r="C11" s="22"/>
      <c r="D11" s="22"/>
      <c r="E11" s="22"/>
      <c r="F11" s="22"/>
      <c r="G11" s="27"/>
      <c r="H11" s="22"/>
      <c r="I11" s="38"/>
      <c r="J11" s="1"/>
      <c r="K11" s="1"/>
      <c r="L11" s="1"/>
      <c r="M11" s="1"/>
    </row>
    <row r="12" spans="1:13" s="2" customFormat="1" ht="18.75" customHeight="1" x14ac:dyDescent="0.25">
      <c r="A12" s="63"/>
      <c r="B12" s="23"/>
      <c r="C12" s="22"/>
      <c r="D12" s="22"/>
      <c r="E12" s="22"/>
      <c r="F12" s="22"/>
      <c r="G12" s="27"/>
      <c r="H12" s="22"/>
      <c r="I12" s="38"/>
      <c r="J12" s="1"/>
      <c r="K12" s="1"/>
      <c r="L12" s="1"/>
      <c r="M12" s="1"/>
    </row>
    <row r="13" spans="1:13" s="2" customFormat="1" ht="18.75" customHeight="1" x14ac:dyDescent="0.25">
      <c r="A13" s="63"/>
      <c r="B13" s="23"/>
      <c r="C13" s="22"/>
      <c r="D13" s="22"/>
      <c r="E13" s="22"/>
      <c r="F13" s="22"/>
      <c r="G13" s="27"/>
      <c r="H13" s="22"/>
      <c r="I13" s="38"/>
      <c r="J13" s="1"/>
      <c r="K13" s="1"/>
      <c r="L13" s="1"/>
      <c r="M13" s="1"/>
    </row>
    <row r="14" spans="1:13" s="2" customFormat="1" ht="18.75" customHeight="1" x14ac:dyDescent="0.25">
      <c r="A14" s="63"/>
      <c r="B14" s="23"/>
      <c r="C14" s="22"/>
      <c r="D14" s="22"/>
      <c r="E14" s="22"/>
      <c r="F14" s="22"/>
      <c r="G14" s="27"/>
      <c r="H14" s="22"/>
      <c r="I14" s="38"/>
      <c r="J14" s="1"/>
      <c r="K14" s="1"/>
      <c r="L14" s="1"/>
      <c r="M14" s="1"/>
    </row>
    <row r="15" spans="1:13" s="7" customFormat="1" ht="18.75" customHeight="1" x14ac:dyDescent="0.25">
      <c r="A15" s="64" t="s">
        <v>12</v>
      </c>
      <c r="B15" s="39" t="s">
        <v>13</v>
      </c>
      <c r="C15" s="40"/>
      <c r="D15" s="40"/>
      <c r="E15" s="40"/>
      <c r="F15" s="40"/>
      <c r="G15" s="41"/>
      <c r="H15" s="35"/>
      <c r="I15" s="42"/>
      <c r="J15" s="6"/>
      <c r="K15" s="6"/>
      <c r="L15" s="6"/>
      <c r="M15" s="6"/>
    </row>
    <row r="16" spans="1:13" s="7" customFormat="1" ht="18.75" customHeight="1" x14ac:dyDescent="0.25">
      <c r="A16" s="65"/>
      <c r="B16" s="43" t="s">
        <v>14</v>
      </c>
      <c r="C16" s="43"/>
      <c r="D16" s="43"/>
      <c r="E16" s="43"/>
      <c r="F16" s="43"/>
      <c r="G16" s="44" t="s">
        <v>15</v>
      </c>
      <c r="H16" s="8">
        <v>25</v>
      </c>
      <c r="I16" s="45" t="s">
        <v>0</v>
      </c>
    </row>
    <row r="17" spans="1:13" s="7" customFormat="1" ht="18.75" customHeight="1" x14ac:dyDescent="0.25">
      <c r="A17" s="65"/>
      <c r="B17" s="43" t="s">
        <v>16</v>
      </c>
      <c r="C17" s="43"/>
      <c r="D17" s="43"/>
      <c r="E17" s="43"/>
      <c r="F17" s="43"/>
      <c r="G17" s="44" t="s">
        <v>17</v>
      </c>
      <c r="H17" s="8">
        <v>400</v>
      </c>
      <c r="I17" s="45" t="s">
        <v>0</v>
      </c>
    </row>
    <row r="18" spans="1:13" s="7" customFormat="1" ht="18.75" customHeight="1" x14ac:dyDescent="0.25">
      <c r="A18" s="65"/>
      <c r="B18" s="43"/>
      <c r="C18" s="43"/>
      <c r="D18" s="43"/>
      <c r="E18" s="43"/>
      <c r="F18" s="43"/>
      <c r="G18" s="44"/>
      <c r="H18" s="36"/>
      <c r="I18" s="45"/>
    </row>
    <row r="19" spans="1:13" s="7" customFormat="1" ht="18.75" customHeight="1" x14ac:dyDescent="0.25">
      <c r="A19" s="64" t="s">
        <v>18</v>
      </c>
      <c r="B19" s="39" t="s">
        <v>19</v>
      </c>
      <c r="C19" s="40"/>
      <c r="D19" s="40"/>
      <c r="E19" s="40"/>
      <c r="F19" s="40"/>
      <c r="G19" s="41"/>
      <c r="H19" s="35"/>
      <c r="I19" s="42"/>
    </row>
    <row r="20" spans="1:13" s="7" customFormat="1" ht="18.75" customHeight="1" x14ac:dyDescent="0.25">
      <c r="A20" s="65"/>
      <c r="B20" s="43" t="s">
        <v>20</v>
      </c>
      <c r="C20" s="36"/>
      <c r="D20" s="36"/>
      <c r="E20" s="46"/>
      <c r="F20" s="47"/>
      <c r="G20" s="44" t="s">
        <v>21</v>
      </c>
      <c r="H20" s="9">
        <v>300</v>
      </c>
      <c r="I20" s="45" t="s">
        <v>22</v>
      </c>
    </row>
    <row r="21" spans="1:13" s="7" customFormat="1" ht="18.75" customHeight="1" x14ac:dyDescent="0.25">
      <c r="A21" s="65"/>
      <c r="B21" s="43" t="s">
        <v>23</v>
      </c>
      <c r="C21" s="36"/>
      <c r="D21" s="36"/>
      <c r="E21" s="46"/>
      <c r="F21" s="47"/>
      <c r="G21" s="44" t="s">
        <v>11</v>
      </c>
      <c r="H21" s="9">
        <v>600</v>
      </c>
      <c r="I21" s="45" t="s">
        <v>22</v>
      </c>
    </row>
    <row r="22" spans="1:13" s="7" customFormat="1" ht="18.75" customHeight="1" x14ac:dyDescent="0.25">
      <c r="A22" s="65"/>
      <c r="B22" s="43" t="s">
        <v>24</v>
      </c>
      <c r="C22" s="36"/>
      <c r="D22" s="36"/>
      <c r="E22" s="46"/>
      <c r="F22" s="47"/>
      <c r="G22" s="44" t="s">
        <v>25</v>
      </c>
      <c r="H22" s="10">
        <v>16</v>
      </c>
      <c r="I22" s="45" t="s">
        <v>22</v>
      </c>
    </row>
    <row r="23" spans="1:13" s="7" customFormat="1" ht="18.75" customHeight="1" x14ac:dyDescent="0.25">
      <c r="A23" s="65"/>
      <c r="B23" s="43" t="s">
        <v>26</v>
      </c>
      <c r="C23" s="36"/>
      <c r="D23" s="36"/>
      <c r="E23" s="46"/>
      <c r="F23" s="47"/>
      <c r="G23" s="44" t="s">
        <v>27</v>
      </c>
      <c r="H23" s="10">
        <v>8</v>
      </c>
      <c r="I23" s="45" t="s">
        <v>22</v>
      </c>
    </row>
    <row r="24" spans="1:13" s="7" customFormat="1" ht="18.75" customHeight="1" x14ac:dyDescent="0.25">
      <c r="A24" s="65"/>
      <c r="B24" s="43" t="s">
        <v>28</v>
      </c>
      <c r="C24" s="43"/>
      <c r="D24" s="36"/>
      <c r="E24" s="46"/>
      <c r="F24" s="47"/>
      <c r="G24" s="44" t="s">
        <v>29</v>
      </c>
      <c r="H24" s="9">
        <v>40</v>
      </c>
      <c r="I24" s="45" t="s">
        <v>22</v>
      </c>
    </row>
    <row r="25" spans="1:13" s="7" customFormat="1" ht="18.75" customHeight="1" x14ac:dyDescent="0.25">
      <c r="A25" s="65"/>
      <c r="B25" s="43" t="s">
        <v>42</v>
      </c>
      <c r="C25" s="43"/>
      <c r="D25" s="36"/>
      <c r="E25" s="46"/>
      <c r="F25" s="47"/>
      <c r="G25" s="44" t="s">
        <v>43</v>
      </c>
      <c r="H25" s="9">
        <v>200</v>
      </c>
      <c r="I25" s="45" t="s">
        <v>22</v>
      </c>
    </row>
    <row r="26" spans="1:13" s="7" customFormat="1" ht="18.75" customHeight="1" x14ac:dyDescent="0.25">
      <c r="A26" s="65"/>
      <c r="B26" s="43"/>
      <c r="C26" s="43"/>
      <c r="D26" s="43"/>
      <c r="E26" s="43"/>
      <c r="F26" s="43"/>
      <c r="G26" s="44"/>
      <c r="H26" s="36"/>
      <c r="I26" s="45"/>
    </row>
    <row r="27" spans="1:13" s="7" customFormat="1" ht="18.75" customHeight="1" x14ac:dyDescent="0.25">
      <c r="A27" s="64" t="s">
        <v>161</v>
      </c>
      <c r="B27" s="39" t="s">
        <v>30</v>
      </c>
      <c r="C27" s="40"/>
      <c r="D27" s="40"/>
      <c r="E27" s="40"/>
      <c r="F27" s="40"/>
      <c r="G27" s="41"/>
      <c r="H27" s="35"/>
      <c r="I27" s="42"/>
      <c r="J27" s="6"/>
      <c r="K27" s="6"/>
      <c r="L27" s="6"/>
      <c r="M27" s="6"/>
    </row>
    <row r="28" spans="1:13" s="7" customFormat="1" ht="18.75" customHeight="1" x14ac:dyDescent="0.25">
      <c r="A28" s="65"/>
      <c r="B28" s="43" t="s">
        <v>45</v>
      </c>
      <c r="C28" s="43"/>
      <c r="D28" s="43"/>
      <c r="E28" s="43"/>
      <c r="F28" s="43"/>
      <c r="G28" s="44" t="s">
        <v>47</v>
      </c>
      <c r="H28" s="8">
        <v>215.56800000000001</v>
      </c>
      <c r="I28" s="45" t="s">
        <v>31</v>
      </c>
      <c r="J28" s="6"/>
      <c r="K28" s="6"/>
      <c r="L28" s="6"/>
      <c r="M28" s="6"/>
    </row>
    <row r="29" spans="1:13" s="7" customFormat="1" ht="18.75" customHeight="1" x14ac:dyDescent="0.25">
      <c r="A29" s="65"/>
      <c r="B29" s="43" t="s">
        <v>46</v>
      </c>
      <c r="C29" s="43"/>
      <c r="D29" s="43"/>
      <c r="E29" s="43"/>
      <c r="F29" s="43"/>
      <c r="G29" s="44" t="s">
        <v>44</v>
      </c>
      <c r="H29" s="8">
        <v>68.712000000000003</v>
      </c>
      <c r="I29" s="45" t="s">
        <v>31</v>
      </c>
      <c r="J29" s="6"/>
      <c r="K29" s="6"/>
      <c r="L29" s="6"/>
      <c r="M29" s="6"/>
    </row>
    <row r="30" spans="1:13" ht="18.75" customHeight="1" x14ac:dyDescent="0.25">
      <c r="A30" s="66"/>
      <c r="I30" s="48"/>
    </row>
    <row r="31" spans="1:13" ht="18.75" customHeight="1" x14ac:dyDescent="0.25">
      <c r="A31" s="67"/>
      <c r="B31" s="58"/>
      <c r="C31" s="58"/>
      <c r="D31" s="58"/>
      <c r="E31" s="58"/>
      <c r="F31" s="58"/>
      <c r="G31" s="59"/>
      <c r="H31" s="60"/>
      <c r="I31" s="61"/>
    </row>
  </sheetData>
  <mergeCells count="1">
    <mergeCell ref="B1:F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B35D-3D81-4DB6-B1B6-FDF470EC52EF}">
  <dimension ref="A1:M107"/>
  <sheetViews>
    <sheetView showGridLines="0" workbookViewId="0">
      <selection activeCell="H16" sqref="H16"/>
    </sheetView>
  </sheetViews>
  <sheetFormatPr defaultRowHeight="15" x14ac:dyDescent="0.25"/>
  <cols>
    <col min="1" max="1" width="6.7109375" customWidth="1"/>
    <col min="2" max="6" width="13.5703125" customWidth="1"/>
    <col min="7" max="7" width="14.28515625" customWidth="1"/>
    <col min="8" max="8" width="17.140625" customWidth="1"/>
    <col min="9" max="9" width="12.140625" customWidth="1"/>
  </cols>
  <sheetData>
    <row r="1" spans="1:13" ht="15.75" x14ac:dyDescent="0.25">
      <c r="A1" s="69" t="s">
        <v>3</v>
      </c>
      <c r="B1" s="151" t="s">
        <v>4</v>
      </c>
      <c r="C1" s="152"/>
      <c r="D1" s="152"/>
      <c r="E1" s="152"/>
      <c r="F1" s="152"/>
      <c r="G1" s="70" t="s">
        <v>5</v>
      </c>
      <c r="H1" s="70" t="s">
        <v>6</v>
      </c>
      <c r="I1" s="70" t="s">
        <v>7</v>
      </c>
    </row>
    <row r="2" spans="1:13" s="2" customFormat="1" ht="18.75" customHeight="1" x14ac:dyDescent="0.25">
      <c r="A2" s="62" t="s">
        <v>32</v>
      </c>
      <c r="B2" s="5" t="s">
        <v>41</v>
      </c>
      <c r="C2" s="3"/>
      <c r="D2" s="3"/>
      <c r="E2" s="3"/>
      <c r="F2" s="3"/>
      <c r="G2" s="26"/>
      <c r="H2" s="3"/>
      <c r="I2" s="37"/>
      <c r="J2" s="1"/>
      <c r="K2" s="1"/>
      <c r="L2" s="1"/>
      <c r="M2" s="1"/>
    </row>
    <row r="3" spans="1:13" s="4" customFormat="1" ht="18.75" customHeight="1" x14ac:dyDescent="0.25">
      <c r="A3" s="66"/>
      <c r="B3" s="75" t="s">
        <v>87</v>
      </c>
      <c r="G3" s="13" t="s">
        <v>88</v>
      </c>
      <c r="H3" s="16">
        <f>0.2*Input!H28</f>
        <v>43.113600000000005</v>
      </c>
      <c r="I3" s="71" t="s">
        <v>1</v>
      </c>
    </row>
    <row r="4" spans="1:13" s="4" customFormat="1" ht="18.75" customHeight="1" x14ac:dyDescent="0.25">
      <c r="A4" s="66"/>
      <c r="B4" s="75" t="s">
        <v>89</v>
      </c>
      <c r="G4" s="13" t="s">
        <v>90</v>
      </c>
      <c r="H4" s="14">
        <f>MAX(Input!H29,H3)</f>
        <v>68.712000000000003</v>
      </c>
      <c r="I4" s="71" t="s">
        <v>1</v>
      </c>
    </row>
    <row r="5" spans="1:13" s="4" customFormat="1" ht="18.75" customHeight="1" x14ac:dyDescent="0.25">
      <c r="A5" s="66"/>
      <c r="B5" s="75" t="s">
        <v>50</v>
      </c>
      <c r="G5" s="13" t="s">
        <v>51</v>
      </c>
      <c r="H5" s="14">
        <f>Input!H21-Input!H24-0.5*Input!H22</f>
        <v>552</v>
      </c>
      <c r="I5" s="71" t="s">
        <v>22</v>
      </c>
    </row>
    <row r="6" spans="1:13" s="4" customFormat="1" ht="18.75" customHeight="1" x14ac:dyDescent="0.25">
      <c r="A6" s="66"/>
      <c r="B6" s="75" t="s">
        <v>48</v>
      </c>
      <c r="G6" s="13" t="s">
        <v>99</v>
      </c>
      <c r="H6" s="24">
        <f>Input!H20*H5</f>
        <v>165600</v>
      </c>
      <c r="I6" s="71" t="s">
        <v>49</v>
      </c>
    </row>
    <row r="7" spans="1:13" s="4" customFormat="1" ht="18.75" customHeight="1" x14ac:dyDescent="0.25">
      <c r="A7" s="66"/>
      <c r="B7" s="75" t="s">
        <v>52</v>
      </c>
      <c r="G7" s="28" t="s">
        <v>53</v>
      </c>
      <c r="H7" s="24">
        <v>1.4</v>
      </c>
      <c r="I7" s="71"/>
    </row>
    <row r="8" spans="1:13" s="4" customFormat="1" ht="18.75" customHeight="1" x14ac:dyDescent="0.25">
      <c r="A8" s="66"/>
      <c r="B8" s="75" t="s">
        <v>92</v>
      </c>
      <c r="G8" s="28" t="s">
        <v>54</v>
      </c>
      <c r="H8" s="24">
        <v>0.75</v>
      </c>
      <c r="I8" s="71"/>
    </row>
    <row r="9" spans="1:13" s="4" customFormat="1" ht="18.75" customHeight="1" x14ac:dyDescent="0.25">
      <c r="A9" s="66"/>
      <c r="B9" s="75" t="s">
        <v>55</v>
      </c>
      <c r="G9" s="13"/>
      <c r="H9" s="17"/>
      <c r="I9" s="71"/>
    </row>
    <row r="10" spans="1:13" s="4" customFormat="1" ht="18.75" customHeight="1" x14ac:dyDescent="0.25">
      <c r="A10" s="66"/>
      <c r="C10" s="4" t="s">
        <v>56</v>
      </c>
      <c r="D10" s="24" t="s">
        <v>155</v>
      </c>
      <c r="E10" s="17" t="s">
        <v>10</v>
      </c>
      <c r="F10" s="14">
        <v>1</v>
      </c>
      <c r="G10" s="13"/>
      <c r="H10" s="17"/>
      <c r="I10" s="71"/>
    </row>
    <row r="11" spans="1:13" s="4" customFormat="1" ht="18.75" customHeight="1" x14ac:dyDescent="0.25">
      <c r="A11" s="66"/>
      <c r="D11" s="16">
        <f>Input!H25/H5</f>
        <v>0.36231884057971014</v>
      </c>
      <c r="E11" s="17" t="str">
        <f>IF(D11&lt;F11,"&lt;","&gt;")</f>
        <v>&lt;</v>
      </c>
      <c r="F11" s="14">
        <f>F10</f>
        <v>1</v>
      </c>
      <c r="G11" s="29" t="s">
        <v>2</v>
      </c>
      <c r="H11" s="30" t="str">
        <f>IF(D11&lt;F11,"[ OK ]","[ UBAH DIMENSI PENAMPANG ]")</f>
        <v>[ OK ]</v>
      </c>
      <c r="I11" s="71"/>
    </row>
    <row r="12" spans="1:13" s="4" customFormat="1" ht="18.75" customHeight="1" x14ac:dyDescent="0.25">
      <c r="A12" s="66"/>
      <c r="G12" s="13"/>
      <c r="H12" s="17"/>
      <c r="I12" s="71"/>
    </row>
    <row r="13" spans="1:13" s="4" customFormat="1" ht="18.75" customHeight="1" x14ac:dyDescent="0.25">
      <c r="A13" s="64" t="s">
        <v>156</v>
      </c>
      <c r="B13" s="39" t="s">
        <v>110</v>
      </c>
      <c r="C13" s="40"/>
      <c r="D13" s="40"/>
      <c r="E13" s="40"/>
      <c r="F13" s="40"/>
      <c r="G13" s="41"/>
      <c r="H13" s="35"/>
      <c r="I13" s="72"/>
    </row>
    <row r="14" spans="1:13" s="7" customFormat="1" ht="18.75" customHeight="1" x14ac:dyDescent="0.25">
      <c r="A14" s="65"/>
      <c r="B14" s="76" t="s">
        <v>36</v>
      </c>
      <c r="C14" s="43"/>
      <c r="D14" s="43"/>
      <c r="E14" s="43"/>
      <c r="F14" s="43"/>
      <c r="G14" s="44" t="s">
        <v>37</v>
      </c>
      <c r="H14" s="11">
        <f>IF(Input!H16&gt;=17,IF(Input!H16&lt;=28,0.85,"-"),"-")</f>
        <v>0.85</v>
      </c>
      <c r="I14" s="73"/>
      <c r="J14" s="6"/>
      <c r="K14" s="6"/>
      <c r="L14" s="6"/>
      <c r="M14" s="6"/>
    </row>
    <row r="15" spans="1:13" s="7" customFormat="1" ht="18.75" customHeight="1" x14ac:dyDescent="0.25">
      <c r="A15" s="65"/>
      <c r="B15" s="76" t="s">
        <v>38</v>
      </c>
      <c r="C15" s="43"/>
      <c r="D15" s="43"/>
      <c r="E15" s="43"/>
      <c r="F15" s="43"/>
      <c r="G15" s="44" t="s">
        <v>220</v>
      </c>
      <c r="H15" s="15" t="str">
        <f>IF(Input!H16&gt;28,IF(Input!H16&lt;55,0.85-0.05*(Input!H16-28)/7,"-"),"-")</f>
        <v>-</v>
      </c>
      <c r="I15" s="73"/>
      <c r="J15" s="6"/>
      <c r="K15" s="6"/>
      <c r="L15" s="6"/>
      <c r="M15" s="6"/>
    </row>
    <row r="16" spans="1:13" s="7" customFormat="1" ht="18.75" customHeight="1" x14ac:dyDescent="0.25">
      <c r="A16" s="65"/>
      <c r="B16" s="76" t="s">
        <v>39</v>
      </c>
      <c r="C16" s="43"/>
      <c r="D16" s="43"/>
      <c r="E16" s="43"/>
      <c r="F16" s="43"/>
      <c r="G16" s="44" t="s">
        <v>37</v>
      </c>
      <c r="H16" s="15" t="str">
        <f>IF(Input!H16&gt;=55,0.65,"-")</f>
        <v>-</v>
      </c>
      <c r="I16" s="73"/>
      <c r="J16" s="6"/>
      <c r="K16" s="6"/>
      <c r="L16" s="6"/>
      <c r="M16" s="6"/>
    </row>
    <row r="17" spans="1:13" s="7" customFormat="1" ht="18.75" customHeight="1" x14ac:dyDescent="0.25">
      <c r="A17" s="65"/>
      <c r="B17" s="76" t="s">
        <v>40</v>
      </c>
      <c r="C17" s="43"/>
      <c r="D17" s="43"/>
      <c r="E17" s="43"/>
      <c r="F17" s="46" t="s">
        <v>2</v>
      </c>
      <c r="G17" s="44" t="s">
        <v>37</v>
      </c>
      <c r="H17" s="15">
        <f>MAX(H14:H16)</f>
        <v>0.85</v>
      </c>
      <c r="I17" s="73"/>
      <c r="J17" s="6"/>
      <c r="K17" s="6"/>
      <c r="L17" s="6"/>
      <c r="M17" s="6"/>
    </row>
    <row r="18" spans="1:13" s="7" customFormat="1" ht="18.75" customHeight="1" x14ac:dyDescent="0.25">
      <c r="A18" s="65"/>
      <c r="B18" s="76" t="s">
        <v>59</v>
      </c>
      <c r="C18" s="43"/>
      <c r="D18" s="43"/>
      <c r="E18" s="43"/>
      <c r="F18" s="46"/>
      <c r="G18" s="44"/>
      <c r="H18" s="36"/>
      <c r="I18" s="73"/>
      <c r="J18" s="6"/>
      <c r="K18" s="6"/>
      <c r="L18" s="6"/>
      <c r="M18" s="6"/>
    </row>
    <row r="19" spans="1:13" s="7" customFormat="1" ht="18.75" customHeight="1" x14ac:dyDescent="0.25">
      <c r="A19" s="65"/>
      <c r="B19" s="76"/>
      <c r="C19" s="51"/>
      <c r="D19" s="43"/>
      <c r="E19" s="43"/>
      <c r="F19" s="43"/>
      <c r="G19" s="44" t="s">
        <v>60</v>
      </c>
      <c r="H19" s="31">
        <f>H17*0.85*Input!H16/Input!H17*600/(600+Input!H17)</f>
        <v>2.7093749999999993E-2</v>
      </c>
      <c r="I19" s="73"/>
      <c r="J19" s="6"/>
      <c r="K19" s="6"/>
      <c r="L19" s="6"/>
      <c r="M19" s="6"/>
    </row>
    <row r="20" spans="1:13" s="7" customFormat="1" ht="18.75" customHeight="1" x14ac:dyDescent="0.25">
      <c r="A20" s="65"/>
      <c r="B20" s="76" t="s">
        <v>61</v>
      </c>
      <c r="C20" s="43"/>
      <c r="D20" s="49"/>
      <c r="E20" s="36"/>
      <c r="F20" s="50"/>
      <c r="G20" s="44" t="s">
        <v>62</v>
      </c>
      <c r="H20" s="31">
        <f>0.75*H19</f>
        <v>2.0320312499999993E-2</v>
      </c>
      <c r="I20" s="73"/>
      <c r="J20" s="6"/>
      <c r="K20" s="6"/>
      <c r="L20" s="6"/>
      <c r="M20" s="6"/>
    </row>
    <row r="21" spans="1:13" s="7" customFormat="1" ht="18.75" customHeight="1" x14ac:dyDescent="0.25">
      <c r="A21" s="65"/>
      <c r="B21" s="76" t="s">
        <v>63</v>
      </c>
      <c r="C21" s="43"/>
      <c r="D21" s="43"/>
      <c r="E21" s="50" t="s">
        <v>57</v>
      </c>
      <c r="F21" s="43"/>
      <c r="G21" s="44" t="s">
        <v>64</v>
      </c>
      <c r="H21" s="31">
        <f>Input!H16^0.5/4/Input!H17</f>
        <v>3.1250000000000002E-3</v>
      </c>
      <c r="I21" s="73"/>
      <c r="J21" s="6"/>
      <c r="K21" s="6"/>
      <c r="L21" s="6"/>
      <c r="M21" s="6"/>
    </row>
    <row r="22" spans="1:13" s="7" customFormat="1" ht="18.75" customHeight="1" x14ac:dyDescent="0.25">
      <c r="A22" s="65"/>
      <c r="B22" s="76"/>
      <c r="C22" s="43"/>
      <c r="D22" s="43"/>
      <c r="E22" s="43" t="s">
        <v>58</v>
      </c>
      <c r="F22" s="43"/>
      <c r="G22" s="44" t="s">
        <v>65</v>
      </c>
      <c r="H22" s="31">
        <f>1.4/Input!H17</f>
        <v>3.4999999999999996E-3</v>
      </c>
      <c r="I22" s="73"/>
      <c r="J22" s="6"/>
      <c r="K22" s="6"/>
      <c r="L22" s="6"/>
      <c r="M22" s="6"/>
    </row>
    <row r="23" spans="1:13" s="7" customFormat="1" ht="18.75" customHeight="1" x14ac:dyDescent="0.25">
      <c r="A23" s="65"/>
      <c r="B23" s="76" t="s">
        <v>73</v>
      </c>
      <c r="C23" s="43"/>
      <c r="D23" s="43"/>
      <c r="E23" s="43"/>
      <c r="F23" s="43"/>
      <c r="G23" s="44" t="s">
        <v>74</v>
      </c>
      <c r="H23" s="15">
        <f>Input!H17/0.85/Input!H16</f>
        <v>18.823529411764707</v>
      </c>
      <c r="I23" s="73"/>
      <c r="J23" s="6"/>
      <c r="K23" s="6"/>
      <c r="L23" s="6"/>
      <c r="M23" s="6"/>
    </row>
    <row r="24" spans="1:13" s="7" customFormat="1" ht="18.75" customHeight="1" x14ac:dyDescent="0.25">
      <c r="A24" s="65"/>
      <c r="B24" s="76" t="s">
        <v>93</v>
      </c>
      <c r="C24" s="43"/>
      <c r="D24" s="43"/>
      <c r="E24" s="43"/>
      <c r="F24" s="44"/>
      <c r="G24" s="44" t="s">
        <v>75</v>
      </c>
      <c r="H24" s="12">
        <f>H8</f>
        <v>0.75</v>
      </c>
      <c r="I24" s="73"/>
      <c r="J24" s="6"/>
      <c r="K24" s="6"/>
      <c r="L24" s="6"/>
      <c r="M24" s="6"/>
    </row>
    <row r="25" spans="1:13" s="7" customFormat="1" ht="18.75" customHeight="1" x14ac:dyDescent="0.25">
      <c r="A25" s="65"/>
      <c r="B25" s="76" t="s">
        <v>76</v>
      </c>
      <c r="C25" s="43"/>
      <c r="D25" s="43"/>
      <c r="E25" s="43"/>
      <c r="F25" s="44"/>
      <c r="G25" s="44" t="s">
        <v>91</v>
      </c>
      <c r="H25" s="15">
        <f>Input!H28*Input!H25/1000+Input!H29*(Input!H21-H5)/1000</f>
        <v>46.411776000000003</v>
      </c>
      <c r="I25" s="73" t="s">
        <v>77</v>
      </c>
      <c r="J25" s="6"/>
      <c r="K25" s="6"/>
      <c r="L25" s="6"/>
      <c r="M25" s="6"/>
    </row>
    <row r="26" spans="1:13" s="7" customFormat="1" ht="18.75" customHeight="1" x14ac:dyDescent="0.25">
      <c r="A26" s="65"/>
      <c r="B26" s="76"/>
      <c r="C26" s="51"/>
      <c r="D26" s="43"/>
      <c r="E26" s="43"/>
      <c r="F26" s="43"/>
      <c r="G26" s="44"/>
      <c r="H26" s="103"/>
      <c r="I26" s="73"/>
      <c r="J26" s="6"/>
      <c r="K26" s="6"/>
      <c r="L26" s="6"/>
      <c r="M26" s="6"/>
    </row>
    <row r="27" spans="1:13" s="7" customFormat="1" ht="18.75" customHeight="1" x14ac:dyDescent="0.25">
      <c r="A27" s="65"/>
      <c r="B27" s="76" t="s">
        <v>78</v>
      </c>
      <c r="C27" s="51"/>
      <c r="D27" s="43"/>
      <c r="E27" s="43"/>
      <c r="F27" s="43"/>
      <c r="G27" s="52" t="s">
        <v>79</v>
      </c>
      <c r="H27" s="15">
        <f>H25*10^6/(H24*Input!H20*H5^2)</f>
        <v>0.67696702373450957</v>
      </c>
      <c r="I27" s="73"/>
      <c r="J27" s="6"/>
      <c r="K27" s="6"/>
      <c r="L27" s="6"/>
      <c r="M27" s="6"/>
    </row>
    <row r="28" spans="1:13" s="7" customFormat="1" ht="18.75" customHeight="1" x14ac:dyDescent="0.25">
      <c r="A28" s="65"/>
      <c r="B28" s="76" t="s">
        <v>80</v>
      </c>
      <c r="C28" s="51"/>
      <c r="D28" s="43"/>
      <c r="E28" s="43"/>
      <c r="F28" s="43"/>
      <c r="G28" s="52" t="s">
        <v>81</v>
      </c>
      <c r="H28" s="31">
        <f>1/$H$23*(1-(1-2*$H$23*H27/Input!$H$17)^0.5)</f>
        <v>1.7202700685965962E-3</v>
      </c>
      <c r="I28" s="73"/>
      <c r="J28" s="6"/>
      <c r="K28" s="6"/>
      <c r="L28" s="6"/>
      <c r="M28" s="6"/>
    </row>
    <row r="29" spans="1:13" s="7" customFormat="1" ht="18.75" customHeight="1" x14ac:dyDescent="0.25">
      <c r="A29" s="65"/>
      <c r="B29" s="76"/>
      <c r="C29" s="51"/>
      <c r="D29" s="43"/>
      <c r="E29" s="43"/>
      <c r="F29" s="43"/>
      <c r="G29" s="52"/>
      <c r="H29" s="53"/>
      <c r="I29" s="73"/>
      <c r="J29" s="6"/>
      <c r="K29" s="6"/>
      <c r="L29" s="6"/>
      <c r="M29" s="6"/>
    </row>
    <row r="30" spans="1:13" s="7" customFormat="1" ht="18.75" customHeight="1" x14ac:dyDescent="0.25">
      <c r="A30" s="65"/>
      <c r="B30" s="76" t="s">
        <v>82</v>
      </c>
      <c r="C30" s="43"/>
      <c r="D30" s="43"/>
      <c r="E30" s="43"/>
      <c r="F30" s="43"/>
      <c r="G30" s="44"/>
      <c r="H30" s="53"/>
      <c r="I30" s="73"/>
      <c r="J30" s="6"/>
      <c r="K30" s="6"/>
      <c r="L30" s="6"/>
      <c r="M30" s="6"/>
    </row>
    <row r="31" spans="1:13" s="7" customFormat="1" ht="18.75" customHeight="1" x14ac:dyDescent="0.25">
      <c r="A31" s="65"/>
      <c r="B31" s="43"/>
      <c r="C31" s="43" t="s">
        <v>56</v>
      </c>
      <c r="D31" s="104" t="s">
        <v>174</v>
      </c>
      <c r="E31" s="104" t="s">
        <v>83</v>
      </c>
      <c r="F31" s="104" t="s">
        <v>175</v>
      </c>
      <c r="G31" s="44"/>
      <c r="H31" s="53"/>
      <c r="I31" s="73"/>
      <c r="J31" s="6"/>
      <c r="K31" s="6"/>
      <c r="L31" s="6"/>
      <c r="M31" s="6"/>
    </row>
    <row r="32" spans="1:13" s="7" customFormat="1" ht="18.75" customHeight="1" x14ac:dyDescent="0.25">
      <c r="A32" s="65"/>
      <c r="B32" s="43"/>
      <c r="C32" s="43"/>
      <c r="D32" s="53">
        <f>MIN(H21:H22)</f>
        <v>3.1250000000000002E-3</v>
      </c>
      <c r="E32" s="53">
        <f>H28</f>
        <v>1.7202700685965962E-3</v>
      </c>
      <c r="F32" s="53">
        <f>H20</f>
        <v>2.0320312499999993E-2</v>
      </c>
      <c r="G32" s="46" t="s">
        <v>2</v>
      </c>
      <c r="H32" s="54" t="str">
        <f>IF(D32&lt;E32,(IF(E32&lt;F32,"[ OK ]","[ PERBESAR DIMENSI ]")),"[ Pakai ρmin ]")</f>
        <v>[ Pakai ρmin ]</v>
      </c>
      <c r="I32" s="73"/>
      <c r="J32" s="6"/>
      <c r="K32" s="6"/>
      <c r="L32" s="6"/>
      <c r="M32" s="6"/>
    </row>
    <row r="33" spans="1:13" s="7" customFormat="1" ht="18.75" customHeight="1" x14ac:dyDescent="0.25">
      <c r="A33" s="65"/>
      <c r="B33" s="43"/>
      <c r="C33" s="43"/>
      <c r="D33" s="43"/>
      <c r="E33" s="43"/>
      <c r="F33" s="44"/>
      <c r="G33" s="44"/>
      <c r="H33" s="55"/>
      <c r="I33" s="73"/>
      <c r="J33" s="6"/>
      <c r="K33" s="6"/>
      <c r="L33" s="6"/>
      <c r="M33" s="6"/>
    </row>
    <row r="34" spans="1:13" s="7" customFormat="1" ht="18.75" customHeight="1" x14ac:dyDescent="0.25">
      <c r="A34" s="65"/>
      <c r="B34" s="76" t="s">
        <v>84</v>
      </c>
      <c r="C34" s="51"/>
      <c r="D34" s="43"/>
      <c r="E34" s="43"/>
      <c r="F34" s="43"/>
      <c r="G34" s="52" t="s">
        <v>85</v>
      </c>
      <c r="H34" s="31">
        <f>IF(D32&lt;E32,(IF(E32&lt;F32,E32,"[ PERBESAR DIMENSI ]")),D32)</f>
        <v>3.1250000000000002E-3</v>
      </c>
      <c r="I34" s="73"/>
      <c r="J34" s="6"/>
      <c r="K34" s="6"/>
      <c r="L34" s="6"/>
      <c r="M34" s="6"/>
    </row>
    <row r="35" spans="1:13" s="7" customFormat="1" ht="18.75" customHeight="1" x14ac:dyDescent="0.25">
      <c r="A35" s="65"/>
      <c r="B35" s="76" t="s">
        <v>86</v>
      </c>
      <c r="C35" s="36"/>
      <c r="D35" s="44"/>
      <c r="E35" s="36"/>
      <c r="F35" s="43"/>
      <c r="G35" s="44" t="s">
        <v>176</v>
      </c>
      <c r="H35" s="15">
        <f>H34*Input!H20*H5</f>
        <v>517.5</v>
      </c>
      <c r="I35" s="73" t="s">
        <v>35</v>
      </c>
      <c r="J35" s="6"/>
      <c r="K35" s="6"/>
      <c r="L35" s="6"/>
      <c r="M35" s="6"/>
    </row>
    <row r="36" spans="1:13" s="4" customFormat="1" ht="18.75" customHeight="1" x14ac:dyDescent="0.25">
      <c r="A36" s="66"/>
      <c r="G36" s="13"/>
      <c r="H36" s="17"/>
      <c r="I36" s="71"/>
    </row>
    <row r="37" spans="1:13" s="4" customFormat="1" ht="18.75" customHeight="1" x14ac:dyDescent="0.25">
      <c r="A37" s="64" t="s">
        <v>157</v>
      </c>
      <c r="B37" s="39" t="s">
        <v>109</v>
      </c>
      <c r="C37" s="40"/>
      <c r="D37" s="40"/>
      <c r="E37" s="40"/>
      <c r="F37" s="40"/>
      <c r="G37" s="41"/>
      <c r="H37" s="35"/>
      <c r="I37" s="72"/>
    </row>
    <row r="38" spans="1:13" s="7" customFormat="1" ht="18.75" customHeight="1" x14ac:dyDescent="0.25">
      <c r="A38" s="65"/>
      <c r="B38" s="76" t="s">
        <v>45</v>
      </c>
      <c r="C38" s="43"/>
      <c r="D38" s="43"/>
      <c r="E38" s="43"/>
      <c r="F38" s="43"/>
      <c r="G38" s="44" t="s">
        <v>47</v>
      </c>
      <c r="H38" s="12">
        <f>Input!H28</f>
        <v>215.56800000000001</v>
      </c>
      <c r="I38" s="73" t="s">
        <v>31</v>
      </c>
      <c r="J38" s="6"/>
      <c r="K38" s="6"/>
      <c r="L38" s="6"/>
      <c r="M38" s="6"/>
    </row>
    <row r="39" spans="1:13" s="7" customFormat="1" ht="18.75" customHeight="1" x14ac:dyDescent="0.25">
      <c r="A39" s="65"/>
      <c r="B39" s="76" t="s">
        <v>94</v>
      </c>
      <c r="C39" s="43"/>
      <c r="D39" s="43"/>
      <c r="E39" s="43"/>
      <c r="F39" s="44"/>
      <c r="G39" s="44" t="s">
        <v>75</v>
      </c>
      <c r="H39" s="12">
        <f>H24</f>
        <v>0.75</v>
      </c>
      <c r="I39" s="73"/>
      <c r="J39" s="6"/>
      <c r="K39" s="6"/>
      <c r="L39" s="6"/>
      <c r="M39" s="6"/>
    </row>
    <row r="40" spans="1:13" s="4" customFormat="1" ht="18.75" customHeight="1" x14ac:dyDescent="0.25">
      <c r="A40" s="66"/>
      <c r="B40" s="75" t="s">
        <v>96</v>
      </c>
      <c r="G40" s="13" t="s">
        <v>95</v>
      </c>
      <c r="H40" s="24">
        <f>H38/H39</f>
        <v>287.42400000000004</v>
      </c>
      <c r="I40" s="73" t="s">
        <v>31</v>
      </c>
    </row>
    <row r="41" spans="1:13" s="4" customFormat="1" ht="18.75" customHeight="1" x14ac:dyDescent="0.25">
      <c r="A41" s="66"/>
      <c r="B41" s="75" t="s">
        <v>100</v>
      </c>
      <c r="E41" s="13" t="s">
        <v>97</v>
      </c>
      <c r="G41" s="13" t="s">
        <v>101</v>
      </c>
      <c r="H41" s="16">
        <f>0.2*Input!H16*H6/1000</f>
        <v>828</v>
      </c>
      <c r="I41" s="73" t="s">
        <v>31</v>
      </c>
    </row>
    <row r="42" spans="1:13" s="4" customFormat="1" ht="18.75" customHeight="1" x14ac:dyDescent="0.25">
      <c r="A42" s="66"/>
      <c r="B42" s="75"/>
      <c r="E42" s="13" t="s">
        <v>98</v>
      </c>
      <c r="G42" s="13" t="s">
        <v>102</v>
      </c>
      <c r="H42" s="16">
        <f>(3.3+0.08*Input!H16)*H6/1000</f>
        <v>877.68</v>
      </c>
      <c r="I42" s="73" t="s">
        <v>31</v>
      </c>
    </row>
    <row r="43" spans="1:13" s="4" customFormat="1" ht="18.75" customHeight="1" x14ac:dyDescent="0.25">
      <c r="A43" s="66"/>
      <c r="B43" s="75"/>
      <c r="E43" s="13" t="s">
        <v>103</v>
      </c>
      <c r="G43" s="13" t="s">
        <v>104</v>
      </c>
      <c r="H43" s="16">
        <f>11*H6/1000</f>
        <v>1821.6</v>
      </c>
      <c r="I43" s="73" t="s">
        <v>31</v>
      </c>
    </row>
    <row r="44" spans="1:13" s="4" customFormat="1" ht="18.75" customHeight="1" x14ac:dyDescent="0.25">
      <c r="A44" s="66"/>
      <c r="B44" s="75"/>
      <c r="G44" s="13" t="s">
        <v>105</v>
      </c>
      <c r="H44" s="16">
        <f>MIN(H41:H43)</f>
        <v>828</v>
      </c>
      <c r="I44" s="73" t="s">
        <v>31</v>
      </c>
    </row>
    <row r="45" spans="1:13" s="4" customFormat="1" ht="18.75" customHeight="1" x14ac:dyDescent="0.25">
      <c r="A45" s="66"/>
      <c r="B45" s="75" t="s">
        <v>106</v>
      </c>
      <c r="G45" s="13"/>
      <c r="H45" s="17"/>
      <c r="I45" s="71"/>
    </row>
    <row r="46" spans="1:13" s="4" customFormat="1" ht="18.75" customHeight="1" x14ac:dyDescent="0.25">
      <c r="A46" s="66"/>
      <c r="B46" s="75"/>
      <c r="C46" s="4" t="s">
        <v>56</v>
      </c>
      <c r="D46" s="24" t="s">
        <v>107</v>
      </c>
      <c r="E46" s="17" t="s">
        <v>10</v>
      </c>
      <c r="F46" s="14" t="s">
        <v>108</v>
      </c>
      <c r="G46" s="13"/>
      <c r="H46" s="17"/>
      <c r="I46" s="71"/>
    </row>
    <row r="47" spans="1:13" s="4" customFormat="1" ht="18.75" customHeight="1" x14ac:dyDescent="0.25">
      <c r="A47" s="66"/>
      <c r="B47" s="75"/>
      <c r="D47" s="16">
        <f>H40</f>
        <v>287.42400000000004</v>
      </c>
      <c r="E47" s="17" t="str">
        <f>IF(D47&lt;F47,"&lt;","&gt;")</f>
        <v>&lt;</v>
      </c>
      <c r="F47" s="14">
        <f>H44</f>
        <v>828</v>
      </c>
      <c r="G47" s="29" t="s">
        <v>2</v>
      </c>
      <c r="H47" s="30" t="str">
        <f>IF(D47&lt;F47,"[ OK ]","[ UBAH DIMENSI PENAMPANG ]")</f>
        <v>[ OK ]</v>
      </c>
      <c r="I47" s="71"/>
    </row>
    <row r="48" spans="1:13" s="4" customFormat="1" ht="18.75" customHeight="1" x14ac:dyDescent="0.25">
      <c r="A48" s="66"/>
      <c r="B48" s="75"/>
      <c r="G48" s="13"/>
      <c r="H48" s="17"/>
      <c r="I48" s="71"/>
    </row>
    <row r="49" spans="1:13" s="7" customFormat="1" ht="18.75" customHeight="1" x14ac:dyDescent="0.25">
      <c r="A49" s="65"/>
      <c r="B49" s="76" t="s">
        <v>86</v>
      </c>
      <c r="C49" s="36"/>
      <c r="D49" s="44"/>
      <c r="E49" s="36"/>
      <c r="F49" s="43"/>
      <c r="G49" s="44" t="s">
        <v>111</v>
      </c>
      <c r="H49" s="15">
        <f>D47*1000/(Input!H17*H7)</f>
        <v>513.25714285714298</v>
      </c>
      <c r="I49" s="73" t="s">
        <v>35</v>
      </c>
      <c r="J49" s="6"/>
      <c r="K49" s="6"/>
      <c r="L49" s="6"/>
      <c r="M49" s="6"/>
    </row>
    <row r="50" spans="1:13" s="4" customFormat="1" ht="18.75" customHeight="1" x14ac:dyDescent="0.25">
      <c r="A50" s="66"/>
      <c r="G50" s="13"/>
      <c r="H50" s="17"/>
      <c r="I50" s="71"/>
    </row>
    <row r="51" spans="1:13" s="4" customFormat="1" ht="18.75" customHeight="1" x14ac:dyDescent="0.25">
      <c r="A51" s="64" t="s">
        <v>158</v>
      </c>
      <c r="B51" s="39" t="s">
        <v>112</v>
      </c>
      <c r="C51" s="40"/>
      <c r="D51" s="40"/>
      <c r="E51" s="40"/>
      <c r="F51" s="40"/>
      <c r="G51" s="41"/>
      <c r="H51" s="35"/>
      <c r="I51" s="72"/>
    </row>
    <row r="52" spans="1:13" s="4" customFormat="1" ht="18.75" customHeight="1" x14ac:dyDescent="0.25">
      <c r="A52" s="66"/>
      <c r="B52" s="76" t="s">
        <v>46</v>
      </c>
      <c r="G52" s="44" t="s">
        <v>44</v>
      </c>
      <c r="H52" s="12">
        <f>H4</f>
        <v>68.712000000000003</v>
      </c>
      <c r="I52" s="73" t="s">
        <v>31</v>
      </c>
    </row>
    <row r="53" spans="1:13" s="7" customFormat="1" ht="18.75" customHeight="1" x14ac:dyDescent="0.25">
      <c r="A53" s="65"/>
      <c r="B53" s="76" t="s">
        <v>94</v>
      </c>
      <c r="C53" s="43"/>
      <c r="D53" s="43"/>
      <c r="E53" s="43"/>
      <c r="F53" s="44"/>
      <c r="G53" s="44" t="s">
        <v>75</v>
      </c>
      <c r="H53" s="12">
        <f>H39</f>
        <v>0.75</v>
      </c>
      <c r="I53" s="73"/>
      <c r="J53" s="6"/>
      <c r="K53" s="6"/>
      <c r="L53" s="6"/>
      <c r="M53" s="6"/>
    </row>
    <row r="54" spans="1:13" s="4" customFormat="1" ht="18.75" customHeight="1" x14ac:dyDescent="0.25">
      <c r="A54" s="66"/>
      <c r="B54" s="75" t="s">
        <v>113</v>
      </c>
      <c r="G54" s="44" t="s">
        <v>114</v>
      </c>
      <c r="H54" s="12">
        <f>H52/H53</f>
        <v>91.616</v>
      </c>
      <c r="I54" s="73" t="s">
        <v>31</v>
      </c>
    </row>
    <row r="55" spans="1:13" s="4" customFormat="1" ht="18.75" customHeight="1" x14ac:dyDescent="0.25">
      <c r="A55" s="66"/>
      <c r="B55" s="75"/>
      <c r="G55" s="13"/>
      <c r="H55" s="17"/>
      <c r="I55" s="71"/>
    </row>
    <row r="56" spans="1:13" s="7" customFormat="1" ht="18.75" customHeight="1" x14ac:dyDescent="0.25">
      <c r="A56" s="65"/>
      <c r="B56" s="76" t="s">
        <v>86</v>
      </c>
      <c r="C56" s="36"/>
      <c r="D56" s="44"/>
      <c r="E56" s="36"/>
      <c r="F56" s="43"/>
      <c r="G56" s="44" t="s">
        <v>115</v>
      </c>
      <c r="H56" s="15">
        <f>H54*1000/Input!H17</f>
        <v>229.04</v>
      </c>
      <c r="I56" s="73" t="s">
        <v>35</v>
      </c>
      <c r="J56" s="6"/>
      <c r="K56" s="6"/>
      <c r="L56" s="6"/>
      <c r="M56" s="6"/>
    </row>
    <row r="57" spans="1:13" s="4" customFormat="1" ht="18.75" customHeight="1" x14ac:dyDescent="0.25">
      <c r="A57" s="66"/>
      <c r="B57" s="75"/>
      <c r="G57" s="13"/>
      <c r="H57" s="17"/>
      <c r="I57" s="71"/>
    </row>
    <row r="58" spans="1:13" s="4" customFormat="1" ht="18.75" customHeight="1" x14ac:dyDescent="0.25">
      <c r="A58" s="66"/>
      <c r="B58" s="75"/>
      <c r="G58" s="13"/>
      <c r="H58" s="17"/>
      <c r="I58" s="71"/>
    </row>
    <row r="59" spans="1:13" s="4" customFormat="1" ht="18.75" customHeight="1" x14ac:dyDescent="0.25">
      <c r="A59" s="64" t="s">
        <v>159</v>
      </c>
      <c r="B59" s="39" t="s">
        <v>116</v>
      </c>
      <c r="C59" s="40"/>
      <c r="D59" s="40"/>
      <c r="E59" s="40"/>
      <c r="F59" s="40"/>
      <c r="G59" s="41"/>
      <c r="H59" s="35"/>
      <c r="I59" s="72"/>
    </row>
    <row r="60" spans="1:13" s="4" customFormat="1" ht="18.75" customHeight="1" x14ac:dyDescent="0.25">
      <c r="A60" s="66"/>
      <c r="B60" s="75" t="s">
        <v>117</v>
      </c>
      <c r="E60" s="13" t="s">
        <v>97</v>
      </c>
      <c r="G60" s="13" t="s">
        <v>118</v>
      </c>
      <c r="H60" s="15">
        <f>H35+H56</f>
        <v>746.54</v>
      </c>
      <c r="I60" s="73" t="s">
        <v>35</v>
      </c>
    </row>
    <row r="61" spans="1:13" s="4" customFormat="1" ht="18.75" customHeight="1" x14ac:dyDescent="0.25">
      <c r="A61" s="66"/>
      <c r="B61" s="75"/>
      <c r="E61" s="13" t="s">
        <v>98</v>
      </c>
      <c r="G61" s="13" t="s">
        <v>119</v>
      </c>
      <c r="H61" s="15">
        <f>2/3*H49+H56</f>
        <v>571.21142857142866</v>
      </c>
      <c r="I61" s="73" t="s">
        <v>35</v>
      </c>
    </row>
    <row r="62" spans="1:13" s="4" customFormat="1" ht="18.75" customHeight="1" x14ac:dyDescent="0.25">
      <c r="A62" s="66"/>
      <c r="B62" s="75"/>
      <c r="E62" s="13" t="s">
        <v>103</v>
      </c>
      <c r="G62" s="13" t="s">
        <v>128</v>
      </c>
      <c r="H62" s="15">
        <f>0.04*Input!H16/Input!H17*H6</f>
        <v>414</v>
      </c>
      <c r="I62" s="73" t="s">
        <v>35</v>
      </c>
    </row>
    <row r="63" spans="1:13" s="4" customFormat="1" ht="18.75" customHeight="1" x14ac:dyDescent="0.25">
      <c r="A63" s="66"/>
      <c r="B63" s="75"/>
      <c r="G63" s="13" t="s">
        <v>120</v>
      </c>
      <c r="H63" s="15">
        <f>MAX(H60:H62)</f>
        <v>746.54</v>
      </c>
      <c r="I63" s="73" t="s">
        <v>35</v>
      </c>
    </row>
    <row r="64" spans="1:13" s="7" customFormat="1" ht="18.75" customHeight="1" x14ac:dyDescent="0.25">
      <c r="A64" s="65"/>
      <c r="B64" s="76" t="s">
        <v>33</v>
      </c>
      <c r="C64" s="43"/>
      <c r="D64" s="43"/>
      <c r="E64" s="43"/>
      <c r="F64" s="43"/>
      <c r="G64" s="44" t="s">
        <v>34</v>
      </c>
      <c r="H64" s="12">
        <f>Input!H24+Input!H23+0.5*Input!H22</f>
        <v>56</v>
      </c>
      <c r="I64" s="73" t="s">
        <v>22</v>
      </c>
      <c r="J64" s="6"/>
      <c r="K64" s="6"/>
      <c r="L64" s="6"/>
      <c r="M64" s="6"/>
    </row>
    <row r="65" spans="1:13" s="7" customFormat="1" ht="18.75" customHeight="1" x14ac:dyDescent="0.25">
      <c r="A65" s="65"/>
      <c r="B65" s="76" t="s">
        <v>66</v>
      </c>
      <c r="C65" s="43"/>
      <c r="D65" s="43"/>
      <c r="E65" s="43"/>
      <c r="F65" s="43"/>
      <c r="G65" s="44" t="s">
        <v>67</v>
      </c>
      <c r="H65" s="12">
        <f>(Input!H20-2*H64)/(25+Input!H22)+1</f>
        <v>5.5853658536585362</v>
      </c>
      <c r="I65" s="73"/>
      <c r="J65" s="6"/>
      <c r="K65" s="6"/>
      <c r="L65" s="6"/>
      <c r="M65" s="6"/>
    </row>
    <row r="66" spans="1:13" s="7" customFormat="1" ht="18.75" customHeight="1" x14ac:dyDescent="0.25">
      <c r="A66" s="65"/>
      <c r="B66" s="76" t="s">
        <v>68</v>
      </c>
      <c r="C66" s="43"/>
      <c r="D66" s="43"/>
      <c r="E66" s="43"/>
      <c r="F66" s="43"/>
      <c r="G66" s="44" t="s">
        <v>69</v>
      </c>
      <c r="H66" s="18">
        <f>IF((Input!H20-ROUNDDOWN(H65,0)*Input!H22-2*H64)/(ROUNDDOWN(H65,0)-1)&gt;25,ROUNDDOWN(H65,0),(ROUNDDOWN(H65,0)-1))</f>
        <v>5</v>
      </c>
      <c r="I66" s="73" t="s">
        <v>70</v>
      </c>
      <c r="J66" s="6"/>
      <c r="K66" s="6"/>
      <c r="L66" s="6"/>
      <c r="M66" s="6"/>
    </row>
    <row r="67" spans="1:13" s="7" customFormat="1" ht="18.75" customHeight="1" x14ac:dyDescent="0.25">
      <c r="A67" s="65"/>
      <c r="B67" s="76" t="s">
        <v>71</v>
      </c>
      <c r="C67" s="43"/>
      <c r="D67" s="43"/>
      <c r="E67" s="43"/>
      <c r="F67" s="43"/>
      <c r="G67" s="44" t="s">
        <v>72</v>
      </c>
      <c r="H67" s="12">
        <f>(Input!H20-2*H64)/(H66-1)</f>
        <v>47</v>
      </c>
      <c r="I67" s="73" t="s">
        <v>22</v>
      </c>
      <c r="J67" s="6"/>
      <c r="K67" s="6"/>
      <c r="L67" s="6"/>
      <c r="M67" s="6"/>
    </row>
    <row r="68" spans="1:13" s="7" customFormat="1" ht="18.75" customHeight="1" x14ac:dyDescent="0.25">
      <c r="A68" s="65"/>
      <c r="B68" s="76" t="s">
        <v>121</v>
      </c>
      <c r="C68" s="43"/>
      <c r="D68" s="43"/>
      <c r="E68" s="36"/>
      <c r="F68" s="43"/>
      <c r="G68" s="44" t="s">
        <v>162</v>
      </c>
      <c r="H68" s="19">
        <f>H63/(1/4*PI()*Input!H22^2)</f>
        <v>3.7129853504944856</v>
      </c>
      <c r="I68" s="74"/>
      <c r="J68" s="6"/>
      <c r="K68" s="6"/>
      <c r="L68" s="6"/>
      <c r="M68" s="6"/>
    </row>
    <row r="69" spans="1:13" s="7" customFormat="1" ht="18.75" customHeight="1" x14ac:dyDescent="0.25">
      <c r="A69" s="65"/>
      <c r="B69" s="76" t="s">
        <v>132</v>
      </c>
      <c r="C69" s="51"/>
      <c r="D69" s="36"/>
      <c r="E69" s="57"/>
      <c r="F69" s="43"/>
      <c r="G69" s="32">
        <f>ROUNDUP(H68,0)</f>
        <v>4</v>
      </c>
      <c r="H69" s="21">
        <f>Input!H22</f>
        <v>16</v>
      </c>
      <c r="I69" s="74"/>
      <c r="J69" s="6"/>
      <c r="K69" s="6"/>
      <c r="L69" s="6"/>
      <c r="M69" s="6"/>
    </row>
    <row r="70" spans="1:13" s="7" customFormat="1" ht="18.75" customHeight="1" x14ac:dyDescent="0.25">
      <c r="A70" s="65"/>
      <c r="B70" s="76" t="s">
        <v>122</v>
      </c>
      <c r="C70" s="43"/>
      <c r="D70" s="43"/>
      <c r="E70" s="43"/>
      <c r="F70" s="43"/>
      <c r="G70" s="44" t="s">
        <v>135</v>
      </c>
      <c r="H70" s="20">
        <f>G69*PI()/4*H69^2</f>
        <v>804.24771931898704</v>
      </c>
      <c r="I70" s="73" t="s">
        <v>35</v>
      </c>
      <c r="J70" s="6"/>
      <c r="K70" s="6"/>
      <c r="L70" s="6"/>
      <c r="M70" s="6"/>
    </row>
    <row r="71" spans="1:13" s="7" customFormat="1" ht="18.75" customHeight="1" x14ac:dyDescent="0.25">
      <c r="A71" s="65"/>
      <c r="B71" s="76" t="s">
        <v>123</v>
      </c>
      <c r="C71" s="43"/>
      <c r="D71" s="43"/>
      <c r="E71" s="43"/>
      <c r="F71" s="43"/>
      <c r="G71" s="44" t="s">
        <v>124</v>
      </c>
      <c r="H71" s="18">
        <f>ROUNDUP(G69/H66,0)</f>
        <v>1</v>
      </c>
      <c r="I71" s="56"/>
      <c r="J71" s="6"/>
      <c r="K71" s="6"/>
      <c r="L71" s="6"/>
      <c r="M71" s="6"/>
    </row>
    <row r="72" spans="1:13" s="7" customFormat="1" ht="18.75" customHeight="1" x14ac:dyDescent="0.25">
      <c r="A72" s="65"/>
      <c r="B72" s="76"/>
      <c r="C72" s="43" t="s">
        <v>125</v>
      </c>
      <c r="D72" s="44" t="s">
        <v>126</v>
      </c>
      <c r="E72" s="36" t="s">
        <v>127</v>
      </c>
      <c r="F72" s="43"/>
      <c r="G72" s="46" t="s">
        <v>2</v>
      </c>
      <c r="H72" s="54" t="str">
        <f>IF(H71&lt;3,"[OK]","[NOT OK]")</f>
        <v>[OK]</v>
      </c>
      <c r="I72" s="56"/>
      <c r="J72" s="6"/>
      <c r="K72" s="6"/>
      <c r="L72" s="6"/>
      <c r="M72" s="6"/>
    </row>
    <row r="73" spans="1:13" s="4" customFormat="1" ht="18.75" customHeight="1" x14ac:dyDescent="0.25">
      <c r="A73" s="66"/>
      <c r="B73" s="75"/>
      <c r="G73" s="13"/>
      <c r="H73" s="17"/>
      <c r="I73" s="71"/>
    </row>
    <row r="74" spans="1:13" s="4" customFormat="1" ht="18.75" customHeight="1" x14ac:dyDescent="0.25">
      <c r="A74" s="66"/>
      <c r="B74" s="75"/>
      <c r="G74" s="13"/>
      <c r="H74" s="17"/>
      <c r="I74" s="71"/>
    </row>
    <row r="75" spans="1:13" s="4" customFormat="1" ht="18.75" customHeight="1" x14ac:dyDescent="0.25">
      <c r="A75" s="66"/>
      <c r="B75" s="75" t="s">
        <v>129</v>
      </c>
      <c r="E75" s="13" t="s">
        <v>97</v>
      </c>
      <c r="G75" s="13" t="s">
        <v>130</v>
      </c>
      <c r="H75" s="15">
        <f>H49/3</f>
        <v>171.08571428571432</v>
      </c>
      <c r="I75" s="73" t="s">
        <v>35</v>
      </c>
    </row>
    <row r="76" spans="1:13" s="4" customFormat="1" ht="18.75" customHeight="1" x14ac:dyDescent="0.25">
      <c r="A76" s="66"/>
      <c r="B76" s="75"/>
      <c r="E76" s="13" t="s">
        <v>98</v>
      </c>
      <c r="G76" s="13" t="s">
        <v>131</v>
      </c>
      <c r="H76" s="15">
        <f>0.5*(H63+H56)</f>
        <v>487.78999999999996</v>
      </c>
      <c r="I76" s="73" t="s">
        <v>35</v>
      </c>
    </row>
    <row r="77" spans="1:13" s="7" customFormat="1" ht="18.75" customHeight="1" x14ac:dyDescent="0.25">
      <c r="A77" s="65"/>
      <c r="B77" s="76" t="s">
        <v>121</v>
      </c>
      <c r="C77" s="43"/>
      <c r="D77" s="43"/>
      <c r="E77" s="36"/>
      <c r="F77" s="43"/>
      <c r="G77" s="44" t="s">
        <v>133</v>
      </c>
      <c r="H77" s="12">
        <f>H76/(1/4*PI()*Input!H23^2)</f>
        <v>9.7042737113494528</v>
      </c>
      <c r="I77" s="74"/>
      <c r="J77" s="6"/>
      <c r="K77" s="6"/>
      <c r="L77" s="6"/>
      <c r="M77" s="6"/>
    </row>
    <row r="78" spans="1:13" s="4" customFormat="1" ht="18.75" customHeight="1" x14ac:dyDescent="0.25">
      <c r="A78" s="66"/>
      <c r="B78" s="75" t="s">
        <v>134</v>
      </c>
      <c r="G78" s="13" t="s">
        <v>136</v>
      </c>
      <c r="H78" s="14">
        <f>H77/G69</f>
        <v>2.4260684278373632</v>
      </c>
      <c r="I78" s="71"/>
    </row>
    <row r="79" spans="1:13" s="7" customFormat="1" ht="18.75" customHeight="1" x14ac:dyDescent="0.25">
      <c r="A79" s="65"/>
      <c r="B79" s="76" t="s">
        <v>132</v>
      </c>
      <c r="C79" s="51"/>
      <c r="D79" s="36"/>
      <c r="E79" s="57"/>
      <c r="F79" s="33">
        <f>G69</f>
        <v>4</v>
      </c>
      <c r="G79" s="34">
        <f>ROUNDUP(H78,0)</f>
        <v>3</v>
      </c>
      <c r="H79" s="21">
        <f>Input!H23</f>
        <v>8</v>
      </c>
      <c r="I79" s="74"/>
      <c r="J79" s="6"/>
      <c r="K79" s="6"/>
      <c r="L79" s="6"/>
      <c r="M79" s="6"/>
    </row>
    <row r="80" spans="1:13" s="4" customFormat="1" ht="18.75" customHeight="1" x14ac:dyDescent="0.25">
      <c r="A80" s="66"/>
      <c r="B80" s="75" t="s">
        <v>137</v>
      </c>
      <c r="G80" s="13" t="s">
        <v>138</v>
      </c>
      <c r="H80" s="24">
        <f>ROUNDDOWN((2/3*H5)/G79/10,0)*10</f>
        <v>120</v>
      </c>
      <c r="I80" s="71" t="s">
        <v>22</v>
      </c>
    </row>
    <row r="81" spans="1:9" s="4" customFormat="1" ht="18.75" customHeight="1" x14ac:dyDescent="0.25">
      <c r="A81" s="66"/>
      <c r="B81" s="75"/>
      <c r="G81" s="13"/>
      <c r="H81" s="17"/>
      <c r="I81" s="71"/>
    </row>
    <row r="82" spans="1:9" s="4" customFormat="1" ht="18.75" customHeight="1" x14ac:dyDescent="0.25">
      <c r="A82" s="66"/>
      <c r="B82" s="75"/>
      <c r="G82" s="13"/>
      <c r="H82" s="17"/>
      <c r="I82" s="71"/>
    </row>
    <row r="83" spans="1:9" s="4" customFormat="1" ht="18.75" customHeight="1" x14ac:dyDescent="0.25">
      <c r="A83" s="64" t="s">
        <v>160</v>
      </c>
      <c r="B83" s="39" t="s">
        <v>139</v>
      </c>
      <c r="C83" s="40"/>
      <c r="D83" s="40"/>
      <c r="E83" s="40"/>
      <c r="F83" s="40"/>
      <c r="G83" s="41"/>
      <c r="H83" s="35"/>
      <c r="I83" s="72"/>
    </row>
    <row r="84" spans="1:9" s="4" customFormat="1" ht="18.75" customHeight="1" x14ac:dyDescent="0.25">
      <c r="A84" s="66"/>
      <c r="G84" s="13"/>
      <c r="H84" s="17"/>
      <c r="I84" s="71"/>
    </row>
    <row r="85" spans="1:9" s="4" customFormat="1" ht="18.75" customHeight="1" x14ac:dyDescent="0.25">
      <c r="A85" s="66"/>
      <c r="G85" s="13"/>
      <c r="H85" s="17"/>
      <c r="I85" s="71"/>
    </row>
    <row r="86" spans="1:9" s="4" customFormat="1" ht="18.75" customHeight="1" x14ac:dyDescent="0.25">
      <c r="A86" s="66"/>
      <c r="G86" s="13"/>
      <c r="H86" s="17"/>
      <c r="I86" s="71"/>
    </row>
    <row r="87" spans="1:9" s="4" customFormat="1" ht="18.75" customHeight="1" x14ac:dyDescent="0.25">
      <c r="A87" s="66"/>
      <c r="G87" s="13"/>
      <c r="H87" s="17"/>
      <c r="I87" s="71"/>
    </row>
    <row r="88" spans="1:9" s="4" customFormat="1" ht="18.75" customHeight="1" x14ac:dyDescent="0.25">
      <c r="A88" s="66"/>
      <c r="G88" s="13"/>
      <c r="H88" s="17"/>
      <c r="I88" s="71"/>
    </row>
    <row r="89" spans="1:9" s="4" customFormat="1" ht="18.75" customHeight="1" x14ac:dyDescent="0.25">
      <c r="A89" s="66"/>
      <c r="G89" s="13"/>
      <c r="H89" s="17"/>
      <c r="I89" s="71"/>
    </row>
    <row r="90" spans="1:9" s="4" customFormat="1" ht="18.75" customHeight="1" x14ac:dyDescent="0.25">
      <c r="A90" s="66"/>
      <c r="G90" s="13"/>
      <c r="H90" s="17"/>
      <c r="I90" s="71"/>
    </row>
    <row r="91" spans="1:9" s="4" customFormat="1" ht="18.75" customHeight="1" x14ac:dyDescent="0.25">
      <c r="A91" s="66"/>
      <c r="G91" s="13"/>
      <c r="H91" s="17"/>
      <c r="I91" s="71"/>
    </row>
    <row r="92" spans="1:9" s="4" customFormat="1" ht="18.75" customHeight="1" x14ac:dyDescent="0.25">
      <c r="A92" s="66"/>
      <c r="G92" s="13"/>
      <c r="H92" s="17"/>
      <c r="I92" s="71"/>
    </row>
    <row r="93" spans="1:9" s="4" customFormat="1" ht="18.75" customHeight="1" x14ac:dyDescent="0.25">
      <c r="A93" s="66"/>
      <c r="G93" s="13"/>
      <c r="H93" s="17"/>
      <c r="I93" s="71"/>
    </row>
    <row r="94" spans="1:9" s="4" customFormat="1" ht="18.75" customHeight="1" x14ac:dyDescent="0.25">
      <c r="A94" s="66"/>
      <c r="G94" s="13"/>
      <c r="H94" s="17"/>
      <c r="I94" s="71"/>
    </row>
    <row r="95" spans="1:9" s="4" customFormat="1" ht="18.75" customHeight="1" x14ac:dyDescent="0.25">
      <c r="A95" s="66"/>
      <c r="G95" s="13"/>
      <c r="H95" s="17"/>
      <c r="I95" s="71"/>
    </row>
    <row r="96" spans="1:9" s="4" customFormat="1" ht="18.75" customHeight="1" x14ac:dyDescent="0.25">
      <c r="A96" s="66"/>
      <c r="B96" s="75" t="s">
        <v>144</v>
      </c>
      <c r="G96" s="13"/>
      <c r="H96" s="17"/>
      <c r="I96" s="71"/>
    </row>
    <row r="97" spans="1:9" s="4" customFormat="1" ht="18.75" customHeight="1" x14ac:dyDescent="0.25">
      <c r="A97" s="66"/>
      <c r="B97" s="75"/>
      <c r="E97" s="13" t="s">
        <v>97</v>
      </c>
      <c r="G97" s="13" t="s">
        <v>141</v>
      </c>
      <c r="H97" s="15">
        <f>1/3*H70*H5</f>
        <v>147981.58035469361</v>
      </c>
      <c r="I97" s="73" t="s">
        <v>143</v>
      </c>
    </row>
    <row r="98" spans="1:9" s="4" customFormat="1" ht="18.75" customHeight="1" x14ac:dyDescent="0.25">
      <c r="A98" s="66"/>
      <c r="B98" s="75"/>
      <c r="E98" s="13" t="s">
        <v>98</v>
      </c>
      <c r="G98" s="13" t="s">
        <v>140</v>
      </c>
      <c r="H98" s="15">
        <f>4*H70*H69</f>
        <v>51471.85403641517</v>
      </c>
      <c r="I98" s="73" t="s">
        <v>143</v>
      </c>
    </row>
    <row r="99" spans="1:9" s="4" customFormat="1" ht="18.75" customHeight="1" x14ac:dyDescent="0.25">
      <c r="A99" s="66"/>
      <c r="B99" s="75"/>
      <c r="G99" s="13" t="s">
        <v>142</v>
      </c>
      <c r="H99" s="15">
        <f>MAX(H97:H98)</f>
        <v>147981.58035469361</v>
      </c>
      <c r="I99" s="73" t="s">
        <v>143</v>
      </c>
    </row>
    <row r="100" spans="1:9" s="4" customFormat="1" ht="18.75" customHeight="1" x14ac:dyDescent="0.25">
      <c r="A100" s="66"/>
      <c r="B100" s="75" t="s">
        <v>147</v>
      </c>
      <c r="G100" s="13" t="s">
        <v>146</v>
      </c>
      <c r="H100" s="18">
        <f>H99/H70</f>
        <v>184</v>
      </c>
      <c r="I100" s="73" t="s">
        <v>22</v>
      </c>
    </row>
    <row r="101" spans="1:9" s="4" customFormat="1" ht="18.75" customHeight="1" x14ac:dyDescent="0.25">
      <c r="A101" s="66"/>
      <c r="B101" s="75" t="s">
        <v>149</v>
      </c>
      <c r="G101" s="13" t="s">
        <v>150</v>
      </c>
      <c r="H101" s="18">
        <v>150</v>
      </c>
      <c r="I101" s="73" t="s">
        <v>22</v>
      </c>
    </row>
    <row r="102" spans="1:9" s="4" customFormat="1" ht="18.75" customHeight="1" x14ac:dyDescent="0.25">
      <c r="A102" s="66"/>
      <c r="B102" s="75" t="s">
        <v>145</v>
      </c>
      <c r="G102" s="13" t="s">
        <v>148</v>
      </c>
      <c r="H102" s="18">
        <f>ROUNDUP(MAX(H100:H101)/25,0)*25</f>
        <v>200</v>
      </c>
      <c r="I102" s="73" t="s">
        <v>22</v>
      </c>
    </row>
    <row r="103" spans="1:9" s="4" customFormat="1" ht="18.75" customHeight="1" x14ac:dyDescent="0.25">
      <c r="A103" s="66"/>
      <c r="B103" s="75"/>
      <c r="G103" s="13"/>
      <c r="H103" s="17"/>
      <c r="I103" s="71"/>
    </row>
    <row r="104" spans="1:9" s="4" customFormat="1" ht="18.75" customHeight="1" x14ac:dyDescent="0.25">
      <c r="A104" s="66"/>
      <c r="B104" s="75" t="s">
        <v>151</v>
      </c>
      <c r="G104" s="13" t="s">
        <v>153</v>
      </c>
      <c r="H104" s="24">
        <f>12*H69</f>
        <v>192</v>
      </c>
      <c r="I104" s="71" t="s">
        <v>22</v>
      </c>
    </row>
    <row r="105" spans="1:9" s="4" customFormat="1" ht="18.75" customHeight="1" x14ac:dyDescent="0.25">
      <c r="A105" s="66"/>
      <c r="B105" s="75" t="s">
        <v>154</v>
      </c>
      <c r="G105" s="13" t="s">
        <v>152</v>
      </c>
      <c r="H105" s="24">
        <f>ROUNDUP(H104/25,0)*25</f>
        <v>200</v>
      </c>
      <c r="I105" s="71" t="s">
        <v>22</v>
      </c>
    </row>
    <row r="106" spans="1:9" s="4" customFormat="1" ht="18.75" customHeight="1" x14ac:dyDescent="0.25">
      <c r="A106" s="66"/>
      <c r="B106" s="75"/>
      <c r="G106" s="13"/>
      <c r="H106" s="17"/>
      <c r="I106" s="48"/>
    </row>
    <row r="107" spans="1:9" s="4" customFormat="1" ht="18.75" customHeight="1" x14ac:dyDescent="0.25">
      <c r="A107" s="67"/>
      <c r="B107" s="77"/>
      <c r="C107" s="58"/>
      <c r="D107" s="58"/>
      <c r="E107" s="58"/>
      <c r="F107" s="58"/>
      <c r="G107" s="59"/>
      <c r="H107" s="60"/>
      <c r="I107" s="61"/>
    </row>
  </sheetData>
  <mergeCells count="1">
    <mergeCell ref="B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19AD-4752-4833-9447-20E308465852}">
  <dimension ref="B1:J17"/>
  <sheetViews>
    <sheetView showGridLines="0" workbookViewId="0">
      <selection activeCell="F28" sqref="F28"/>
    </sheetView>
  </sheetViews>
  <sheetFormatPr defaultColWidth="9.140625" defaultRowHeight="18.75" customHeight="1" x14ac:dyDescent="0.25"/>
  <cols>
    <col min="1" max="1" width="9.140625" style="78"/>
    <col min="2" max="2" width="4.5703125" style="78" customWidth="1"/>
    <col min="3" max="9" width="9.140625" style="78"/>
    <col min="10" max="10" width="4.5703125" style="78" customWidth="1"/>
    <col min="11" max="16384" width="9.140625" style="78"/>
  </cols>
  <sheetData>
    <row r="1" spans="2:10" ht="15.75" thickBot="1" x14ac:dyDescent="0.3"/>
    <row r="2" spans="2:10" ht="18.75" customHeight="1" x14ac:dyDescent="0.25">
      <c r="B2" s="79"/>
      <c r="C2" s="80"/>
      <c r="D2" s="80"/>
      <c r="E2" s="80"/>
      <c r="F2" s="80"/>
      <c r="G2" s="80"/>
      <c r="H2" s="80"/>
      <c r="I2" s="80"/>
      <c r="J2" s="81"/>
    </row>
    <row r="3" spans="2:10" ht="18.75" customHeight="1" x14ac:dyDescent="0.25">
      <c r="B3" s="82"/>
      <c r="C3" s="83" t="s">
        <v>163</v>
      </c>
      <c r="J3" s="84"/>
    </row>
    <row r="4" spans="2:10" ht="18.75" customHeight="1" x14ac:dyDescent="0.25">
      <c r="B4" s="82"/>
      <c r="C4" s="85" t="s">
        <v>164</v>
      </c>
      <c r="G4" s="86"/>
      <c r="H4" s="87">
        <f>Input!H21</f>
        <v>600</v>
      </c>
      <c r="I4" s="88" t="s">
        <v>22</v>
      </c>
      <c r="J4" s="84"/>
    </row>
    <row r="5" spans="2:10" ht="18.75" customHeight="1" x14ac:dyDescent="0.25">
      <c r="B5" s="82"/>
      <c r="C5" s="85" t="s">
        <v>165</v>
      </c>
      <c r="G5" s="86"/>
      <c r="H5" s="87">
        <f>Input!H20</f>
        <v>300</v>
      </c>
      <c r="I5" s="88" t="s">
        <v>22</v>
      </c>
      <c r="J5" s="84"/>
    </row>
    <row r="6" spans="2:10" ht="18" x14ac:dyDescent="0.25">
      <c r="B6" s="82"/>
      <c r="C6" s="85" t="s">
        <v>166</v>
      </c>
      <c r="G6" s="86"/>
      <c r="H6" s="87">
        <f>Input!H24</f>
        <v>40</v>
      </c>
      <c r="I6" s="88" t="s">
        <v>22</v>
      </c>
      <c r="J6" s="84"/>
    </row>
    <row r="7" spans="2:10" ht="18.75" customHeight="1" x14ac:dyDescent="0.25">
      <c r="B7" s="82"/>
      <c r="C7" s="85" t="s">
        <v>172</v>
      </c>
      <c r="G7" s="86"/>
      <c r="H7" s="89">
        <f>Process!G69</f>
        <v>4</v>
      </c>
      <c r="I7" s="90">
        <f>Process!H69</f>
        <v>16</v>
      </c>
      <c r="J7" s="84"/>
    </row>
    <row r="8" spans="2:10" ht="18.75" customHeight="1" x14ac:dyDescent="0.25">
      <c r="B8" s="82"/>
      <c r="C8" s="85" t="s">
        <v>167</v>
      </c>
      <c r="G8" s="102">
        <f>Process!F79</f>
        <v>4</v>
      </c>
      <c r="H8" s="89">
        <f>Process!G79</f>
        <v>3</v>
      </c>
      <c r="I8" s="90">
        <f>Process!H79</f>
        <v>8</v>
      </c>
      <c r="J8" s="84"/>
    </row>
    <row r="9" spans="2:10" ht="18.75" customHeight="1" x14ac:dyDescent="0.25">
      <c r="B9" s="82"/>
      <c r="J9" s="84"/>
    </row>
    <row r="10" spans="2:10" ht="18.75" customHeight="1" x14ac:dyDescent="0.25">
      <c r="B10" s="82"/>
      <c r="C10" s="83" t="s">
        <v>168</v>
      </c>
      <c r="J10" s="84"/>
    </row>
    <row r="11" spans="2:10" ht="18" x14ac:dyDescent="0.25">
      <c r="B11" s="82"/>
      <c r="C11" s="78" t="s">
        <v>170</v>
      </c>
      <c r="J11" s="84"/>
    </row>
    <row r="12" spans="2:10" ht="18" x14ac:dyDescent="0.25">
      <c r="B12" s="82"/>
      <c r="C12" s="153" t="s">
        <v>56</v>
      </c>
      <c r="D12" s="91"/>
      <c r="E12" s="91"/>
      <c r="F12" s="92" t="s">
        <v>171</v>
      </c>
      <c r="G12" s="93" t="s">
        <v>169</v>
      </c>
      <c r="H12" s="92" t="s">
        <v>173</v>
      </c>
      <c r="I12" s="94"/>
      <c r="J12" s="84"/>
    </row>
    <row r="13" spans="2:10" ht="18.75" customHeight="1" x14ac:dyDescent="0.25">
      <c r="B13" s="82"/>
      <c r="C13" s="154"/>
      <c r="D13" s="95"/>
      <c r="E13" s="95"/>
      <c r="F13" s="96">
        <f>Process!H38</f>
        <v>215.56800000000001</v>
      </c>
      <c r="G13" s="97" t="str">
        <f>IF(F13&lt;=H13,"≤","&gt;")</f>
        <v>≤</v>
      </c>
      <c r="H13" s="96">
        <f>Process!H39*Process!H44</f>
        <v>621</v>
      </c>
      <c r="I13" s="98" t="str">
        <f>IF(F13&lt;=H13,"[ OK ]","[ NOT OK ]")</f>
        <v>[ OK ]</v>
      </c>
      <c r="J13" s="84"/>
    </row>
    <row r="14" spans="2:10" ht="18" x14ac:dyDescent="0.25">
      <c r="B14" s="82"/>
      <c r="C14" s="78" t="s">
        <v>177</v>
      </c>
      <c r="J14" s="84"/>
    </row>
    <row r="15" spans="2:10" ht="18" x14ac:dyDescent="0.25">
      <c r="B15" s="82"/>
      <c r="C15" s="153" t="s">
        <v>56</v>
      </c>
      <c r="D15" s="91"/>
      <c r="E15" s="91"/>
      <c r="F15" s="92" t="s">
        <v>178</v>
      </c>
      <c r="G15" s="93" t="s">
        <v>169</v>
      </c>
      <c r="H15" s="92" t="s">
        <v>179</v>
      </c>
      <c r="I15" s="94"/>
      <c r="J15" s="84"/>
    </row>
    <row r="16" spans="2:10" ht="18.75" customHeight="1" x14ac:dyDescent="0.25">
      <c r="B16" s="82"/>
      <c r="C16" s="154"/>
      <c r="D16" s="95"/>
      <c r="E16" s="95"/>
      <c r="F16" s="96">
        <f>Process!H52</f>
        <v>68.712000000000003</v>
      </c>
      <c r="G16" s="97" t="str">
        <f>IF(F16&lt;=H16,"≤","&gt;")</f>
        <v>≤</v>
      </c>
      <c r="H16" s="96">
        <f>Process!H53*Process!H56*Input!H17/1000</f>
        <v>68.712000000000003</v>
      </c>
      <c r="I16" s="98" t="str">
        <f>IF(F16&lt;=H16,"[ OK ]","[ NOT OK ]")</f>
        <v>[ OK ]</v>
      </c>
      <c r="J16" s="84"/>
    </row>
    <row r="17" spans="2:10" ht="15.75" thickBot="1" x14ac:dyDescent="0.3">
      <c r="B17" s="99"/>
      <c r="C17" s="100"/>
      <c r="D17" s="100"/>
      <c r="E17" s="100"/>
      <c r="F17" s="100"/>
      <c r="G17" s="100"/>
      <c r="H17" s="100"/>
      <c r="I17" s="100"/>
      <c r="J17" s="101"/>
    </row>
  </sheetData>
  <mergeCells count="2">
    <mergeCell ref="C12:C13"/>
    <mergeCell ref="C15:C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CBAA-7DA5-406F-90DB-1013C64BD76E}">
  <dimension ref="A1:N168"/>
  <sheetViews>
    <sheetView showGridLines="0" view="pageLayout" topLeftCell="A67" zoomScaleNormal="100" zoomScaleSheetLayoutView="85" workbookViewId="0">
      <selection activeCell="H72" sqref="H72"/>
    </sheetView>
  </sheetViews>
  <sheetFormatPr defaultColWidth="9.140625" defaultRowHeight="18.75" customHeight="1" x14ac:dyDescent="0.25"/>
  <cols>
    <col min="1" max="1" width="4.42578125" style="78" bestFit="1" customWidth="1"/>
    <col min="2" max="8" width="10.42578125" style="78" customWidth="1"/>
    <col min="9" max="9" width="9.85546875" style="78" customWidth="1"/>
    <col min="10" max="16384" width="9.140625" style="78"/>
  </cols>
  <sheetData>
    <row r="1" spans="1:14" ht="18.75" customHeight="1" x14ac:dyDescent="0.25">
      <c r="A1" s="155" t="s">
        <v>190</v>
      </c>
      <c r="B1" s="155"/>
      <c r="C1" s="155"/>
      <c r="D1" s="155"/>
      <c r="E1" s="155"/>
      <c r="F1" s="155"/>
      <c r="G1" s="155"/>
      <c r="H1" s="155"/>
      <c r="I1" s="155"/>
      <c r="J1" s="126"/>
      <c r="K1" s="126"/>
      <c r="L1" s="126"/>
      <c r="M1" s="126"/>
      <c r="N1" s="126"/>
    </row>
    <row r="2" spans="1:14" ht="18.75" customHeight="1" x14ac:dyDescent="0.25">
      <c r="A2" s="83"/>
      <c r="D2" s="127"/>
      <c r="E2" s="127"/>
      <c r="F2" s="127"/>
      <c r="G2" s="127"/>
      <c r="H2" s="127"/>
      <c r="I2" s="127"/>
      <c r="J2" s="126"/>
      <c r="K2" s="126"/>
      <c r="L2" s="126"/>
      <c r="M2" s="126"/>
      <c r="N2" s="126"/>
    </row>
    <row r="3" spans="1:14" ht="37.5" customHeight="1" x14ac:dyDescent="0.25">
      <c r="A3" s="156"/>
      <c r="B3" s="156"/>
      <c r="C3" s="156"/>
      <c r="D3" s="105" t="s">
        <v>191</v>
      </c>
      <c r="F3" s="157" t="s">
        <v>198</v>
      </c>
      <c r="G3" s="158"/>
      <c r="H3" s="158"/>
      <c r="I3" s="159"/>
      <c r="J3" s="126"/>
      <c r="K3" s="126"/>
      <c r="L3" s="126"/>
      <c r="M3" s="126"/>
      <c r="N3" s="126"/>
    </row>
    <row r="4" spans="1:14" ht="18.75" customHeight="1" x14ac:dyDescent="0.25">
      <c r="A4" s="156"/>
      <c r="B4" s="156"/>
      <c r="C4" s="156"/>
      <c r="D4" s="105" t="s">
        <v>192</v>
      </c>
      <c r="F4" s="160" t="s">
        <v>193</v>
      </c>
      <c r="G4" s="161"/>
      <c r="H4" s="161"/>
      <c r="I4" s="162"/>
      <c r="J4" s="126"/>
      <c r="K4" s="126"/>
      <c r="L4" s="126"/>
      <c r="M4" s="126"/>
      <c r="N4" s="126"/>
    </row>
    <row r="5" spans="1:14" ht="18.75" customHeight="1" x14ac:dyDescent="0.25">
      <c r="A5" s="156"/>
      <c r="B5" s="156"/>
      <c r="C5" s="156"/>
      <c r="D5" s="105" t="s">
        <v>194</v>
      </c>
      <c r="F5" s="163" t="s">
        <v>195</v>
      </c>
      <c r="G5" s="161"/>
      <c r="H5" s="161"/>
      <c r="I5" s="162"/>
      <c r="J5" s="126"/>
      <c r="K5" s="126"/>
      <c r="L5" s="126"/>
      <c r="M5" s="126"/>
      <c r="N5" s="126"/>
    </row>
    <row r="6" spans="1:14" ht="18.75" customHeight="1" x14ac:dyDescent="0.25">
      <c r="A6" s="156"/>
      <c r="B6" s="156"/>
      <c r="C6" s="156"/>
      <c r="D6" s="105" t="s">
        <v>196</v>
      </c>
      <c r="F6" s="164" t="s">
        <v>197</v>
      </c>
      <c r="G6" s="161"/>
      <c r="H6" s="161"/>
      <c r="I6" s="162"/>
      <c r="J6" s="126"/>
      <c r="K6" s="126"/>
      <c r="L6" s="126"/>
      <c r="M6" s="126"/>
      <c r="N6" s="126"/>
    </row>
    <row r="7" spans="1:14" ht="15" x14ac:dyDescent="0.25"/>
    <row r="8" spans="1:14" ht="18.75" customHeight="1" x14ac:dyDescent="0.25">
      <c r="A8" s="128" t="s">
        <v>9</v>
      </c>
      <c r="B8" s="129" t="s">
        <v>180</v>
      </c>
      <c r="C8" s="130"/>
      <c r="D8" s="130"/>
      <c r="E8" s="130"/>
      <c r="F8" s="130"/>
      <c r="G8" s="131"/>
      <c r="H8" s="132"/>
      <c r="I8" s="133"/>
    </row>
    <row r="9" spans="1:14" ht="18.75" customHeight="1" x14ac:dyDescent="0.25">
      <c r="A9" s="112"/>
      <c r="B9" s="23"/>
      <c r="C9" s="22"/>
      <c r="D9" s="22"/>
      <c r="E9" s="22"/>
      <c r="F9" s="22"/>
      <c r="G9" s="27"/>
      <c r="H9" s="22"/>
      <c r="I9" s="23"/>
    </row>
    <row r="10" spans="1:14" ht="18.75" customHeight="1" x14ac:dyDescent="0.25">
      <c r="A10" s="112"/>
      <c r="B10" s="23"/>
      <c r="C10" s="22"/>
      <c r="D10" s="22"/>
      <c r="E10" s="22"/>
      <c r="F10" s="22"/>
      <c r="G10" s="27"/>
      <c r="H10" s="22"/>
      <c r="I10" s="23"/>
    </row>
    <row r="11" spans="1:14" ht="18.75" customHeight="1" x14ac:dyDescent="0.25">
      <c r="A11" s="112"/>
      <c r="B11" s="23"/>
      <c r="C11" s="22"/>
      <c r="D11" s="22"/>
      <c r="E11" s="22"/>
      <c r="F11" s="22"/>
      <c r="G11" s="27"/>
      <c r="H11" s="22"/>
      <c r="I11" s="23"/>
    </row>
    <row r="12" spans="1:14" ht="18.75" customHeight="1" x14ac:dyDescent="0.25">
      <c r="A12" s="112"/>
      <c r="B12" s="23"/>
      <c r="C12" s="22"/>
      <c r="D12" s="22"/>
      <c r="E12" s="22"/>
      <c r="F12" s="22"/>
      <c r="G12" s="27"/>
      <c r="H12" s="22"/>
      <c r="I12" s="23"/>
    </row>
    <row r="13" spans="1:14" ht="18.75" customHeight="1" x14ac:dyDescent="0.25">
      <c r="A13" s="112"/>
      <c r="B13" s="23"/>
      <c r="C13" s="22"/>
      <c r="D13" s="22"/>
      <c r="E13" s="22"/>
      <c r="F13" s="22"/>
      <c r="G13" s="27"/>
      <c r="H13" s="22"/>
      <c r="I13" s="23"/>
    </row>
    <row r="14" spans="1:14" ht="18.75" customHeight="1" x14ac:dyDescent="0.25">
      <c r="A14" s="112"/>
      <c r="B14" s="23"/>
      <c r="C14" s="22"/>
      <c r="D14" s="22"/>
      <c r="E14" s="22"/>
      <c r="F14" s="22"/>
      <c r="G14" s="27"/>
      <c r="H14" s="22"/>
      <c r="I14" s="23"/>
    </row>
    <row r="15" spans="1:14" ht="18.75" customHeight="1" x14ac:dyDescent="0.25">
      <c r="A15" s="112"/>
      <c r="B15" s="23"/>
      <c r="C15" s="22"/>
      <c r="D15" s="22"/>
      <c r="E15" s="22"/>
      <c r="F15" s="22"/>
      <c r="G15" s="27"/>
      <c r="H15" s="22"/>
      <c r="I15" s="23"/>
    </row>
    <row r="16" spans="1:14" ht="18.75" customHeight="1" x14ac:dyDescent="0.25">
      <c r="A16" s="112"/>
      <c r="B16" s="23"/>
      <c r="C16" s="22"/>
      <c r="D16" s="22"/>
      <c r="E16" s="22"/>
      <c r="F16" s="22"/>
      <c r="G16" s="27"/>
      <c r="H16" s="22"/>
      <c r="I16" s="23"/>
    </row>
    <row r="17" spans="1:9" ht="18.75" customHeight="1" x14ac:dyDescent="0.25">
      <c r="A17" s="112"/>
      <c r="B17" s="23"/>
      <c r="C17" s="22"/>
      <c r="D17" s="22"/>
      <c r="E17" s="22"/>
      <c r="F17" s="22"/>
      <c r="G17" s="27"/>
      <c r="H17" s="22"/>
      <c r="I17" s="23"/>
    </row>
    <row r="18" spans="1:9" ht="18.75" customHeight="1" x14ac:dyDescent="0.25">
      <c r="A18" s="112"/>
      <c r="B18" s="23"/>
      <c r="C18" s="22"/>
      <c r="D18" s="22"/>
      <c r="E18" s="22"/>
      <c r="F18" s="22"/>
      <c r="G18" s="27"/>
      <c r="H18" s="22"/>
      <c r="I18" s="23"/>
    </row>
    <row r="19" spans="1:9" ht="18.75" customHeight="1" x14ac:dyDescent="0.25">
      <c r="A19" s="112"/>
      <c r="B19" s="23"/>
      <c r="C19" s="22"/>
      <c r="D19" s="22"/>
      <c r="E19" s="22"/>
      <c r="F19" s="22"/>
      <c r="G19" s="27"/>
      <c r="H19" s="22"/>
      <c r="I19" s="23"/>
    </row>
    <row r="20" spans="1:9" ht="18.75" customHeight="1" x14ac:dyDescent="0.25">
      <c r="A20" s="112"/>
      <c r="B20" s="23"/>
      <c r="C20" s="22"/>
      <c r="D20" s="22"/>
      <c r="E20" s="22"/>
      <c r="F20" s="22"/>
      <c r="G20" s="27"/>
      <c r="H20" s="22"/>
      <c r="I20" s="23"/>
    </row>
    <row r="21" spans="1:9" ht="18.75" customHeight="1" x14ac:dyDescent="0.25">
      <c r="A21" s="113" t="s">
        <v>12</v>
      </c>
      <c r="B21" s="39" t="s">
        <v>185</v>
      </c>
      <c r="C21" s="40"/>
      <c r="D21" s="40"/>
      <c r="E21" s="40"/>
      <c r="F21" s="40"/>
      <c r="G21" s="41"/>
      <c r="H21" s="35"/>
      <c r="I21" s="110"/>
    </row>
    <row r="22" spans="1:9" ht="18.75" customHeight="1" x14ac:dyDescent="0.25">
      <c r="A22" s="54"/>
      <c r="B22" s="43" t="s">
        <v>14</v>
      </c>
      <c r="C22" s="43"/>
      <c r="D22" s="43"/>
      <c r="E22" s="43"/>
      <c r="F22" s="43"/>
      <c r="G22" s="44" t="s">
        <v>15</v>
      </c>
      <c r="H22" s="111">
        <f>Input!H16</f>
        <v>25</v>
      </c>
      <c r="I22" s="76" t="s">
        <v>0</v>
      </c>
    </row>
    <row r="23" spans="1:9" ht="18.75" customHeight="1" x14ac:dyDescent="0.25">
      <c r="A23" s="54"/>
      <c r="B23" s="43" t="s">
        <v>16</v>
      </c>
      <c r="C23" s="43"/>
      <c r="D23" s="43"/>
      <c r="E23" s="43"/>
      <c r="F23" s="43"/>
      <c r="G23" s="44" t="s">
        <v>17</v>
      </c>
      <c r="H23" s="111">
        <f>Input!H17</f>
        <v>400</v>
      </c>
      <c r="I23" s="76" t="s">
        <v>0</v>
      </c>
    </row>
    <row r="24" spans="1:9" ht="18.75" customHeight="1" x14ac:dyDescent="0.25">
      <c r="A24" s="54"/>
      <c r="B24" s="43"/>
      <c r="C24" s="43"/>
      <c r="D24" s="43"/>
      <c r="E24" s="43"/>
      <c r="F24" s="43"/>
      <c r="G24" s="44"/>
      <c r="H24" s="36"/>
      <c r="I24" s="76"/>
    </row>
    <row r="25" spans="1:9" ht="18.75" customHeight="1" x14ac:dyDescent="0.25">
      <c r="A25" s="113" t="s">
        <v>18</v>
      </c>
      <c r="B25" s="39" t="s">
        <v>186</v>
      </c>
      <c r="C25" s="40"/>
      <c r="D25" s="40"/>
      <c r="E25" s="40"/>
      <c r="F25" s="40"/>
      <c r="G25" s="41"/>
      <c r="H25" s="35"/>
      <c r="I25" s="121"/>
    </row>
    <row r="26" spans="1:9" ht="18.75" customHeight="1" x14ac:dyDescent="0.25">
      <c r="A26" s="54"/>
      <c r="B26" s="43" t="s">
        <v>20</v>
      </c>
      <c r="C26" s="36"/>
      <c r="D26" s="36"/>
      <c r="E26" s="46"/>
      <c r="F26" s="47"/>
      <c r="G26" s="44" t="s">
        <v>21</v>
      </c>
      <c r="H26" s="111">
        <f>Input!H20</f>
        <v>300</v>
      </c>
      <c r="I26" s="76" t="s">
        <v>22</v>
      </c>
    </row>
    <row r="27" spans="1:9" ht="18.75" customHeight="1" x14ac:dyDescent="0.25">
      <c r="A27" s="54"/>
      <c r="B27" s="43" t="s">
        <v>23</v>
      </c>
      <c r="C27" s="36"/>
      <c r="D27" s="36"/>
      <c r="E27" s="46"/>
      <c r="F27" s="47"/>
      <c r="G27" s="44" t="s">
        <v>11</v>
      </c>
      <c r="H27" s="111">
        <f>Input!H21</f>
        <v>600</v>
      </c>
      <c r="I27" s="76" t="s">
        <v>22</v>
      </c>
    </row>
    <row r="28" spans="1:9" ht="18.75" customHeight="1" x14ac:dyDescent="0.25">
      <c r="A28" s="54"/>
      <c r="B28" s="43" t="s">
        <v>24</v>
      </c>
      <c r="C28" s="36"/>
      <c r="D28" s="36"/>
      <c r="E28" s="46"/>
      <c r="F28" s="47"/>
      <c r="G28" s="44" t="s">
        <v>25</v>
      </c>
      <c r="H28" s="111">
        <f>Input!H22</f>
        <v>16</v>
      </c>
      <c r="I28" s="76" t="s">
        <v>22</v>
      </c>
    </row>
    <row r="29" spans="1:9" ht="18.75" customHeight="1" x14ac:dyDescent="0.25">
      <c r="A29" s="54"/>
      <c r="B29" s="43" t="s">
        <v>26</v>
      </c>
      <c r="C29" s="36"/>
      <c r="D29" s="36"/>
      <c r="E29" s="46"/>
      <c r="F29" s="47"/>
      <c r="G29" s="44" t="s">
        <v>27</v>
      </c>
      <c r="H29" s="111">
        <f>Input!H23</f>
        <v>8</v>
      </c>
      <c r="I29" s="76" t="s">
        <v>22</v>
      </c>
    </row>
    <row r="30" spans="1:9" ht="18.75" customHeight="1" x14ac:dyDescent="0.25">
      <c r="A30" s="54"/>
      <c r="B30" s="43" t="s">
        <v>28</v>
      </c>
      <c r="C30" s="43"/>
      <c r="D30" s="36"/>
      <c r="E30" s="46"/>
      <c r="F30" s="47"/>
      <c r="G30" s="44" t="s">
        <v>29</v>
      </c>
      <c r="H30" s="111">
        <f>Input!H24</f>
        <v>40</v>
      </c>
      <c r="I30" s="76" t="s">
        <v>22</v>
      </c>
    </row>
    <row r="31" spans="1:9" ht="18.75" customHeight="1" x14ac:dyDescent="0.25">
      <c r="A31" s="54"/>
      <c r="B31" s="43" t="s">
        <v>42</v>
      </c>
      <c r="C31" s="43"/>
      <c r="D31" s="36"/>
      <c r="E31" s="46"/>
      <c r="F31" s="47"/>
      <c r="G31" s="44" t="s">
        <v>43</v>
      </c>
      <c r="H31" s="111">
        <f>Input!H25</f>
        <v>200</v>
      </c>
      <c r="I31" s="76" t="s">
        <v>22</v>
      </c>
    </row>
    <row r="32" spans="1:9" ht="18.75" customHeight="1" x14ac:dyDescent="0.25">
      <c r="A32" s="54"/>
      <c r="B32" s="43"/>
      <c r="C32" s="43"/>
      <c r="D32" s="43"/>
      <c r="E32" s="43"/>
      <c r="F32" s="43"/>
      <c r="G32" s="44"/>
      <c r="H32" s="36"/>
      <c r="I32" s="76"/>
    </row>
    <row r="33" spans="1:9" ht="18.75" customHeight="1" x14ac:dyDescent="0.25">
      <c r="A33" s="113" t="s">
        <v>161</v>
      </c>
      <c r="B33" s="39" t="s">
        <v>187</v>
      </c>
      <c r="C33" s="40"/>
      <c r="D33" s="40"/>
      <c r="E33" s="40"/>
      <c r="F33" s="40"/>
      <c r="G33" s="41"/>
      <c r="H33" s="35"/>
      <c r="I33" s="121"/>
    </row>
    <row r="34" spans="1:9" ht="18.75" customHeight="1" x14ac:dyDescent="0.25">
      <c r="A34" s="54"/>
      <c r="B34" s="43" t="s">
        <v>188</v>
      </c>
      <c r="C34" s="43"/>
      <c r="D34" s="43"/>
      <c r="E34" s="43"/>
      <c r="F34" s="43"/>
      <c r="G34" s="44" t="s">
        <v>47</v>
      </c>
      <c r="H34" s="111">
        <f>Input!H28</f>
        <v>215.56800000000001</v>
      </c>
      <c r="I34" s="76" t="s">
        <v>31</v>
      </c>
    </row>
    <row r="35" spans="1:9" ht="18.75" customHeight="1" x14ac:dyDescent="0.25">
      <c r="A35" s="54"/>
      <c r="B35" s="43" t="s">
        <v>189</v>
      </c>
      <c r="C35" s="43"/>
      <c r="D35" s="43"/>
      <c r="E35" s="43"/>
      <c r="F35" s="43"/>
      <c r="G35" s="44" t="s">
        <v>44</v>
      </c>
      <c r="H35" s="111">
        <f>Input!H29</f>
        <v>68.712000000000003</v>
      </c>
      <c r="I35" s="76" t="s">
        <v>31</v>
      </c>
    </row>
    <row r="36" spans="1:9" ht="18.75" customHeight="1" x14ac:dyDescent="0.25">
      <c r="A36" s="54"/>
      <c r="B36" s="43"/>
      <c r="C36" s="43"/>
      <c r="D36" s="43"/>
      <c r="E36" s="43"/>
      <c r="F36" s="43"/>
      <c r="G36" s="44"/>
      <c r="H36" s="22"/>
      <c r="I36" s="50"/>
    </row>
    <row r="37" spans="1:9" ht="18.75" customHeight="1" x14ac:dyDescent="0.25">
      <c r="A37" s="54"/>
      <c r="B37" s="43"/>
      <c r="C37" s="43"/>
      <c r="D37" s="43"/>
      <c r="E37" s="43"/>
      <c r="F37" s="43"/>
      <c r="G37" s="44"/>
      <c r="H37" s="22"/>
      <c r="I37" s="50"/>
    </row>
    <row r="38" spans="1:9" ht="18.75" customHeight="1" x14ac:dyDescent="0.25">
      <c r="A38" s="54"/>
      <c r="B38" s="43"/>
      <c r="C38" s="43"/>
      <c r="D38" s="43"/>
      <c r="E38" s="43"/>
      <c r="F38" s="43"/>
      <c r="G38" s="44"/>
      <c r="H38" s="22"/>
      <c r="I38" s="50"/>
    </row>
    <row r="39" spans="1:9" ht="18.75" customHeight="1" x14ac:dyDescent="0.25">
      <c r="A39" s="54"/>
      <c r="B39" s="43"/>
      <c r="C39" s="43"/>
      <c r="D39" s="43"/>
      <c r="E39" s="43"/>
      <c r="F39" s="43"/>
      <c r="G39" s="44"/>
      <c r="H39" s="22"/>
      <c r="I39" s="50"/>
    </row>
    <row r="40" spans="1:9" ht="18.75" customHeight="1" x14ac:dyDescent="0.25">
      <c r="A40" s="128" t="s">
        <v>32</v>
      </c>
      <c r="B40" s="129" t="s">
        <v>181</v>
      </c>
      <c r="C40" s="130"/>
      <c r="D40" s="130"/>
      <c r="E40" s="130"/>
      <c r="F40" s="130"/>
      <c r="G40" s="131"/>
      <c r="H40" s="132"/>
      <c r="I40" s="133"/>
    </row>
    <row r="41" spans="1:9" ht="18.75" customHeight="1" x14ac:dyDescent="0.25">
      <c r="A41" s="107" t="s">
        <v>156</v>
      </c>
      <c r="B41" s="107" t="s">
        <v>182</v>
      </c>
      <c r="C41" s="106"/>
      <c r="D41" s="106"/>
      <c r="E41" s="106"/>
      <c r="F41" s="106"/>
      <c r="G41" s="106"/>
      <c r="H41" s="106"/>
      <c r="I41" s="106"/>
    </row>
    <row r="42" spans="1:9" ht="18.75" customHeight="1" x14ac:dyDescent="0.25">
      <c r="A42" s="114"/>
      <c r="B42" s="115" t="s">
        <v>163</v>
      </c>
      <c r="C42" s="114"/>
      <c r="D42" s="114"/>
      <c r="E42" s="114"/>
      <c r="F42" s="114"/>
      <c r="G42" s="114"/>
      <c r="H42" s="114"/>
      <c r="I42" s="114"/>
    </row>
    <row r="43" spans="1:9" ht="18.75" customHeight="1" x14ac:dyDescent="0.25">
      <c r="A43" s="114"/>
      <c r="B43" s="116" t="s">
        <v>164</v>
      </c>
      <c r="C43" s="114"/>
      <c r="D43" s="114"/>
      <c r="E43" s="114"/>
      <c r="F43" s="86"/>
      <c r="G43" s="87">
        <f>Result!H4</f>
        <v>600</v>
      </c>
      <c r="H43" s="88" t="s">
        <v>22</v>
      </c>
      <c r="I43" s="114"/>
    </row>
    <row r="44" spans="1:9" ht="18.75" customHeight="1" x14ac:dyDescent="0.25">
      <c r="A44" s="114"/>
      <c r="B44" s="116" t="s">
        <v>165</v>
      </c>
      <c r="C44" s="114"/>
      <c r="D44" s="114"/>
      <c r="E44" s="114"/>
      <c r="F44" s="86"/>
      <c r="G44" s="87">
        <f>Result!H5</f>
        <v>300</v>
      </c>
      <c r="H44" s="88" t="s">
        <v>22</v>
      </c>
      <c r="I44" s="114"/>
    </row>
    <row r="45" spans="1:9" ht="18.75" customHeight="1" x14ac:dyDescent="0.25">
      <c r="A45" s="114"/>
      <c r="B45" s="116" t="s">
        <v>166</v>
      </c>
      <c r="C45" s="114"/>
      <c r="D45" s="114"/>
      <c r="E45" s="114"/>
      <c r="F45" s="86"/>
      <c r="G45" s="87">
        <f>Result!H6</f>
        <v>40</v>
      </c>
      <c r="H45" s="88" t="s">
        <v>22</v>
      </c>
      <c r="I45" s="114"/>
    </row>
    <row r="46" spans="1:9" ht="18.75" customHeight="1" x14ac:dyDescent="0.25">
      <c r="A46" s="114"/>
      <c r="B46" s="116" t="s">
        <v>172</v>
      </c>
      <c r="C46" s="114"/>
      <c r="D46" s="114"/>
      <c r="E46" s="114"/>
      <c r="F46" s="86"/>
      <c r="G46" s="89">
        <f>Result!H7</f>
        <v>4</v>
      </c>
      <c r="H46" s="90">
        <f>Result!I7</f>
        <v>16</v>
      </c>
      <c r="I46" s="114"/>
    </row>
    <row r="47" spans="1:9" ht="18.75" customHeight="1" x14ac:dyDescent="0.25">
      <c r="A47" s="114"/>
      <c r="B47" s="116" t="s">
        <v>167</v>
      </c>
      <c r="C47" s="114"/>
      <c r="D47" s="114"/>
      <c r="E47" s="114"/>
      <c r="F47" s="102">
        <f>Result!G8</f>
        <v>4</v>
      </c>
      <c r="G47" s="89">
        <f>Result!H8</f>
        <v>3</v>
      </c>
      <c r="H47" s="90">
        <f>Result!I8</f>
        <v>8</v>
      </c>
      <c r="I47" s="114"/>
    </row>
    <row r="48" spans="1:9" ht="18.75" customHeight="1" x14ac:dyDescent="0.25">
      <c r="A48" s="114"/>
      <c r="B48" s="114"/>
      <c r="C48" s="114"/>
      <c r="D48" s="114"/>
      <c r="E48" s="114"/>
      <c r="F48" s="114"/>
      <c r="G48" s="114"/>
      <c r="H48" s="114"/>
      <c r="I48" s="114"/>
    </row>
    <row r="49" spans="1:9" ht="18.75" customHeight="1" x14ac:dyDescent="0.25">
      <c r="A49" s="107" t="s">
        <v>157</v>
      </c>
      <c r="B49" s="107" t="s">
        <v>183</v>
      </c>
      <c r="C49" s="106"/>
      <c r="D49" s="106"/>
      <c r="E49" s="106"/>
      <c r="F49" s="106"/>
      <c r="G49" s="106"/>
      <c r="H49" s="106"/>
      <c r="I49" s="106"/>
    </row>
    <row r="50" spans="1:9" ht="18.75" customHeight="1" x14ac:dyDescent="0.25">
      <c r="A50" s="114"/>
      <c r="B50" s="114" t="s">
        <v>170</v>
      </c>
      <c r="C50" s="114"/>
      <c r="D50" s="114"/>
      <c r="E50" s="114"/>
      <c r="F50" s="114"/>
      <c r="G50" s="114"/>
      <c r="H50" s="114"/>
      <c r="I50" s="114"/>
    </row>
    <row r="51" spans="1:9" ht="18.75" customHeight="1" x14ac:dyDescent="0.25">
      <c r="A51" s="114"/>
      <c r="B51" s="153" t="s">
        <v>56</v>
      </c>
      <c r="C51" s="91"/>
      <c r="D51" s="91"/>
      <c r="E51" s="92" t="s">
        <v>171</v>
      </c>
      <c r="F51" s="93" t="s">
        <v>169</v>
      </c>
      <c r="G51" s="92" t="s">
        <v>173</v>
      </c>
      <c r="H51" s="94"/>
      <c r="I51" s="114"/>
    </row>
    <row r="52" spans="1:9" ht="18.75" customHeight="1" x14ac:dyDescent="0.25">
      <c r="A52" s="114"/>
      <c r="B52" s="154"/>
      <c r="C52" s="95"/>
      <c r="D52" s="95"/>
      <c r="E52" s="96">
        <f>Result!F13</f>
        <v>215.56800000000001</v>
      </c>
      <c r="F52" s="97" t="str">
        <f>IF(E52&lt;=G52,"≤","&gt;")</f>
        <v>≤</v>
      </c>
      <c r="G52" s="96">
        <f>Result!H13</f>
        <v>621</v>
      </c>
      <c r="H52" s="98" t="str">
        <f>IF(E52&lt;=G52,"[ OK ]","[ NOT OK ]")</f>
        <v>[ OK ]</v>
      </c>
      <c r="I52" s="114"/>
    </row>
    <row r="53" spans="1:9" ht="18.75" customHeight="1" x14ac:dyDescent="0.25">
      <c r="A53" s="114"/>
      <c r="B53" s="114" t="s">
        <v>177</v>
      </c>
      <c r="C53" s="114"/>
      <c r="D53" s="114"/>
      <c r="E53" s="114"/>
      <c r="F53" s="114"/>
      <c r="G53" s="114"/>
      <c r="H53" s="114"/>
      <c r="I53" s="114"/>
    </row>
    <row r="54" spans="1:9" ht="18.75" customHeight="1" x14ac:dyDescent="0.25">
      <c r="A54" s="114"/>
      <c r="B54" s="153" t="s">
        <v>56</v>
      </c>
      <c r="C54" s="91"/>
      <c r="D54" s="91"/>
      <c r="E54" s="92" t="s">
        <v>178</v>
      </c>
      <c r="F54" s="93" t="s">
        <v>169</v>
      </c>
      <c r="G54" s="92" t="s">
        <v>179</v>
      </c>
      <c r="H54" s="94"/>
      <c r="I54" s="114"/>
    </row>
    <row r="55" spans="1:9" ht="18.75" customHeight="1" x14ac:dyDescent="0.25">
      <c r="A55" s="114"/>
      <c r="B55" s="154"/>
      <c r="C55" s="95"/>
      <c r="D55" s="95"/>
      <c r="E55" s="96">
        <f>Result!F16</f>
        <v>68.712000000000003</v>
      </c>
      <c r="F55" s="97" t="str">
        <f>IF(E55&lt;=G55,"≤","&gt;")</f>
        <v>≤</v>
      </c>
      <c r="G55" s="96">
        <f>Result!H16</f>
        <v>68.712000000000003</v>
      </c>
      <c r="H55" s="98" t="str">
        <f>IF(E55&lt;=G55,"[ OK ]","[ NOT OK ]")</f>
        <v>[ OK ]</v>
      </c>
      <c r="I55" s="114"/>
    </row>
    <row r="56" spans="1:9" ht="18.75" customHeight="1" x14ac:dyDescent="0.25">
      <c r="A56" s="114"/>
      <c r="B56" s="114"/>
      <c r="C56" s="114"/>
      <c r="D56" s="114"/>
      <c r="E56" s="114"/>
      <c r="F56" s="114"/>
      <c r="G56" s="114"/>
      <c r="H56" s="114"/>
      <c r="I56" s="114"/>
    </row>
    <row r="58" spans="1:9" ht="18.75" customHeight="1" x14ac:dyDescent="0.25">
      <c r="A58" s="134" t="s">
        <v>199</v>
      </c>
      <c r="B58" s="135" t="s">
        <v>41</v>
      </c>
      <c r="C58" s="125"/>
      <c r="D58" s="125"/>
      <c r="E58" s="125"/>
      <c r="F58" s="125"/>
      <c r="G58" s="136"/>
      <c r="H58" s="125"/>
      <c r="I58" s="137"/>
    </row>
    <row r="59" spans="1:9" ht="18.75" customHeight="1" x14ac:dyDescent="0.25">
      <c r="A59" s="68"/>
      <c r="B59" s="75" t="s">
        <v>87</v>
      </c>
      <c r="C59" s="4"/>
      <c r="D59" s="4"/>
      <c r="E59" s="4"/>
      <c r="F59" s="4"/>
      <c r="G59" s="13" t="s">
        <v>88</v>
      </c>
      <c r="H59" s="16">
        <f>Process!H3</f>
        <v>43.113600000000005</v>
      </c>
      <c r="I59" s="75" t="s">
        <v>1</v>
      </c>
    </row>
    <row r="60" spans="1:9" ht="18.75" customHeight="1" x14ac:dyDescent="0.25">
      <c r="A60" s="68"/>
      <c r="B60" s="75" t="s">
        <v>89</v>
      </c>
      <c r="C60" s="4"/>
      <c r="D60" s="4"/>
      <c r="E60" s="4"/>
      <c r="F60" s="4"/>
      <c r="G60" s="13" t="s">
        <v>90</v>
      </c>
      <c r="H60" s="16">
        <f>Process!H4</f>
        <v>68.712000000000003</v>
      </c>
      <c r="I60" s="75" t="s">
        <v>1</v>
      </c>
    </row>
    <row r="61" spans="1:9" ht="18.75" customHeight="1" x14ac:dyDescent="0.25">
      <c r="A61" s="68"/>
      <c r="B61" s="75" t="s">
        <v>50</v>
      </c>
      <c r="C61" s="4"/>
      <c r="D61" s="4"/>
      <c r="E61" s="4"/>
      <c r="F61" s="4"/>
      <c r="G61" s="13" t="s">
        <v>51</v>
      </c>
      <c r="H61" s="118">
        <f>Process!H5</f>
        <v>552</v>
      </c>
      <c r="I61" s="75" t="s">
        <v>22</v>
      </c>
    </row>
    <row r="62" spans="1:9" ht="18.75" customHeight="1" x14ac:dyDescent="0.25">
      <c r="A62" s="68"/>
      <c r="B62" s="75" t="s">
        <v>48</v>
      </c>
      <c r="C62" s="4"/>
      <c r="D62" s="4"/>
      <c r="E62" s="4"/>
      <c r="F62" s="4"/>
      <c r="G62" s="114"/>
      <c r="H62" s="114"/>
      <c r="I62" s="114"/>
    </row>
    <row r="63" spans="1:9" ht="18.75" customHeight="1" x14ac:dyDescent="0.25">
      <c r="A63" s="68"/>
      <c r="B63" s="75"/>
      <c r="C63" s="4"/>
      <c r="D63" s="4"/>
      <c r="E63" s="4"/>
      <c r="F63" s="4"/>
      <c r="G63" s="13" t="s">
        <v>99</v>
      </c>
      <c r="H63" s="118">
        <f>Process!H6</f>
        <v>165600</v>
      </c>
      <c r="I63" s="75" t="s">
        <v>49</v>
      </c>
    </row>
    <row r="64" spans="1:9" ht="18.75" customHeight="1" x14ac:dyDescent="0.25">
      <c r="A64" s="68"/>
      <c r="B64" s="75" t="s">
        <v>52</v>
      </c>
      <c r="C64" s="4"/>
      <c r="D64" s="4"/>
      <c r="E64" s="4"/>
      <c r="F64" s="4"/>
      <c r="G64" s="28" t="s">
        <v>53</v>
      </c>
      <c r="H64" s="117">
        <f>Process!H7</f>
        <v>1.4</v>
      </c>
      <c r="I64" s="75"/>
    </row>
    <row r="65" spans="1:9" ht="18.75" customHeight="1" x14ac:dyDescent="0.25">
      <c r="A65" s="68"/>
      <c r="B65" s="75" t="s">
        <v>92</v>
      </c>
      <c r="C65" s="4"/>
      <c r="D65" s="4"/>
      <c r="E65" s="4"/>
      <c r="F65" s="4"/>
      <c r="G65" s="28" t="s">
        <v>54</v>
      </c>
      <c r="H65" s="14">
        <f>Process!H8</f>
        <v>0.75</v>
      </c>
      <c r="I65" s="75"/>
    </row>
    <row r="66" spans="1:9" ht="18.75" customHeight="1" x14ac:dyDescent="0.25">
      <c r="A66" s="68"/>
      <c r="B66" s="75" t="s">
        <v>55</v>
      </c>
      <c r="C66" s="4"/>
      <c r="D66" s="4"/>
      <c r="E66" s="4"/>
      <c r="F66" s="4"/>
      <c r="G66" s="13"/>
      <c r="H66" s="17"/>
      <c r="I66" s="75"/>
    </row>
    <row r="67" spans="1:9" ht="18.75" customHeight="1" x14ac:dyDescent="0.25">
      <c r="A67" s="68"/>
      <c r="B67" s="4"/>
      <c r="C67" s="4" t="s">
        <v>56</v>
      </c>
      <c r="D67" s="24" t="s">
        <v>155</v>
      </c>
      <c r="E67" s="17" t="s">
        <v>10</v>
      </c>
      <c r="F67" s="14">
        <v>1</v>
      </c>
      <c r="G67" s="13"/>
      <c r="H67" s="17"/>
      <c r="I67" s="75"/>
    </row>
    <row r="68" spans="1:9" ht="18.75" customHeight="1" x14ac:dyDescent="0.25">
      <c r="A68" s="68"/>
      <c r="B68" s="4"/>
      <c r="C68" s="4"/>
      <c r="D68" s="14">
        <f>Process!D11</f>
        <v>0.36231884057971014</v>
      </c>
      <c r="E68" s="17" t="str">
        <f>IF(D68&lt;F68,"&lt;","&gt;")</f>
        <v>&lt;</v>
      </c>
      <c r="F68" s="14">
        <f>Process!F11</f>
        <v>1</v>
      </c>
      <c r="G68" s="29" t="s">
        <v>2</v>
      </c>
      <c r="H68" s="30" t="str">
        <f>IF(D68&lt;F68,"[ OK ]","[ UBAH DIMENSI PENAMPANG ]")</f>
        <v>[ OK ]</v>
      </c>
      <c r="I68" s="75"/>
    </row>
    <row r="69" spans="1:9" ht="18.75" customHeight="1" x14ac:dyDescent="0.25">
      <c r="A69" s="68"/>
      <c r="B69" s="4"/>
      <c r="C69" s="4"/>
      <c r="D69" s="4"/>
      <c r="E69" s="4"/>
      <c r="F69" s="4"/>
      <c r="G69" s="13"/>
      <c r="H69" s="17"/>
      <c r="I69" s="75"/>
    </row>
    <row r="70" spans="1:9" ht="18.75" customHeight="1" x14ac:dyDescent="0.25">
      <c r="A70" s="108" t="s">
        <v>200</v>
      </c>
      <c r="B70" s="39" t="s">
        <v>110</v>
      </c>
      <c r="C70" s="40"/>
      <c r="D70" s="40"/>
      <c r="E70" s="40"/>
      <c r="F70" s="40"/>
      <c r="G70" s="41"/>
      <c r="H70" s="35"/>
      <c r="I70" s="121"/>
    </row>
    <row r="71" spans="1:9" ht="18.75" customHeight="1" x14ac:dyDescent="0.25">
      <c r="A71" s="109"/>
      <c r="B71" s="76" t="s">
        <v>36</v>
      </c>
      <c r="C71" s="43"/>
      <c r="D71" s="43"/>
      <c r="E71" s="43"/>
      <c r="F71" s="43"/>
      <c r="G71" s="44" t="s">
        <v>37</v>
      </c>
      <c r="H71" s="16">
        <f>Process!H14</f>
        <v>0.85</v>
      </c>
      <c r="I71" s="76"/>
    </row>
    <row r="72" spans="1:9" ht="18.75" customHeight="1" x14ac:dyDescent="0.25">
      <c r="A72" s="109"/>
      <c r="B72" s="76" t="s">
        <v>38</v>
      </c>
      <c r="C72" s="43"/>
      <c r="D72" s="43"/>
      <c r="E72" s="43"/>
      <c r="F72" s="43"/>
      <c r="G72" s="44" t="s">
        <v>220</v>
      </c>
      <c r="H72" s="16" t="str">
        <f>Process!H15</f>
        <v>-</v>
      </c>
      <c r="I72" s="76"/>
    </row>
    <row r="73" spans="1:9" ht="18.75" customHeight="1" x14ac:dyDescent="0.25">
      <c r="A73" s="109"/>
      <c r="B73" s="76" t="s">
        <v>39</v>
      </c>
      <c r="C73" s="43"/>
      <c r="D73" s="43"/>
      <c r="E73" s="43"/>
      <c r="F73" s="43"/>
      <c r="G73" s="44" t="s">
        <v>37</v>
      </c>
      <c r="H73" s="16" t="str">
        <f>Process!H16</f>
        <v>-</v>
      </c>
      <c r="I73" s="76"/>
    </row>
    <row r="74" spans="1:9" ht="18.75" customHeight="1" x14ac:dyDescent="0.25">
      <c r="A74" s="109"/>
      <c r="B74" s="76" t="s">
        <v>40</v>
      </c>
      <c r="C74" s="43"/>
      <c r="D74" s="43"/>
      <c r="E74" s="43"/>
      <c r="F74" s="46" t="s">
        <v>2</v>
      </c>
      <c r="G74" s="44" t="s">
        <v>37</v>
      </c>
      <c r="H74" s="16">
        <f>Process!H17</f>
        <v>0.85</v>
      </c>
      <c r="I74" s="76"/>
    </row>
    <row r="75" spans="1:9" ht="18.75" customHeight="1" x14ac:dyDescent="0.25">
      <c r="A75" s="109"/>
      <c r="B75" s="76" t="s">
        <v>59</v>
      </c>
      <c r="C75" s="43"/>
      <c r="D75" s="43"/>
      <c r="E75" s="43"/>
      <c r="F75" s="46"/>
      <c r="G75" s="44"/>
      <c r="H75" s="36"/>
      <c r="I75" s="76"/>
    </row>
    <row r="76" spans="1:9" ht="18.75" customHeight="1" x14ac:dyDescent="0.25">
      <c r="A76" s="109"/>
      <c r="B76" s="76"/>
      <c r="C76" s="51"/>
      <c r="D76" s="43"/>
      <c r="E76" s="43"/>
      <c r="F76" s="43"/>
      <c r="G76" s="44" t="s">
        <v>60</v>
      </c>
      <c r="H76" s="119">
        <f>Process!H19</f>
        <v>2.7093749999999993E-2</v>
      </c>
      <c r="I76" s="76"/>
    </row>
    <row r="77" spans="1:9" ht="18.75" customHeight="1" x14ac:dyDescent="0.25">
      <c r="A77" s="109"/>
      <c r="B77" s="76" t="s">
        <v>61</v>
      </c>
      <c r="C77" s="43"/>
      <c r="D77" s="49"/>
      <c r="E77" s="36"/>
      <c r="F77" s="50"/>
      <c r="G77" s="44" t="s">
        <v>62</v>
      </c>
      <c r="H77" s="119">
        <f>Process!H20</f>
        <v>2.0320312499999993E-2</v>
      </c>
      <c r="I77" s="76"/>
    </row>
    <row r="78" spans="1:9" ht="18.75" customHeight="1" x14ac:dyDescent="0.25">
      <c r="A78" s="109"/>
      <c r="B78" s="76" t="s">
        <v>63</v>
      </c>
      <c r="C78" s="43"/>
      <c r="D78" s="43"/>
      <c r="E78" s="50" t="s">
        <v>57</v>
      </c>
      <c r="F78" s="43"/>
      <c r="G78" s="44" t="s">
        <v>64</v>
      </c>
      <c r="H78" s="119">
        <f>Process!H21</f>
        <v>3.1250000000000002E-3</v>
      </c>
      <c r="I78" s="76"/>
    </row>
    <row r="79" spans="1:9" ht="18.75" customHeight="1" x14ac:dyDescent="0.25">
      <c r="A79" s="109"/>
      <c r="B79" s="76"/>
      <c r="C79" s="43"/>
      <c r="D79" s="43"/>
      <c r="E79" s="43" t="s">
        <v>58</v>
      </c>
      <c r="F79" s="43"/>
      <c r="G79" s="44" t="s">
        <v>65</v>
      </c>
      <c r="H79" s="119">
        <f>Process!H22</f>
        <v>3.4999999999999996E-3</v>
      </c>
      <c r="I79" s="76"/>
    </row>
    <row r="80" spans="1:9" ht="18.75" customHeight="1" x14ac:dyDescent="0.25">
      <c r="A80" s="109"/>
      <c r="B80" s="76" t="s">
        <v>73</v>
      </c>
      <c r="C80" s="43"/>
      <c r="D80" s="43"/>
      <c r="E80" s="43"/>
      <c r="F80" s="43"/>
      <c r="G80" s="114"/>
      <c r="H80" s="114"/>
      <c r="I80" s="76"/>
    </row>
    <row r="81" spans="1:9" ht="18.75" customHeight="1" x14ac:dyDescent="0.25">
      <c r="A81" s="109"/>
      <c r="B81" s="76"/>
      <c r="C81" s="43"/>
      <c r="D81" s="43"/>
      <c r="E81" s="43"/>
      <c r="F81" s="43"/>
      <c r="G81" s="44" t="s">
        <v>74</v>
      </c>
      <c r="H81" s="16">
        <f>Process!H23</f>
        <v>18.823529411764707</v>
      </c>
      <c r="I81" s="76"/>
    </row>
    <row r="82" spans="1:9" ht="18.75" customHeight="1" x14ac:dyDescent="0.25">
      <c r="A82" s="109"/>
      <c r="B82" s="76" t="s">
        <v>93</v>
      </c>
      <c r="C82" s="43"/>
      <c r="D82" s="43"/>
      <c r="E82" s="43"/>
      <c r="F82" s="44"/>
      <c r="G82" s="44" t="s">
        <v>75</v>
      </c>
      <c r="H82" s="14">
        <f>Process!H24</f>
        <v>0.75</v>
      </c>
      <c r="I82" s="76"/>
    </row>
    <row r="83" spans="1:9" ht="18.75" customHeight="1" x14ac:dyDescent="0.25">
      <c r="A83" s="109"/>
      <c r="B83" s="76" t="s">
        <v>76</v>
      </c>
      <c r="C83" s="43"/>
      <c r="D83" s="43"/>
      <c r="E83" s="43"/>
      <c r="F83" s="44"/>
      <c r="G83" s="114"/>
      <c r="H83" s="114"/>
      <c r="I83" s="114"/>
    </row>
    <row r="84" spans="1:9" ht="18.75" customHeight="1" x14ac:dyDescent="0.25">
      <c r="A84" s="109"/>
      <c r="B84" s="76"/>
      <c r="C84" s="51"/>
      <c r="D84" s="43"/>
      <c r="E84" s="43"/>
      <c r="F84" s="43"/>
      <c r="G84" s="44" t="s">
        <v>91</v>
      </c>
      <c r="H84" s="16">
        <f>Process!H25</f>
        <v>46.411776000000003</v>
      </c>
      <c r="I84" s="76" t="s">
        <v>77</v>
      </c>
    </row>
    <row r="85" spans="1:9" ht="18.75" customHeight="1" x14ac:dyDescent="0.25">
      <c r="A85" s="109"/>
      <c r="B85" s="76" t="s">
        <v>78</v>
      </c>
      <c r="C85" s="51"/>
      <c r="D85" s="43"/>
      <c r="E85" s="43"/>
      <c r="F85" s="43"/>
      <c r="G85" s="52" t="s">
        <v>79</v>
      </c>
      <c r="H85" s="16">
        <f>Process!H27</f>
        <v>0.67696702373450957</v>
      </c>
      <c r="I85" s="76"/>
    </row>
    <row r="86" spans="1:9" ht="18.75" customHeight="1" x14ac:dyDescent="0.25">
      <c r="A86" s="109"/>
      <c r="B86" s="76" t="s">
        <v>80</v>
      </c>
      <c r="C86" s="51"/>
      <c r="D86" s="43"/>
      <c r="E86" s="43"/>
      <c r="F86" s="43"/>
      <c r="G86" s="52" t="s">
        <v>81</v>
      </c>
      <c r="H86" s="119">
        <f>Process!H28</f>
        <v>1.7202700685965962E-3</v>
      </c>
      <c r="I86" s="76"/>
    </row>
    <row r="87" spans="1:9" ht="18.75" customHeight="1" x14ac:dyDescent="0.25">
      <c r="A87" s="109"/>
      <c r="B87" s="76"/>
      <c r="C87" s="51"/>
      <c r="D87" s="43"/>
      <c r="E87" s="43"/>
      <c r="F87" s="43"/>
      <c r="G87" s="52"/>
      <c r="H87" s="53"/>
      <c r="I87" s="76"/>
    </row>
    <row r="88" spans="1:9" ht="18.75" customHeight="1" x14ac:dyDescent="0.25">
      <c r="A88" s="109"/>
      <c r="B88" s="76" t="s">
        <v>82</v>
      </c>
      <c r="C88" s="43"/>
      <c r="D88" s="43"/>
      <c r="E88" s="43"/>
      <c r="F88" s="43"/>
      <c r="G88" s="44"/>
      <c r="H88" s="53"/>
      <c r="I88" s="76"/>
    </row>
    <row r="89" spans="1:9" ht="18.75" customHeight="1" x14ac:dyDescent="0.25">
      <c r="A89" s="109"/>
      <c r="B89" s="43"/>
      <c r="C89" s="43" t="s">
        <v>56</v>
      </c>
      <c r="D89" s="104" t="s">
        <v>174</v>
      </c>
      <c r="E89" s="104" t="s">
        <v>83</v>
      </c>
      <c r="F89" s="104" t="s">
        <v>175</v>
      </c>
      <c r="G89" s="44"/>
      <c r="H89" s="53"/>
      <c r="I89" s="76"/>
    </row>
    <row r="90" spans="1:9" ht="18.75" customHeight="1" x14ac:dyDescent="0.25">
      <c r="A90" s="109"/>
      <c r="B90" s="43"/>
      <c r="C90" s="43"/>
      <c r="D90" s="120">
        <f>Process!D32</f>
        <v>3.1250000000000002E-3</v>
      </c>
      <c r="E90" s="53">
        <f>H86</f>
        <v>1.7202700685965962E-3</v>
      </c>
      <c r="F90" s="120">
        <f>Process!F32</f>
        <v>2.0320312499999993E-2</v>
      </c>
      <c r="G90" s="46" t="s">
        <v>2</v>
      </c>
      <c r="H90" s="54" t="str">
        <f>IF(D90&lt;E90,(IF(E90&lt;F90,"[ OK ]","[ PERBESAR DIMENSI ]")),"[ Pakai ρmin ]")</f>
        <v>[ Pakai ρmin ]</v>
      </c>
      <c r="I90" s="76"/>
    </row>
    <row r="91" spans="1:9" ht="18.75" customHeight="1" x14ac:dyDescent="0.25">
      <c r="A91" s="109"/>
      <c r="B91" s="43"/>
      <c r="C91" s="43"/>
      <c r="D91" s="43"/>
      <c r="E91" s="43"/>
      <c r="F91" s="44"/>
      <c r="G91" s="44"/>
      <c r="H91" s="55"/>
      <c r="I91" s="76"/>
    </row>
    <row r="92" spans="1:9" ht="18.75" customHeight="1" x14ac:dyDescent="0.25">
      <c r="A92" s="109"/>
      <c r="B92" s="76" t="s">
        <v>84</v>
      </c>
      <c r="C92" s="51"/>
      <c r="D92" s="43"/>
      <c r="E92" s="43"/>
      <c r="F92" s="43"/>
      <c r="G92" s="52" t="s">
        <v>85</v>
      </c>
      <c r="H92" s="119">
        <f>Process!H34</f>
        <v>3.1250000000000002E-3</v>
      </c>
      <c r="I92" s="76"/>
    </row>
    <row r="93" spans="1:9" ht="18.75" customHeight="1" x14ac:dyDescent="0.25">
      <c r="A93" s="109"/>
      <c r="B93" s="76" t="s">
        <v>86</v>
      </c>
      <c r="C93" s="36"/>
      <c r="D93" s="44"/>
      <c r="E93" s="36"/>
      <c r="F93" s="43"/>
      <c r="G93" s="44" t="s">
        <v>176</v>
      </c>
      <c r="H93" s="14">
        <f>Process!H35</f>
        <v>517.5</v>
      </c>
      <c r="I93" s="76" t="s">
        <v>35</v>
      </c>
    </row>
    <row r="94" spans="1:9" ht="18.75" customHeight="1" x14ac:dyDescent="0.25">
      <c r="A94" s="68"/>
      <c r="B94" s="4"/>
      <c r="C94" s="4"/>
      <c r="D94" s="4"/>
      <c r="E94" s="4"/>
      <c r="F94" s="4"/>
      <c r="G94" s="13"/>
      <c r="H94" s="17"/>
      <c r="I94" s="75"/>
    </row>
    <row r="95" spans="1:9" ht="18.75" customHeight="1" x14ac:dyDescent="0.25">
      <c r="A95" s="108" t="s">
        <v>201</v>
      </c>
      <c r="B95" s="39" t="s">
        <v>109</v>
      </c>
      <c r="C95" s="40"/>
      <c r="D95" s="40"/>
      <c r="E95" s="40"/>
      <c r="F95" s="40"/>
      <c r="G95" s="41"/>
      <c r="H95" s="35"/>
      <c r="I95" s="121"/>
    </row>
    <row r="96" spans="1:9" ht="18.75" customHeight="1" x14ac:dyDescent="0.25">
      <c r="A96" s="109"/>
      <c r="B96" s="76" t="s">
        <v>45</v>
      </c>
      <c r="C96" s="43"/>
      <c r="D96" s="43"/>
      <c r="E96" s="43"/>
      <c r="F96" s="43"/>
      <c r="G96" s="44" t="s">
        <v>47</v>
      </c>
      <c r="H96" s="16">
        <f>Process!H38</f>
        <v>215.56800000000001</v>
      </c>
      <c r="I96" s="76" t="s">
        <v>31</v>
      </c>
    </row>
    <row r="97" spans="1:9" ht="18.75" customHeight="1" x14ac:dyDescent="0.25">
      <c r="A97" s="109"/>
      <c r="B97" s="76" t="s">
        <v>94</v>
      </c>
      <c r="C97" s="43"/>
      <c r="D97" s="43"/>
      <c r="E97" s="43"/>
      <c r="F97" s="44"/>
      <c r="G97" s="44" t="s">
        <v>75</v>
      </c>
      <c r="H97" s="16">
        <f>Process!H39</f>
        <v>0.75</v>
      </c>
      <c r="I97" s="76"/>
    </row>
    <row r="98" spans="1:9" ht="18.75" customHeight="1" x14ac:dyDescent="0.25">
      <c r="A98" s="68"/>
      <c r="B98" s="75" t="s">
        <v>96</v>
      </c>
      <c r="C98" s="4"/>
      <c r="D98" s="4"/>
      <c r="E98" s="4"/>
      <c r="F98" s="4"/>
      <c r="G98" s="13" t="s">
        <v>95</v>
      </c>
      <c r="H98" s="16">
        <f>Process!H40</f>
        <v>287.42400000000004</v>
      </c>
      <c r="I98" s="76" t="s">
        <v>31</v>
      </c>
    </row>
    <row r="99" spans="1:9" ht="18.75" customHeight="1" x14ac:dyDescent="0.25">
      <c r="A99" s="68"/>
      <c r="B99" s="75" t="s">
        <v>100</v>
      </c>
      <c r="C99" s="4"/>
      <c r="D99" s="4"/>
    </row>
    <row r="100" spans="1:9" ht="18.75" customHeight="1" x14ac:dyDescent="0.25">
      <c r="A100" s="68"/>
      <c r="B100" s="75"/>
      <c r="C100" s="4"/>
      <c r="D100" s="13" t="s">
        <v>97</v>
      </c>
      <c r="F100" s="4"/>
      <c r="G100" s="13" t="s">
        <v>101</v>
      </c>
      <c r="H100" s="16">
        <f>Process!H41</f>
        <v>828</v>
      </c>
      <c r="I100" s="76" t="s">
        <v>31</v>
      </c>
    </row>
    <row r="101" spans="1:9" ht="18.75" customHeight="1" x14ac:dyDescent="0.25">
      <c r="A101" s="68"/>
      <c r="B101" s="75"/>
      <c r="C101" s="4"/>
      <c r="D101" s="13" t="s">
        <v>98</v>
      </c>
      <c r="F101" s="4"/>
      <c r="G101" s="13" t="s">
        <v>102</v>
      </c>
      <c r="H101" s="16">
        <f>Process!H42</f>
        <v>877.68</v>
      </c>
      <c r="I101" s="76" t="s">
        <v>31</v>
      </c>
    </row>
    <row r="102" spans="1:9" ht="18.75" customHeight="1" x14ac:dyDescent="0.25">
      <c r="A102" s="68"/>
      <c r="B102" s="75"/>
      <c r="C102" s="4"/>
      <c r="D102" s="13" t="s">
        <v>103</v>
      </c>
      <c r="F102" s="4"/>
      <c r="G102" s="13" t="s">
        <v>104</v>
      </c>
      <c r="H102" s="16">
        <f>Process!H43</f>
        <v>1821.6</v>
      </c>
      <c r="I102" s="76" t="s">
        <v>31</v>
      </c>
    </row>
    <row r="103" spans="1:9" ht="18.75" customHeight="1" x14ac:dyDescent="0.25">
      <c r="A103" s="68"/>
      <c r="B103" s="75"/>
      <c r="C103" s="4"/>
      <c r="D103" s="4"/>
      <c r="E103" s="4"/>
      <c r="F103" s="4"/>
      <c r="G103" s="13" t="s">
        <v>105</v>
      </c>
      <c r="H103" s="16">
        <f>Process!H44</f>
        <v>828</v>
      </c>
      <c r="I103" s="76" t="s">
        <v>31</v>
      </c>
    </row>
    <row r="104" spans="1:9" ht="18.75" customHeight="1" x14ac:dyDescent="0.25">
      <c r="A104" s="68"/>
      <c r="B104" s="75" t="s">
        <v>106</v>
      </c>
      <c r="C104" s="4"/>
      <c r="D104" s="4"/>
      <c r="E104" s="4"/>
      <c r="F104" s="4"/>
      <c r="G104" s="13"/>
      <c r="H104" s="17"/>
      <c r="I104" s="75"/>
    </row>
    <row r="105" spans="1:9" ht="18.75" customHeight="1" x14ac:dyDescent="0.25">
      <c r="A105" s="68"/>
      <c r="B105" s="75"/>
      <c r="C105" s="4" t="s">
        <v>56</v>
      </c>
      <c r="D105" s="24" t="s">
        <v>107</v>
      </c>
      <c r="E105" s="17" t="s">
        <v>10</v>
      </c>
      <c r="F105" s="14" t="s">
        <v>108</v>
      </c>
      <c r="G105" s="13"/>
      <c r="H105" s="17"/>
      <c r="I105" s="75"/>
    </row>
    <row r="106" spans="1:9" ht="18.75" customHeight="1" x14ac:dyDescent="0.25">
      <c r="A106" s="68"/>
      <c r="B106" s="75"/>
      <c r="C106" s="4"/>
      <c r="D106" s="16">
        <f>Process!D47</f>
        <v>287.42400000000004</v>
      </c>
      <c r="E106" s="17" t="str">
        <f>IF(D106&lt;F106,"&lt;","&gt;")</f>
        <v>&lt;</v>
      </c>
      <c r="F106" s="16">
        <f>Process!F47</f>
        <v>828</v>
      </c>
      <c r="G106" s="29" t="s">
        <v>2</v>
      </c>
      <c r="H106" s="30" t="str">
        <f>IF(D106&lt;F106,"[ OK ]","[ UBAH DIMENSI PENAMPANG ]")</f>
        <v>[ OK ]</v>
      </c>
      <c r="I106" s="75"/>
    </row>
    <row r="107" spans="1:9" ht="18.75" customHeight="1" x14ac:dyDescent="0.25">
      <c r="A107" s="68"/>
      <c r="B107" s="75"/>
      <c r="C107" s="4"/>
      <c r="D107" s="4"/>
      <c r="E107" s="4"/>
      <c r="F107" s="4"/>
      <c r="G107" s="13"/>
      <c r="H107" s="17"/>
      <c r="I107" s="75"/>
    </row>
    <row r="108" spans="1:9" ht="18.75" customHeight="1" x14ac:dyDescent="0.25">
      <c r="A108" s="109"/>
      <c r="B108" s="76" t="s">
        <v>86</v>
      </c>
      <c r="C108" s="36"/>
      <c r="D108" s="44"/>
      <c r="E108" s="36"/>
      <c r="F108" s="43"/>
      <c r="G108" s="44" t="s">
        <v>111</v>
      </c>
      <c r="H108" s="16">
        <f>Process!H49</f>
        <v>513.25714285714298</v>
      </c>
      <c r="I108" s="76" t="s">
        <v>35</v>
      </c>
    </row>
    <row r="109" spans="1:9" ht="18.75" customHeight="1" x14ac:dyDescent="0.25">
      <c r="A109" s="68"/>
      <c r="B109" s="4"/>
      <c r="C109" s="4"/>
      <c r="D109" s="4"/>
      <c r="E109" s="4"/>
      <c r="F109" s="4"/>
      <c r="G109" s="13"/>
      <c r="H109" s="17"/>
      <c r="I109" s="75"/>
    </row>
    <row r="110" spans="1:9" ht="18.75" customHeight="1" x14ac:dyDescent="0.25">
      <c r="A110" s="108" t="s">
        <v>202</v>
      </c>
      <c r="B110" s="39" t="s">
        <v>112</v>
      </c>
      <c r="C110" s="40"/>
      <c r="D110" s="40"/>
      <c r="E110" s="40"/>
      <c r="F110" s="40"/>
      <c r="G110" s="41"/>
      <c r="H110" s="35"/>
      <c r="I110" s="121"/>
    </row>
    <row r="111" spans="1:9" ht="18.75" customHeight="1" x14ac:dyDescent="0.25">
      <c r="A111" s="68"/>
      <c r="B111" s="76" t="s">
        <v>46</v>
      </c>
      <c r="C111" s="4"/>
      <c r="D111" s="4"/>
      <c r="E111" s="4"/>
      <c r="F111" s="4"/>
      <c r="G111" s="44" t="s">
        <v>44</v>
      </c>
      <c r="H111" s="16">
        <f>Process!H52</f>
        <v>68.712000000000003</v>
      </c>
      <c r="I111" s="76" t="s">
        <v>31</v>
      </c>
    </row>
    <row r="112" spans="1:9" ht="18.75" customHeight="1" x14ac:dyDescent="0.25">
      <c r="A112" s="109"/>
      <c r="B112" s="76" t="s">
        <v>94</v>
      </c>
      <c r="C112" s="43"/>
      <c r="D112" s="43"/>
      <c r="E112" s="43"/>
      <c r="F112" s="44"/>
      <c r="G112" s="44" t="s">
        <v>75</v>
      </c>
      <c r="H112" s="16">
        <f>Process!H53</f>
        <v>0.75</v>
      </c>
      <c r="I112" s="76"/>
    </row>
    <row r="113" spans="1:9" ht="18.75" customHeight="1" x14ac:dyDescent="0.25">
      <c r="A113" s="68"/>
      <c r="B113" s="75" t="s">
        <v>113</v>
      </c>
      <c r="C113" s="4"/>
      <c r="D113" s="4"/>
      <c r="E113" s="4"/>
      <c r="F113" s="4"/>
      <c r="G113" s="44" t="s">
        <v>114</v>
      </c>
      <c r="H113" s="16">
        <f>Process!H54</f>
        <v>91.616</v>
      </c>
      <c r="I113" s="76" t="s">
        <v>31</v>
      </c>
    </row>
    <row r="114" spans="1:9" ht="18.75" customHeight="1" x14ac:dyDescent="0.25">
      <c r="A114" s="68"/>
      <c r="B114" s="75"/>
      <c r="C114" s="4"/>
      <c r="D114" s="4"/>
      <c r="E114" s="4"/>
      <c r="F114" s="4"/>
      <c r="G114" s="13"/>
      <c r="H114" s="17"/>
      <c r="I114" s="75"/>
    </row>
    <row r="115" spans="1:9" ht="18.75" customHeight="1" x14ac:dyDescent="0.25">
      <c r="A115" s="109"/>
      <c r="B115" s="76" t="s">
        <v>86</v>
      </c>
      <c r="C115" s="36"/>
      <c r="D115" s="44"/>
      <c r="E115" s="36"/>
      <c r="F115" s="43"/>
      <c r="G115" s="44" t="s">
        <v>115</v>
      </c>
      <c r="H115" s="16">
        <f>Process!H56</f>
        <v>229.04</v>
      </c>
      <c r="I115" s="76" t="s">
        <v>35</v>
      </c>
    </row>
    <row r="116" spans="1:9" ht="18.75" customHeight="1" x14ac:dyDescent="0.25">
      <c r="A116" s="109"/>
      <c r="B116" s="76"/>
      <c r="C116" s="36"/>
      <c r="D116" s="44"/>
      <c r="E116" s="36"/>
      <c r="F116" s="43"/>
      <c r="G116" s="44"/>
      <c r="H116" s="124"/>
      <c r="I116" s="76"/>
    </row>
    <row r="117" spans="1:9" ht="18.75" customHeight="1" x14ac:dyDescent="0.25">
      <c r="A117" s="109"/>
      <c r="B117" s="76"/>
      <c r="C117" s="36"/>
      <c r="D117" s="44"/>
      <c r="E117" s="36"/>
      <c r="F117" s="43"/>
      <c r="G117" s="44"/>
      <c r="H117" s="124"/>
      <c r="I117" s="76"/>
    </row>
    <row r="118" spans="1:9" ht="18.75" customHeight="1" x14ac:dyDescent="0.25">
      <c r="A118" s="109"/>
      <c r="B118" s="76"/>
      <c r="C118" s="36"/>
      <c r="D118" s="44"/>
      <c r="E118" s="36"/>
      <c r="F118" s="43"/>
      <c r="G118" s="44"/>
      <c r="H118" s="124"/>
      <c r="I118" s="76"/>
    </row>
    <row r="119" spans="1:9" ht="18.75" customHeight="1" x14ac:dyDescent="0.25">
      <c r="A119" s="68"/>
      <c r="B119" s="75"/>
      <c r="C119" s="4"/>
      <c r="D119" s="4"/>
      <c r="E119" s="4"/>
      <c r="F119" s="4"/>
      <c r="G119" s="13"/>
      <c r="H119" s="17"/>
      <c r="I119" s="75"/>
    </row>
    <row r="120" spans="1:9" ht="18.75" customHeight="1" x14ac:dyDescent="0.25">
      <c r="A120" s="108" t="s">
        <v>203</v>
      </c>
      <c r="B120" s="39" t="s">
        <v>116</v>
      </c>
      <c r="C120" s="40"/>
      <c r="D120" s="40"/>
      <c r="E120" s="40"/>
      <c r="F120" s="40"/>
      <c r="G120" s="41"/>
      <c r="H120" s="35"/>
      <c r="I120" s="121"/>
    </row>
    <row r="121" spans="1:9" ht="18.75" customHeight="1" x14ac:dyDescent="0.25">
      <c r="A121" s="68"/>
      <c r="B121" s="75" t="s">
        <v>117</v>
      </c>
      <c r="C121" s="4"/>
      <c r="D121" s="4"/>
      <c r="E121" s="13" t="s">
        <v>97</v>
      </c>
      <c r="F121" s="4"/>
      <c r="G121" s="13" t="s">
        <v>118</v>
      </c>
      <c r="H121" s="16">
        <f>Process!H60</f>
        <v>746.54</v>
      </c>
      <c r="I121" s="76" t="s">
        <v>35</v>
      </c>
    </row>
    <row r="122" spans="1:9" ht="18.75" customHeight="1" x14ac:dyDescent="0.25">
      <c r="A122" s="68"/>
      <c r="B122" s="75"/>
      <c r="C122" s="4"/>
      <c r="D122" s="4"/>
      <c r="E122" s="13" t="s">
        <v>98</v>
      </c>
      <c r="F122" s="4"/>
      <c r="G122" s="13" t="s">
        <v>119</v>
      </c>
      <c r="H122" s="16">
        <f>Process!H61</f>
        <v>571.21142857142866</v>
      </c>
      <c r="I122" s="76" t="s">
        <v>35</v>
      </c>
    </row>
    <row r="123" spans="1:9" ht="18.75" customHeight="1" x14ac:dyDescent="0.25">
      <c r="A123" s="68"/>
      <c r="B123" s="75"/>
      <c r="C123" s="4"/>
      <c r="D123" s="4"/>
      <c r="E123" s="13" t="s">
        <v>103</v>
      </c>
      <c r="F123" s="4"/>
      <c r="G123" s="13" t="s">
        <v>128</v>
      </c>
      <c r="H123" s="16">
        <f>Process!H62</f>
        <v>414</v>
      </c>
      <c r="I123" s="76" t="s">
        <v>35</v>
      </c>
    </row>
    <row r="124" spans="1:9" ht="18.75" customHeight="1" x14ac:dyDescent="0.25">
      <c r="A124" s="68"/>
      <c r="B124" s="75"/>
      <c r="C124" s="4"/>
      <c r="D124" s="4"/>
      <c r="E124" s="4"/>
      <c r="F124" s="4"/>
      <c r="G124" s="13" t="s">
        <v>120</v>
      </c>
      <c r="H124" s="16">
        <f>Process!H63</f>
        <v>746.54</v>
      </c>
      <c r="I124" s="76" t="s">
        <v>35</v>
      </c>
    </row>
    <row r="125" spans="1:9" ht="18.75" customHeight="1" x14ac:dyDescent="0.25">
      <c r="A125" s="109"/>
      <c r="B125" s="76" t="s">
        <v>33</v>
      </c>
      <c r="C125" s="43"/>
      <c r="D125" s="43"/>
      <c r="E125" s="43"/>
      <c r="F125" s="43"/>
      <c r="G125" s="44" t="s">
        <v>34</v>
      </c>
      <c r="H125" s="16">
        <f>Process!H64</f>
        <v>56</v>
      </c>
      <c r="I125" s="76" t="s">
        <v>22</v>
      </c>
    </row>
    <row r="126" spans="1:9" ht="18.75" customHeight="1" x14ac:dyDescent="0.25">
      <c r="A126" s="109"/>
      <c r="B126" s="76" t="s">
        <v>66</v>
      </c>
      <c r="C126" s="43"/>
      <c r="D126" s="43"/>
      <c r="E126" s="43"/>
      <c r="F126" s="43"/>
      <c r="G126" s="44" t="s">
        <v>67</v>
      </c>
      <c r="H126" s="16">
        <f>Process!H65</f>
        <v>5.5853658536585362</v>
      </c>
      <c r="I126" s="76"/>
    </row>
    <row r="127" spans="1:9" ht="18.75" customHeight="1" x14ac:dyDescent="0.25">
      <c r="A127" s="109"/>
      <c r="B127" s="76" t="s">
        <v>68</v>
      </c>
      <c r="C127" s="43"/>
      <c r="D127" s="43"/>
      <c r="E127" s="43"/>
      <c r="F127" s="43"/>
      <c r="G127" s="44" t="s">
        <v>69</v>
      </c>
      <c r="H127" s="16">
        <f>Process!H66</f>
        <v>5</v>
      </c>
      <c r="I127" s="76" t="s">
        <v>70</v>
      </c>
    </row>
    <row r="128" spans="1:9" ht="18.75" customHeight="1" x14ac:dyDescent="0.25">
      <c r="A128" s="109"/>
      <c r="B128" s="76" t="s">
        <v>71</v>
      </c>
      <c r="C128" s="43"/>
      <c r="D128" s="43"/>
      <c r="E128" s="43"/>
      <c r="F128" s="43"/>
      <c r="G128" s="114"/>
      <c r="H128" s="114"/>
      <c r="I128" s="114"/>
    </row>
    <row r="129" spans="1:9" ht="18.75" customHeight="1" x14ac:dyDescent="0.25">
      <c r="A129" s="109"/>
      <c r="B129" s="76"/>
      <c r="C129" s="43"/>
      <c r="D129" s="43"/>
      <c r="E129" s="43"/>
      <c r="F129" s="43"/>
      <c r="G129" s="44" t="s">
        <v>72</v>
      </c>
      <c r="H129" s="16">
        <f>Process!H67</f>
        <v>47</v>
      </c>
      <c r="I129" s="76" t="s">
        <v>22</v>
      </c>
    </row>
    <row r="130" spans="1:9" ht="18.75" customHeight="1" x14ac:dyDescent="0.25">
      <c r="A130" s="109"/>
      <c r="B130" s="76" t="s">
        <v>121</v>
      </c>
      <c r="C130" s="43"/>
      <c r="D130" s="43"/>
      <c r="E130" s="36"/>
      <c r="F130" s="43"/>
      <c r="G130" s="44" t="s">
        <v>162</v>
      </c>
      <c r="H130" s="16">
        <f>Process!H68</f>
        <v>3.7129853504944856</v>
      </c>
      <c r="I130" s="122"/>
    </row>
    <row r="131" spans="1:9" ht="18.75" customHeight="1" x14ac:dyDescent="0.25">
      <c r="A131" s="109"/>
      <c r="B131" s="76" t="s">
        <v>132</v>
      </c>
      <c r="C131" s="51"/>
      <c r="D131" s="36"/>
      <c r="E131" s="57"/>
      <c r="F131" s="43"/>
      <c r="G131" s="138">
        <f>ROUNDUP(H130,0)</f>
        <v>4</v>
      </c>
      <c r="H131" s="139">
        <f>Process!H69</f>
        <v>16</v>
      </c>
      <c r="I131" s="122"/>
    </row>
    <row r="132" spans="1:9" ht="18.75" customHeight="1" x14ac:dyDescent="0.25">
      <c r="A132" s="109"/>
      <c r="B132" s="76" t="s">
        <v>122</v>
      </c>
      <c r="C132" s="43"/>
      <c r="D132" s="43"/>
      <c r="E132" s="43"/>
      <c r="F132" s="43"/>
      <c r="G132" s="44" t="s">
        <v>135</v>
      </c>
      <c r="H132" s="16">
        <f>Process!H70</f>
        <v>804.24771931898704</v>
      </c>
      <c r="I132" s="76" t="s">
        <v>35</v>
      </c>
    </row>
    <row r="133" spans="1:9" ht="18.75" customHeight="1" x14ac:dyDescent="0.25">
      <c r="A133" s="109"/>
      <c r="B133" s="76" t="s">
        <v>123</v>
      </c>
      <c r="C133" s="43"/>
      <c r="D133" s="43"/>
      <c r="E133" s="43"/>
      <c r="F133" s="43"/>
      <c r="G133" s="44" t="s">
        <v>124</v>
      </c>
      <c r="H133" s="118">
        <f>Process!H71</f>
        <v>1</v>
      </c>
      <c r="I133" s="123"/>
    </row>
    <row r="134" spans="1:9" ht="18.75" customHeight="1" x14ac:dyDescent="0.25">
      <c r="A134" s="109"/>
      <c r="B134" s="76"/>
      <c r="C134" s="43" t="s">
        <v>125</v>
      </c>
      <c r="D134" s="44" t="s">
        <v>126</v>
      </c>
      <c r="E134" s="36" t="s">
        <v>127</v>
      </c>
      <c r="F134" s="43"/>
      <c r="G134" s="46" t="s">
        <v>2</v>
      </c>
      <c r="H134" s="54" t="str">
        <f>IF(H133&lt;3,"[OK]","[NOT OK]")</f>
        <v>[OK]</v>
      </c>
      <c r="I134" s="123"/>
    </row>
    <row r="135" spans="1:9" ht="18.75" customHeight="1" x14ac:dyDescent="0.25">
      <c r="A135" s="68"/>
      <c r="B135" s="75"/>
      <c r="C135" s="4"/>
      <c r="D135" s="4"/>
      <c r="E135" s="4"/>
      <c r="F135" s="4"/>
      <c r="G135" s="13"/>
      <c r="H135" s="17"/>
      <c r="I135" s="75"/>
    </row>
    <row r="136" spans="1:9" ht="18.75" customHeight="1" x14ac:dyDescent="0.25">
      <c r="A136" s="68"/>
      <c r="B136" s="75"/>
      <c r="C136" s="4"/>
      <c r="D136" s="4"/>
      <c r="E136" s="4"/>
      <c r="F136" s="4"/>
      <c r="G136" s="13"/>
      <c r="H136" s="17"/>
      <c r="I136" s="75"/>
    </row>
    <row r="137" spans="1:9" ht="18.75" customHeight="1" x14ac:dyDescent="0.25">
      <c r="A137" s="68"/>
      <c r="B137" s="75" t="s">
        <v>129</v>
      </c>
      <c r="C137" s="4"/>
      <c r="D137" s="4"/>
      <c r="E137" s="13" t="s">
        <v>97</v>
      </c>
      <c r="F137" s="4"/>
      <c r="G137" s="13" t="s">
        <v>130</v>
      </c>
      <c r="H137" s="16">
        <f>Process!H75</f>
        <v>171.08571428571432</v>
      </c>
      <c r="I137" s="76" t="s">
        <v>35</v>
      </c>
    </row>
    <row r="138" spans="1:9" ht="18.75" customHeight="1" x14ac:dyDescent="0.25">
      <c r="A138" s="68"/>
      <c r="B138" s="75"/>
      <c r="C138" s="4"/>
      <c r="D138" s="4"/>
      <c r="E138" s="13" t="s">
        <v>98</v>
      </c>
      <c r="F138" s="4"/>
      <c r="G138" s="13" t="s">
        <v>131</v>
      </c>
      <c r="H138" s="16">
        <f>Process!H76</f>
        <v>487.78999999999996</v>
      </c>
      <c r="I138" s="76" t="s">
        <v>35</v>
      </c>
    </row>
    <row r="139" spans="1:9" ht="18.75" customHeight="1" x14ac:dyDescent="0.25">
      <c r="A139" s="109"/>
      <c r="B139" s="76" t="s">
        <v>121</v>
      </c>
      <c r="C139" s="43"/>
      <c r="D139" s="43"/>
      <c r="E139" s="36"/>
      <c r="F139" s="43"/>
      <c r="G139" s="44" t="s">
        <v>133</v>
      </c>
      <c r="H139" s="16">
        <f>Process!H77</f>
        <v>9.7042737113494528</v>
      </c>
      <c r="I139" s="122"/>
    </row>
    <row r="140" spans="1:9" ht="18.75" customHeight="1" x14ac:dyDescent="0.25">
      <c r="A140" s="68"/>
      <c r="B140" s="75" t="s">
        <v>134</v>
      </c>
      <c r="C140" s="4"/>
      <c r="D140" s="4"/>
      <c r="E140" s="4"/>
      <c r="F140" s="4"/>
      <c r="G140" s="13" t="s">
        <v>136</v>
      </c>
      <c r="H140" s="16">
        <f>Process!H78</f>
        <v>2.4260684278373632</v>
      </c>
      <c r="I140" s="75"/>
    </row>
    <row r="141" spans="1:9" ht="18.75" customHeight="1" x14ac:dyDescent="0.25">
      <c r="A141" s="109"/>
      <c r="B141" s="76" t="s">
        <v>132</v>
      </c>
      <c r="C141" s="51"/>
      <c r="D141" s="36"/>
      <c r="E141" s="57"/>
      <c r="F141" s="138">
        <f>G131</f>
        <v>4</v>
      </c>
      <c r="G141" s="140">
        <f>ROUNDUP(H140,0)</f>
        <v>3</v>
      </c>
      <c r="H141" s="139">
        <f>Process!H79</f>
        <v>8</v>
      </c>
      <c r="I141" s="122"/>
    </row>
    <row r="142" spans="1:9" ht="18.75" customHeight="1" x14ac:dyDescent="0.25">
      <c r="A142" s="68"/>
      <c r="B142" s="75" t="s">
        <v>137</v>
      </c>
      <c r="C142" s="4"/>
      <c r="D142" s="4"/>
      <c r="E142" s="4"/>
      <c r="F142" s="4"/>
      <c r="G142" s="13" t="s">
        <v>138</v>
      </c>
      <c r="H142" s="14">
        <f>Process!H80</f>
        <v>120</v>
      </c>
      <c r="I142" s="75" t="s">
        <v>22</v>
      </c>
    </row>
    <row r="143" spans="1:9" ht="18.75" customHeight="1" x14ac:dyDescent="0.25">
      <c r="A143" s="68"/>
      <c r="B143" s="75"/>
      <c r="C143" s="4"/>
      <c r="D143" s="4"/>
      <c r="E143" s="4"/>
      <c r="F143" s="4"/>
      <c r="G143" s="13"/>
      <c r="H143" s="17"/>
      <c r="I143" s="75"/>
    </row>
    <row r="144" spans="1:9" ht="18.75" customHeight="1" x14ac:dyDescent="0.25">
      <c r="A144" s="68"/>
      <c r="B144" s="75"/>
      <c r="C144" s="4"/>
      <c r="D144" s="4"/>
      <c r="E144" s="4"/>
      <c r="F144" s="4"/>
      <c r="G144" s="13"/>
      <c r="H144" s="17"/>
      <c r="I144" s="75"/>
    </row>
    <row r="145" spans="1:9" ht="18.75" customHeight="1" x14ac:dyDescent="0.25">
      <c r="A145" s="108" t="s">
        <v>204</v>
      </c>
      <c r="B145" s="39" t="s">
        <v>139</v>
      </c>
      <c r="C145" s="40"/>
      <c r="D145" s="40"/>
      <c r="E145" s="40"/>
      <c r="F145" s="40"/>
      <c r="G145" s="41"/>
      <c r="H145" s="35"/>
      <c r="I145" s="121"/>
    </row>
    <row r="146" spans="1:9" ht="18.75" customHeight="1" x14ac:dyDescent="0.25">
      <c r="A146" s="68"/>
      <c r="B146" s="4"/>
      <c r="C146" s="4"/>
      <c r="D146" s="4"/>
      <c r="E146" s="4"/>
      <c r="F146" s="4"/>
      <c r="G146" s="13"/>
      <c r="H146" s="17"/>
      <c r="I146" s="75"/>
    </row>
    <row r="147" spans="1:9" ht="18.75" customHeight="1" x14ac:dyDescent="0.25">
      <c r="A147" s="68"/>
      <c r="B147" s="4"/>
      <c r="C147" s="4"/>
      <c r="D147" s="4"/>
      <c r="E147" s="4"/>
      <c r="F147" s="4"/>
      <c r="G147" s="13"/>
      <c r="H147" s="17"/>
      <c r="I147" s="75"/>
    </row>
    <row r="148" spans="1:9" ht="18.75" customHeight="1" x14ac:dyDescent="0.25">
      <c r="A148" s="68"/>
      <c r="B148" s="4"/>
      <c r="C148" s="4"/>
      <c r="D148" s="4"/>
      <c r="E148" s="4"/>
      <c r="F148" s="4"/>
      <c r="G148" s="13"/>
      <c r="H148" s="17"/>
      <c r="I148" s="75"/>
    </row>
    <row r="149" spans="1:9" ht="18.75" customHeight="1" x14ac:dyDescent="0.25">
      <c r="A149" s="68"/>
      <c r="B149" s="4"/>
      <c r="C149" s="4"/>
      <c r="D149" s="4"/>
      <c r="E149" s="4"/>
      <c r="F149" s="4"/>
      <c r="G149" s="13"/>
      <c r="H149" s="17"/>
      <c r="I149" s="75"/>
    </row>
    <row r="150" spans="1:9" ht="18.75" customHeight="1" x14ac:dyDescent="0.25">
      <c r="A150" s="68"/>
      <c r="B150" s="4"/>
      <c r="C150" s="4"/>
      <c r="D150" s="4"/>
      <c r="E150" s="4"/>
      <c r="F150" s="4"/>
      <c r="G150" s="13"/>
      <c r="H150" s="17"/>
      <c r="I150" s="75"/>
    </row>
    <row r="151" spans="1:9" ht="18.75" customHeight="1" x14ac:dyDescent="0.25">
      <c r="A151" s="68"/>
      <c r="B151" s="4"/>
      <c r="C151" s="4"/>
      <c r="D151" s="4"/>
      <c r="E151" s="4"/>
      <c r="F151" s="4"/>
      <c r="G151" s="13"/>
      <c r="H151" s="17"/>
      <c r="I151" s="75"/>
    </row>
    <row r="152" spans="1:9" ht="18.75" customHeight="1" x14ac:dyDescent="0.25">
      <c r="A152" s="68"/>
      <c r="B152" s="4"/>
      <c r="C152" s="4"/>
      <c r="D152" s="4"/>
      <c r="E152" s="4"/>
      <c r="F152" s="4"/>
      <c r="G152" s="13"/>
      <c r="H152" s="17"/>
      <c r="I152" s="75"/>
    </row>
    <row r="153" spans="1:9" ht="18.75" customHeight="1" x14ac:dyDescent="0.25">
      <c r="A153" s="68"/>
      <c r="B153" s="4"/>
      <c r="C153" s="4"/>
      <c r="D153" s="4"/>
      <c r="E153" s="4"/>
      <c r="F153" s="4"/>
      <c r="G153" s="13"/>
      <c r="H153" s="17"/>
      <c r="I153" s="75"/>
    </row>
    <row r="154" spans="1:9" ht="18.75" customHeight="1" x14ac:dyDescent="0.25">
      <c r="A154" s="68"/>
      <c r="B154" s="4"/>
      <c r="C154" s="4"/>
      <c r="D154" s="4"/>
      <c r="E154" s="4"/>
      <c r="F154" s="4"/>
      <c r="G154" s="13"/>
      <c r="H154" s="17"/>
      <c r="I154" s="75"/>
    </row>
    <row r="155" spans="1:9" ht="18.75" customHeight="1" x14ac:dyDescent="0.25">
      <c r="A155" s="68"/>
      <c r="B155" s="4"/>
      <c r="C155" s="4"/>
      <c r="D155" s="4"/>
      <c r="E155" s="4"/>
      <c r="F155" s="4"/>
      <c r="G155" s="13"/>
      <c r="H155" s="17"/>
      <c r="I155" s="75"/>
    </row>
    <row r="156" spans="1:9" ht="18.75" customHeight="1" x14ac:dyDescent="0.25">
      <c r="A156" s="68"/>
      <c r="B156" s="4"/>
      <c r="C156" s="4"/>
      <c r="D156" s="4"/>
      <c r="E156" s="4"/>
      <c r="F156" s="4"/>
      <c r="G156" s="13"/>
      <c r="H156" s="17"/>
      <c r="I156" s="75"/>
    </row>
    <row r="157" spans="1:9" ht="18.75" customHeight="1" x14ac:dyDescent="0.25">
      <c r="A157" s="68"/>
      <c r="B157" s="4"/>
      <c r="C157" s="4"/>
      <c r="D157" s="4"/>
      <c r="E157" s="4"/>
      <c r="F157" s="4"/>
      <c r="G157" s="13"/>
      <c r="H157" s="17"/>
      <c r="I157" s="75"/>
    </row>
    <row r="158" spans="1:9" ht="18.75" customHeight="1" x14ac:dyDescent="0.25">
      <c r="A158" s="68"/>
      <c r="B158" s="4"/>
      <c r="C158" s="4"/>
      <c r="D158" s="4"/>
      <c r="E158" s="4"/>
      <c r="F158" s="4"/>
      <c r="G158" s="13"/>
      <c r="H158" s="17"/>
      <c r="I158" s="75"/>
    </row>
    <row r="159" spans="1:9" ht="18.75" customHeight="1" x14ac:dyDescent="0.25">
      <c r="A159" s="68"/>
      <c r="B159" s="4"/>
      <c r="C159" s="4"/>
      <c r="D159" s="4"/>
      <c r="E159" s="4"/>
      <c r="F159" s="4"/>
      <c r="G159" s="13"/>
      <c r="H159" s="17"/>
      <c r="I159" s="75"/>
    </row>
    <row r="160" spans="1:9" ht="18.75" customHeight="1" x14ac:dyDescent="0.25">
      <c r="A160" s="68"/>
      <c r="B160" s="75" t="s">
        <v>184</v>
      </c>
      <c r="C160" s="4"/>
      <c r="D160" s="4"/>
      <c r="E160" s="4"/>
      <c r="F160" s="4"/>
      <c r="G160" s="13"/>
      <c r="H160" s="17"/>
      <c r="I160" s="75"/>
    </row>
    <row r="161" spans="1:9" ht="18.75" customHeight="1" x14ac:dyDescent="0.25">
      <c r="A161" s="68"/>
      <c r="B161" s="75"/>
      <c r="C161" s="4"/>
      <c r="D161" s="4"/>
      <c r="E161" s="13" t="s">
        <v>97</v>
      </c>
      <c r="F161" s="4"/>
      <c r="G161" s="13" t="s">
        <v>141</v>
      </c>
      <c r="H161" s="14">
        <f>Process!H97</f>
        <v>147981.58035469361</v>
      </c>
      <c r="I161" s="76" t="s">
        <v>143</v>
      </c>
    </row>
    <row r="162" spans="1:9" ht="18.75" customHeight="1" x14ac:dyDescent="0.25">
      <c r="A162" s="68"/>
      <c r="B162" s="75"/>
      <c r="C162" s="4"/>
      <c r="D162" s="4"/>
      <c r="E162" s="13" t="s">
        <v>98</v>
      </c>
      <c r="F162" s="4"/>
      <c r="G162" s="13" t="s">
        <v>140</v>
      </c>
      <c r="H162" s="14">
        <f>Process!H98</f>
        <v>51471.85403641517</v>
      </c>
      <c r="I162" s="76" t="s">
        <v>143</v>
      </c>
    </row>
    <row r="163" spans="1:9" ht="18.75" customHeight="1" x14ac:dyDescent="0.25">
      <c r="A163" s="68"/>
      <c r="B163" s="75"/>
      <c r="C163" s="4"/>
      <c r="D163" s="4"/>
      <c r="E163" s="4"/>
      <c r="F163" s="4"/>
      <c r="G163" s="13" t="s">
        <v>142</v>
      </c>
      <c r="H163" s="14">
        <f>Process!H99</f>
        <v>147981.58035469361</v>
      </c>
      <c r="I163" s="76" t="s">
        <v>143</v>
      </c>
    </row>
    <row r="164" spans="1:9" ht="18.75" customHeight="1" x14ac:dyDescent="0.25">
      <c r="A164" s="68"/>
      <c r="B164" s="75" t="s">
        <v>147</v>
      </c>
      <c r="C164" s="4"/>
      <c r="D164" s="4"/>
      <c r="E164" s="4"/>
      <c r="F164" s="4"/>
      <c r="G164" s="13" t="s">
        <v>146</v>
      </c>
      <c r="H164" s="14">
        <f>Process!H100</f>
        <v>184</v>
      </c>
      <c r="I164" s="76" t="s">
        <v>22</v>
      </c>
    </row>
    <row r="165" spans="1:9" ht="18.75" customHeight="1" x14ac:dyDescent="0.25">
      <c r="A165" s="68"/>
      <c r="B165" s="75" t="s">
        <v>149</v>
      </c>
      <c r="C165" s="4"/>
      <c r="D165" s="4"/>
      <c r="E165" s="4"/>
      <c r="F165" s="4"/>
      <c r="G165" s="13" t="s">
        <v>150</v>
      </c>
      <c r="H165" s="14">
        <f>Process!H101</f>
        <v>150</v>
      </c>
      <c r="I165" s="76" t="s">
        <v>22</v>
      </c>
    </row>
    <row r="166" spans="1:9" ht="18.75" customHeight="1" x14ac:dyDescent="0.25">
      <c r="A166" s="68"/>
      <c r="B166" s="75" t="s">
        <v>145</v>
      </c>
      <c r="C166" s="4"/>
      <c r="D166" s="4"/>
      <c r="E166" s="4"/>
      <c r="F166" s="4"/>
      <c r="G166" s="13" t="s">
        <v>148</v>
      </c>
      <c r="H166" s="14">
        <f>Process!H102</f>
        <v>200</v>
      </c>
      <c r="I166" s="76" t="s">
        <v>22</v>
      </c>
    </row>
    <row r="167" spans="1:9" ht="18.75" customHeight="1" x14ac:dyDescent="0.25">
      <c r="A167" s="68"/>
      <c r="B167" s="75"/>
      <c r="C167" s="4"/>
      <c r="D167" s="4"/>
      <c r="E167" s="4"/>
      <c r="F167" s="4"/>
      <c r="G167" s="13"/>
      <c r="H167" s="17"/>
      <c r="I167" s="75"/>
    </row>
    <row r="168" spans="1:9" ht="18.75" customHeight="1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</row>
  </sheetData>
  <mergeCells count="8">
    <mergeCell ref="B51:B52"/>
    <mergeCell ref="B54:B55"/>
    <mergeCell ref="A1:I1"/>
    <mergeCell ref="A3:C6"/>
    <mergeCell ref="F3:I3"/>
    <mergeCell ref="F4:I4"/>
    <mergeCell ref="F5:I5"/>
    <mergeCell ref="F6:I6"/>
  </mergeCells>
  <hyperlinks>
    <hyperlink ref="F6" r:id="rId1" xr:uid="{C32C5C3A-1D27-4A88-9D1E-D4EDF32351B3}"/>
  </hyperlinks>
  <pageMargins left="0.7" right="0.7" top="0.75" bottom="0.75" header="0.3" footer="0.3"/>
  <pageSetup paperSize="9" orientation="portrait" horizontalDpi="4294967293" verticalDpi="0" r:id="rId2"/>
  <headerFooter>
    <oddHeader>&amp;L&amp;K05-021Versi 1.0&amp;R&amp;K05-022Release Date : Mei 2021</oddHeader>
    <oddFooter xml:space="preserve">&amp;L&amp;K05-023Dapatkan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About</vt:lpstr>
      <vt:lpstr>Input</vt:lpstr>
      <vt:lpstr>Process</vt:lpstr>
      <vt:lpstr>Result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2021-05-19T01:11:17Z</cp:lastPrinted>
  <dcterms:created xsi:type="dcterms:W3CDTF">2015-06-05T18:17:20Z</dcterms:created>
  <dcterms:modified xsi:type="dcterms:W3CDTF">2021-05-20T12:15:42Z</dcterms:modified>
</cp:coreProperties>
</file>